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P\DP\CURRENT_Avisa\"/>
    </mc:Choice>
  </mc:AlternateContent>
  <xr:revisionPtr revIDLastSave="0" documentId="13_ncr:1_{C58C2A32-13BF-4CB8-8D56-91CB145FE5FD}" xr6:coauthVersionLast="47" xr6:coauthVersionMax="47" xr10:uidLastSave="{00000000-0000-0000-0000-000000000000}"/>
  <bookViews>
    <workbookView xWindow="-110" yWindow="-110" windowWidth="19420" windowHeight="10420" tabRatio="855" activeTab="11" xr2:uid="{00000000-000D-0000-FFFF-FFFF00000000}"/>
  </bookViews>
  <sheets>
    <sheet name="Assumptions" sheetId="33" r:id="rId1"/>
    <sheet name="Revenue" sheetId="26" r:id="rId2"/>
    <sheet name="Cost" sheetId="34" r:id="rId3"/>
    <sheet name="Capex" sheetId="36" r:id="rId4"/>
    <sheet name="Income Statement" sheetId="29" r:id="rId5"/>
    <sheet name="Balance Sheet" sheetId="30" r:id="rId6"/>
    <sheet name="Cash Flow Statements" sheetId="31" r:id="rId7"/>
    <sheet name="Salary" sheetId="32" state="hidden" r:id="rId8"/>
    <sheet name="DCF" sheetId="2" r:id="rId9"/>
    <sheet name="VC Valuation" sheetId="39" r:id="rId10"/>
    <sheet name="WACC" sheetId="3" r:id="rId11"/>
    <sheet name="Summary" sheetId="25" r:id="rId12"/>
  </sheets>
  <definedNames>
    <definedName name="_xlnm._FilterDatabase" localSheetId="2" hidden="1">Cost!$A$1:$C$3</definedName>
    <definedName name="_xlnm._FilterDatabase" localSheetId="1" hidden="1">Revenue!$A$1:$C$3</definedName>
    <definedName name="CIQWBGuid" hidden="1">"4f2b5917-b635-45e3-be69-c25f578da840"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43721.264212963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2" l="1"/>
  <c r="M12" i="25"/>
  <c r="N6" i="25"/>
  <c r="C6" i="39"/>
  <c r="M9" i="25"/>
  <c r="L58" i="26"/>
  <c r="E58" i="26"/>
  <c r="D58" i="26"/>
  <c r="E43" i="26"/>
  <c r="F43" i="26"/>
  <c r="G43" i="26"/>
  <c r="H43" i="26"/>
  <c r="I43" i="26"/>
  <c r="J43" i="26"/>
  <c r="K43" i="26"/>
  <c r="L43" i="26"/>
  <c r="D43" i="26"/>
  <c r="L44" i="26"/>
  <c r="K44" i="26"/>
  <c r="J44" i="26"/>
  <c r="I44" i="26"/>
  <c r="H44" i="26"/>
  <c r="G44" i="26"/>
  <c r="F44" i="26"/>
  <c r="E44" i="26"/>
  <c r="D44" i="26"/>
  <c r="E36" i="26"/>
  <c r="F36" i="26"/>
  <c r="G36" i="26"/>
  <c r="H36" i="26"/>
  <c r="I36" i="26"/>
  <c r="J36" i="26"/>
  <c r="K36" i="26"/>
  <c r="L36" i="26"/>
  <c r="D36" i="26"/>
  <c r="L37" i="26"/>
  <c r="K37" i="26"/>
  <c r="J37" i="26"/>
  <c r="I37" i="26"/>
  <c r="H37" i="26"/>
  <c r="G37" i="26"/>
  <c r="F37" i="26"/>
  <c r="E37" i="26"/>
  <c r="D37" i="26"/>
  <c r="E29" i="26"/>
  <c r="F29" i="26"/>
  <c r="G29" i="26"/>
  <c r="H29" i="26"/>
  <c r="I29" i="26"/>
  <c r="J29" i="26"/>
  <c r="K29" i="26"/>
  <c r="L29" i="26"/>
  <c r="D29" i="26"/>
  <c r="L30" i="26"/>
  <c r="K30" i="26"/>
  <c r="J30" i="26"/>
  <c r="I30" i="26"/>
  <c r="H30" i="26"/>
  <c r="G30" i="26"/>
  <c r="F30" i="26"/>
  <c r="E30" i="26"/>
  <c r="D30" i="26"/>
  <c r="E22" i="26"/>
  <c r="F22" i="26"/>
  <c r="G22" i="26"/>
  <c r="H22" i="26"/>
  <c r="I22" i="26"/>
  <c r="J22" i="26"/>
  <c r="K22" i="26"/>
  <c r="L22" i="26"/>
  <c r="D22" i="26"/>
  <c r="L23" i="26"/>
  <c r="K23" i="26"/>
  <c r="J23" i="26"/>
  <c r="I23" i="26"/>
  <c r="H23" i="26"/>
  <c r="G23" i="26"/>
  <c r="F23" i="26"/>
  <c r="E23" i="26"/>
  <c r="D23" i="26"/>
  <c r="E15" i="26"/>
  <c r="F15" i="26"/>
  <c r="G15" i="26"/>
  <c r="H15" i="26"/>
  <c r="I15" i="26"/>
  <c r="J15" i="26"/>
  <c r="K15" i="26"/>
  <c r="L15" i="26"/>
  <c r="D15" i="26"/>
  <c r="L16" i="26"/>
  <c r="K16" i="26"/>
  <c r="J16" i="26"/>
  <c r="I16" i="26"/>
  <c r="H16" i="26"/>
  <c r="G16" i="26"/>
  <c r="F16" i="26"/>
  <c r="E16" i="26"/>
  <c r="D16" i="26"/>
  <c r="E8" i="26"/>
  <c r="F8" i="26"/>
  <c r="G8" i="26"/>
  <c r="H8" i="26"/>
  <c r="I8" i="26"/>
  <c r="J8" i="26"/>
  <c r="K8" i="26"/>
  <c r="L8" i="26"/>
  <c r="D8" i="26"/>
  <c r="L9" i="26"/>
  <c r="K9" i="26"/>
  <c r="J9" i="26"/>
  <c r="I9" i="26"/>
  <c r="H9" i="26"/>
  <c r="G9" i="26"/>
  <c r="F9" i="26"/>
  <c r="E9" i="26"/>
  <c r="D9" i="26"/>
  <c r="A4" i="39"/>
  <c r="H2" i="39"/>
  <c r="I2" i="39"/>
  <c r="J2" i="39" s="1"/>
  <c r="K2" i="39" s="1"/>
  <c r="D2" i="39"/>
  <c r="E2" i="39" s="1"/>
  <c r="F2" i="39" s="1"/>
  <c r="G2" i="39" s="1"/>
  <c r="D3" i="2" l="1"/>
  <c r="E3" i="2" s="1"/>
  <c r="F3" i="2" s="1"/>
  <c r="G3" i="2" s="1"/>
  <c r="H3" i="2" s="1"/>
  <c r="I3" i="2" s="1"/>
  <c r="J3" i="2" s="1"/>
  <c r="K3" i="2" s="1"/>
  <c r="C23" i="31" l="1"/>
  <c r="C28" i="30"/>
  <c r="C17" i="29"/>
  <c r="C10" i="29"/>
  <c r="D5" i="29"/>
  <c r="E5" i="29"/>
  <c r="F5" i="29"/>
  <c r="G5" i="29"/>
  <c r="H5" i="29"/>
  <c r="I5" i="29"/>
  <c r="J5" i="29"/>
  <c r="K5" i="29"/>
  <c r="C5" i="29"/>
  <c r="E54" i="26"/>
  <c r="F54" i="26"/>
  <c r="G54" i="26"/>
  <c r="H54" i="26"/>
  <c r="I54" i="26"/>
  <c r="J54" i="26"/>
  <c r="K54" i="26"/>
  <c r="L54" i="26"/>
  <c r="D54" i="26"/>
  <c r="D60" i="31"/>
  <c r="E60" i="31"/>
  <c r="F60" i="31"/>
  <c r="G60" i="31"/>
  <c r="H60" i="31"/>
  <c r="I60" i="31"/>
  <c r="J60" i="31"/>
  <c r="K60" i="31"/>
  <c r="C60" i="31"/>
  <c r="A59" i="31"/>
  <c r="A58" i="31"/>
  <c r="A57" i="31"/>
  <c r="A56" i="31"/>
  <c r="A55" i="31"/>
  <c r="A54" i="31"/>
  <c r="E38" i="34"/>
  <c r="F38" i="34"/>
  <c r="G38" i="34"/>
  <c r="H38" i="34"/>
  <c r="I38" i="34"/>
  <c r="J38" i="34"/>
  <c r="K38" i="34"/>
  <c r="L38" i="34"/>
  <c r="E39" i="34"/>
  <c r="E10" i="34" s="1"/>
  <c r="F39" i="34"/>
  <c r="F10" i="34" s="1"/>
  <c r="G39" i="34"/>
  <c r="G10" i="34" s="1"/>
  <c r="H39" i="34"/>
  <c r="H10" i="34" s="1"/>
  <c r="I39" i="34"/>
  <c r="I10" i="34" s="1"/>
  <c r="J39" i="34"/>
  <c r="J10" i="34" s="1"/>
  <c r="K39" i="34"/>
  <c r="K10" i="34" s="1"/>
  <c r="L39" i="34"/>
  <c r="L10" i="34" s="1"/>
  <c r="E40" i="34"/>
  <c r="F40" i="34"/>
  <c r="G40" i="34"/>
  <c r="H40" i="34"/>
  <c r="I40" i="34"/>
  <c r="J40" i="34"/>
  <c r="K40" i="34"/>
  <c r="L40" i="34"/>
  <c r="E41" i="34"/>
  <c r="F41" i="34"/>
  <c r="G41" i="34"/>
  <c r="H41" i="34"/>
  <c r="I41" i="34"/>
  <c r="J41" i="34"/>
  <c r="K41" i="34"/>
  <c r="L41" i="34"/>
  <c r="E42" i="34"/>
  <c r="F42" i="34"/>
  <c r="G42" i="34"/>
  <c r="H42" i="34"/>
  <c r="I42" i="34"/>
  <c r="J42" i="34"/>
  <c r="K42" i="34"/>
  <c r="L42" i="34"/>
  <c r="E43" i="34"/>
  <c r="F43" i="34"/>
  <c r="G43" i="34"/>
  <c r="H43" i="34"/>
  <c r="I43" i="34"/>
  <c r="J43" i="34"/>
  <c r="K43" i="34"/>
  <c r="L43" i="34"/>
  <c r="E44" i="34"/>
  <c r="F44" i="34"/>
  <c r="G44" i="34"/>
  <c r="H44" i="34"/>
  <c r="I44" i="34"/>
  <c r="J44" i="34"/>
  <c r="K44" i="34"/>
  <c r="L44" i="34"/>
  <c r="E45" i="34"/>
  <c r="F45" i="34"/>
  <c r="G45" i="34"/>
  <c r="H45" i="34"/>
  <c r="I45" i="34"/>
  <c r="J45" i="34"/>
  <c r="K45" i="34"/>
  <c r="L45" i="34"/>
  <c r="E46" i="34"/>
  <c r="F46" i="34"/>
  <c r="G46" i="34"/>
  <c r="H46" i="34"/>
  <c r="I46" i="34"/>
  <c r="J46" i="34"/>
  <c r="K46" i="34"/>
  <c r="L46" i="34"/>
  <c r="E47" i="34"/>
  <c r="F47" i="34"/>
  <c r="G47" i="34"/>
  <c r="H47" i="34"/>
  <c r="I47" i="34"/>
  <c r="J47" i="34"/>
  <c r="K47" i="34"/>
  <c r="L47" i="34"/>
  <c r="E48" i="34"/>
  <c r="F48" i="34"/>
  <c r="G48" i="34"/>
  <c r="H48" i="34"/>
  <c r="I48" i="34"/>
  <c r="J48" i="34"/>
  <c r="K48" i="34"/>
  <c r="L48" i="34"/>
  <c r="E49" i="34"/>
  <c r="F49" i="34"/>
  <c r="G49" i="34"/>
  <c r="H49" i="34"/>
  <c r="I49" i="34"/>
  <c r="J49" i="34"/>
  <c r="K49" i="34"/>
  <c r="L49" i="34"/>
  <c r="E50" i="34"/>
  <c r="F50" i="34"/>
  <c r="G50" i="34"/>
  <c r="H50" i="34"/>
  <c r="I50" i="34"/>
  <c r="J50" i="34"/>
  <c r="K50" i="34"/>
  <c r="L50" i="34"/>
  <c r="E51" i="34"/>
  <c r="F51" i="34"/>
  <c r="G51" i="34"/>
  <c r="H51" i="34"/>
  <c r="I51" i="34"/>
  <c r="J51" i="34"/>
  <c r="K51" i="34"/>
  <c r="L51" i="34"/>
  <c r="E52" i="34"/>
  <c r="F52" i="34"/>
  <c r="G52" i="34"/>
  <c r="H52" i="34"/>
  <c r="I52" i="34"/>
  <c r="J52" i="34"/>
  <c r="K52" i="34"/>
  <c r="L52" i="34"/>
  <c r="E53" i="34"/>
  <c r="F53" i="34"/>
  <c r="G53" i="34"/>
  <c r="H53" i="34"/>
  <c r="I53" i="34"/>
  <c r="J53" i="34"/>
  <c r="K53" i="34"/>
  <c r="L53" i="34"/>
  <c r="E56" i="34"/>
  <c r="F56" i="34"/>
  <c r="G56" i="34"/>
  <c r="H56" i="34"/>
  <c r="I56" i="34"/>
  <c r="J56" i="34"/>
  <c r="K56" i="34"/>
  <c r="L56" i="34"/>
  <c r="E57" i="34"/>
  <c r="F57" i="34"/>
  <c r="G57" i="34"/>
  <c r="H57" i="34"/>
  <c r="I57" i="34"/>
  <c r="J57" i="34"/>
  <c r="K57" i="34"/>
  <c r="L57" i="34"/>
  <c r="E58" i="34"/>
  <c r="F58" i="34"/>
  <c r="G58" i="34"/>
  <c r="H58" i="34"/>
  <c r="I58" i="34"/>
  <c r="J58" i="34"/>
  <c r="K58" i="34"/>
  <c r="L58" i="34"/>
  <c r="E59" i="34"/>
  <c r="F59" i="34"/>
  <c r="G59" i="34"/>
  <c r="H59" i="34"/>
  <c r="I59" i="34"/>
  <c r="J59" i="34"/>
  <c r="K59" i="34"/>
  <c r="L59" i="34"/>
  <c r="E60" i="34"/>
  <c r="F60" i="34"/>
  <c r="G60" i="34"/>
  <c r="H60" i="34"/>
  <c r="I60" i="34"/>
  <c r="J60" i="34"/>
  <c r="K60" i="34"/>
  <c r="L60" i="34"/>
  <c r="E61" i="34"/>
  <c r="F61" i="34"/>
  <c r="G61" i="34"/>
  <c r="H61" i="34"/>
  <c r="I61" i="34"/>
  <c r="J61" i="34"/>
  <c r="K61" i="34"/>
  <c r="L61" i="34"/>
  <c r="E62" i="34"/>
  <c r="F62" i="34"/>
  <c r="G62" i="34"/>
  <c r="H62" i="34"/>
  <c r="I62" i="34"/>
  <c r="J62" i="34"/>
  <c r="K62" i="34"/>
  <c r="L62" i="34"/>
  <c r="E63" i="34"/>
  <c r="F63" i="34"/>
  <c r="G63" i="34"/>
  <c r="H63" i="34"/>
  <c r="I63" i="34"/>
  <c r="J63" i="34"/>
  <c r="K63" i="34"/>
  <c r="L63" i="34"/>
  <c r="E64" i="34"/>
  <c r="F64" i="34"/>
  <c r="G64" i="34"/>
  <c r="H64" i="34"/>
  <c r="I64" i="34"/>
  <c r="J64" i="34"/>
  <c r="K64" i="34"/>
  <c r="L64" i="34"/>
  <c r="E65" i="34"/>
  <c r="F65" i="34"/>
  <c r="G65" i="34"/>
  <c r="H65" i="34"/>
  <c r="I65" i="34"/>
  <c r="J65" i="34"/>
  <c r="K65" i="34"/>
  <c r="L65" i="34"/>
  <c r="E66" i="34"/>
  <c r="F66" i="34"/>
  <c r="G66" i="34"/>
  <c r="H66" i="34"/>
  <c r="I66" i="34"/>
  <c r="J66" i="34"/>
  <c r="K66" i="34"/>
  <c r="L66" i="34"/>
  <c r="E67" i="34"/>
  <c r="F67" i="34"/>
  <c r="G67" i="34"/>
  <c r="H67" i="34"/>
  <c r="I67" i="34"/>
  <c r="J67" i="34"/>
  <c r="K67" i="34"/>
  <c r="L67" i="34"/>
  <c r="E68" i="34"/>
  <c r="F68" i="34"/>
  <c r="G68" i="34"/>
  <c r="H68" i="34"/>
  <c r="I68" i="34"/>
  <c r="J68" i="34"/>
  <c r="K68" i="34"/>
  <c r="L68" i="34"/>
  <c r="E69" i="34"/>
  <c r="F69" i="34"/>
  <c r="G69" i="34"/>
  <c r="H69" i="34"/>
  <c r="I69" i="34"/>
  <c r="J69" i="34"/>
  <c r="K69" i="34"/>
  <c r="L69" i="34"/>
  <c r="E72" i="34"/>
  <c r="F72" i="34"/>
  <c r="G72" i="34"/>
  <c r="H72" i="34"/>
  <c r="I72" i="34"/>
  <c r="J72" i="34"/>
  <c r="K72" i="34"/>
  <c r="L72" i="34"/>
  <c r="E73" i="34"/>
  <c r="F73" i="34"/>
  <c r="G73" i="34"/>
  <c r="H73" i="34"/>
  <c r="I73" i="34"/>
  <c r="J73" i="34"/>
  <c r="K73" i="34"/>
  <c r="L73" i="34"/>
  <c r="E74" i="34"/>
  <c r="F74" i="34"/>
  <c r="G74" i="34"/>
  <c r="H74" i="34"/>
  <c r="I74" i="34"/>
  <c r="J74" i="34"/>
  <c r="K74" i="34"/>
  <c r="L74" i="34"/>
  <c r="E75" i="34"/>
  <c r="E17" i="34" s="1"/>
  <c r="F75" i="34"/>
  <c r="F17" i="34" s="1"/>
  <c r="G75" i="34"/>
  <c r="G17" i="34" s="1"/>
  <c r="H75" i="34"/>
  <c r="H17" i="34" s="1"/>
  <c r="I75" i="34"/>
  <c r="I17" i="34" s="1"/>
  <c r="J75" i="34"/>
  <c r="J17" i="34" s="1"/>
  <c r="K75" i="34"/>
  <c r="K17" i="34" s="1"/>
  <c r="L75" i="34"/>
  <c r="L17" i="34" s="1"/>
  <c r="E76" i="34"/>
  <c r="F76" i="34"/>
  <c r="G76" i="34"/>
  <c r="H76" i="34"/>
  <c r="I76" i="34"/>
  <c r="J76" i="34"/>
  <c r="K76" i="34"/>
  <c r="L76" i="34"/>
  <c r="E77" i="34"/>
  <c r="F77" i="34"/>
  <c r="G77" i="34"/>
  <c r="H77" i="34"/>
  <c r="I77" i="34"/>
  <c r="J77" i="34"/>
  <c r="K77" i="34"/>
  <c r="L77" i="34"/>
  <c r="E78" i="34"/>
  <c r="F78" i="34"/>
  <c r="G78" i="34"/>
  <c r="H78" i="34"/>
  <c r="I78" i="34"/>
  <c r="J78" i="34"/>
  <c r="K78" i="34"/>
  <c r="L78" i="34"/>
  <c r="E79" i="34"/>
  <c r="F79" i="34"/>
  <c r="G79" i="34"/>
  <c r="H79" i="34"/>
  <c r="I79" i="34"/>
  <c r="J79" i="34"/>
  <c r="K79" i="34"/>
  <c r="L79" i="34"/>
  <c r="E80" i="34"/>
  <c r="F80" i="34"/>
  <c r="G80" i="34"/>
  <c r="H80" i="34"/>
  <c r="I80" i="34"/>
  <c r="J80" i="34"/>
  <c r="K80" i="34"/>
  <c r="L80" i="34"/>
  <c r="E81" i="34"/>
  <c r="F81" i="34"/>
  <c r="G81" i="34"/>
  <c r="H81" i="34"/>
  <c r="I81" i="34"/>
  <c r="J81" i="34"/>
  <c r="K81" i="34"/>
  <c r="L81" i="34"/>
  <c r="E82" i="34"/>
  <c r="F82" i="34"/>
  <c r="G82" i="34"/>
  <c r="H82" i="34"/>
  <c r="I82" i="34"/>
  <c r="J82" i="34"/>
  <c r="K82" i="34"/>
  <c r="L82" i="34"/>
  <c r="E83" i="34"/>
  <c r="F83" i="34"/>
  <c r="G83" i="34"/>
  <c r="H83" i="34"/>
  <c r="I83" i="34"/>
  <c r="J83" i="34"/>
  <c r="K83" i="34"/>
  <c r="L83" i="34"/>
  <c r="E86" i="34"/>
  <c r="F86" i="34"/>
  <c r="G86" i="34"/>
  <c r="H86" i="34"/>
  <c r="I86" i="34"/>
  <c r="J86" i="34"/>
  <c r="K86" i="34"/>
  <c r="L86" i="34"/>
  <c r="E87" i="34"/>
  <c r="F87" i="34"/>
  <c r="G87" i="34"/>
  <c r="H87" i="34"/>
  <c r="I87" i="34"/>
  <c r="J87" i="34"/>
  <c r="K87" i="34"/>
  <c r="L87" i="34"/>
  <c r="E88" i="34"/>
  <c r="F88" i="34"/>
  <c r="G88" i="34"/>
  <c r="H88" i="34"/>
  <c r="I88" i="34"/>
  <c r="J88" i="34"/>
  <c r="K88" i="34"/>
  <c r="L88" i="34"/>
  <c r="E89" i="34"/>
  <c r="F89" i="34"/>
  <c r="G89" i="34"/>
  <c r="H89" i="34"/>
  <c r="I89" i="34"/>
  <c r="J89" i="34"/>
  <c r="K89" i="34"/>
  <c r="L89" i="34"/>
  <c r="E90" i="34"/>
  <c r="F90" i="34"/>
  <c r="G90" i="34"/>
  <c r="H90" i="34"/>
  <c r="I90" i="34"/>
  <c r="J90" i="34"/>
  <c r="K90" i="34"/>
  <c r="L90" i="34"/>
  <c r="E91" i="34"/>
  <c r="F91" i="34"/>
  <c r="G91" i="34"/>
  <c r="H91" i="34"/>
  <c r="I91" i="34"/>
  <c r="J91" i="34"/>
  <c r="K91" i="34"/>
  <c r="L91" i="34"/>
  <c r="E92" i="34"/>
  <c r="F92" i="34"/>
  <c r="G92" i="34"/>
  <c r="H92" i="34"/>
  <c r="I92" i="34"/>
  <c r="J92" i="34"/>
  <c r="K92" i="34"/>
  <c r="L92" i="34"/>
  <c r="E93" i="34"/>
  <c r="F93" i="34"/>
  <c r="G93" i="34"/>
  <c r="H93" i="34"/>
  <c r="I93" i="34"/>
  <c r="J93" i="34"/>
  <c r="K93" i="34"/>
  <c r="L93" i="34"/>
  <c r="E94" i="34"/>
  <c r="F94" i="34"/>
  <c r="G94" i="34"/>
  <c r="H94" i="34"/>
  <c r="I94" i="34"/>
  <c r="J94" i="34"/>
  <c r="K94" i="34"/>
  <c r="L94" i="34"/>
  <c r="E95" i="34"/>
  <c r="F95" i="34"/>
  <c r="G95" i="34"/>
  <c r="H95" i="34"/>
  <c r="I95" i="34"/>
  <c r="J95" i="34"/>
  <c r="K95" i="34"/>
  <c r="L95" i="34"/>
  <c r="E96" i="34"/>
  <c r="F96" i="34"/>
  <c r="G96" i="34"/>
  <c r="H96" i="34"/>
  <c r="I96" i="34"/>
  <c r="J96" i="34"/>
  <c r="K96" i="34"/>
  <c r="L96" i="34"/>
  <c r="E97" i="34"/>
  <c r="F97" i="34"/>
  <c r="G97" i="34"/>
  <c r="H97" i="34"/>
  <c r="I97" i="34"/>
  <c r="J97" i="34"/>
  <c r="K97" i="34"/>
  <c r="L97" i="34"/>
  <c r="E98" i="34"/>
  <c r="F98" i="34"/>
  <c r="G98" i="34"/>
  <c r="H98" i="34"/>
  <c r="I98" i="34"/>
  <c r="J98" i="34"/>
  <c r="K98" i="34"/>
  <c r="L98" i="34"/>
  <c r="E99" i="34"/>
  <c r="F99" i="34"/>
  <c r="G99" i="34"/>
  <c r="H99" i="34"/>
  <c r="I99" i="34"/>
  <c r="J99" i="34"/>
  <c r="K99" i="34"/>
  <c r="L99" i="34"/>
  <c r="E100" i="34"/>
  <c r="F100" i="34"/>
  <c r="G100" i="34"/>
  <c r="H100" i="34"/>
  <c r="I100" i="34"/>
  <c r="J100" i="34"/>
  <c r="K100" i="34"/>
  <c r="L100" i="34"/>
  <c r="E101" i="34"/>
  <c r="F101" i="34"/>
  <c r="G101" i="34"/>
  <c r="H101" i="34"/>
  <c r="I101" i="34"/>
  <c r="J101" i="34"/>
  <c r="K101" i="34"/>
  <c r="L101" i="34"/>
  <c r="E104" i="34"/>
  <c r="E15" i="34" s="1"/>
  <c r="F104" i="34"/>
  <c r="F15" i="34" s="1"/>
  <c r="G104" i="34"/>
  <c r="G15" i="34" s="1"/>
  <c r="H104" i="34"/>
  <c r="H15" i="34" s="1"/>
  <c r="I104" i="34"/>
  <c r="I15" i="34" s="1"/>
  <c r="J104" i="34"/>
  <c r="J15" i="34" s="1"/>
  <c r="K104" i="34"/>
  <c r="K15" i="34" s="1"/>
  <c r="L104" i="34"/>
  <c r="L15" i="34" s="1"/>
  <c r="E105" i="34"/>
  <c r="F105" i="34"/>
  <c r="G105" i="34"/>
  <c r="H105" i="34"/>
  <c r="I105" i="34"/>
  <c r="J105" i="34"/>
  <c r="K105" i="34"/>
  <c r="L105" i="34"/>
  <c r="E106" i="34"/>
  <c r="F106" i="34"/>
  <c r="G106" i="34"/>
  <c r="H106" i="34"/>
  <c r="I106" i="34"/>
  <c r="J106" i="34"/>
  <c r="K106" i="34"/>
  <c r="L106" i="34"/>
  <c r="E107" i="34"/>
  <c r="F107" i="34"/>
  <c r="G107" i="34"/>
  <c r="H107" i="34"/>
  <c r="I107" i="34"/>
  <c r="J107" i="34"/>
  <c r="K107" i="34"/>
  <c r="L107" i="34"/>
  <c r="E108" i="34"/>
  <c r="F108" i="34"/>
  <c r="G108" i="34"/>
  <c r="H108" i="34"/>
  <c r="I108" i="34"/>
  <c r="J108" i="34"/>
  <c r="K108" i="34"/>
  <c r="L108" i="34"/>
  <c r="E109" i="34"/>
  <c r="F109" i="34"/>
  <c r="G109" i="34"/>
  <c r="H109" i="34"/>
  <c r="I109" i="34"/>
  <c r="J109" i="34"/>
  <c r="K109" i="34"/>
  <c r="L109" i="34"/>
  <c r="E110" i="34"/>
  <c r="F110" i="34"/>
  <c r="G110" i="34"/>
  <c r="H110" i="34"/>
  <c r="I110" i="34"/>
  <c r="J110" i="34"/>
  <c r="K110" i="34"/>
  <c r="L110" i="34"/>
  <c r="E111" i="34"/>
  <c r="F111" i="34"/>
  <c r="G111" i="34"/>
  <c r="H111" i="34"/>
  <c r="I111" i="34"/>
  <c r="J111" i="34"/>
  <c r="K111" i="34"/>
  <c r="L111" i="34"/>
  <c r="E112" i="34"/>
  <c r="F112" i="34"/>
  <c r="G112" i="34"/>
  <c r="H112" i="34"/>
  <c r="I112" i="34"/>
  <c r="J112" i="34"/>
  <c r="K112" i="34"/>
  <c r="L112" i="34"/>
  <c r="E113" i="34"/>
  <c r="F113" i="34"/>
  <c r="G113" i="34"/>
  <c r="H113" i="34"/>
  <c r="I113" i="34"/>
  <c r="J113" i="34"/>
  <c r="K113" i="34"/>
  <c r="L113" i="34"/>
  <c r="E116" i="34"/>
  <c r="F116" i="34"/>
  <c r="G116" i="34"/>
  <c r="H116" i="34"/>
  <c r="I116" i="34"/>
  <c r="J116" i="34"/>
  <c r="K116" i="34"/>
  <c r="L116" i="34"/>
  <c r="E117" i="34"/>
  <c r="F117" i="34"/>
  <c r="G117" i="34"/>
  <c r="H117" i="34"/>
  <c r="I117" i="34"/>
  <c r="J117" i="34"/>
  <c r="K117" i="34"/>
  <c r="L117" i="34"/>
  <c r="E118" i="34"/>
  <c r="F118" i="34"/>
  <c r="G118" i="34"/>
  <c r="H118" i="34"/>
  <c r="I118" i="34"/>
  <c r="J118" i="34"/>
  <c r="K118" i="34"/>
  <c r="L118" i="34"/>
  <c r="E119" i="34"/>
  <c r="F119" i="34"/>
  <c r="G119" i="34"/>
  <c r="H119" i="34"/>
  <c r="I119" i="34"/>
  <c r="J119" i="34"/>
  <c r="K119" i="34"/>
  <c r="L119" i="34"/>
  <c r="E120" i="34"/>
  <c r="F120" i="34"/>
  <c r="G120" i="34"/>
  <c r="H120" i="34"/>
  <c r="I120" i="34"/>
  <c r="J120" i="34"/>
  <c r="K120" i="34"/>
  <c r="L120" i="34"/>
  <c r="E121" i="34"/>
  <c r="F121" i="34"/>
  <c r="G121" i="34"/>
  <c r="H121" i="34"/>
  <c r="I121" i="34"/>
  <c r="J121" i="34"/>
  <c r="K121" i="34"/>
  <c r="L121" i="34"/>
  <c r="E122" i="34"/>
  <c r="F122" i="34"/>
  <c r="G122" i="34"/>
  <c r="H122" i="34"/>
  <c r="I122" i="34"/>
  <c r="J122" i="34"/>
  <c r="K122" i="34"/>
  <c r="L122" i="34"/>
  <c r="E123" i="34"/>
  <c r="F123" i="34"/>
  <c r="G123" i="34"/>
  <c r="H123" i="34"/>
  <c r="I123" i="34"/>
  <c r="J123" i="34"/>
  <c r="K123" i="34"/>
  <c r="L123" i="34"/>
  <c r="E124" i="34"/>
  <c r="F124" i="34"/>
  <c r="G124" i="34"/>
  <c r="H124" i="34"/>
  <c r="I124" i="34"/>
  <c r="J124" i="34"/>
  <c r="K124" i="34"/>
  <c r="L124" i="34"/>
  <c r="E125" i="34"/>
  <c r="F125" i="34"/>
  <c r="G125" i="34"/>
  <c r="H125" i="34"/>
  <c r="I125" i="34"/>
  <c r="J125" i="34"/>
  <c r="K125" i="34"/>
  <c r="L125" i="34"/>
  <c r="E126" i="34"/>
  <c r="F126" i="34"/>
  <c r="G126" i="34"/>
  <c r="H126" i="34"/>
  <c r="I126" i="34"/>
  <c r="J126" i="34"/>
  <c r="K126" i="34"/>
  <c r="L126" i="34"/>
  <c r="E127" i="34"/>
  <c r="F127" i="34"/>
  <c r="G127" i="34"/>
  <c r="H127" i="34"/>
  <c r="I127" i="34"/>
  <c r="J127" i="34"/>
  <c r="K127" i="34"/>
  <c r="L127" i="34"/>
  <c r="E128" i="34"/>
  <c r="F128" i="34"/>
  <c r="G128" i="34"/>
  <c r="H128" i="34"/>
  <c r="I128" i="34"/>
  <c r="J128" i="34"/>
  <c r="K128" i="34"/>
  <c r="L128" i="34"/>
  <c r="D128" i="34"/>
  <c r="A128" i="34"/>
  <c r="D127" i="34"/>
  <c r="A127" i="34"/>
  <c r="D126" i="34"/>
  <c r="A126" i="34"/>
  <c r="D125" i="34"/>
  <c r="A125" i="34"/>
  <c r="D124" i="34"/>
  <c r="A124" i="34"/>
  <c r="D123" i="34"/>
  <c r="A123" i="34"/>
  <c r="D122" i="34"/>
  <c r="A122" i="34"/>
  <c r="D121" i="34"/>
  <c r="A121" i="34"/>
  <c r="D120" i="34"/>
  <c r="A120" i="34"/>
  <c r="D119" i="34"/>
  <c r="A119" i="34"/>
  <c r="D118" i="34"/>
  <c r="A118" i="34"/>
  <c r="D117" i="34"/>
  <c r="A117" i="34"/>
  <c r="D116" i="34"/>
  <c r="A116" i="34"/>
  <c r="A115" i="34"/>
  <c r="D113" i="34"/>
  <c r="A113" i="34"/>
  <c r="D112" i="34"/>
  <c r="A112" i="34"/>
  <c r="D111" i="34"/>
  <c r="A111" i="34"/>
  <c r="D110" i="34"/>
  <c r="A110" i="34"/>
  <c r="D109" i="34"/>
  <c r="A109" i="34"/>
  <c r="D108" i="34"/>
  <c r="A108" i="34"/>
  <c r="D107" i="34"/>
  <c r="A107" i="34"/>
  <c r="D106" i="34"/>
  <c r="A106" i="34"/>
  <c r="D105" i="34"/>
  <c r="A105" i="34"/>
  <c r="D104" i="34"/>
  <c r="D15" i="34" s="1"/>
  <c r="A104" i="34"/>
  <c r="A103" i="34"/>
  <c r="D101" i="34"/>
  <c r="A101" i="34"/>
  <c r="D100" i="34"/>
  <c r="A100" i="34"/>
  <c r="D99" i="34"/>
  <c r="A99" i="34"/>
  <c r="D98" i="34"/>
  <c r="A98" i="34"/>
  <c r="D97" i="34"/>
  <c r="A97" i="34"/>
  <c r="D96" i="34"/>
  <c r="A96" i="34"/>
  <c r="D95" i="34"/>
  <c r="A95" i="34"/>
  <c r="D94" i="34"/>
  <c r="A94" i="34"/>
  <c r="D93" i="34"/>
  <c r="A93" i="34"/>
  <c r="D92" i="34"/>
  <c r="A92" i="34"/>
  <c r="D91" i="34"/>
  <c r="A91" i="34"/>
  <c r="E434" i="33"/>
  <c r="F434" i="33" s="1"/>
  <c r="G434" i="33" s="1"/>
  <c r="H434" i="33" s="1"/>
  <c r="I434" i="33" s="1"/>
  <c r="J434" i="33" s="1"/>
  <c r="K434" i="33" s="1"/>
  <c r="L434" i="33" s="1"/>
  <c r="D90" i="34"/>
  <c r="A90" i="34"/>
  <c r="F427" i="33"/>
  <c r="G427" i="33" s="1"/>
  <c r="H427" i="33" s="1"/>
  <c r="I427" i="33" s="1"/>
  <c r="J427" i="33" s="1"/>
  <c r="K427" i="33" s="1"/>
  <c r="L427" i="33" s="1"/>
  <c r="E427" i="33"/>
  <c r="D89" i="34"/>
  <c r="A89" i="34"/>
  <c r="D88" i="34"/>
  <c r="A88" i="34"/>
  <c r="D87" i="34"/>
  <c r="A87" i="34"/>
  <c r="D86" i="34"/>
  <c r="A86" i="34"/>
  <c r="A85" i="34"/>
  <c r="D83" i="34"/>
  <c r="A83" i="34"/>
  <c r="D82" i="34"/>
  <c r="A82" i="34"/>
  <c r="D81" i="34"/>
  <c r="A81" i="34"/>
  <c r="D80" i="34"/>
  <c r="A80" i="34"/>
  <c r="D79" i="34"/>
  <c r="A79" i="34"/>
  <c r="D78" i="34"/>
  <c r="A78" i="34"/>
  <c r="D77" i="34"/>
  <c r="A77" i="34"/>
  <c r="D76" i="34"/>
  <c r="D27" i="34" s="1"/>
  <c r="A76" i="34"/>
  <c r="D75" i="34"/>
  <c r="D17" i="34" s="1"/>
  <c r="A75" i="34"/>
  <c r="D74" i="34"/>
  <c r="A74" i="34"/>
  <c r="D73" i="34"/>
  <c r="A73" i="34"/>
  <c r="D72" i="34"/>
  <c r="A72" i="34"/>
  <c r="A71" i="34"/>
  <c r="D69" i="34"/>
  <c r="A69" i="34"/>
  <c r="D68" i="34"/>
  <c r="A68" i="34"/>
  <c r="D67" i="34"/>
  <c r="A67" i="34"/>
  <c r="D66" i="34"/>
  <c r="A66" i="34"/>
  <c r="D65" i="34"/>
  <c r="A65" i="34"/>
  <c r="D64" i="34"/>
  <c r="A64" i="34"/>
  <c r="D63" i="34"/>
  <c r="A63" i="34"/>
  <c r="D62" i="34"/>
  <c r="A62" i="34"/>
  <c r="D61" i="34"/>
  <c r="A61" i="34"/>
  <c r="D60" i="34"/>
  <c r="A60" i="34"/>
  <c r="F241" i="33"/>
  <c r="G241" i="33" s="1"/>
  <c r="H241" i="33" s="1"/>
  <c r="I241" i="33" s="1"/>
  <c r="J241" i="33" s="1"/>
  <c r="K241" i="33" s="1"/>
  <c r="L241" i="33" s="1"/>
  <c r="E241" i="33"/>
  <c r="F234" i="33"/>
  <c r="G234" i="33" s="1"/>
  <c r="H234" i="33" s="1"/>
  <c r="I234" i="33" s="1"/>
  <c r="J234" i="33" s="1"/>
  <c r="K234" i="33" s="1"/>
  <c r="L234" i="33" s="1"/>
  <c r="E234" i="33"/>
  <c r="D59" i="34"/>
  <c r="A59" i="34"/>
  <c r="D58" i="34"/>
  <c r="A58" i="34"/>
  <c r="D57" i="34"/>
  <c r="A57" i="34"/>
  <c r="D56" i="34"/>
  <c r="A56" i="34"/>
  <c r="A55" i="34"/>
  <c r="A53" i="34"/>
  <c r="A52" i="34"/>
  <c r="D53" i="34"/>
  <c r="D52" i="34"/>
  <c r="D51" i="34"/>
  <c r="A51" i="34"/>
  <c r="D50" i="34"/>
  <c r="A50" i="34"/>
  <c r="D49" i="34"/>
  <c r="A49" i="34"/>
  <c r="D48" i="34"/>
  <c r="A48" i="34"/>
  <c r="D47" i="34"/>
  <c r="A47" i="34"/>
  <c r="D46" i="34"/>
  <c r="A46" i="34"/>
  <c r="D45" i="34"/>
  <c r="A45" i="34"/>
  <c r="D44" i="34"/>
  <c r="D43" i="34"/>
  <c r="A44" i="34"/>
  <c r="A43" i="34"/>
  <c r="D42" i="34"/>
  <c r="A42" i="34"/>
  <c r="D41" i="34"/>
  <c r="A41" i="34"/>
  <c r="D40" i="34"/>
  <c r="A40" i="34"/>
  <c r="D39" i="34"/>
  <c r="D10" i="34" s="1"/>
  <c r="A39" i="34"/>
  <c r="D38" i="34"/>
  <c r="A38" i="34"/>
  <c r="A37" i="34"/>
  <c r="E9" i="36"/>
  <c r="D23" i="31" s="1"/>
  <c r="F9" i="36"/>
  <c r="E23" i="31" s="1"/>
  <c r="G9" i="36"/>
  <c r="F23" i="31" s="1"/>
  <c r="H9" i="36"/>
  <c r="G23" i="31" s="1"/>
  <c r="I9" i="36"/>
  <c r="H23" i="31" s="1"/>
  <c r="J9" i="36"/>
  <c r="I23" i="31" s="1"/>
  <c r="K9" i="36"/>
  <c r="J23" i="31" s="1"/>
  <c r="L9" i="36"/>
  <c r="K23" i="31" s="1"/>
  <c r="D9" i="36"/>
  <c r="E641" i="33"/>
  <c r="F641" i="33" s="1"/>
  <c r="G641" i="33" s="1"/>
  <c r="H641" i="33" s="1"/>
  <c r="I641" i="33" s="1"/>
  <c r="J641" i="33" s="1"/>
  <c r="K641" i="33" s="1"/>
  <c r="L641" i="33" s="1"/>
  <c r="D113" i="36"/>
  <c r="D105" i="36"/>
  <c r="E586" i="33"/>
  <c r="F586" i="33" s="1"/>
  <c r="G586" i="33" s="1"/>
  <c r="H586" i="33" s="1"/>
  <c r="I586" i="33" s="1"/>
  <c r="J586" i="33" s="1"/>
  <c r="K586" i="33" s="1"/>
  <c r="L586" i="33" s="1"/>
  <c r="E584" i="33"/>
  <c r="F584" i="33" s="1"/>
  <c r="G584" i="33" s="1"/>
  <c r="H584" i="33" s="1"/>
  <c r="I584" i="33" s="1"/>
  <c r="J584" i="33" s="1"/>
  <c r="K584" i="33" s="1"/>
  <c r="L584" i="33" s="1"/>
  <c r="D583" i="33"/>
  <c r="E582" i="33"/>
  <c r="E583" i="33" s="1"/>
  <c r="E579" i="33"/>
  <c r="F579" i="33" s="1"/>
  <c r="G579" i="33" s="1"/>
  <c r="H579" i="33" s="1"/>
  <c r="I579" i="33" s="1"/>
  <c r="J579" i="33" s="1"/>
  <c r="K579" i="33" s="1"/>
  <c r="L579" i="33" s="1"/>
  <c r="E577" i="33"/>
  <c r="F577" i="33" s="1"/>
  <c r="G577" i="33" s="1"/>
  <c r="H577" i="33" s="1"/>
  <c r="I577" i="33" s="1"/>
  <c r="J577" i="33" s="1"/>
  <c r="K577" i="33" s="1"/>
  <c r="L577" i="33" s="1"/>
  <c r="D576" i="33"/>
  <c r="E575" i="33"/>
  <c r="E576" i="33" s="1"/>
  <c r="E572" i="33"/>
  <c r="F572" i="33" s="1"/>
  <c r="G572" i="33" s="1"/>
  <c r="H572" i="33" s="1"/>
  <c r="I572" i="33" s="1"/>
  <c r="J572" i="33" s="1"/>
  <c r="K572" i="33" s="1"/>
  <c r="L572" i="33" s="1"/>
  <c r="E570" i="33"/>
  <c r="F570" i="33" s="1"/>
  <c r="G570" i="33" s="1"/>
  <c r="H570" i="33" s="1"/>
  <c r="I570" i="33" s="1"/>
  <c r="J570" i="33" s="1"/>
  <c r="K570" i="33" s="1"/>
  <c r="L570" i="33" s="1"/>
  <c r="D569" i="33"/>
  <c r="E568" i="33"/>
  <c r="E569" i="33" s="1"/>
  <c r="E565" i="33"/>
  <c r="F565" i="33" s="1"/>
  <c r="G565" i="33" s="1"/>
  <c r="H565" i="33" s="1"/>
  <c r="I565" i="33" s="1"/>
  <c r="J565" i="33" s="1"/>
  <c r="K565" i="33" s="1"/>
  <c r="L565" i="33" s="1"/>
  <c r="E563" i="33"/>
  <c r="F563" i="33" s="1"/>
  <c r="G563" i="33" s="1"/>
  <c r="H563" i="33" s="1"/>
  <c r="I563" i="33" s="1"/>
  <c r="J563" i="33" s="1"/>
  <c r="K563" i="33" s="1"/>
  <c r="L563" i="33" s="1"/>
  <c r="D562" i="33"/>
  <c r="E561" i="33"/>
  <c r="E562" i="33" s="1"/>
  <c r="E558" i="33"/>
  <c r="F558" i="33" s="1"/>
  <c r="G558" i="33" s="1"/>
  <c r="H558" i="33" s="1"/>
  <c r="I558" i="33" s="1"/>
  <c r="J558" i="33" s="1"/>
  <c r="K558" i="33" s="1"/>
  <c r="L558" i="33" s="1"/>
  <c r="E556" i="33"/>
  <c r="F556" i="33" s="1"/>
  <c r="G556" i="33" s="1"/>
  <c r="H556" i="33" s="1"/>
  <c r="I556" i="33" s="1"/>
  <c r="J556" i="33" s="1"/>
  <c r="K556" i="33" s="1"/>
  <c r="L556" i="33" s="1"/>
  <c r="D555" i="33"/>
  <c r="E554" i="33"/>
  <c r="E555" i="33" s="1"/>
  <c r="E551" i="33"/>
  <c r="F551" i="33" s="1"/>
  <c r="G551" i="33" s="1"/>
  <c r="H551" i="33" s="1"/>
  <c r="I551" i="33" s="1"/>
  <c r="J551" i="33" s="1"/>
  <c r="K551" i="33" s="1"/>
  <c r="L551" i="33" s="1"/>
  <c r="E549" i="33"/>
  <c r="F549" i="33" s="1"/>
  <c r="G549" i="33" s="1"/>
  <c r="H549" i="33" s="1"/>
  <c r="I549" i="33" s="1"/>
  <c r="J549" i="33" s="1"/>
  <c r="K549" i="33" s="1"/>
  <c r="L549" i="33" s="1"/>
  <c r="D548" i="33"/>
  <c r="E547" i="33"/>
  <c r="E548" i="33" s="1"/>
  <c r="E544" i="33"/>
  <c r="F544" i="33" s="1"/>
  <c r="G544" i="33" s="1"/>
  <c r="H544" i="33" s="1"/>
  <c r="I544" i="33" s="1"/>
  <c r="J544" i="33" s="1"/>
  <c r="K544" i="33" s="1"/>
  <c r="L544" i="33" s="1"/>
  <c r="E542" i="33"/>
  <c r="F542" i="33" s="1"/>
  <c r="G542" i="33" s="1"/>
  <c r="H542" i="33" s="1"/>
  <c r="I542" i="33" s="1"/>
  <c r="J542" i="33" s="1"/>
  <c r="K542" i="33" s="1"/>
  <c r="L542" i="33" s="1"/>
  <c r="D541" i="33"/>
  <c r="E540" i="33"/>
  <c r="E541" i="33" s="1"/>
  <c r="E519" i="33"/>
  <c r="E520" i="33" s="1"/>
  <c r="D520" i="33"/>
  <c r="E521" i="33"/>
  <c r="F521" i="33" s="1"/>
  <c r="G521" i="33" s="1"/>
  <c r="H521" i="33" s="1"/>
  <c r="I521" i="33" s="1"/>
  <c r="J521" i="33" s="1"/>
  <c r="K521" i="33" s="1"/>
  <c r="L521" i="33" s="1"/>
  <c r="E526" i="33"/>
  <c r="F526" i="33" s="1"/>
  <c r="D527" i="33"/>
  <c r="E528" i="33"/>
  <c r="F528" i="33" s="1"/>
  <c r="G528" i="33" s="1"/>
  <c r="H528" i="33" s="1"/>
  <c r="I528" i="33" s="1"/>
  <c r="J528" i="33" s="1"/>
  <c r="K528" i="33" s="1"/>
  <c r="L528" i="33" s="1"/>
  <c r="E530" i="33"/>
  <c r="F530" i="33" s="1"/>
  <c r="G530" i="33" s="1"/>
  <c r="H530" i="33" s="1"/>
  <c r="I530" i="33" s="1"/>
  <c r="J530" i="33" s="1"/>
  <c r="K530" i="33" s="1"/>
  <c r="L530" i="33" s="1"/>
  <c r="E533" i="33"/>
  <c r="E534" i="33" s="1"/>
  <c r="D534" i="33"/>
  <c r="E535" i="33"/>
  <c r="F535" i="33" s="1"/>
  <c r="G535" i="33" s="1"/>
  <c r="H535" i="33" s="1"/>
  <c r="I535" i="33" s="1"/>
  <c r="J535" i="33" s="1"/>
  <c r="K535" i="33" s="1"/>
  <c r="L535" i="33" s="1"/>
  <c r="E476" i="33"/>
  <c r="F476" i="33" s="1"/>
  <c r="G476" i="33" s="1"/>
  <c r="H476" i="33" s="1"/>
  <c r="I476" i="33" s="1"/>
  <c r="J476" i="33" s="1"/>
  <c r="K476" i="33" s="1"/>
  <c r="L476" i="33" s="1"/>
  <c r="D91" i="36"/>
  <c r="E451" i="33"/>
  <c r="F451" i="33" s="1"/>
  <c r="G451" i="33" s="1"/>
  <c r="H451" i="33" s="1"/>
  <c r="I451" i="33" s="1"/>
  <c r="J451" i="33" s="1"/>
  <c r="K451" i="33" s="1"/>
  <c r="L451" i="33" s="1"/>
  <c r="E423" i="33"/>
  <c r="F423" i="33" s="1"/>
  <c r="G423" i="33" s="1"/>
  <c r="H423" i="33" s="1"/>
  <c r="I423" i="33" s="1"/>
  <c r="J423" i="33" s="1"/>
  <c r="K423" i="33" s="1"/>
  <c r="L423" i="33" s="1"/>
  <c r="D47" i="36"/>
  <c r="E344" i="33"/>
  <c r="F344" i="33" s="1"/>
  <c r="G344" i="33" s="1"/>
  <c r="H344" i="33" s="1"/>
  <c r="I344" i="33" s="1"/>
  <c r="J344" i="33" s="1"/>
  <c r="K344" i="33" s="1"/>
  <c r="L344" i="33" s="1"/>
  <c r="E341" i="33"/>
  <c r="F341" i="33" s="1"/>
  <c r="G341" i="33" s="1"/>
  <c r="H341" i="33" s="1"/>
  <c r="I341" i="33" s="1"/>
  <c r="J341" i="33" s="1"/>
  <c r="K341" i="33" s="1"/>
  <c r="L341" i="33" s="1"/>
  <c r="E276" i="33"/>
  <c r="F276" i="33" s="1"/>
  <c r="G276" i="33" s="1"/>
  <c r="H276" i="33" s="1"/>
  <c r="I276" i="33" s="1"/>
  <c r="J276" i="33" s="1"/>
  <c r="K276" i="33" s="1"/>
  <c r="L276" i="33" s="1"/>
  <c r="D36" i="36"/>
  <c r="D25" i="36"/>
  <c r="E48" i="26"/>
  <c r="F48" i="26"/>
  <c r="G48" i="26"/>
  <c r="H48" i="26"/>
  <c r="I48" i="26"/>
  <c r="J48" i="26"/>
  <c r="K48" i="26"/>
  <c r="L48" i="26"/>
  <c r="D48" i="26"/>
  <c r="E41" i="26"/>
  <c r="F41" i="26"/>
  <c r="G41" i="26"/>
  <c r="H41" i="26"/>
  <c r="I41" i="26"/>
  <c r="J41" i="26"/>
  <c r="K41" i="26"/>
  <c r="L41" i="26"/>
  <c r="D41" i="26"/>
  <c r="E34" i="26"/>
  <c r="F34" i="26"/>
  <c r="G34" i="26"/>
  <c r="H34" i="26"/>
  <c r="I34" i="26"/>
  <c r="J34" i="26"/>
  <c r="K34" i="26"/>
  <c r="L34" i="26"/>
  <c r="D34" i="26"/>
  <c r="E27" i="26"/>
  <c r="F27" i="26"/>
  <c r="G27" i="26"/>
  <c r="H27" i="26"/>
  <c r="I27" i="26"/>
  <c r="J27" i="26"/>
  <c r="K27" i="26"/>
  <c r="L27" i="26"/>
  <c r="D27" i="26"/>
  <c r="E20" i="26"/>
  <c r="F20" i="26"/>
  <c r="G20" i="26"/>
  <c r="H20" i="26"/>
  <c r="I20" i="26"/>
  <c r="J20" i="26"/>
  <c r="K20" i="26"/>
  <c r="L20" i="26"/>
  <c r="D20" i="26"/>
  <c r="E13" i="26"/>
  <c r="F13" i="26"/>
  <c r="G13" i="26"/>
  <c r="H13" i="26"/>
  <c r="I13" i="26"/>
  <c r="J13" i="26"/>
  <c r="K13" i="26"/>
  <c r="L13" i="26"/>
  <c r="D13" i="26"/>
  <c r="E176" i="33"/>
  <c r="F176" i="33" s="1"/>
  <c r="G176" i="33" s="1"/>
  <c r="H176" i="33" s="1"/>
  <c r="I176" i="33" s="1"/>
  <c r="J176" i="33" s="1"/>
  <c r="K176" i="33" s="1"/>
  <c r="L176" i="33" s="1"/>
  <c r="E141" i="33"/>
  <c r="F141" i="33" s="1"/>
  <c r="G141" i="33" s="1"/>
  <c r="H141" i="33" s="1"/>
  <c r="I141" i="33" s="1"/>
  <c r="J141" i="33" s="1"/>
  <c r="K141" i="33" s="1"/>
  <c r="L141" i="33" s="1"/>
  <c r="E134" i="33"/>
  <c r="F134" i="33" s="1"/>
  <c r="G134" i="33" s="1"/>
  <c r="H134" i="33" s="1"/>
  <c r="I134" i="33" s="1"/>
  <c r="J134" i="33" s="1"/>
  <c r="K134" i="33" s="1"/>
  <c r="L134" i="33" s="1"/>
  <c r="E2" i="36"/>
  <c r="F2" i="36" s="1"/>
  <c r="G2" i="36" s="1"/>
  <c r="H2" i="36" s="1"/>
  <c r="I2" i="36" s="1"/>
  <c r="J2" i="36" s="1"/>
  <c r="K2" i="36" s="1"/>
  <c r="L2" i="36" s="1"/>
  <c r="A588" i="33"/>
  <c r="A108" i="36" s="1"/>
  <c r="E679" i="33"/>
  <c r="F679" i="33" s="1"/>
  <c r="G679" i="33" s="1"/>
  <c r="H679" i="33" s="1"/>
  <c r="I679" i="33" s="1"/>
  <c r="J679" i="33" s="1"/>
  <c r="K679" i="33" s="1"/>
  <c r="L679" i="33" s="1"/>
  <c r="E677" i="33"/>
  <c r="F677" i="33" s="1"/>
  <c r="G677" i="33" s="1"/>
  <c r="H677" i="33" s="1"/>
  <c r="I677" i="33" s="1"/>
  <c r="J677" i="33" s="1"/>
  <c r="K677" i="33" s="1"/>
  <c r="L677" i="33" s="1"/>
  <c r="D676" i="33"/>
  <c r="E675" i="33"/>
  <c r="E676" i="33" s="1"/>
  <c r="E672" i="33"/>
  <c r="F672" i="33" s="1"/>
  <c r="G672" i="33" s="1"/>
  <c r="H672" i="33" s="1"/>
  <c r="I672" i="33" s="1"/>
  <c r="J672" i="33" s="1"/>
  <c r="K672" i="33" s="1"/>
  <c r="L672" i="33" s="1"/>
  <c r="E670" i="33"/>
  <c r="F670" i="33" s="1"/>
  <c r="G670" i="33" s="1"/>
  <c r="H670" i="33" s="1"/>
  <c r="I670" i="33" s="1"/>
  <c r="J670" i="33" s="1"/>
  <c r="K670" i="33" s="1"/>
  <c r="L670" i="33" s="1"/>
  <c r="D669" i="33"/>
  <c r="E668" i="33"/>
  <c r="E669" i="33" s="1"/>
  <c r="E665" i="33"/>
  <c r="F665" i="33" s="1"/>
  <c r="G665" i="33" s="1"/>
  <c r="H665" i="33" s="1"/>
  <c r="I665" i="33" s="1"/>
  <c r="J665" i="33" s="1"/>
  <c r="K665" i="33" s="1"/>
  <c r="L665" i="33" s="1"/>
  <c r="E663" i="33"/>
  <c r="F663" i="33" s="1"/>
  <c r="G663" i="33" s="1"/>
  <c r="H663" i="33" s="1"/>
  <c r="I663" i="33" s="1"/>
  <c r="J663" i="33" s="1"/>
  <c r="K663" i="33" s="1"/>
  <c r="L663" i="33" s="1"/>
  <c r="D662" i="33"/>
  <c r="E661" i="33"/>
  <c r="F661" i="33" s="1"/>
  <c r="E658" i="33"/>
  <c r="F658" i="33" s="1"/>
  <c r="G658" i="33" s="1"/>
  <c r="H658" i="33" s="1"/>
  <c r="I658" i="33" s="1"/>
  <c r="J658" i="33" s="1"/>
  <c r="K658" i="33" s="1"/>
  <c r="L658" i="33" s="1"/>
  <c r="E656" i="33"/>
  <c r="F656" i="33" s="1"/>
  <c r="G656" i="33" s="1"/>
  <c r="H656" i="33" s="1"/>
  <c r="I656" i="33" s="1"/>
  <c r="J656" i="33" s="1"/>
  <c r="K656" i="33" s="1"/>
  <c r="L656" i="33" s="1"/>
  <c r="D655" i="33"/>
  <c r="E654" i="33"/>
  <c r="E655" i="33" s="1"/>
  <c r="E651" i="33"/>
  <c r="F651" i="33" s="1"/>
  <c r="G651" i="33" s="1"/>
  <c r="H651" i="33" s="1"/>
  <c r="I651" i="33" s="1"/>
  <c r="J651" i="33" s="1"/>
  <c r="K651" i="33" s="1"/>
  <c r="L651" i="33" s="1"/>
  <c r="E649" i="33"/>
  <c r="F649" i="33" s="1"/>
  <c r="G649" i="33" s="1"/>
  <c r="H649" i="33" s="1"/>
  <c r="I649" i="33" s="1"/>
  <c r="J649" i="33" s="1"/>
  <c r="K649" i="33" s="1"/>
  <c r="L649" i="33" s="1"/>
  <c r="D648" i="33"/>
  <c r="E647" i="33"/>
  <c r="E644" i="33"/>
  <c r="F644" i="33" s="1"/>
  <c r="G644" i="33" s="1"/>
  <c r="H644" i="33" s="1"/>
  <c r="I644" i="33" s="1"/>
  <c r="J644" i="33" s="1"/>
  <c r="K644" i="33" s="1"/>
  <c r="L644" i="33" s="1"/>
  <c r="E642" i="33"/>
  <c r="F642" i="33" s="1"/>
  <c r="G642" i="33" s="1"/>
  <c r="H642" i="33" s="1"/>
  <c r="I642" i="33" s="1"/>
  <c r="J642" i="33" s="1"/>
  <c r="K642" i="33" s="1"/>
  <c r="L642" i="33" s="1"/>
  <c r="E640" i="33"/>
  <c r="E637" i="33"/>
  <c r="F637" i="33" s="1"/>
  <c r="G637" i="33" s="1"/>
  <c r="H637" i="33" s="1"/>
  <c r="I637" i="33" s="1"/>
  <c r="J637" i="33" s="1"/>
  <c r="K637" i="33" s="1"/>
  <c r="L637" i="33" s="1"/>
  <c r="E635" i="33"/>
  <c r="F635" i="33" s="1"/>
  <c r="G635" i="33" s="1"/>
  <c r="H635" i="33" s="1"/>
  <c r="I635" i="33" s="1"/>
  <c r="J635" i="33" s="1"/>
  <c r="K635" i="33" s="1"/>
  <c r="L635" i="33" s="1"/>
  <c r="D634" i="33"/>
  <c r="E633" i="33"/>
  <c r="E634" i="33" s="1"/>
  <c r="E630" i="33"/>
  <c r="F630" i="33" s="1"/>
  <c r="G630" i="33" s="1"/>
  <c r="H630" i="33" s="1"/>
  <c r="I630" i="33" s="1"/>
  <c r="J630" i="33" s="1"/>
  <c r="K630" i="33" s="1"/>
  <c r="L630" i="33" s="1"/>
  <c r="E628" i="33"/>
  <c r="F628" i="33" s="1"/>
  <c r="G628" i="33" s="1"/>
  <c r="H628" i="33" s="1"/>
  <c r="I628" i="33" s="1"/>
  <c r="J628" i="33" s="1"/>
  <c r="K628" i="33" s="1"/>
  <c r="L628" i="33" s="1"/>
  <c r="D627" i="33"/>
  <c r="E626" i="33"/>
  <c r="E623" i="33"/>
  <c r="F623" i="33" s="1"/>
  <c r="G623" i="33" s="1"/>
  <c r="H623" i="33" s="1"/>
  <c r="I623" i="33" s="1"/>
  <c r="J623" i="33" s="1"/>
  <c r="K623" i="33" s="1"/>
  <c r="L623" i="33" s="1"/>
  <c r="E621" i="33"/>
  <c r="F621" i="33" s="1"/>
  <c r="G621" i="33" s="1"/>
  <c r="H621" i="33" s="1"/>
  <c r="I621" i="33" s="1"/>
  <c r="J621" i="33" s="1"/>
  <c r="K621" i="33" s="1"/>
  <c r="L621" i="33" s="1"/>
  <c r="D620" i="33"/>
  <c r="E619" i="33"/>
  <c r="E620" i="33" s="1"/>
  <c r="E616" i="33"/>
  <c r="F616" i="33" s="1"/>
  <c r="G616" i="33" s="1"/>
  <c r="H616" i="33" s="1"/>
  <c r="I616" i="33" s="1"/>
  <c r="J616" i="33" s="1"/>
  <c r="K616" i="33" s="1"/>
  <c r="L616" i="33" s="1"/>
  <c r="E614" i="33"/>
  <c r="F614" i="33" s="1"/>
  <c r="G614" i="33" s="1"/>
  <c r="H614" i="33" s="1"/>
  <c r="I614" i="33" s="1"/>
  <c r="J614" i="33" s="1"/>
  <c r="K614" i="33" s="1"/>
  <c r="L614" i="33" s="1"/>
  <c r="D613" i="33"/>
  <c r="E612" i="33"/>
  <c r="E607" i="33"/>
  <c r="F607" i="33" s="1"/>
  <c r="G607" i="33" s="1"/>
  <c r="H607" i="33" s="1"/>
  <c r="I607" i="33" s="1"/>
  <c r="J607" i="33" s="1"/>
  <c r="K607" i="33" s="1"/>
  <c r="L607" i="33" s="1"/>
  <c r="D606" i="33"/>
  <c r="E605" i="33"/>
  <c r="E606" i="33" s="1"/>
  <c r="E600" i="33"/>
  <c r="F600" i="33" s="1"/>
  <c r="G600" i="33" s="1"/>
  <c r="H600" i="33" s="1"/>
  <c r="I600" i="33" s="1"/>
  <c r="J600" i="33" s="1"/>
  <c r="K600" i="33" s="1"/>
  <c r="L600" i="33" s="1"/>
  <c r="D599" i="33"/>
  <c r="E598" i="33"/>
  <c r="E595" i="33"/>
  <c r="F595" i="33" s="1"/>
  <c r="G595" i="33" s="1"/>
  <c r="H595" i="33" s="1"/>
  <c r="I595" i="33" s="1"/>
  <c r="J595" i="33" s="1"/>
  <c r="K595" i="33" s="1"/>
  <c r="L595" i="33" s="1"/>
  <c r="E593" i="33"/>
  <c r="F593" i="33" s="1"/>
  <c r="G593" i="33" s="1"/>
  <c r="H593" i="33" s="1"/>
  <c r="I593" i="33" s="1"/>
  <c r="J593" i="33" s="1"/>
  <c r="K593" i="33" s="1"/>
  <c r="L593" i="33" s="1"/>
  <c r="D592" i="33"/>
  <c r="E591" i="33"/>
  <c r="F591" i="33" s="1"/>
  <c r="F592" i="33" s="1"/>
  <c r="A516" i="33"/>
  <c r="A97" i="36" s="1"/>
  <c r="A402" i="33"/>
  <c r="A50" i="36" s="1"/>
  <c r="E514" i="33"/>
  <c r="F514" i="33" s="1"/>
  <c r="G514" i="33" s="1"/>
  <c r="H514" i="33" s="1"/>
  <c r="I514" i="33" s="1"/>
  <c r="J514" i="33" s="1"/>
  <c r="K514" i="33" s="1"/>
  <c r="L514" i="33" s="1"/>
  <c r="E512" i="33"/>
  <c r="F512" i="33" s="1"/>
  <c r="G512" i="33" s="1"/>
  <c r="H512" i="33" s="1"/>
  <c r="I512" i="33" s="1"/>
  <c r="J512" i="33" s="1"/>
  <c r="K512" i="33" s="1"/>
  <c r="L512" i="33" s="1"/>
  <c r="D511" i="33"/>
  <c r="E510" i="33"/>
  <c r="E507" i="33"/>
  <c r="F507" i="33" s="1"/>
  <c r="G507" i="33" s="1"/>
  <c r="H507" i="33" s="1"/>
  <c r="I507" i="33" s="1"/>
  <c r="J507" i="33" s="1"/>
  <c r="K507" i="33" s="1"/>
  <c r="L507" i="33" s="1"/>
  <c r="E505" i="33"/>
  <c r="F505" i="33" s="1"/>
  <c r="G505" i="33" s="1"/>
  <c r="H505" i="33" s="1"/>
  <c r="I505" i="33" s="1"/>
  <c r="J505" i="33" s="1"/>
  <c r="K505" i="33" s="1"/>
  <c r="L505" i="33" s="1"/>
  <c r="D504" i="33"/>
  <c r="E503" i="33"/>
  <c r="E504" i="33" s="1"/>
  <c r="E500" i="33"/>
  <c r="F500" i="33" s="1"/>
  <c r="G500" i="33" s="1"/>
  <c r="H500" i="33" s="1"/>
  <c r="I500" i="33" s="1"/>
  <c r="J500" i="33" s="1"/>
  <c r="K500" i="33" s="1"/>
  <c r="L500" i="33" s="1"/>
  <c r="E498" i="33"/>
  <c r="F498" i="33" s="1"/>
  <c r="G498" i="33" s="1"/>
  <c r="H498" i="33" s="1"/>
  <c r="I498" i="33" s="1"/>
  <c r="J498" i="33" s="1"/>
  <c r="K498" i="33" s="1"/>
  <c r="L498" i="33" s="1"/>
  <c r="D497" i="33"/>
  <c r="E496" i="33"/>
  <c r="E497" i="33" s="1"/>
  <c r="E493" i="33"/>
  <c r="F493" i="33" s="1"/>
  <c r="G493" i="33" s="1"/>
  <c r="H493" i="33" s="1"/>
  <c r="I493" i="33" s="1"/>
  <c r="J493" i="33" s="1"/>
  <c r="K493" i="33" s="1"/>
  <c r="L493" i="33" s="1"/>
  <c r="E491" i="33"/>
  <c r="F491" i="33" s="1"/>
  <c r="G491" i="33" s="1"/>
  <c r="H491" i="33" s="1"/>
  <c r="I491" i="33" s="1"/>
  <c r="J491" i="33" s="1"/>
  <c r="K491" i="33" s="1"/>
  <c r="L491" i="33" s="1"/>
  <c r="D490" i="33"/>
  <c r="E489" i="33"/>
  <c r="E486" i="33"/>
  <c r="F486" i="33" s="1"/>
  <c r="G486" i="33" s="1"/>
  <c r="H486" i="33" s="1"/>
  <c r="I486" i="33" s="1"/>
  <c r="J486" i="33" s="1"/>
  <c r="K486" i="33" s="1"/>
  <c r="L486" i="33" s="1"/>
  <c r="E484" i="33"/>
  <c r="F484" i="33" s="1"/>
  <c r="G484" i="33" s="1"/>
  <c r="H484" i="33" s="1"/>
  <c r="I484" i="33" s="1"/>
  <c r="J484" i="33" s="1"/>
  <c r="K484" i="33" s="1"/>
  <c r="L484" i="33" s="1"/>
  <c r="D483" i="33"/>
  <c r="E482" i="33"/>
  <c r="E483" i="33" s="1"/>
  <c r="E479" i="33"/>
  <c r="F479" i="33" s="1"/>
  <c r="G479" i="33" s="1"/>
  <c r="H479" i="33" s="1"/>
  <c r="I479" i="33" s="1"/>
  <c r="J479" i="33" s="1"/>
  <c r="K479" i="33" s="1"/>
  <c r="L479" i="33" s="1"/>
  <c r="E477" i="33"/>
  <c r="F477" i="33" s="1"/>
  <c r="G477" i="33" s="1"/>
  <c r="H477" i="33" s="1"/>
  <c r="I477" i="33" s="1"/>
  <c r="J477" i="33" s="1"/>
  <c r="K477" i="33" s="1"/>
  <c r="L477" i="33" s="1"/>
  <c r="E475" i="33"/>
  <c r="E472" i="33"/>
  <c r="F472" i="33" s="1"/>
  <c r="G472" i="33" s="1"/>
  <c r="H472" i="33" s="1"/>
  <c r="I472" i="33" s="1"/>
  <c r="J472" i="33" s="1"/>
  <c r="K472" i="33" s="1"/>
  <c r="L472" i="33" s="1"/>
  <c r="E470" i="33"/>
  <c r="F470" i="33" s="1"/>
  <c r="G470" i="33" s="1"/>
  <c r="H470" i="33" s="1"/>
  <c r="I470" i="33" s="1"/>
  <c r="J470" i="33" s="1"/>
  <c r="K470" i="33" s="1"/>
  <c r="L470" i="33" s="1"/>
  <c r="D469" i="33"/>
  <c r="E468" i="33"/>
  <c r="E469" i="33" s="1"/>
  <c r="E465" i="33"/>
  <c r="F465" i="33" s="1"/>
  <c r="G465" i="33" s="1"/>
  <c r="H465" i="33" s="1"/>
  <c r="I465" i="33" s="1"/>
  <c r="J465" i="33" s="1"/>
  <c r="K465" i="33" s="1"/>
  <c r="L465" i="33" s="1"/>
  <c r="E463" i="33"/>
  <c r="F463" i="33" s="1"/>
  <c r="G463" i="33" s="1"/>
  <c r="H463" i="33" s="1"/>
  <c r="I463" i="33" s="1"/>
  <c r="J463" i="33" s="1"/>
  <c r="K463" i="33" s="1"/>
  <c r="L463" i="33" s="1"/>
  <c r="D462" i="33"/>
  <c r="E461" i="33"/>
  <c r="F461" i="33" s="1"/>
  <c r="E458" i="33"/>
  <c r="F458" i="33" s="1"/>
  <c r="G458" i="33" s="1"/>
  <c r="H458" i="33" s="1"/>
  <c r="I458" i="33" s="1"/>
  <c r="J458" i="33" s="1"/>
  <c r="K458" i="33" s="1"/>
  <c r="L458" i="33" s="1"/>
  <c r="E456" i="33"/>
  <c r="F456" i="33" s="1"/>
  <c r="G456" i="33" s="1"/>
  <c r="H456" i="33" s="1"/>
  <c r="I456" i="33" s="1"/>
  <c r="J456" i="33" s="1"/>
  <c r="K456" i="33" s="1"/>
  <c r="L456" i="33" s="1"/>
  <c r="D455" i="33"/>
  <c r="E454" i="33"/>
  <c r="F454" i="33" s="1"/>
  <c r="E449" i="33"/>
  <c r="F449" i="33" s="1"/>
  <c r="G449" i="33" s="1"/>
  <c r="H449" i="33" s="1"/>
  <c r="I449" i="33" s="1"/>
  <c r="J449" i="33" s="1"/>
  <c r="K449" i="33" s="1"/>
  <c r="L449" i="33" s="1"/>
  <c r="D448" i="33"/>
  <c r="E447" i="33"/>
  <c r="E444" i="33"/>
  <c r="F444" i="33" s="1"/>
  <c r="G444" i="33" s="1"/>
  <c r="H444" i="33" s="1"/>
  <c r="I444" i="33" s="1"/>
  <c r="J444" i="33" s="1"/>
  <c r="K444" i="33" s="1"/>
  <c r="L444" i="33" s="1"/>
  <c r="E442" i="33"/>
  <c r="F442" i="33" s="1"/>
  <c r="G442" i="33" s="1"/>
  <c r="H442" i="33" s="1"/>
  <c r="I442" i="33" s="1"/>
  <c r="J442" i="33" s="1"/>
  <c r="K442" i="33" s="1"/>
  <c r="L442" i="33" s="1"/>
  <c r="D441" i="33"/>
  <c r="E440" i="33"/>
  <c r="E441" i="33" s="1"/>
  <c r="E437" i="33"/>
  <c r="F437" i="33" s="1"/>
  <c r="G437" i="33" s="1"/>
  <c r="H437" i="33" s="1"/>
  <c r="I437" i="33" s="1"/>
  <c r="J437" i="33" s="1"/>
  <c r="K437" i="33" s="1"/>
  <c r="L437" i="33" s="1"/>
  <c r="E435" i="33"/>
  <c r="F435" i="33" s="1"/>
  <c r="G435" i="33" s="1"/>
  <c r="H435" i="33" s="1"/>
  <c r="I435" i="33" s="1"/>
  <c r="J435" i="33" s="1"/>
  <c r="K435" i="33" s="1"/>
  <c r="L435" i="33" s="1"/>
  <c r="E433" i="33"/>
  <c r="F433" i="33" s="1"/>
  <c r="E428" i="33"/>
  <c r="F428" i="33" s="1"/>
  <c r="G428" i="33" s="1"/>
  <c r="H428" i="33" s="1"/>
  <c r="I428" i="33" s="1"/>
  <c r="J428" i="33" s="1"/>
  <c r="K428" i="33" s="1"/>
  <c r="L428" i="33" s="1"/>
  <c r="E426" i="33"/>
  <c r="E421" i="33"/>
  <c r="F421" i="33" s="1"/>
  <c r="G421" i="33" s="1"/>
  <c r="H421" i="33" s="1"/>
  <c r="I421" i="33" s="1"/>
  <c r="J421" i="33" s="1"/>
  <c r="K421" i="33" s="1"/>
  <c r="L421" i="33" s="1"/>
  <c r="D420" i="33"/>
  <c r="E419" i="33"/>
  <c r="F419" i="33" s="1"/>
  <c r="F420" i="33" s="1"/>
  <c r="E414" i="33"/>
  <c r="F414" i="33" s="1"/>
  <c r="G414" i="33" s="1"/>
  <c r="H414" i="33" s="1"/>
  <c r="I414" i="33" s="1"/>
  <c r="J414" i="33" s="1"/>
  <c r="K414" i="33" s="1"/>
  <c r="L414" i="33" s="1"/>
  <c r="D413" i="33"/>
  <c r="E412" i="33"/>
  <c r="E413" i="33" s="1"/>
  <c r="E407" i="33"/>
  <c r="F407" i="33" s="1"/>
  <c r="G407" i="33" s="1"/>
  <c r="H407" i="33" s="1"/>
  <c r="I407" i="33" s="1"/>
  <c r="J407" i="33" s="1"/>
  <c r="K407" i="33" s="1"/>
  <c r="L407" i="33" s="1"/>
  <c r="D406" i="33"/>
  <c r="E405" i="33"/>
  <c r="A316" i="33"/>
  <c r="A39" i="36" s="1"/>
  <c r="A216" i="33"/>
  <c r="A28" i="36" s="1"/>
  <c r="E400" i="33"/>
  <c r="F400" i="33" s="1"/>
  <c r="G400" i="33" s="1"/>
  <c r="H400" i="33" s="1"/>
  <c r="I400" i="33" s="1"/>
  <c r="J400" i="33" s="1"/>
  <c r="K400" i="33" s="1"/>
  <c r="L400" i="33" s="1"/>
  <c r="E398" i="33"/>
  <c r="F398" i="33" s="1"/>
  <c r="G398" i="33" s="1"/>
  <c r="H398" i="33" s="1"/>
  <c r="I398" i="33" s="1"/>
  <c r="J398" i="33" s="1"/>
  <c r="K398" i="33" s="1"/>
  <c r="L398" i="33" s="1"/>
  <c r="D397" i="33"/>
  <c r="E396" i="33"/>
  <c r="E397" i="33" s="1"/>
  <c r="E393" i="33"/>
  <c r="F393" i="33" s="1"/>
  <c r="G393" i="33" s="1"/>
  <c r="H393" i="33" s="1"/>
  <c r="I393" i="33" s="1"/>
  <c r="J393" i="33" s="1"/>
  <c r="K393" i="33" s="1"/>
  <c r="L393" i="33" s="1"/>
  <c r="E391" i="33"/>
  <c r="F391" i="33" s="1"/>
  <c r="G391" i="33" s="1"/>
  <c r="H391" i="33" s="1"/>
  <c r="I391" i="33" s="1"/>
  <c r="J391" i="33" s="1"/>
  <c r="K391" i="33" s="1"/>
  <c r="L391" i="33" s="1"/>
  <c r="D390" i="33"/>
  <c r="E389" i="33"/>
  <c r="E390" i="33" s="1"/>
  <c r="E386" i="33"/>
  <c r="F386" i="33" s="1"/>
  <c r="G386" i="33" s="1"/>
  <c r="H386" i="33" s="1"/>
  <c r="I386" i="33" s="1"/>
  <c r="J386" i="33" s="1"/>
  <c r="K386" i="33" s="1"/>
  <c r="L386" i="33" s="1"/>
  <c r="E384" i="33"/>
  <c r="F384" i="33" s="1"/>
  <c r="G384" i="33" s="1"/>
  <c r="H384" i="33" s="1"/>
  <c r="I384" i="33" s="1"/>
  <c r="J384" i="33" s="1"/>
  <c r="K384" i="33" s="1"/>
  <c r="L384" i="33" s="1"/>
  <c r="D383" i="33"/>
  <c r="E382" i="33"/>
  <c r="F382" i="33" s="1"/>
  <c r="E379" i="33"/>
  <c r="F379" i="33" s="1"/>
  <c r="G379" i="33" s="1"/>
  <c r="H379" i="33" s="1"/>
  <c r="I379" i="33" s="1"/>
  <c r="J379" i="33" s="1"/>
  <c r="K379" i="33" s="1"/>
  <c r="L379" i="33" s="1"/>
  <c r="E377" i="33"/>
  <c r="F377" i="33" s="1"/>
  <c r="G377" i="33" s="1"/>
  <c r="H377" i="33" s="1"/>
  <c r="I377" i="33" s="1"/>
  <c r="J377" i="33" s="1"/>
  <c r="K377" i="33" s="1"/>
  <c r="L377" i="33" s="1"/>
  <c r="D376" i="33"/>
  <c r="E375" i="33"/>
  <c r="E376" i="33" s="1"/>
  <c r="E372" i="33"/>
  <c r="F372" i="33" s="1"/>
  <c r="G372" i="33" s="1"/>
  <c r="H372" i="33" s="1"/>
  <c r="I372" i="33" s="1"/>
  <c r="J372" i="33" s="1"/>
  <c r="K372" i="33" s="1"/>
  <c r="L372" i="33" s="1"/>
  <c r="E370" i="33"/>
  <c r="F370" i="33" s="1"/>
  <c r="G370" i="33" s="1"/>
  <c r="H370" i="33" s="1"/>
  <c r="I370" i="33" s="1"/>
  <c r="J370" i="33" s="1"/>
  <c r="K370" i="33" s="1"/>
  <c r="L370" i="33" s="1"/>
  <c r="D369" i="33"/>
  <c r="E368" i="33"/>
  <c r="E369" i="33" s="1"/>
  <c r="E365" i="33"/>
  <c r="F365" i="33" s="1"/>
  <c r="G365" i="33" s="1"/>
  <c r="H365" i="33" s="1"/>
  <c r="I365" i="33" s="1"/>
  <c r="J365" i="33" s="1"/>
  <c r="K365" i="33" s="1"/>
  <c r="L365" i="33" s="1"/>
  <c r="E363" i="33"/>
  <c r="F363" i="33" s="1"/>
  <c r="G363" i="33" s="1"/>
  <c r="H363" i="33" s="1"/>
  <c r="I363" i="33" s="1"/>
  <c r="J363" i="33" s="1"/>
  <c r="K363" i="33" s="1"/>
  <c r="L363" i="33" s="1"/>
  <c r="D362" i="33"/>
  <c r="E361" i="33"/>
  <c r="E362" i="33" s="1"/>
  <c r="E358" i="33"/>
  <c r="F358" i="33" s="1"/>
  <c r="G358" i="33" s="1"/>
  <c r="H358" i="33" s="1"/>
  <c r="I358" i="33" s="1"/>
  <c r="J358" i="33" s="1"/>
  <c r="K358" i="33" s="1"/>
  <c r="L358" i="33" s="1"/>
  <c r="E356" i="33"/>
  <c r="F356" i="33" s="1"/>
  <c r="G356" i="33" s="1"/>
  <c r="H356" i="33" s="1"/>
  <c r="I356" i="33" s="1"/>
  <c r="J356" i="33" s="1"/>
  <c r="K356" i="33" s="1"/>
  <c r="L356" i="33" s="1"/>
  <c r="D355" i="33"/>
  <c r="E354" i="33"/>
  <c r="E355" i="33" s="1"/>
  <c r="E349" i="33"/>
  <c r="F349" i="33" s="1"/>
  <c r="G349" i="33" s="1"/>
  <c r="H349" i="33" s="1"/>
  <c r="I349" i="33" s="1"/>
  <c r="J349" i="33" s="1"/>
  <c r="K349" i="33" s="1"/>
  <c r="L349" i="33" s="1"/>
  <c r="D348" i="33"/>
  <c r="E347" i="33"/>
  <c r="E348" i="33" s="1"/>
  <c r="E342" i="33"/>
  <c r="F342" i="33" s="1"/>
  <c r="G342" i="33" s="1"/>
  <c r="H342" i="33" s="1"/>
  <c r="I342" i="33" s="1"/>
  <c r="J342" i="33" s="1"/>
  <c r="K342" i="33" s="1"/>
  <c r="L342" i="33" s="1"/>
  <c r="E340" i="33"/>
  <c r="E335" i="33"/>
  <c r="F335" i="33" s="1"/>
  <c r="G335" i="33" s="1"/>
  <c r="H335" i="33" s="1"/>
  <c r="I335" i="33" s="1"/>
  <c r="J335" i="33" s="1"/>
  <c r="K335" i="33" s="1"/>
  <c r="L335" i="33" s="1"/>
  <c r="D334" i="33"/>
  <c r="E333" i="33"/>
  <c r="E334" i="33" s="1"/>
  <c r="E328" i="33"/>
  <c r="F328" i="33" s="1"/>
  <c r="G328" i="33" s="1"/>
  <c r="H328" i="33" s="1"/>
  <c r="I328" i="33" s="1"/>
  <c r="J328" i="33" s="1"/>
  <c r="K328" i="33" s="1"/>
  <c r="L328" i="33" s="1"/>
  <c r="D327" i="33"/>
  <c r="E326" i="33"/>
  <c r="E327" i="33" s="1"/>
  <c r="E323" i="33"/>
  <c r="F323" i="33" s="1"/>
  <c r="G323" i="33" s="1"/>
  <c r="H323" i="33" s="1"/>
  <c r="I323" i="33" s="1"/>
  <c r="J323" i="33" s="1"/>
  <c r="K323" i="33" s="1"/>
  <c r="L323" i="33" s="1"/>
  <c r="E321" i="33"/>
  <c r="F321" i="33" s="1"/>
  <c r="G321" i="33" s="1"/>
  <c r="H321" i="33" s="1"/>
  <c r="I321" i="33" s="1"/>
  <c r="J321" i="33" s="1"/>
  <c r="K321" i="33" s="1"/>
  <c r="L321" i="33" s="1"/>
  <c r="D320" i="33"/>
  <c r="E319" i="33"/>
  <c r="F319" i="33" s="1"/>
  <c r="F320" i="33" s="1"/>
  <c r="E314" i="33"/>
  <c r="F314" i="33" s="1"/>
  <c r="G314" i="33" s="1"/>
  <c r="H314" i="33" s="1"/>
  <c r="I314" i="33" s="1"/>
  <c r="J314" i="33" s="1"/>
  <c r="K314" i="33" s="1"/>
  <c r="L314" i="33" s="1"/>
  <c r="E312" i="33"/>
  <c r="F312" i="33" s="1"/>
  <c r="G312" i="33" s="1"/>
  <c r="H312" i="33" s="1"/>
  <c r="I312" i="33" s="1"/>
  <c r="J312" i="33" s="1"/>
  <c r="K312" i="33" s="1"/>
  <c r="L312" i="33" s="1"/>
  <c r="D311" i="33"/>
  <c r="E310" i="33"/>
  <c r="E307" i="33"/>
  <c r="F307" i="33" s="1"/>
  <c r="G307" i="33" s="1"/>
  <c r="H307" i="33" s="1"/>
  <c r="I307" i="33" s="1"/>
  <c r="J307" i="33" s="1"/>
  <c r="K307" i="33" s="1"/>
  <c r="L307" i="33" s="1"/>
  <c r="E305" i="33"/>
  <c r="F305" i="33" s="1"/>
  <c r="G305" i="33" s="1"/>
  <c r="H305" i="33" s="1"/>
  <c r="I305" i="33" s="1"/>
  <c r="J305" i="33" s="1"/>
  <c r="K305" i="33" s="1"/>
  <c r="L305" i="33" s="1"/>
  <c r="D304" i="33"/>
  <c r="E303" i="33"/>
  <c r="E304" i="33" s="1"/>
  <c r="E300" i="33"/>
  <c r="F300" i="33" s="1"/>
  <c r="G300" i="33" s="1"/>
  <c r="H300" i="33" s="1"/>
  <c r="I300" i="33" s="1"/>
  <c r="J300" i="33" s="1"/>
  <c r="K300" i="33" s="1"/>
  <c r="L300" i="33" s="1"/>
  <c r="E298" i="33"/>
  <c r="F298" i="33" s="1"/>
  <c r="G298" i="33" s="1"/>
  <c r="H298" i="33" s="1"/>
  <c r="I298" i="33" s="1"/>
  <c r="J298" i="33" s="1"/>
  <c r="K298" i="33" s="1"/>
  <c r="L298" i="33" s="1"/>
  <c r="D297" i="33"/>
  <c r="E296" i="33"/>
  <c r="E293" i="33"/>
  <c r="F293" i="33" s="1"/>
  <c r="G293" i="33" s="1"/>
  <c r="H293" i="33" s="1"/>
  <c r="I293" i="33" s="1"/>
  <c r="J293" i="33" s="1"/>
  <c r="K293" i="33" s="1"/>
  <c r="L293" i="33" s="1"/>
  <c r="E291" i="33"/>
  <c r="F291" i="33" s="1"/>
  <c r="G291" i="33" s="1"/>
  <c r="H291" i="33" s="1"/>
  <c r="I291" i="33" s="1"/>
  <c r="J291" i="33" s="1"/>
  <c r="K291" i="33" s="1"/>
  <c r="L291" i="33" s="1"/>
  <c r="D290" i="33"/>
  <c r="E289" i="33"/>
  <c r="F289" i="33" s="1"/>
  <c r="E286" i="33"/>
  <c r="F286" i="33" s="1"/>
  <c r="G286" i="33" s="1"/>
  <c r="H286" i="33" s="1"/>
  <c r="I286" i="33" s="1"/>
  <c r="J286" i="33" s="1"/>
  <c r="K286" i="33" s="1"/>
  <c r="L286" i="33" s="1"/>
  <c r="E284" i="33"/>
  <c r="F284" i="33" s="1"/>
  <c r="G284" i="33" s="1"/>
  <c r="H284" i="33" s="1"/>
  <c r="I284" i="33" s="1"/>
  <c r="J284" i="33" s="1"/>
  <c r="K284" i="33" s="1"/>
  <c r="L284" i="33" s="1"/>
  <c r="D283" i="33"/>
  <c r="E282" i="33"/>
  <c r="E283" i="33" s="1"/>
  <c r="E279" i="33"/>
  <c r="F279" i="33" s="1"/>
  <c r="G279" i="33" s="1"/>
  <c r="H279" i="33" s="1"/>
  <c r="I279" i="33" s="1"/>
  <c r="J279" i="33" s="1"/>
  <c r="K279" i="33" s="1"/>
  <c r="L279" i="33" s="1"/>
  <c r="E277" i="33"/>
  <c r="F277" i="33" s="1"/>
  <c r="G277" i="33" s="1"/>
  <c r="H277" i="33" s="1"/>
  <c r="I277" i="33" s="1"/>
  <c r="J277" i="33" s="1"/>
  <c r="K277" i="33" s="1"/>
  <c r="L277" i="33" s="1"/>
  <c r="E275" i="33"/>
  <c r="F275" i="33" s="1"/>
  <c r="E272" i="33"/>
  <c r="F272" i="33" s="1"/>
  <c r="G272" i="33" s="1"/>
  <c r="H272" i="33" s="1"/>
  <c r="I272" i="33" s="1"/>
  <c r="J272" i="33" s="1"/>
  <c r="K272" i="33" s="1"/>
  <c r="L272" i="33" s="1"/>
  <c r="E270" i="33"/>
  <c r="F270" i="33" s="1"/>
  <c r="G270" i="33" s="1"/>
  <c r="H270" i="33" s="1"/>
  <c r="I270" i="33" s="1"/>
  <c r="J270" i="33" s="1"/>
  <c r="K270" i="33" s="1"/>
  <c r="L270" i="33" s="1"/>
  <c r="D269" i="33"/>
  <c r="E268" i="33"/>
  <c r="E265" i="33"/>
  <c r="F265" i="33" s="1"/>
  <c r="G265" i="33" s="1"/>
  <c r="H265" i="33" s="1"/>
  <c r="I265" i="33" s="1"/>
  <c r="J265" i="33" s="1"/>
  <c r="K265" i="33" s="1"/>
  <c r="L265" i="33" s="1"/>
  <c r="E263" i="33"/>
  <c r="F263" i="33" s="1"/>
  <c r="G263" i="33" s="1"/>
  <c r="H263" i="33" s="1"/>
  <c r="I263" i="33" s="1"/>
  <c r="J263" i="33" s="1"/>
  <c r="K263" i="33" s="1"/>
  <c r="L263" i="33" s="1"/>
  <c r="D262" i="33"/>
  <c r="E261" i="33"/>
  <c r="F261" i="33" s="1"/>
  <c r="E258" i="33"/>
  <c r="F258" i="33" s="1"/>
  <c r="G258" i="33" s="1"/>
  <c r="H258" i="33" s="1"/>
  <c r="I258" i="33" s="1"/>
  <c r="J258" i="33" s="1"/>
  <c r="K258" i="33" s="1"/>
  <c r="L258" i="33" s="1"/>
  <c r="E256" i="33"/>
  <c r="F256" i="33" s="1"/>
  <c r="G256" i="33" s="1"/>
  <c r="H256" i="33" s="1"/>
  <c r="I256" i="33" s="1"/>
  <c r="J256" i="33" s="1"/>
  <c r="K256" i="33" s="1"/>
  <c r="L256" i="33" s="1"/>
  <c r="D255" i="33"/>
  <c r="E254" i="33"/>
  <c r="E251" i="33"/>
  <c r="F251" i="33" s="1"/>
  <c r="G251" i="33" s="1"/>
  <c r="H251" i="33" s="1"/>
  <c r="I251" i="33" s="1"/>
  <c r="J251" i="33" s="1"/>
  <c r="K251" i="33" s="1"/>
  <c r="L251" i="33" s="1"/>
  <c r="E249" i="33"/>
  <c r="F249" i="33" s="1"/>
  <c r="G249" i="33" s="1"/>
  <c r="H249" i="33" s="1"/>
  <c r="I249" i="33" s="1"/>
  <c r="J249" i="33" s="1"/>
  <c r="K249" i="33" s="1"/>
  <c r="L249" i="33" s="1"/>
  <c r="D248" i="33"/>
  <c r="E247" i="33"/>
  <c r="E244" i="33"/>
  <c r="F244" i="33" s="1"/>
  <c r="G244" i="33" s="1"/>
  <c r="H244" i="33" s="1"/>
  <c r="I244" i="33" s="1"/>
  <c r="J244" i="33" s="1"/>
  <c r="K244" i="33" s="1"/>
  <c r="L244" i="33" s="1"/>
  <c r="E242" i="33"/>
  <c r="F242" i="33" s="1"/>
  <c r="G242" i="33" s="1"/>
  <c r="H242" i="33" s="1"/>
  <c r="I242" i="33" s="1"/>
  <c r="J242" i="33" s="1"/>
  <c r="K242" i="33" s="1"/>
  <c r="L242" i="33" s="1"/>
  <c r="E240" i="33"/>
  <c r="E235" i="33"/>
  <c r="F235" i="33" s="1"/>
  <c r="G235" i="33" s="1"/>
  <c r="H235" i="33" s="1"/>
  <c r="I235" i="33" s="1"/>
  <c r="J235" i="33" s="1"/>
  <c r="K235" i="33" s="1"/>
  <c r="L235" i="33" s="1"/>
  <c r="E233" i="33"/>
  <c r="F233" i="33" s="1"/>
  <c r="E228" i="33"/>
  <c r="F228" i="33" s="1"/>
  <c r="G228" i="33" s="1"/>
  <c r="H228" i="33" s="1"/>
  <c r="I228" i="33" s="1"/>
  <c r="J228" i="33" s="1"/>
  <c r="K228" i="33" s="1"/>
  <c r="L228" i="33" s="1"/>
  <c r="D227" i="33"/>
  <c r="E226" i="33"/>
  <c r="E227" i="33" s="1"/>
  <c r="E221" i="33"/>
  <c r="F221" i="33" s="1"/>
  <c r="G221" i="33" s="1"/>
  <c r="H221" i="33" s="1"/>
  <c r="I221" i="33" s="1"/>
  <c r="J221" i="33" s="1"/>
  <c r="K221" i="33" s="1"/>
  <c r="L221" i="33" s="1"/>
  <c r="D220" i="33"/>
  <c r="E219" i="33"/>
  <c r="E220" i="33" s="1"/>
  <c r="E214" i="33"/>
  <c r="F214" i="33" s="1"/>
  <c r="G214" i="33" s="1"/>
  <c r="H214" i="33" s="1"/>
  <c r="I214" i="33" s="1"/>
  <c r="J214" i="33" s="1"/>
  <c r="K214" i="33" s="1"/>
  <c r="L214" i="33" s="1"/>
  <c r="E212" i="33"/>
  <c r="F212" i="33" s="1"/>
  <c r="G212" i="33" s="1"/>
  <c r="H212" i="33" s="1"/>
  <c r="I212" i="33" s="1"/>
  <c r="J212" i="33" s="1"/>
  <c r="K212" i="33" s="1"/>
  <c r="L212" i="33" s="1"/>
  <c r="D211" i="33"/>
  <c r="E210" i="33"/>
  <c r="E207" i="33"/>
  <c r="F207" i="33" s="1"/>
  <c r="G207" i="33" s="1"/>
  <c r="H207" i="33" s="1"/>
  <c r="I207" i="33" s="1"/>
  <c r="J207" i="33" s="1"/>
  <c r="K207" i="33" s="1"/>
  <c r="L207" i="33" s="1"/>
  <c r="E205" i="33"/>
  <c r="F205" i="33" s="1"/>
  <c r="G205" i="33" s="1"/>
  <c r="H205" i="33" s="1"/>
  <c r="I205" i="33" s="1"/>
  <c r="J205" i="33" s="1"/>
  <c r="K205" i="33" s="1"/>
  <c r="L205" i="33" s="1"/>
  <c r="D204" i="33"/>
  <c r="E203" i="33"/>
  <c r="F203" i="33" s="1"/>
  <c r="F204" i="33" s="1"/>
  <c r="E200" i="33"/>
  <c r="F200" i="33" s="1"/>
  <c r="G200" i="33" s="1"/>
  <c r="H200" i="33" s="1"/>
  <c r="I200" i="33" s="1"/>
  <c r="J200" i="33" s="1"/>
  <c r="K200" i="33" s="1"/>
  <c r="L200" i="33" s="1"/>
  <c r="E198" i="33"/>
  <c r="F198" i="33" s="1"/>
  <c r="G198" i="33" s="1"/>
  <c r="H198" i="33" s="1"/>
  <c r="I198" i="33" s="1"/>
  <c r="J198" i="33" s="1"/>
  <c r="K198" i="33" s="1"/>
  <c r="L198" i="33" s="1"/>
  <c r="D197" i="33"/>
  <c r="E196" i="33"/>
  <c r="E197" i="33" s="1"/>
  <c r="E193" i="33"/>
  <c r="F193" i="33" s="1"/>
  <c r="G193" i="33" s="1"/>
  <c r="H193" i="33" s="1"/>
  <c r="I193" i="33" s="1"/>
  <c r="J193" i="33" s="1"/>
  <c r="K193" i="33" s="1"/>
  <c r="L193" i="33" s="1"/>
  <c r="E191" i="33"/>
  <c r="F191" i="33" s="1"/>
  <c r="G191" i="33" s="1"/>
  <c r="H191" i="33" s="1"/>
  <c r="I191" i="33" s="1"/>
  <c r="J191" i="33" s="1"/>
  <c r="K191" i="33" s="1"/>
  <c r="L191" i="33" s="1"/>
  <c r="D190" i="33"/>
  <c r="E189" i="33"/>
  <c r="E190" i="33" s="1"/>
  <c r="E186" i="33"/>
  <c r="F186" i="33" s="1"/>
  <c r="G186" i="33" s="1"/>
  <c r="H186" i="33" s="1"/>
  <c r="I186" i="33" s="1"/>
  <c r="J186" i="33" s="1"/>
  <c r="K186" i="33" s="1"/>
  <c r="L186" i="33" s="1"/>
  <c r="E184" i="33"/>
  <c r="F184" i="33" s="1"/>
  <c r="G184" i="33" s="1"/>
  <c r="H184" i="33" s="1"/>
  <c r="I184" i="33" s="1"/>
  <c r="J184" i="33" s="1"/>
  <c r="K184" i="33" s="1"/>
  <c r="L184" i="33" s="1"/>
  <c r="D183" i="33"/>
  <c r="E182" i="33"/>
  <c r="E179" i="33"/>
  <c r="F179" i="33" s="1"/>
  <c r="G179" i="33" s="1"/>
  <c r="H179" i="33" s="1"/>
  <c r="I179" i="33" s="1"/>
  <c r="J179" i="33" s="1"/>
  <c r="K179" i="33" s="1"/>
  <c r="L179" i="33" s="1"/>
  <c r="E177" i="33"/>
  <c r="F177" i="33" s="1"/>
  <c r="G177" i="33" s="1"/>
  <c r="H177" i="33" s="1"/>
  <c r="I177" i="33" s="1"/>
  <c r="J177" i="33" s="1"/>
  <c r="K177" i="33" s="1"/>
  <c r="L177" i="33" s="1"/>
  <c r="E175" i="33"/>
  <c r="F175" i="33" s="1"/>
  <c r="E172" i="33"/>
  <c r="F172" i="33" s="1"/>
  <c r="G172" i="33" s="1"/>
  <c r="H172" i="33" s="1"/>
  <c r="I172" i="33" s="1"/>
  <c r="J172" i="33" s="1"/>
  <c r="K172" i="33" s="1"/>
  <c r="L172" i="33" s="1"/>
  <c r="E170" i="33"/>
  <c r="F170" i="33" s="1"/>
  <c r="G170" i="33" s="1"/>
  <c r="H170" i="33" s="1"/>
  <c r="I170" i="33" s="1"/>
  <c r="J170" i="33" s="1"/>
  <c r="K170" i="33" s="1"/>
  <c r="L170" i="33" s="1"/>
  <c r="D169" i="33"/>
  <c r="E168" i="33"/>
  <c r="E165" i="33"/>
  <c r="F165" i="33" s="1"/>
  <c r="G165" i="33" s="1"/>
  <c r="H165" i="33" s="1"/>
  <c r="I165" i="33" s="1"/>
  <c r="J165" i="33" s="1"/>
  <c r="K165" i="33" s="1"/>
  <c r="L165" i="33" s="1"/>
  <c r="E163" i="33"/>
  <c r="F163" i="33" s="1"/>
  <c r="G163" i="33" s="1"/>
  <c r="H163" i="33" s="1"/>
  <c r="I163" i="33" s="1"/>
  <c r="J163" i="33" s="1"/>
  <c r="K163" i="33" s="1"/>
  <c r="L163" i="33" s="1"/>
  <c r="D162" i="33"/>
  <c r="E161" i="33"/>
  <c r="E162" i="33" s="1"/>
  <c r="E158" i="33"/>
  <c r="F158" i="33" s="1"/>
  <c r="G158" i="33" s="1"/>
  <c r="H158" i="33" s="1"/>
  <c r="I158" i="33" s="1"/>
  <c r="J158" i="33" s="1"/>
  <c r="K158" i="33" s="1"/>
  <c r="L158" i="33" s="1"/>
  <c r="E151" i="33"/>
  <c r="F151" i="33" s="1"/>
  <c r="G151" i="33" s="1"/>
  <c r="H151" i="33" s="1"/>
  <c r="I151" i="33" s="1"/>
  <c r="J151" i="33" s="1"/>
  <c r="K151" i="33" s="1"/>
  <c r="L151" i="33" s="1"/>
  <c r="E156" i="33"/>
  <c r="F156" i="33" s="1"/>
  <c r="G156" i="33" s="1"/>
  <c r="H156" i="33" s="1"/>
  <c r="I156" i="33" s="1"/>
  <c r="J156" i="33" s="1"/>
  <c r="K156" i="33" s="1"/>
  <c r="L156" i="33" s="1"/>
  <c r="D155" i="33"/>
  <c r="E154" i="33"/>
  <c r="E155" i="33" s="1"/>
  <c r="E144" i="33"/>
  <c r="F144" i="33" s="1"/>
  <c r="G144" i="33" s="1"/>
  <c r="H144" i="33" s="1"/>
  <c r="I144" i="33" s="1"/>
  <c r="J144" i="33" s="1"/>
  <c r="K144" i="33" s="1"/>
  <c r="L144" i="33" s="1"/>
  <c r="E142" i="33"/>
  <c r="F142" i="33" s="1"/>
  <c r="G142" i="33" s="1"/>
  <c r="H142" i="33" s="1"/>
  <c r="I142" i="33" s="1"/>
  <c r="J142" i="33" s="1"/>
  <c r="K142" i="33" s="1"/>
  <c r="L142" i="33" s="1"/>
  <c r="E140" i="33"/>
  <c r="E135" i="33"/>
  <c r="F135" i="33" s="1"/>
  <c r="G135" i="33" s="1"/>
  <c r="H135" i="33" s="1"/>
  <c r="I135" i="33" s="1"/>
  <c r="J135" i="33" s="1"/>
  <c r="K135" i="33" s="1"/>
  <c r="L135" i="33" s="1"/>
  <c r="E133" i="33"/>
  <c r="E109" i="33"/>
  <c r="F109" i="33" s="1"/>
  <c r="G109" i="33" s="1"/>
  <c r="H109" i="33" s="1"/>
  <c r="I109" i="33" s="1"/>
  <c r="J109" i="33" s="1"/>
  <c r="K109" i="33" s="1"/>
  <c r="L109" i="33" s="1"/>
  <c r="E116" i="33"/>
  <c r="F116" i="33" s="1"/>
  <c r="G116" i="33" s="1"/>
  <c r="H116" i="33" s="1"/>
  <c r="I116" i="33" s="1"/>
  <c r="J116" i="33" s="1"/>
  <c r="K116" i="33" s="1"/>
  <c r="L116" i="33" s="1"/>
  <c r="E121" i="33"/>
  <c r="F121" i="33" s="1"/>
  <c r="G121" i="33" s="1"/>
  <c r="H121" i="33" s="1"/>
  <c r="I121" i="33" s="1"/>
  <c r="J121" i="33" s="1"/>
  <c r="K121" i="33" s="1"/>
  <c r="L121" i="33" s="1"/>
  <c r="D120" i="33"/>
  <c r="E119" i="33"/>
  <c r="E120" i="33" s="1"/>
  <c r="E149" i="33"/>
  <c r="F149" i="33" s="1"/>
  <c r="G149" i="33" s="1"/>
  <c r="H149" i="33" s="1"/>
  <c r="I149" i="33" s="1"/>
  <c r="J149" i="33" s="1"/>
  <c r="K149" i="33" s="1"/>
  <c r="L149" i="33" s="1"/>
  <c r="D148" i="33"/>
  <c r="E147" i="33"/>
  <c r="E148" i="33" s="1"/>
  <c r="E128" i="33"/>
  <c r="F128" i="33" s="1"/>
  <c r="G128" i="33" s="1"/>
  <c r="H128" i="33" s="1"/>
  <c r="I128" i="33" s="1"/>
  <c r="J128" i="33" s="1"/>
  <c r="K128" i="33" s="1"/>
  <c r="L128" i="33" s="1"/>
  <c r="D127" i="33"/>
  <c r="E126" i="33"/>
  <c r="E127" i="33" s="1"/>
  <c r="E114" i="33"/>
  <c r="F114" i="33" s="1"/>
  <c r="G114" i="33" s="1"/>
  <c r="H114" i="33" s="1"/>
  <c r="I114" i="33" s="1"/>
  <c r="J114" i="33" s="1"/>
  <c r="K114" i="33" s="1"/>
  <c r="L114" i="33" s="1"/>
  <c r="D113" i="33"/>
  <c r="E112" i="33"/>
  <c r="F112" i="33" s="1"/>
  <c r="F113" i="33" s="1"/>
  <c r="E107" i="33"/>
  <c r="F107" i="33" s="1"/>
  <c r="G107" i="33" s="1"/>
  <c r="H107" i="33" s="1"/>
  <c r="I107" i="33" s="1"/>
  <c r="J107" i="33" s="1"/>
  <c r="K107" i="33" s="1"/>
  <c r="L107" i="33" s="1"/>
  <c r="E105" i="33"/>
  <c r="E106" i="33" s="1"/>
  <c r="D106" i="33"/>
  <c r="A102" i="33"/>
  <c r="A17" i="36" s="1"/>
  <c r="D28" i="34" l="1"/>
  <c r="D29" i="34"/>
  <c r="D31" i="34"/>
  <c r="D21" i="34"/>
  <c r="D18" i="34"/>
  <c r="D30" i="34"/>
  <c r="D20" i="34"/>
  <c r="D19" i="34"/>
  <c r="L27" i="34"/>
  <c r="H27" i="34"/>
  <c r="L14" i="34"/>
  <c r="H14" i="34"/>
  <c r="L21" i="34"/>
  <c r="H21" i="34"/>
  <c r="L20" i="34"/>
  <c r="H20" i="34"/>
  <c r="L31" i="34"/>
  <c r="H31" i="34"/>
  <c r="L30" i="34"/>
  <c r="H30" i="34"/>
  <c r="L29" i="34"/>
  <c r="H29" i="34"/>
  <c r="L19" i="34"/>
  <c r="H19" i="34"/>
  <c r="L28" i="34"/>
  <c r="H28" i="34"/>
  <c r="L18" i="34"/>
  <c r="H18" i="34"/>
  <c r="L16" i="34"/>
  <c r="H16" i="34"/>
  <c r="L13" i="34"/>
  <c r="H13" i="34"/>
  <c r="L12" i="34"/>
  <c r="H12" i="34"/>
  <c r="L11" i="34"/>
  <c r="H11" i="34"/>
  <c r="L26" i="34"/>
  <c r="H26" i="34"/>
  <c r="L25" i="34"/>
  <c r="H25" i="34"/>
  <c r="H32" i="34" s="1"/>
  <c r="G10" i="29" s="1"/>
  <c r="L9" i="34"/>
  <c r="H9" i="34"/>
  <c r="K27" i="34"/>
  <c r="G27" i="34"/>
  <c r="K14" i="34"/>
  <c r="G14" i="34"/>
  <c r="K21" i="34"/>
  <c r="G21" i="34"/>
  <c r="K20" i="34"/>
  <c r="G20" i="34"/>
  <c r="K31" i="34"/>
  <c r="G31" i="34"/>
  <c r="K30" i="34"/>
  <c r="G30" i="34"/>
  <c r="K29" i="34"/>
  <c r="G29" i="34"/>
  <c r="K19" i="34"/>
  <c r="G19" i="34"/>
  <c r="K28" i="34"/>
  <c r="G28" i="34"/>
  <c r="K18" i="34"/>
  <c r="G18" i="34"/>
  <c r="K16" i="34"/>
  <c r="G16" i="34"/>
  <c r="K13" i="34"/>
  <c r="G13" i="34"/>
  <c r="K12" i="34"/>
  <c r="G12" i="34"/>
  <c r="K11" i="34"/>
  <c r="G11" i="34"/>
  <c r="K26" i="34"/>
  <c r="G26" i="34"/>
  <c r="K25" i="34"/>
  <c r="G25" i="34"/>
  <c r="K9" i="34"/>
  <c r="G9" i="34"/>
  <c r="G22" i="34" s="1"/>
  <c r="J27" i="34"/>
  <c r="F27" i="34"/>
  <c r="J14" i="34"/>
  <c r="F14" i="34"/>
  <c r="J21" i="34"/>
  <c r="F21" i="34"/>
  <c r="J20" i="34"/>
  <c r="F20" i="34"/>
  <c r="J31" i="34"/>
  <c r="F31" i="34"/>
  <c r="J30" i="34"/>
  <c r="F30" i="34"/>
  <c r="J29" i="34"/>
  <c r="F29" i="34"/>
  <c r="J19" i="34"/>
  <c r="F19" i="34"/>
  <c r="J28" i="34"/>
  <c r="F28" i="34"/>
  <c r="J18" i="34"/>
  <c r="F18" i="34"/>
  <c r="J16" i="34"/>
  <c r="F16" i="34"/>
  <c r="J13" i="34"/>
  <c r="F13" i="34"/>
  <c r="J12" i="34"/>
  <c r="F12" i="34"/>
  <c r="J11" i="34"/>
  <c r="F11" i="34"/>
  <c r="J26" i="34"/>
  <c r="F26" i="34"/>
  <c r="J25" i="34"/>
  <c r="F25" i="34"/>
  <c r="F32" i="34" s="1"/>
  <c r="E10" i="29" s="1"/>
  <c r="J9" i="34"/>
  <c r="F9" i="34"/>
  <c r="I27" i="34"/>
  <c r="E27" i="34"/>
  <c r="I14" i="34"/>
  <c r="E14" i="34"/>
  <c r="I21" i="34"/>
  <c r="E21" i="34"/>
  <c r="I20" i="34"/>
  <c r="E20" i="34"/>
  <c r="I31" i="34"/>
  <c r="E31" i="34"/>
  <c r="I30" i="34"/>
  <c r="E30" i="34"/>
  <c r="I29" i="34"/>
  <c r="E29" i="34"/>
  <c r="I19" i="34"/>
  <c r="E19" i="34"/>
  <c r="I28" i="34"/>
  <c r="E28" i="34"/>
  <c r="I18" i="34"/>
  <c r="E18" i="34"/>
  <c r="I16" i="34"/>
  <c r="E16" i="34"/>
  <c r="I13" i="34"/>
  <c r="E13" i="34"/>
  <c r="I12" i="34"/>
  <c r="E12" i="34"/>
  <c r="I11" i="34"/>
  <c r="E11" i="34"/>
  <c r="I26" i="34"/>
  <c r="E26" i="34"/>
  <c r="I25" i="34"/>
  <c r="E25" i="34"/>
  <c r="I9" i="34"/>
  <c r="E9" i="34"/>
  <c r="E22" i="34" s="1"/>
  <c r="D9" i="34"/>
  <c r="D26" i="34"/>
  <c r="D12" i="34"/>
  <c r="D16" i="34"/>
  <c r="D14" i="34"/>
  <c r="D11" i="34"/>
  <c r="D25" i="34"/>
  <c r="D13" i="34"/>
  <c r="D10" i="36"/>
  <c r="D11" i="36" s="1"/>
  <c r="E8" i="36" s="1"/>
  <c r="F575" i="33"/>
  <c r="F576" i="33" s="1"/>
  <c r="F568" i="33"/>
  <c r="F554" i="33"/>
  <c r="F555" i="33" s="1"/>
  <c r="F582" i="33"/>
  <c r="F540" i="33"/>
  <c r="F561" i="33"/>
  <c r="F547" i="33"/>
  <c r="F519" i="33"/>
  <c r="G519" i="33" s="1"/>
  <c r="G520" i="33" s="1"/>
  <c r="F533" i="33"/>
  <c r="G533" i="33" s="1"/>
  <c r="H533" i="33" s="1"/>
  <c r="E527" i="33"/>
  <c r="F527" i="33"/>
  <c r="G526" i="33"/>
  <c r="H526" i="33" s="1"/>
  <c r="H527" i="33" s="1"/>
  <c r="F503" i="33"/>
  <c r="G503" i="33" s="1"/>
  <c r="H503" i="33" s="1"/>
  <c r="F482" i="33"/>
  <c r="G482" i="33" s="1"/>
  <c r="F496" i="33"/>
  <c r="G496" i="33" s="1"/>
  <c r="G497" i="33" s="1"/>
  <c r="F303" i="33"/>
  <c r="F304" i="33" s="1"/>
  <c r="E462" i="33"/>
  <c r="F475" i="33"/>
  <c r="G475" i="33" s="1"/>
  <c r="F605" i="33"/>
  <c r="G605" i="33" s="1"/>
  <c r="F619" i="33"/>
  <c r="F620" i="33" s="1"/>
  <c r="F468" i="33"/>
  <c r="G468" i="33" s="1"/>
  <c r="G469" i="33" s="1"/>
  <c r="G433" i="33"/>
  <c r="H433" i="33" s="1"/>
  <c r="F426" i="33"/>
  <c r="G426" i="33" s="1"/>
  <c r="F640" i="33"/>
  <c r="G661" i="33"/>
  <c r="G662" i="33" s="1"/>
  <c r="F662" i="33"/>
  <c r="F375" i="33"/>
  <c r="F376" i="33" s="1"/>
  <c r="F412" i="33"/>
  <c r="G412" i="33" s="1"/>
  <c r="H412" i="33" s="1"/>
  <c r="E420" i="33"/>
  <c r="F440" i="33"/>
  <c r="F441" i="33" s="1"/>
  <c r="E455" i="33"/>
  <c r="E592" i="33"/>
  <c r="E662" i="33"/>
  <c r="F668" i="33"/>
  <c r="F669" i="33" s="1"/>
  <c r="F633" i="33"/>
  <c r="F282" i="33"/>
  <c r="G282" i="33" s="1"/>
  <c r="G283" i="33" s="1"/>
  <c r="G591" i="33"/>
  <c r="E599" i="33"/>
  <c r="F598" i="33"/>
  <c r="E613" i="33"/>
  <c r="F612" i="33"/>
  <c r="E627" i="33"/>
  <c r="F626" i="33"/>
  <c r="E648" i="33"/>
  <c r="F647" i="33"/>
  <c r="F654" i="33"/>
  <c r="F675" i="33"/>
  <c r="G419" i="33"/>
  <c r="F455" i="33"/>
  <c r="G454" i="33"/>
  <c r="E406" i="33"/>
  <c r="F405" i="33"/>
  <c r="F462" i="33"/>
  <c r="G461" i="33"/>
  <c r="E448" i="33"/>
  <c r="F447" i="33"/>
  <c r="E490" i="33"/>
  <c r="F489" i="33"/>
  <c r="E511" i="33"/>
  <c r="F510" i="33"/>
  <c r="F396" i="33"/>
  <c r="F397" i="33" s="1"/>
  <c r="E204" i="33"/>
  <c r="E262" i="33"/>
  <c r="F389" i="33"/>
  <c r="G389" i="33" s="1"/>
  <c r="F140" i="33"/>
  <c r="G140" i="33" s="1"/>
  <c r="E183" i="33"/>
  <c r="F182" i="33"/>
  <c r="F183" i="33" s="1"/>
  <c r="E169" i="33"/>
  <c r="F168" i="33"/>
  <c r="F169" i="33" s="1"/>
  <c r="E211" i="33"/>
  <c r="F210" i="33"/>
  <c r="F211" i="33" s="1"/>
  <c r="G382" i="33"/>
  <c r="G383" i="33" s="1"/>
  <c r="F383" i="33"/>
  <c r="F133" i="33"/>
  <c r="E248" i="33"/>
  <c r="F247" i="33"/>
  <c r="F248" i="33" s="1"/>
  <c r="G275" i="33"/>
  <c r="H275" i="33" s="1"/>
  <c r="I275" i="33" s="1"/>
  <c r="G319" i="33"/>
  <c r="G320" i="33" s="1"/>
  <c r="E383" i="33"/>
  <c r="F219" i="33"/>
  <c r="F240" i="33"/>
  <c r="G240" i="33" s="1"/>
  <c r="E320" i="33"/>
  <c r="F347" i="33"/>
  <c r="F348" i="33" s="1"/>
  <c r="F354" i="33"/>
  <c r="F226" i="33"/>
  <c r="F227" i="33" s="1"/>
  <c r="F326" i="33"/>
  <c r="F333" i="33"/>
  <c r="F361" i="33"/>
  <c r="F340" i="33"/>
  <c r="F368" i="33"/>
  <c r="G233" i="33"/>
  <c r="E255" i="33"/>
  <c r="F254" i="33"/>
  <c r="F290" i="33"/>
  <c r="G289" i="33"/>
  <c r="E311" i="33"/>
  <c r="F310" i="33"/>
  <c r="F262" i="33"/>
  <c r="G261" i="33"/>
  <c r="E290" i="33"/>
  <c r="E297" i="33"/>
  <c r="F296" i="33"/>
  <c r="E269" i="33"/>
  <c r="F268" i="33"/>
  <c r="G203" i="33"/>
  <c r="F196" i="33"/>
  <c r="F189" i="33"/>
  <c r="G175" i="33"/>
  <c r="F161" i="33"/>
  <c r="F154" i="33"/>
  <c r="F155" i="33" s="1"/>
  <c r="F119" i="33"/>
  <c r="F120" i="33" s="1"/>
  <c r="F147" i="33"/>
  <c r="F126" i="33"/>
  <c r="E113" i="33"/>
  <c r="G112" i="33"/>
  <c r="F105" i="33"/>
  <c r="H2" i="30"/>
  <c r="I2" i="30"/>
  <c r="J2" i="30"/>
  <c r="K2" i="30"/>
  <c r="H2" i="31"/>
  <c r="I2" i="31"/>
  <c r="J2" i="31"/>
  <c r="K2" i="31"/>
  <c r="H8" i="31"/>
  <c r="I8" i="31"/>
  <c r="J8" i="31"/>
  <c r="K8" i="31"/>
  <c r="H10" i="31"/>
  <c r="I10" i="31"/>
  <c r="J10" i="31"/>
  <c r="K10" i="31"/>
  <c r="H15" i="31"/>
  <c r="I15" i="31"/>
  <c r="J15" i="31"/>
  <c r="K15" i="31"/>
  <c r="H16" i="31"/>
  <c r="I16" i="31"/>
  <c r="J16" i="31"/>
  <c r="K16" i="31"/>
  <c r="H17" i="31"/>
  <c r="I17" i="31"/>
  <c r="J17" i="31"/>
  <c r="K17" i="31"/>
  <c r="H19" i="31"/>
  <c r="I19" i="31"/>
  <c r="J19" i="31"/>
  <c r="K19" i="31"/>
  <c r="H11" i="2"/>
  <c r="I11" i="2"/>
  <c r="J11" i="2"/>
  <c r="K11" i="2"/>
  <c r="H24" i="31"/>
  <c r="I24" i="31"/>
  <c r="J24" i="31"/>
  <c r="K24" i="31"/>
  <c r="K26" i="31" s="1"/>
  <c r="H32" i="31"/>
  <c r="I32" i="31"/>
  <c r="J32" i="31"/>
  <c r="K32" i="31"/>
  <c r="H45" i="30"/>
  <c r="I45" i="30"/>
  <c r="J45" i="30"/>
  <c r="K45" i="30"/>
  <c r="H46" i="30"/>
  <c r="I46" i="30"/>
  <c r="J46" i="30"/>
  <c r="J47" i="30" s="1"/>
  <c r="J10" i="2" s="1"/>
  <c r="K46" i="30"/>
  <c r="H47" i="30"/>
  <c r="H10" i="2" s="1"/>
  <c r="I47" i="30"/>
  <c r="I10" i="2" s="1"/>
  <c r="H13" i="30"/>
  <c r="I13" i="30"/>
  <c r="J13" i="30"/>
  <c r="K13" i="30"/>
  <c r="E2" i="34"/>
  <c r="F2" i="34" s="1"/>
  <c r="G2" i="34" s="1"/>
  <c r="H2" i="34" s="1"/>
  <c r="I2" i="34" s="1"/>
  <c r="J2" i="34" s="1"/>
  <c r="K2" i="34" s="1"/>
  <c r="L2" i="34" s="1"/>
  <c r="E96" i="33"/>
  <c r="F96" i="33"/>
  <c r="G96" i="33"/>
  <c r="H96" i="33"/>
  <c r="I96" i="33"/>
  <c r="J96" i="33"/>
  <c r="K96" i="33"/>
  <c r="L96" i="33"/>
  <c r="D96" i="33"/>
  <c r="E92" i="33"/>
  <c r="F92" i="33"/>
  <c r="G92" i="33"/>
  <c r="H92" i="33"/>
  <c r="I92" i="33"/>
  <c r="J92" i="33"/>
  <c r="K92" i="33"/>
  <c r="L92" i="33"/>
  <c r="D92" i="33"/>
  <c r="D79" i="33"/>
  <c r="D84" i="33" s="1"/>
  <c r="D88" i="33" s="1"/>
  <c r="D95" i="33" s="1"/>
  <c r="E81" i="33"/>
  <c r="F81" i="33" s="1"/>
  <c r="G81" i="33" s="1"/>
  <c r="H81" i="33" s="1"/>
  <c r="I81" i="33" s="1"/>
  <c r="J81" i="33" s="1"/>
  <c r="K81" i="33" s="1"/>
  <c r="L81" i="33" s="1"/>
  <c r="E47" i="26"/>
  <c r="F47" i="26"/>
  <c r="G47" i="26"/>
  <c r="H47" i="26"/>
  <c r="I47" i="26"/>
  <c r="J47" i="26"/>
  <c r="K47" i="26"/>
  <c r="L47" i="26"/>
  <c r="D47" i="26"/>
  <c r="E46" i="26"/>
  <c r="F46" i="26"/>
  <c r="G46" i="26"/>
  <c r="H46" i="26"/>
  <c r="I46" i="26"/>
  <c r="J46" i="26"/>
  <c r="K46" i="26"/>
  <c r="L46" i="26"/>
  <c r="D46" i="26"/>
  <c r="E45" i="26"/>
  <c r="F45" i="26"/>
  <c r="G45" i="26"/>
  <c r="H45" i="26"/>
  <c r="I45" i="26"/>
  <c r="J45" i="26"/>
  <c r="K45" i="26"/>
  <c r="L45" i="26"/>
  <c r="D45" i="26"/>
  <c r="A43" i="26"/>
  <c r="E40" i="26"/>
  <c r="F40" i="26"/>
  <c r="G40" i="26"/>
  <c r="H40" i="26"/>
  <c r="I40" i="26"/>
  <c r="J40" i="26"/>
  <c r="K40" i="26"/>
  <c r="L40" i="26"/>
  <c r="D40" i="26"/>
  <c r="E39" i="26"/>
  <c r="F39" i="26"/>
  <c r="G39" i="26"/>
  <c r="H39" i="26"/>
  <c r="I39" i="26"/>
  <c r="J39" i="26"/>
  <c r="K39" i="26"/>
  <c r="L39" i="26"/>
  <c r="D39" i="26"/>
  <c r="E38" i="26"/>
  <c r="F38" i="26"/>
  <c r="G38" i="26"/>
  <c r="H38" i="26"/>
  <c r="I38" i="26"/>
  <c r="J38" i="26"/>
  <c r="K38" i="26"/>
  <c r="L38" i="26"/>
  <c r="D38" i="26"/>
  <c r="A36" i="26"/>
  <c r="E33" i="26"/>
  <c r="F33" i="26"/>
  <c r="G33" i="26"/>
  <c r="H33" i="26"/>
  <c r="I33" i="26"/>
  <c r="J33" i="26"/>
  <c r="K33" i="26"/>
  <c r="L33" i="26"/>
  <c r="D33" i="26"/>
  <c r="E32" i="26"/>
  <c r="F32" i="26"/>
  <c r="G32" i="26"/>
  <c r="H32" i="26"/>
  <c r="I32" i="26"/>
  <c r="J32" i="26"/>
  <c r="K32" i="26"/>
  <c r="L32" i="26"/>
  <c r="D32" i="26"/>
  <c r="E31" i="26"/>
  <c r="F31" i="26"/>
  <c r="G31" i="26"/>
  <c r="H31" i="26"/>
  <c r="I31" i="26"/>
  <c r="J31" i="26"/>
  <c r="K31" i="26"/>
  <c r="L31" i="26"/>
  <c r="D31" i="26"/>
  <c r="A29" i="26"/>
  <c r="E26" i="26"/>
  <c r="F26" i="26"/>
  <c r="G26" i="26"/>
  <c r="H26" i="26"/>
  <c r="I26" i="26"/>
  <c r="J26" i="26"/>
  <c r="K26" i="26"/>
  <c r="L26" i="26"/>
  <c r="D26" i="26"/>
  <c r="E25" i="26"/>
  <c r="F25" i="26"/>
  <c r="G25" i="26"/>
  <c r="H25" i="26"/>
  <c r="I25" i="26"/>
  <c r="J25" i="26"/>
  <c r="K25" i="26"/>
  <c r="L25" i="26"/>
  <c r="D25" i="26"/>
  <c r="E24" i="26"/>
  <c r="F24" i="26"/>
  <c r="G24" i="26"/>
  <c r="H24" i="26"/>
  <c r="I24" i="26"/>
  <c r="J24" i="26"/>
  <c r="K24" i="26"/>
  <c r="L24" i="26"/>
  <c r="D24" i="26"/>
  <c r="A22" i="26"/>
  <c r="E19" i="26"/>
  <c r="F19" i="26"/>
  <c r="G19" i="26"/>
  <c r="H19" i="26"/>
  <c r="I19" i="26"/>
  <c r="J19" i="26"/>
  <c r="K19" i="26"/>
  <c r="L19" i="26"/>
  <c r="D19" i="26"/>
  <c r="E18" i="26"/>
  <c r="F18" i="26"/>
  <c r="G18" i="26"/>
  <c r="H18" i="26"/>
  <c r="I18" i="26"/>
  <c r="J18" i="26"/>
  <c r="K18" i="26"/>
  <c r="L18" i="26"/>
  <c r="D18" i="26"/>
  <c r="E17" i="26"/>
  <c r="F17" i="26"/>
  <c r="G17" i="26"/>
  <c r="H17" i="26"/>
  <c r="I17" i="26"/>
  <c r="J17" i="26"/>
  <c r="K17" i="26"/>
  <c r="L17" i="26"/>
  <c r="D17" i="26"/>
  <c r="A15" i="26"/>
  <c r="E70" i="33"/>
  <c r="F70" i="33" s="1"/>
  <c r="G70" i="33" s="1"/>
  <c r="H70" i="33" s="1"/>
  <c r="I70" i="33" s="1"/>
  <c r="J70" i="33" s="1"/>
  <c r="K70" i="33" s="1"/>
  <c r="L70" i="33" s="1"/>
  <c r="E59" i="33"/>
  <c r="F59" i="33" s="1"/>
  <c r="G59" i="33" s="1"/>
  <c r="H59" i="33" s="1"/>
  <c r="I59" i="33" s="1"/>
  <c r="J59" i="33" s="1"/>
  <c r="K59" i="33" s="1"/>
  <c r="L59" i="33" s="1"/>
  <c r="E48" i="33"/>
  <c r="E37" i="33"/>
  <c r="F37" i="33" s="1"/>
  <c r="G37" i="33" s="1"/>
  <c r="H37" i="33" s="1"/>
  <c r="I37" i="33" s="1"/>
  <c r="J37" i="33" s="1"/>
  <c r="K37" i="33" s="1"/>
  <c r="L37" i="33" s="1"/>
  <c r="E10" i="26"/>
  <c r="F10" i="26"/>
  <c r="G10" i="26"/>
  <c r="H10" i="26"/>
  <c r="I10" i="26"/>
  <c r="J10" i="26"/>
  <c r="K10" i="26"/>
  <c r="L10" i="26"/>
  <c r="D10" i="26"/>
  <c r="E12" i="26"/>
  <c r="F12" i="26"/>
  <c r="G12" i="26"/>
  <c r="H12" i="26"/>
  <c r="I12" i="26"/>
  <c r="J12" i="26"/>
  <c r="K12" i="26"/>
  <c r="L12" i="26"/>
  <c r="D12" i="26"/>
  <c r="E11" i="26"/>
  <c r="F11" i="26"/>
  <c r="G11" i="26"/>
  <c r="H11" i="26"/>
  <c r="I11" i="26"/>
  <c r="J11" i="26"/>
  <c r="K11" i="26"/>
  <c r="L11" i="26"/>
  <c r="D11" i="26"/>
  <c r="E15" i="33"/>
  <c r="F15" i="33" s="1"/>
  <c r="G15" i="33" s="1"/>
  <c r="H15" i="33" s="1"/>
  <c r="I15" i="33" s="1"/>
  <c r="J15" i="33" s="1"/>
  <c r="K15" i="33" s="1"/>
  <c r="L15" i="33" s="1"/>
  <c r="K47" i="30" l="1"/>
  <c r="K10" i="2" s="1"/>
  <c r="D32" i="34"/>
  <c r="J32" i="34"/>
  <c r="I10" i="29" s="1"/>
  <c r="K22" i="34"/>
  <c r="L32" i="34"/>
  <c r="K10" i="29" s="1"/>
  <c r="E32" i="34"/>
  <c r="D10" i="29" s="1"/>
  <c r="G32" i="34"/>
  <c r="F10" i="29" s="1"/>
  <c r="I32" i="34"/>
  <c r="H10" i="29" s="1"/>
  <c r="K32" i="34"/>
  <c r="J10" i="29" s="1"/>
  <c r="I22" i="34"/>
  <c r="F22" i="34"/>
  <c r="H22" i="34"/>
  <c r="D22" i="34"/>
  <c r="J22" i="34"/>
  <c r="L22" i="34"/>
  <c r="H26" i="31"/>
  <c r="J26" i="31"/>
  <c r="I26" i="31"/>
  <c r="E10" i="36"/>
  <c r="D17" i="29" s="1"/>
  <c r="G575" i="33"/>
  <c r="G554" i="33"/>
  <c r="H554" i="33" s="1"/>
  <c r="F569" i="33"/>
  <c r="G568" i="33"/>
  <c r="F562" i="33"/>
  <c r="G561" i="33"/>
  <c r="F548" i="33"/>
  <c r="G547" i="33"/>
  <c r="F541" i="33"/>
  <c r="G540" i="33"/>
  <c r="G576" i="33"/>
  <c r="H575" i="33"/>
  <c r="F583" i="33"/>
  <c r="G582" i="33"/>
  <c r="H519" i="33"/>
  <c r="I519" i="33" s="1"/>
  <c r="J519" i="33" s="1"/>
  <c r="J520" i="33" s="1"/>
  <c r="F520" i="33"/>
  <c r="I526" i="33"/>
  <c r="I527" i="33" s="1"/>
  <c r="G534" i="33"/>
  <c r="F534" i="33"/>
  <c r="G527" i="33"/>
  <c r="I533" i="33"/>
  <c r="H534" i="33"/>
  <c r="G619" i="33"/>
  <c r="G620" i="33" s="1"/>
  <c r="F504" i="33"/>
  <c r="G504" i="33"/>
  <c r="G668" i="33"/>
  <c r="H668" i="33" s="1"/>
  <c r="F606" i="33"/>
  <c r="F483" i="33"/>
  <c r="H661" i="33"/>
  <c r="H662" i="33" s="1"/>
  <c r="H426" i="33"/>
  <c r="I426" i="33" s="1"/>
  <c r="J426" i="33" s="1"/>
  <c r="K426" i="33" s="1"/>
  <c r="F390" i="33"/>
  <c r="F497" i="33"/>
  <c r="H496" i="33"/>
  <c r="F413" i="33"/>
  <c r="G303" i="33"/>
  <c r="G304" i="33" s="1"/>
  <c r="G413" i="33"/>
  <c r="H468" i="33"/>
  <c r="G375" i="33"/>
  <c r="G376" i="33" s="1"/>
  <c r="H475" i="33"/>
  <c r="G640" i="33"/>
  <c r="G226" i="33"/>
  <c r="G227" i="33" s="1"/>
  <c r="F469" i="33"/>
  <c r="H282" i="33"/>
  <c r="I282" i="33" s="1"/>
  <c r="G396" i="33"/>
  <c r="H396" i="33" s="1"/>
  <c r="F283" i="33"/>
  <c r="G440" i="33"/>
  <c r="H440" i="33" s="1"/>
  <c r="G168" i="33"/>
  <c r="G169" i="33" s="1"/>
  <c r="G247" i="33"/>
  <c r="G248" i="33" s="1"/>
  <c r="H382" i="33"/>
  <c r="H383" i="33" s="1"/>
  <c r="H319" i="33"/>
  <c r="H320" i="33" s="1"/>
  <c r="G154" i="33"/>
  <c r="G155" i="33" s="1"/>
  <c r="G633" i="33"/>
  <c r="F634" i="33"/>
  <c r="G592" i="33"/>
  <c r="H591" i="33"/>
  <c r="F676" i="33"/>
  <c r="G675" i="33"/>
  <c r="F599" i="33"/>
  <c r="G598" i="33"/>
  <c r="F655" i="33"/>
  <c r="G654" i="33"/>
  <c r="F648" i="33"/>
  <c r="G647" i="33"/>
  <c r="F627" i="33"/>
  <c r="G626" i="33"/>
  <c r="F613" i="33"/>
  <c r="G612" i="33"/>
  <c r="G606" i="33"/>
  <c r="H605" i="33"/>
  <c r="I433" i="33"/>
  <c r="H413" i="33"/>
  <c r="I412" i="33"/>
  <c r="G483" i="33"/>
  <c r="H482" i="33"/>
  <c r="G455" i="33"/>
  <c r="H454" i="33"/>
  <c r="F490" i="33"/>
  <c r="G489" i="33"/>
  <c r="H504" i="33"/>
  <c r="I503" i="33"/>
  <c r="F448" i="33"/>
  <c r="G447" i="33"/>
  <c r="F406" i="33"/>
  <c r="G405" i="33"/>
  <c r="G420" i="33"/>
  <c r="H419" i="33"/>
  <c r="G462" i="33"/>
  <c r="H461" i="33"/>
  <c r="F511" i="33"/>
  <c r="G510" i="33"/>
  <c r="G133" i="33"/>
  <c r="H133" i="33" s="1"/>
  <c r="G182" i="33"/>
  <c r="G183" i="33" s="1"/>
  <c r="G347" i="33"/>
  <c r="H347" i="33" s="1"/>
  <c r="G210" i="33"/>
  <c r="G211" i="33" s="1"/>
  <c r="F355" i="33"/>
  <c r="G354" i="33"/>
  <c r="F220" i="33"/>
  <c r="G219" i="33"/>
  <c r="G340" i="33"/>
  <c r="G368" i="33"/>
  <c r="F369" i="33"/>
  <c r="G390" i="33"/>
  <c r="H389" i="33"/>
  <c r="F327" i="33"/>
  <c r="G326" i="33"/>
  <c r="F334" i="33"/>
  <c r="G333" i="33"/>
  <c r="G361" i="33"/>
  <c r="F362" i="33"/>
  <c r="G254" i="33"/>
  <c r="F255" i="33"/>
  <c r="J275" i="33"/>
  <c r="H261" i="33"/>
  <c r="G262" i="33"/>
  <c r="F311" i="33"/>
  <c r="G310" i="33"/>
  <c r="G290" i="33"/>
  <c r="H289" i="33"/>
  <c r="H233" i="33"/>
  <c r="F269" i="33"/>
  <c r="G268" i="33"/>
  <c r="F297" i="33"/>
  <c r="G296" i="33"/>
  <c r="H240" i="33"/>
  <c r="G204" i="33"/>
  <c r="H203" i="33"/>
  <c r="F197" i="33"/>
  <c r="G196" i="33"/>
  <c r="F190" i="33"/>
  <c r="G189" i="33"/>
  <c r="H175" i="33"/>
  <c r="F162" i="33"/>
  <c r="G161" i="33"/>
  <c r="H140" i="33"/>
  <c r="G119" i="33"/>
  <c r="G120" i="33" s="1"/>
  <c r="F148" i="33"/>
  <c r="G147" i="33"/>
  <c r="F127" i="33"/>
  <c r="G126" i="33"/>
  <c r="H112" i="33"/>
  <c r="G113" i="33"/>
  <c r="F106" i="33"/>
  <c r="G105" i="33"/>
  <c r="D56" i="26"/>
  <c r="D50" i="26"/>
  <c r="E79" i="33"/>
  <c r="E50" i="26" s="1"/>
  <c r="D52" i="26"/>
  <c r="F48" i="33"/>
  <c r="E26" i="33"/>
  <c r="F26" i="33" s="1"/>
  <c r="G26" i="33" s="1"/>
  <c r="H26" i="33" s="1"/>
  <c r="I26" i="33" s="1"/>
  <c r="J26" i="33" s="1"/>
  <c r="K26" i="33" s="1"/>
  <c r="L26" i="33" s="1"/>
  <c r="D34" i="32"/>
  <c r="E34" i="32" s="1"/>
  <c r="F34" i="32" s="1"/>
  <c r="G34" i="32" s="1"/>
  <c r="D31" i="32"/>
  <c r="E31" i="32" s="1"/>
  <c r="F31" i="32" s="1"/>
  <c r="G31" i="32" s="1"/>
  <c r="D28" i="32"/>
  <c r="E28" i="32" s="1"/>
  <c r="F28" i="32" s="1"/>
  <c r="G28" i="32" s="1"/>
  <c r="D25" i="32"/>
  <c r="E25" i="32" s="1"/>
  <c r="F25" i="32" s="1"/>
  <c r="G25" i="32" s="1"/>
  <c r="D22" i="32"/>
  <c r="E22" i="32" s="1"/>
  <c r="F22" i="32" s="1"/>
  <c r="G22" i="32" s="1"/>
  <c r="D19" i="32"/>
  <c r="E19" i="32" s="1"/>
  <c r="F19" i="32" s="1"/>
  <c r="G19" i="32" s="1"/>
  <c r="E16" i="32"/>
  <c r="D16" i="32"/>
  <c r="G13" i="32"/>
  <c r="F13" i="32"/>
  <c r="E13" i="32"/>
  <c r="D13" i="32"/>
  <c r="D10" i="32"/>
  <c r="E10" i="32" s="1"/>
  <c r="F10" i="32" s="1"/>
  <c r="G10" i="32" s="1"/>
  <c r="D7" i="32"/>
  <c r="E11" i="36" l="1"/>
  <c r="G555" i="33"/>
  <c r="K519" i="33"/>
  <c r="G569" i="33"/>
  <c r="H568" i="33"/>
  <c r="J526" i="33"/>
  <c r="K526" i="33" s="1"/>
  <c r="I520" i="33"/>
  <c r="H520" i="33"/>
  <c r="H576" i="33"/>
  <c r="I575" i="33"/>
  <c r="H555" i="33"/>
  <c r="I554" i="33"/>
  <c r="G541" i="33"/>
  <c r="H540" i="33"/>
  <c r="G583" i="33"/>
  <c r="H582" i="33"/>
  <c r="G548" i="33"/>
  <c r="H547" i="33"/>
  <c r="G562" i="33"/>
  <c r="H561" i="33"/>
  <c r="J533" i="33"/>
  <c r="I534" i="33"/>
  <c r="L519" i="33"/>
  <c r="L520" i="33" s="1"/>
  <c r="K520" i="33"/>
  <c r="H619" i="33"/>
  <c r="H620" i="33" s="1"/>
  <c r="G669" i="33"/>
  <c r="I475" i="33"/>
  <c r="I661" i="33"/>
  <c r="I662" i="33" s="1"/>
  <c r="H168" i="33"/>
  <c r="I168" i="33" s="1"/>
  <c r="H154" i="33"/>
  <c r="H155" i="33" s="1"/>
  <c r="G348" i="33"/>
  <c r="H375" i="33"/>
  <c r="I375" i="33" s="1"/>
  <c r="H283" i="33"/>
  <c r="I496" i="33"/>
  <c r="H497" i="33"/>
  <c r="I319" i="33"/>
  <c r="J319" i="33" s="1"/>
  <c r="G397" i="33"/>
  <c r="H303" i="33"/>
  <c r="H304" i="33" s="1"/>
  <c r="H247" i="33"/>
  <c r="I247" i="33" s="1"/>
  <c r="H640" i="33"/>
  <c r="G441" i="33"/>
  <c r="H226" i="33"/>
  <c r="I226" i="33" s="1"/>
  <c r="I468" i="33"/>
  <c r="H469" i="33"/>
  <c r="H210" i="33"/>
  <c r="I210" i="33" s="1"/>
  <c r="I382" i="33"/>
  <c r="I383" i="33" s="1"/>
  <c r="H182" i="33"/>
  <c r="H183" i="33" s="1"/>
  <c r="G634" i="33"/>
  <c r="H633" i="33"/>
  <c r="G648" i="33"/>
  <c r="H647" i="33"/>
  <c r="G599" i="33"/>
  <c r="H598" i="33"/>
  <c r="H669" i="33"/>
  <c r="I668" i="33"/>
  <c r="H675" i="33"/>
  <c r="G676" i="33"/>
  <c r="H654" i="33"/>
  <c r="G655" i="33"/>
  <c r="H592" i="33"/>
  <c r="I591" i="33"/>
  <c r="H606" i="33"/>
  <c r="I605" i="33"/>
  <c r="G613" i="33"/>
  <c r="H612" i="33"/>
  <c r="G627" i="33"/>
  <c r="H626" i="33"/>
  <c r="H510" i="33"/>
  <c r="G511" i="33"/>
  <c r="I440" i="33"/>
  <c r="H441" i="33"/>
  <c r="J503" i="33"/>
  <c r="I504" i="33"/>
  <c r="H455" i="33"/>
  <c r="I454" i="33"/>
  <c r="J412" i="33"/>
  <c r="I413" i="33"/>
  <c r="J433" i="33"/>
  <c r="H462" i="33"/>
  <c r="I461" i="33"/>
  <c r="I419" i="33"/>
  <c r="H420" i="33"/>
  <c r="H405" i="33"/>
  <c r="G406" i="33"/>
  <c r="H447" i="33"/>
  <c r="G448" i="33"/>
  <c r="J475" i="33"/>
  <c r="H489" i="33"/>
  <c r="G490" i="33"/>
  <c r="I482" i="33"/>
  <c r="H483" i="33"/>
  <c r="L426" i="33"/>
  <c r="H397" i="33"/>
  <c r="I396" i="33"/>
  <c r="G220" i="33"/>
  <c r="H219" i="33"/>
  <c r="G355" i="33"/>
  <c r="H354" i="33"/>
  <c r="G369" i="33"/>
  <c r="H368" i="33"/>
  <c r="G334" i="33"/>
  <c r="H333" i="33"/>
  <c r="H390" i="33"/>
  <c r="I389" i="33"/>
  <c r="I347" i="33"/>
  <c r="H348" i="33"/>
  <c r="G327" i="33"/>
  <c r="H326" i="33"/>
  <c r="G362" i="33"/>
  <c r="H361" i="33"/>
  <c r="H340" i="33"/>
  <c r="G311" i="33"/>
  <c r="H310" i="33"/>
  <c r="K275" i="33"/>
  <c r="I233" i="33"/>
  <c r="I240" i="33"/>
  <c r="G297" i="33"/>
  <c r="H296" i="33"/>
  <c r="G269" i="33"/>
  <c r="H268" i="33"/>
  <c r="H290" i="33"/>
  <c r="I289" i="33"/>
  <c r="I283" i="33"/>
  <c r="J282" i="33"/>
  <c r="H262" i="33"/>
  <c r="I261" i="33"/>
  <c r="G255" i="33"/>
  <c r="H254" i="33"/>
  <c r="H204" i="33"/>
  <c r="I203" i="33"/>
  <c r="G197" i="33"/>
  <c r="H196" i="33"/>
  <c r="G190" i="33"/>
  <c r="H189" i="33"/>
  <c r="I175" i="33"/>
  <c r="G162" i="33"/>
  <c r="H161" i="33"/>
  <c r="I140" i="33"/>
  <c r="I133" i="33"/>
  <c r="H119" i="33"/>
  <c r="I119" i="33" s="1"/>
  <c r="G148" i="33"/>
  <c r="H147" i="33"/>
  <c r="G127" i="33"/>
  <c r="H126" i="33"/>
  <c r="H113" i="33"/>
  <c r="I112" i="33"/>
  <c r="H105" i="33"/>
  <c r="G106" i="33"/>
  <c r="E84" i="33"/>
  <c r="E88" i="33" s="1"/>
  <c r="E95" i="33" s="1"/>
  <c r="E56" i="26" s="1"/>
  <c r="F79" i="33"/>
  <c r="F84" i="33" s="1"/>
  <c r="F88" i="33" s="1"/>
  <c r="F95" i="33" s="1"/>
  <c r="F56" i="26" s="1"/>
  <c r="G48" i="33"/>
  <c r="E2" i="26"/>
  <c r="F2" i="26" s="1"/>
  <c r="G2" i="26" s="1"/>
  <c r="H2" i="26" s="1"/>
  <c r="I2" i="26" s="1"/>
  <c r="J2" i="26" s="1"/>
  <c r="K2" i="26" s="1"/>
  <c r="L2" i="26" s="1"/>
  <c r="A8" i="26"/>
  <c r="E2" i="33"/>
  <c r="F2" i="33" s="1"/>
  <c r="G2" i="33" s="1"/>
  <c r="H2" i="33" s="1"/>
  <c r="I2" i="33" s="1"/>
  <c r="J2" i="33" s="1"/>
  <c r="K2" i="33" s="1"/>
  <c r="L2" i="33" s="1"/>
  <c r="F8" i="36" l="1"/>
  <c r="F10" i="36" s="1"/>
  <c r="E17" i="29" s="1"/>
  <c r="D28" i="30"/>
  <c r="C4" i="29"/>
  <c r="C8" i="39" s="1"/>
  <c r="J527" i="33"/>
  <c r="H569" i="33"/>
  <c r="I568" i="33"/>
  <c r="H583" i="33"/>
  <c r="I582" i="33"/>
  <c r="I555" i="33"/>
  <c r="J554" i="33"/>
  <c r="H562" i="33"/>
  <c r="I561" i="33"/>
  <c r="H541" i="33"/>
  <c r="I540" i="33"/>
  <c r="I576" i="33"/>
  <c r="J575" i="33"/>
  <c r="H548" i="33"/>
  <c r="I547" i="33"/>
  <c r="K533" i="33"/>
  <c r="J534" i="33"/>
  <c r="I619" i="33"/>
  <c r="I620" i="33" s="1"/>
  <c r="L526" i="33"/>
  <c r="L527" i="33" s="1"/>
  <c r="K527" i="33"/>
  <c r="J661" i="33"/>
  <c r="J662" i="33" s="1"/>
  <c r="H376" i="33"/>
  <c r="H169" i="33"/>
  <c r="I320" i="33"/>
  <c r="H211" i="33"/>
  <c r="I154" i="33"/>
  <c r="J154" i="33" s="1"/>
  <c r="I640" i="33"/>
  <c r="J640" i="33" s="1"/>
  <c r="H248" i="33"/>
  <c r="J382" i="33"/>
  <c r="K382" i="33" s="1"/>
  <c r="I303" i="33"/>
  <c r="I497" i="33"/>
  <c r="J496" i="33"/>
  <c r="I182" i="33"/>
  <c r="J182" i="33" s="1"/>
  <c r="H227" i="33"/>
  <c r="I469" i="33"/>
  <c r="J468" i="33"/>
  <c r="H634" i="33"/>
  <c r="I633" i="33"/>
  <c r="H627" i="33"/>
  <c r="I626" i="33"/>
  <c r="H599" i="33"/>
  <c r="I598" i="33"/>
  <c r="I647" i="33"/>
  <c r="H648" i="33"/>
  <c r="H676" i="33"/>
  <c r="I675" i="33"/>
  <c r="H613" i="33"/>
  <c r="I612" i="33"/>
  <c r="I592" i="33"/>
  <c r="J591" i="33"/>
  <c r="J619" i="33"/>
  <c r="J668" i="33"/>
  <c r="I669" i="33"/>
  <c r="J605" i="33"/>
  <c r="I606" i="33"/>
  <c r="H655" i="33"/>
  <c r="I654" i="33"/>
  <c r="H490" i="33"/>
  <c r="I489" i="33"/>
  <c r="H448" i="33"/>
  <c r="I447" i="33"/>
  <c r="J419" i="33"/>
  <c r="I420" i="33"/>
  <c r="J504" i="33"/>
  <c r="K503" i="33"/>
  <c r="J440" i="33"/>
  <c r="I441" i="33"/>
  <c r="H511" i="33"/>
  <c r="I510" i="33"/>
  <c r="J461" i="33"/>
  <c r="I462" i="33"/>
  <c r="I455" i="33"/>
  <c r="J454" i="33"/>
  <c r="I483" i="33"/>
  <c r="J482" i="33"/>
  <c r="K475" i="33"/>
  <c r="I405" i="33"/>
  <c r="H406" i="33"/>
  <c r="K433" i="33"/>
  <c r="J413" i="33"/>
  <c r="K412" i="33"/>
  <c r="I376" i="33"/>
  <c r="J375" i="33"/>
  <c r="I354" i="33"/>
  <c r="H355" i="33"/>
  <c r="I397" i="33"/>
  <c r="J396" i="33"/>
  <c r="I219" i="33"/>
  <c r="H220" i="33"/>
  <c r="J347" i="33"/>
  <c r="I348" i="33"/>
  <c r="I340" i="33"/>
  <c r="I361" i="33"/>
  <c r="H362" i="33"/>
  <c r="H334" i="33"/>
  <c r="I333" i="33"/>
  <c r="K319" i="33"/>
  <c r="J320" i="33"/>
  <c r="H369" i="33"/>
  <c r="I368" i="33"/>
  <c r="H327" i="33"/>
  <c r="I326" i="33"/>
  <c r="I390" i="33"/>
  <c r="J389" i="33"/>
  <c r="J240" i="33"/>
  <c r="I310" i="33"/>
  <c r="H311" i="33"/>
  <c r="J226" i="33"/>
  <c r="I227" i="33"/>
  <c r="J247" i="33"/>
  <c r="I248" i="33"/>
  <c r="J233" i="33"/>
  <c r="H269" i="33"/>
  <c r="I268" i="33"/>
  <c r="H297" i="33"/>
  <c r="I296" i="33"/>
  <c r="L275" i="33"/>
  <c r="I290" i="33"/>
  <c r="J289" i="33"/>
  <c r="I254" i="33"/>
  <c r="H255" i="33"/>
  <c r="I262" i="33"/>
  <c r="J261" i="33"/>
  <c r="J283" i="33"/>
  <c r="K282" i="33"/>
  <c r="I211" i="33"/>
  <c r="J210" i="33"/>
  <c r="I204" i="33"/>
  <c r="J203" i="33"/>
  <c r="I196" i="33"/>
  <c r="H197" i="33"/>
  <c r="H190" i="33"/>
  <c r="I189" i="33"/>
  <c r="J175" i="33"/>
  <c r="I169" i="33"/>
  <c r="J168" i="33"/>
  <c r="H162" i="33"/>
  <c r="I161" i="33"/>
  <c r="J140" i="33"/>
  <c r="J133" i="33"/>
  <c r="H120" i="33"/>
  <c r="J119" i="33"/>
  <c r="I120" i="33"/>
  <c r="H148" i="33"/>
  <c r="I147" i="33"/>
  <c r="H127" i="33"/>
  <c r="I126" i="33"/>
  <c r="I113" i="33"/>
  <c r="J112" i="33"/>
  <c r="I105" i="33"/>
  <c r="H106" i="33"/>
  <c r="D13" i="29"/>
  <c r="E13" i="29"/>
  <c r="G79" i="33"/>
  <c r="G84" i="33" s="1"/>
  <c r="G52" i="26" s="1"/>
  <c r="E52" i="26"/>
  <c r="F50" i="26"/>
  <c r="F52" i="26"/>
  <c r="H48" i="33"/>
  <c r="F58" i="26" l="1"/>
  <c r="E4" i="29" s="1"/>
  <c r="E8" i="39" s="1"/>
  <c r="C17" i="39" s="1"/>
  <c r="F11" i="36"/>
  <c r="G8" i="36" s="1"/>
  <c r="I569" i="33"/>
  <c r="J568" i="33"/>
  <c r="I562" i="33"/>
  <c r="J561" i="33"/>
  <c r="I548" i="33"/>
  <c r="J547" i="33"/>
  <c r="I541" i="33"/>
  <c r="J540" i="33"/>
  <c r="J576" i="33"/>
  <c r="K575" i="33"/>
  <c r="J555" i="33"/>
  <c r="K554" i="33"/>
  <c r="I583" i="33"/>
  <c r="J582" i="33"/>
  <c r="L533" i="33"/>
  <c r="L534" i="33" s="1"/>
  <c r="K534" i="33"/>
  <c r="K661" i="33"/>
  <c r="K662" i="33" s="1"/>
  <c r="I183" i="33"/>
  <c r="I155" i="33"/>
  <c r="J383" i="33"/>
  <c r="J303" i="33"/>
  <c r="I304" i="33"/>
  <c r="K496" i="33"/>
  <c r="J497" i="33"/>
  <c r="K468" i="33"/>
  <c r="J469" i="33"/>
  <c r="I634" i="33"/>
  <c r="J633" i="33"/>
  <c r="I655" i="33"/>
  <c r="J654" i="33"/>
  <c r="I627" i="33"/>
  <c r="J626" i="33"/>
  <c r="J606" i="33"/>
  <c r="K605" i="33"/>
  <c r="J669" i="33"/>
  <c r="K668" i="33"/>
  <c r="J620" i="33"/>
  <c r="K619" i="33"/>
  <c r="I613" i="33"/>
  <c r="J612" i="33"/>
  <c r="J592" i="33"/>
  <c r="K591" i="33"/>
  <c r="I676" i="33"/>
  <c r="J675" i="33"/>
  <c r="I599" i="33"/>
  <c r="J598" i="33"/>
  <c r="K640" i="33"/>
  <c r="I648" i="33"/>
  <c r="J647" i="33"/>
  <c r="K413" i="33"/>
  <c r="L412" i="33"/>
  <c r="L413" i="33" s="1"/>
  <c r="I490" i="33"/>
  <c r="J489" i="33"/>
  <c r="J462" i="33"/>
  <c r="K461" i="33"/>
  <c r="J441" i="33"/>
  <c r="K440" i="33"/>
  <c r="K419" i="33"/>
  <c r="J420" i="33"/>
  <c r="J483" i="33"/>
  <c r="K482" i="33"/>
  <c r="K454" i="33"/>
  <c r="J455" i="33"/>
  <c r="I511" i="33"/>
  <c r="J510" i="33"/>
  <c r="K504" i="33"/>
  <c r="L503" i="33"/>
  <c r="L504" i="33" s="1"/>
  <c r="I448" i="33"/>
  <c r="J447" i="33"/>
  <c r="L475" i="33"/>
  <c r="L433" i="33"/>
  <c r="I406" i="33"/>
  <c r="J405" i="33"/>
  <c r="K396" i="33"/>
  <c r="J397" i="33"/>
  <c r="J219" i="33"/>
  <c r="I220" i="33"/>
  <c r="J354" i="33"/>
  <c r="I355" i="33"/>
  <c r="K375" i="33"/>
  <c r="J376" i="33"/>
  <c r="K383" i="33"/>
  <c r="L382" i="33"/>
  <c r="L383" i="33" s="1"/>
  <c r="I369" i="33"/>
  <c r="J368" i="33"/>
  <c r="J390" i="33"/>
  <c r="K389" i="33"/>
  <c r="J340" i="33"/>
  <c r="I327" i="33"/>
  <c r="J326" i="33"/>
  <c r="I334" i="33"/>
  <c r="J333" i="33"/>
  <c r="K320" i="33"/>
  <c r="L319" i="33"/>
  <c r="L320" i="33" s="1"/>
  <c r="I362" i="33"/>
  <c r="J361" i="33"/>
  <c r="J348" i="33"/>
  <c r="K347" i="33"/>
  <c r="J290" i="33"/>
  <c r="K289" i="33"/>
  <c r="K233" i="33"/>
  <c r="K240" i="33"/>
  <c r="I297" i="33"/>
  <c r="J296" i="33"/>
  <c r="K283" i="33"/>
  <c r="L282" i="33"/>
  <c r="L283" i="33" s="1"/>
  <c r="I269" i="33"/>
  <c r="J268" i="33"/>
  <c r="J262" i="33"/>
  <c r="K261" i="33"/>
  <c r="I255" i="33"/>
  <c r="J254" i="33"/>
  <c r="J248" i="33"/>
  <c r="K247" i="33"/>
  <c r="J227" i="33"/>
  <c r="K226" i="33"/>
  <c r="J310" i="33"/>
  <c r="I311" i="33"/>
  <c r="J211" i="33"/>
  <c r="K210" i="33"/>
  <c r="J204" i="33"/>
  <c r="K203" i="33"/>
  <c r="I197" i="33"/>
  <c r="J196" i="33"/>
  <c r="I190" i="33"/>
  <c r="J189" i="33"/>
  <c r="J183" i="33"/>
  <c r="K182" i="33"/>
  <c r="K175" i="33"/>
  <c r="J169" i="33"/>
  <c r="K168" i="33"/>
  <c r="I162" i="33"/>
  <c r="J161" i="33"/>
  <c r="J155" i="33"/>
  <c r="K154" i="33"/>
  <c r="K140" i="33"/>
  <c r="K133" i="33"/>
  <c r="J120" i="33"/>
  <c r="K119" i="33"/>
  <c r="I148" i="33"/>
  <c r="J147" i="33"/>
  <c r="I127" i="33"/>
  <c r="J126" i="33"/>
  <c r="J113" i="33"/>
  <c r="K112" i="33"/>
  <c r="I106" i="33"/>
  <c r="J105" i="33"/>
  <c r="F13" i="29"/>
  <c r="G50" i="26"/>
  <c r="G88" i="33"/>
  <c r="G95" i="33" s="1"/>
  <c r="G56" i="26" s="1"/>
  <c r="H79" i="33"/>
  <c r="H84" i="33" s="1"/>
  <c r="H88" i="33" s="1"/>
  <c r="H95" i="33" s="1"/>
  <c r="H56" i="26" s="1"/>
  <c r="D4" i="29"/>
  <c r="D8" i="39" s="1"/>
  <c r="I48" i="33"/>
  <c r="G10" i="36" l="1"/>
  <c r="F17" i="29" s="1"/>
  <c r="E28" i="30"/>
  <c r="G58" i="26"/>
  <c r="K568" i="33"/>
  <c r="J569" i="33"/>
  <c r="K555" i="33"/>
  <c r="L554" i="33"/>
  <c r="L555" i="33" s="1"/>
  <c r="J541" i="33"/>
  <c r="K540" i="33"/>
  <c r="J562" i="33"/>
  <c r="K561" i="33"/>
  <c r="J583" i="33"/>
  <c r="K582" i="33"/>
  <c r="K576" i="33"/>
  <c r="L575" i="33"/>
  <c r="L576" i="33" s="1"/>
  <c r="J548" i="33"/>
  <c r="K547" i="33"/>
  <c r="L661" i="33"/>
  <c r="L662" i="33" s="1"/>
  <c r="K303" i="33"/>
  <c r="J304" i="33"/>
  <c r="K497" i="33"/>
  <c r="L496" i="33"/>
  <c r="L497" i="33" s="1"/>
  <c r="K469" i="33"/>
  <c r="L468" i="33"/>
  <c r="L469" i="33" s="1"/>
  <c r="J634" i="33"/>
  <c r="K633" i="33"/>
  <c r="K669" i="33"/>
  <c r="L668" i="33"/>
  <c r="L669" i="33" s="1"/>
  <c r="J627" i="33"/>
  <c r="K626" i="33"/>
  <c r="L640" i="33"/>
  <c r="K620" i="33"/>
  <c r="L619" i="33"/>
  <c r="L620" i="33" s="1"/>
  <c r="J676" i="33"/>
  <c r="K675" i="33"/>
  <c r="K592" i="33"/>
  <c r="L591" i="33"/>
  <c r="L592" i="33" s="1"/>
  <c r="J613" i="33"/>
  <c r="K612" i="33"/>
  <c r="K606" i="33"/>
  <c r="L605" i="33"/>
  <c r="L606" i="33" s="1"/>
  <c r="J655" i="33"/>
  <c r="K654" i="33"/>
  <c r="J648" i="33"/>
  <c r="K647" i="33"/>
  <c r="J599" i="33"/>
  <c r="K598" i="33"/>
  <c r="J406" i="33"/>
  <c r="K405" i="33"/>
  <c r="J448" i="33"/>
  <c r="K447" i="33"/>
  <c r="J511" i="33"/>
  <c r="K510" i="33"/>
  <c r="K483" i="33"/>
  <c r="L482" i="33"/>
  <c r="L483" i="33" s="1"/>
  <c r="K441" i="33"/>
  <c r="L440" i="33"/>
  <c r="L441" i="33" s="1"/>
  <c r="K462" i="33"/>
  <c r="L461" i="33"/>
  <c r="L462" i="33" s="1"/>
  <c r="J490" i="33"/>
  <c r="K489" i="33"/>
  <c r="K455" i="33"/>
  <c r="L454" i="33"/>
  <c r="L455" i="33" s="1"/>
  <c r="K420" i="33"/>
  <c r="L419" i="33"/>
  <c r="L420" i="33" s="1"/>
  <c r="K376" i="33"/>
  <c r="L375" i="33"/>
  <c r="L376" i="33" s="1"/>
  <c r="K397" i="33"/>
  <c r="L396" i="33"/>
  <c r="L397" i="33" s="1"/>
  <c r="K219" i="33"/>
  <c r="J220" i="33"/>
  <c r="J355" i="33"/>
  <c r="K354" i="33"/>
  <c r="J362" i="33"/>
  <c r="K361" i="33"/>
  <c r="J334" i="33"/>
  <c r="K333" i="33"/>
  <c r="K348" i="33"/>
  <c r="L347" i="33"/>
  <c r="L348" i="33" s="1"/>
  <c r="J327" i="33"/>
  <c r="K326" i="33"/>
  <c r="K390" i="33"/>
  <c r="L389" i="33"/>
  <c r="L390" i="33" s="1"/>
  <c r="J369" i="33"/>
  <c r="K368" i="33"/>
  <c r="K340" i="33"/>
  <c r="K227" i="33"/>
  <c r="L226" i="33"/>
  <c r="L227" i="33" s="1"/>
  <c r="K290" i="33"/>
  <c r="L289" i="33"/>
  <c r="L290" i="33" s="1"/>
  <c r="L240" i="33"/>
  <c r="L261" i="33"/>
  <c r="L262" i="33" s="1"/>
  <c r="K262" i="33"/>
  <c r="K248" i="33"/>
  <c r="L247" i="33"/>
  <c r="L248" i="33" s="1"/>
  <c r="J269" i="33"/>
  <c r="K268" i="33"/>
  <c r="J297" i="33"/>
  <c r="K296" i="33"/>
  <c r="L233" i="33"/>
  <c r="J255" i="33"/>
  <c r="K254" i="33"/>
  <c r="J311" i="33"/>
  <c r="K310" i="33"/>
  <c r="K211" i="33"/>
  <c r="L210" i="33"/>
  <c r="L211" i="33" s="1"/>
  <c r="K204" i="33"/>
  <c r="L203" i="33"/>
  <c r="L204" i="33" s="1"/>
  <c r="J197" i="33"/>
  <c r="K196" i="33"/>
  <c r="J190" i="33"/>
  <c r="K189" i="33"/>
  <c r="K183" i="33"/>
  <c r="L182" i="33"/>
  <c r="L183" i="33" s="1"/>
  <c r="L175" i="33"/>
  <c r="K169" i="33"/>
  <c r="L168" i="33"/>
  <c r="L169" i="33" s="1"/>
  <c r="J162" i="33"/>
  <c r="K161" i="33"/>
  <c r="K155" i="33"/>
  <c r="L154" i="33"/>
  <c r="L155" i="33" s="1"/>
  <c r="L140" i="33"/>
  <c r="L133" i="33"/>
  <c r="K120" i="33"/>
  <c r="L119" i="33"/>
  <c r="L120" i="33" s="1"/>
  <c r="J148" i="33"/>
  <c r="K147" i="33"/>
  <c r="J127" i="33"/>
  <c r="K126" i="33"/>
  <c r="L112" i="33"/>
  <c r="L113" i="33" s="1"/>
  <c r="K113" i="33"/>
  <c r="J106" i="33"/>
  <c r="K105" i="33"/>
  <c r="G13" i="29"/>
  <c r="H52" i="26"/>
  <c r="H50" i="26"/>
  <c r="H58" i="26" s="1"/>
  <c r="I79" i="33"/>
  <c r="I84" i="33" s="1"/>
  <c r="I88" i="33" s="1"/>
  <c r="I95" i="33" s="1"/>
  <c r="I56" i="26" s="1"/>
  <c r="J48" i="33"/>
  <c r="G11" i="36" l="1"/>
  <c r="K569" i="33"/>
  <c r="L568" i="33"/>
  <c r="L569" i="33" s="1"/>
  <c r="K548" i="33"/>
  <c r="L547" i="33"/>
  <c r="L548" i="33" s="1"/>
  <c r="K583" i="33"/>
  <c r="L582" i="33"/>
  <c r="L583" i="33" s="1"/>
  <c r="K541" i="33"/>
  <c r="L540" i="33"/>
  <c r="L541" i="33" s="1"/>
  <c r="K562" i="33"/>
  <c r="L561" i="33"/>
  <c r="L562" i="33" s="1"/>
  <c r="K304" i="33"/>
  <c r="L303" i="33"/>
  <c r="L304" i="33" s="1"/>
  <c r="L633" i="33"/>
  <c r="L634" i="33" s="1"/>
  <c r="K634" i="33"/>
  <c r="K599" i="33"/>
  <c r="L598" i="33"/>
  <c r="L599" i="33" s="1"/>
  <c r="K613" i="33"/>
  <c r="L612" i="33"/>
  <c r="L613" i="33" s="1"/>
  <c r="L654" i="33"/>
  <c r="L655" i="33" s="1"/>
  <c r="K655" i="33"/>
  <c r="K676" i="33"/>
  <c r="L675" i="33"/>
  <c r="L676" i="33" s="1"/>
  <c r="K627" i="33"/>
  <c r="L626" i="33"/>
  <c r="L627" i="33" s="1"/>
  <c r="K648" i="33"/>
  <c r="L647" i="33"/>
  <c r="L648" i="33" s="1"/>
  <c r="K511" i="33"/>
  <c r="L510" i="33"/>
  <c r="L511" i="33" s="1"/>
  <c r="K490" i="33"/>
  <c r="L489" i="33"/>
  <c r="L490" i="33" s="1"/>
  <c r="K448" i="33"/>
  <c r="L447" i="33"/>
  <c r="L448" i="33" s="1"/>
  <c r="K406" i="33"/>
  <c r="L405" i="33"/>
  <c r="L406" i="33" s="1"/>
  <c r="K220" i="33"/>
  <c r="L219" i="33"/>
  <c r="L220" i="33" s="1"/>
  <c r="K355" i="33"/>
  <c r="L354" i="33"/>
  <c r="L355" i="33" s="1"/>
  <c r="K369" i="33"/>
  <c r="L368" i="33"/>
  <c r="L369" i="33" s="1"/>
  <c r="K327" i="33"/>
  <c r="L326" i="33"/>
  <c r="L327" i="33" s="1"/>
  <c r="K334" i="33"/>
  <c r="L333" i="33"/>
  <c r="L334" i="33" s="1"/>
  <c r="L340" i="33"/>
  <c r="K362" i="33"/>
  <c r="L361" i="33"/>
  <c r="L362" i="33" s="1"/>
  <c r="K311" i="33"/>
  <c r="L310" i="33"/>
  <c r="L311" i="33" s="1"/>
  <c r="K269" i="33"/>
  <c r="L268" i="33"/>
  <c r="L269" i="33" s="1"/>
  <c r="K255" i="33"/>
  <c r="L254" i="33"/>
  <c r="L255" i="33" s="1"/>
  <c r="L296" i="33"/>
  <c r="L297" i="33" s="1"/>
  <c r="K297" i="33"/>
  <c r="K197" i="33"/>
  <c r="L196" i="33"/>
  <c r="L197" i="33" s="1"/>
  <c r="K190" i="33"/>
  <c r="L189" i="33"/>
  <c r="L190" i="33" s="1"/>
  <c r="K162" i="33"/>
  <c r="L161" i="33"/>
  <c r="L162" i="33" s="1"/>
  <c r="K148" i="33"/>
  <c r="L147" i="33"/>
  <c r="L148" i="33" s="1"/>
  <c r="K127" i="33"/>
  <c r="L126" i="33"/>
  <c r="L127" i="33" s="1"/>
  <c r="L105" i="33"/>
  <c r="L106" i="33" s="1"/>
  <c r="K106" i="33"/>
  <c r="F4" i="29"/>
  <c r="F8" i="39" s="1"/>
  <c r="H13" i="29"/>
  <c r="J79" i="33"/>
  <c r="J84" i="33" s="1"/>
  <c r="J88" i="33" s="1"/>
  <c r="J95" i="33" s="1"/>
  <c r="J56" i="26" s="1"/>
  <c r="I52" i="26"/>
  <c r="I50" i="26"/>
  <c r="G4" i="29"/>
  <c r="G8" i="39" s="1"/>
  <c r="K48" i="33"/>
  <c r="I58" i="26" l="1"/>
  <c r="H4" i="29" s="1"/>
  <c r="H8" i="39" s="1"/>
  <c r="F28" i="30"/>
  <c r="H8" i="36"/>
  <c r="J50" i="26"/>
  <c r="K79" i="33"/>
  <c r="K84" i="33" s="1"/>
  <c r="K52" i="26" s="1"/>
  <c r="J52" i="26"/>
  <c r="I13" i="29"/>
  <c r="L48" i="33"/>
  <c r="J58" i="26" l="1"/>
  <c r="I4" i="29" s="1"/>
  <c r="I8" i="39" s="1"/>
  <c r="H10" i="36"/>
  <c r="K50" i="26"/>
  <c r="L79" i="33"/>
  <c r="L84" i="33" s="1"/>
  <c r="K88" i="33"/>
  <c r="K95" i="33" s="1"/>
  <c r="K56" i="26" s="1"/>
  <c r="K13" i="29"/>
  <c r="G5" i="25"/>
  <c r="H7" i="29"/>
  <c r="J13" i="29"/>
  <c r="G39" i="32"/>
  <c r="D39" i="32"/>
  <c r="E39" i="32"/>
  <c r="F39" i="32"/>
  <c r="C39" i="32"/>
  <c r="D14" i="32"/>
  <c r="C14" i="32"/>
  <c r="F14" i="32"/>
  <c r="H9" i="2" l="1"/>
  <c r="G17" i="29"/>
  <c r="H11" i="36"/>
  <c r="K58" i="26"/>
  <c r="L50" i="26"/>
  <c r="H8" i="29"/>
  <c r="H15" i="29"/>
  <c r="H9" i="39" s="1"/>
  <c r="H5" i="25"/>
  <c r="I7" i="29"/>
  <c r="L52" i="26"/>
  <c r="L88" i="33"/>
  <c r="L95" i="33" s="1"/>
  <c r="L56" i="26" s="1"/>
  <c r="E14" i="32"/>
  <c r="G14" i="32"/>
  <c r="C9" i="25"/>
  <c r="D9" i="25" s="1"/>
  <c r="E9" i="25" s="1"/>
  <c r="F9" i="25" s="1"/>
  <c r="G9" i="25" s="1"/>
  <c r="H9" i="25" s="1"/>
  <c r="I9" i="25" s="1"/>
  <c r="J9" i="25" s="1"/>
  <c r="C2" i="25"/>
  <c r="D2" i="25" s="1"/>
  <c r="E2" i="25" s="1"/>
  <c r="F2" i="25" s="1"/>
  <c r="G2" i="25" s="1"/>
  <c r="H2" i="25" s="1"/>
  <c r="I2" i="25" s="1"/>
  <c r="J2" i="25" s="1"/>
  <c r="G28" i="30" l="1"/>
  <c r="I8" i="36"/>
  <c r="J4" i="29"/>
  <c r="I8" i="29"/>
  <c r="I15" i="29"/>
  <c r="I9" i="39" s="1"/>
  <c r="H16" i="29"/>
  <c r="G6" i="25"/>
  <c r="I5" i="25" l="1"/>
  <c r="J8" i="39"/>
  <c r="I10" i="36"/>
  <c r="I11" i="36" s="1"/>
  <c r="J7" i="29"/>
  <c r="J8" i="29" s="1"/>
  <c r="H6" i="25"/>
  <c r="I16" i="29"/>
  <c r="K4" i="29"/>
  <c r="K8" i="39" s="1"/>
  <c r="G10" i="31"/>
  <c r="F10" i="31"/>
  <c r="E10" i="31"/>
  <c r="D10" i="31"/>
  <c r="C10" i="31"/>
  <c r="O20" i="2"/>
  <c r="P20" i="2" s="1"/>
  <c r="Q20" i="2" s="1"/>
  <c r="R20" i="2" s="1"/>
  <c r="S20" i="2" s="1"/>
  <c r="T20" i="2" s="1"/>
  <c r="U20" i="2" s="1"/>
  <c r="V20" i="2" s="1"/>
  <c r="M22" i="2"/>
  <c r="M23" i="2" s="1"/>
  <c r="M24" i="2" s="1"/>
  <c r="M25" i="2" s="1"/>
  <c r="M26" i="2" s="1"/>
  <c r="M27" i="2" s="1"/>
  <c r="M28" i="2" s="1"/>
  <c r="M29" i="2" s="1"/>
  <c r="E17" i="32"/>
  <c r="E7" i="32"/>
  <c r="E8" i="32" s="1"/>
  <c r="C40" i="32"/>
  <c r="C35" i="32"/>
  <c r="C32" i="32"/>
  <c r="C29" i="32"/>
  <c r="C26" i="32"/>
  <c r="D26" i="32"/>
  <c r="C23" i="32"/>
  <c r="D23" i="32"/>
  <c r="C20" i="32"/>
  <c r="D20" i="32"/>
  <c r="C17" i="32"/>
  <c r="D11" i="32"/>
  <c r="C11" i="32"/>
  <c r="D8" i="32"/>
  <c r="C8" i="32"/>
  <c r="D2" i="32"/>
  <c r="E2" i="32" s="1"/>
  <c r="F2" i="32" s="1"/>
  <c r="G2" i="32" s="1"/>
  <c r="H28" i="30" l="1"/>
  <c r="H31" i="30" s="1"/>
  <c r="J8" i="36"/>
  <c r="H17" i="29"/>
  <c r="I9" i="2"/>
  <c r="J15" i="29"/>
  <c r="J5" i="25"/>
  <c r="K7" i="29"/>
  <c r="F16" i="32"/>
  <c r="G16" i="32" s="1"/>
  <c r="G17" i="32" s="1"/>
  <c r="D17" i="32"/>
  <c r="D35" i="32"/>
  <c r="F26" i="32"/>
  <c r="E11" i="32"/>
  <c r="F7" i="32"/>
  <c r="E35" i="32"/>
  <c r="D29" i="32"/>
  <c r="H9" i="31" l="1"/>
  <c r="H19" i="29"/>
  <c r="J10" i="36"/>
  <c r="J11" i="36"/>
  <c r="I6" i="25"/>
  <c r="J9" i="39"/>
  <c r="J16" i="29"/>
  <c r="K8" i="29"/>
  <c r="K15" i="29"/>
  <c r="K9" i="39" s="1"/>
  <c r="G26" i="32"/>
  <c r="F17" i="32"/>
  <c r="E26" i="32"/>
  <c r="G11" i="32"/>
  <c r="F11" i="32"/>
  <c r="G7" i="32"/>
  <c r="G8" i="32" s="1"/>
  <c r="F8" i="32"/>
  <c r="E23" i="32"/>
  <c r="D32" i="32"/>
  <c r="E20" i="32"/>
  <c r="E29" i="32"/>
  <c r="D40" i="32"/>
  <c r="F35" i="32"/>
  <c r="G35" i="32"/>
  <c r="I28" i="30" l="1"/>
  <c r="I31" i="30" s="1"/>
  <c r="K8" i="36"/>
  <c r="I17" i="29"/>
  <c r="J9" i="2"/>
  <c r="H20" i="29"/>
  <c r="G10" i="25" s="1"/>
  <c r="H5" i="2"/>
  <c r="H7" i="2" s="1"/>
  <c r="H8" i="2" s="1"/>
  <c r="H12" i="2" s="1"/>
  <c r="H23" i="29"/>
  <c r="J6" i="25"/>
  <c r="K16" i="29"/>
  <c r="G23" i="32"/>
  <c r="F23" i="32"/>
  <c r="E40" i="32"/>
  <c r="F29" i="32"/>
  <c r="G29" i="32"/>
  <c r="F20" i="32"/>
  <c r="G20" i="32"/>
  <c r="E32" i="32"/>
  <c r="H24" i="29" l="1"/>
  <c r="H25" i="29"/>
  <c r="H20" i="30" s="1"/>
  <c r="I9" i="31"/>
  <c r="I19" i="29"/>
  <c r="K10" i="36"/>
  <c r="K11" i="36"/>
  <c r="F40" i="32"/>
  <c r="F32" i="32"/>
  <c r="G32" i="32"/>
  <c r="H27" i="29" l="1"/>
  <c r="H10" i="39" s="1"/>
  <c r="J28" i="30"/>
  <c r="J31" i="30" s="1"/>
  <c r="L8" i="36"/>
  <c r="H12" i="31"/>
  <c r="I18" i="31" s="1"/>
  <c r="H21" i="30"/>
  <c r="J17" i="29"/>
  <c r="K9" i="2"/>
  <c r="I23" i="29"/>
  <c r="I5" i="2"/>
  <c r="I7" i="2" s="1"/>
  <c r="I8" i="2" s="1"/>
  <c r="I12" i="2" s="1"/>
  <c r="I20" i="29"/>
  <c r="H10" i="25" s="1"/>
  <c r="G40" i="32"/>
  <c r="H5" i="31" l="1"/>
  <c r="H13" i="31" s="1"/>
  <c r="G7" i="25"/>
  <c r="H28" i="29"/>
  <c r="G11" i="25" s="1"/>
  <c r="I24" i="29"/>
  <c r="I25" i="29"/>
  <c r="I20" i="30" s="1"/>
  <c r="L10" i="36"/>
  <c r="K17" i="29" s="1"/>
  <c r="J9" i="31"/>
  <c r="J19" i="29"/>
  <c r="G46" i="30"/>
  <c r="F46" i="30"/>
  <c r="E46" i="30"/>
  <c r="D46" i="30"/>
  <c r="C46" i="30"/>
  <c r="D14" i="2"/>
  <c r="A6" i="2"/>
  <c r="G32" i="31"/>
  <c r="F32" i="31"/>
  <c r="E32" i="31"/>
  <c r="D32" i="31"/>
  <c r="C30" i="31"/>
  <c r="C29" i="31"/>
  <c r="G24" i="31"/>
  <c r="F24" i="31"/>
  <c r="E24" i="31"/>
  <c r="D24" i="31"/>
  <c r="C24" i="31"/>
  <c r="E11" i="2"/>
  <c r="D11" i="2"/>
  <c r="C11" i="2"/>
  <c r="G19" i="31"/>
  <c r="F19" i="31"/>
  <c r="E19" i="31"/>
  <c r="D19" i="31"/>
  <c r="C19" i="31"/>
  <c r="D17" i="31"/>
  <c r="E17" i="31"/>
  <c r="F17" i="31"/>
  <c r="G17" i="31"/>
  <c r="C17" i="31"/>
  <c r="G16" i="31"/>
  <c r="F16" i="31"/>
  <c r="E16" i="31"/>
  <c r="D16" i="31"/>
  <c r="C16" i="31"/>
  <c r="G15" i="31"/>
  <c r="F15" i="31"/>
  <c r="E15" i="31"/>
  <c r="D15" i="31"/>
  <c r="C15" i="31"/>
  <c r="G8" i="31"/>
  <c r="F8" i="31"/>
  <c r="E8" i="31"/>
  <c r="D8" i="31"/>
  <c r="C8" i="31"/>
  <c r="C2" i="31"/>
  <c r="C2" i="30"/>
  <c r="G45" i="30"/>
  <c r="F45" i="30"/>
  <c r="E45" i="30"/>
  <c r="D45" i="30"/>
  <c r="C45" i="30"/>
  <c r="G13" i="30"/>
  <c r="F13" i="30"/>
  <c r="E13" i="30"/>
  <c r="D13" i="30"/>
  <c r="C13" i="30"/>
  <c r="I27" i="29" l="1"/>
  <c r="I28" i="29" s="1"/>
  <c r="H11" i="25" s="1"/>
  <c r="J20" i="29"/>
  <c r="I10" i="25" s="1"/>
  <c r="J23" i="29"/>
  <c r="J5" i="2"/>
  <c r="J7" i="2" s="1"/>
  <c r="J8" i="2" s="1"/>
  <c r="J12" i="2" s="1"/>
  <c r="I10" i="39"/>
  <c r="I5" i="31"/>
  <c r="K9" i="31"/>
  <c r="K19" i="29"/>
  <c r="I12" i="31"/>
  <c r="J18" i="31" s="1"/>
  <c r="I21" i="30"/>
  <c r="L11" i="36"/>
  <c r="K28" i="30" s="1"/>
  <c r="K31" i="30" s="1"/>
  <c r="F26" i="31"/>
  <c r="C32" i="31"/>
  <c r="G26" i="31"/>
  <c r="F11" i="2"/>
  <c r="G11" i="2"/>
  <c r="E26" i="31"/>
  <c r="D26" i="31"/>
  <c r="C26" i="31"/>
  <c r="E14" i="2"/>
  <c r="F14" i="2" s="1"/>
  <c r="G14" i="2" s="1"/>
  <c r="H14" i="2" s="1"/>
  <c r="I14" i="2" s="1"/>
  <c r="J14" i="2" s="1"/>
  <c r="K14" i="2" s="1"/>
  <c r="H7" i="25" l="1"/>
  <c r="J24" i="29"/>
  <c r="J25" i="29"/>
  <c r="J20" i="30" s="1"/>
  <c r="K20" i="29"/>
  <c r="J10" i="25" s="1"/>
  <c r="K5" i="2"/>
  <c r="K7" i="2" s="1"/>
  <c r="K8" i="2" s="1"/>
  <c r="K12" i="2" s="1"/>
  <c r="L12" i="2" s="1"/>
  <c r="K23" i="29"/>
  <c r="I13" i="31"/>
  <c r="I20" i="31" s="1"/>
  <c r="I34" i="31" s="1"/>
  <c r="D2" i="29"/>
  <c r="C13" i="29"/>
  <c r="D26" i="3"/>
  <c r="C9" i="31"/>
  <c r="J27" i="29" l="1"/>
  <c r="K24" i="29"/>
  <c r="K25" i="29"/>
  <c r="K20" i="30" s="1"/>
  <c r="J21" i="30"/>
  <c r="J12" i="31"/>
  <c r="K18" i="31" s="1"/>
  <c r="F7" i="29"/>
  <c r="E5" i="25"/>
  <c r="C7" i="29"/>
  <c r="C8" i="29" s="1"/>
  <c r="B5" i="25"/>
  <c r="D7" i="29"/>
  <c r="D15" i="29" s="1"/>
  <c r="D9" i="39" s="1"/>
  <c r="C5" i="25"/>
  <c r="G7" i="29"/>
  <c r="F5" i="25"/>
  <c r="E7" i="29"/>
  <c r="D5" i="25"/>
  <c r="E2" i="29"/>
  <c r="D2" i="30"/>
  <c r="D2" i="31"/>
  <c r="C31" i="30"/>
  <c r="C9" i="2"/>
  <c r="K12" i="31" l="1"/>
  <c r="K21" i="30"/>
  <c r="K27" i="29"/>
  <c r="J10" i="39"/>
  <c r="J5" i="31"/>
  <c r="J13" i="31" s="1"/>
  <c r="J20" i="31" s="1"/>
  <c r="J34" i="31" s="1"/>
  <c r="I7" i="25"/>
  <c r="J28" i="29"/>
  <c r="I11" i="25" s="1"/>
  <c r="C6" i="25"/>
  <c r="D19" i="29"/>
  <c r="F8" i="29"/>
  <c r="F15" i="29"/>
  <c r="F9" i="39" s="1"/>
  <c r="G8" i="29"/>
  <c r="G15" i="29"/>
  <c r="G9" i="39" s="1"/>
  <c r="E8" i="29"/>
  <c r="E15" i="29"/>
  <c r="E9" i="39" s="1"/>
  <c r="D8" i="29"/>
  <c r="C15" i="29"/>
  <c r="C9" i="39" s="1"/>
  <c r="F2" i="29"/>
  <c r="E2" i="31"/>
  <c r="E2" i="30"/>
  <c r="D16" i="29"/>
  <c r="K28" i="29" l="1"/>
  <c r="J11" i="25" s="1"/>
  <c r="K10" i="39"/>
  <c r="J7" i="25"/>
  <c r="K5" i="31"/>
  <c r="K13" i="31" s="1"/>
  <c r="K20" i="31" s="1"/>
  <c r="K34" i="31" s="1"/>
  <c r="F16" i="29"/>
  <c r="F19" i="29"/>
  <c r="E19" i="29"/>
  <c r="E16" i="29"/>
  <c r="G16" i="29"/>
  <c r="G19" i="29"/>
  <c r="D20" i="29"/>
  <c r="D23" i="29"/>
  <c r="F6" i="25"/>
  <c r="E6" i="25"/>
  <c r="C16" i="29"/>
  <c r="B6" i="25"/>
  <c r="D6" i="25"/>
  <c r="C19" i="29"/>
  <c r="C5" i="2" s="1"/>
  <c r="C7" i="2" s="1"/>
  <c r="C8" i="2" s="1"/>
  <c r="G2" i="29"/>
  <c r="H2" i="29" s="1"/>
  <c r="I2" i="29" s="1"/>
  <c r="J2" i="29" s="1"/>
  <c r="K2" i="29" s="1"/>
  <c r="F2" i="31"/>
  <c r="F2" i="30"/>
  <c r="D24" i="29" l="1"/>
  <c r="D25" i="29"/>
  <c r="D27" i="29" s="1"/>
  <c r="E20" i="29"/>
  <c r="E23" i="29"/>
  <c r="G23" i="29"/>
  <c r="G20" i="29"/>
  <c r="F20" i="29"/>
  <c r="F23" i="29"/>
  <c r="C23" i="29"/>
  <c r="C25" i="29" s="1"/>
  <c r="C20" i="30" s="1"/>
  <c r="C20" i="29"/>
  <c r="B10" i="25" s="1"/>
  <c r="G2" i="31"/>
  <c r="G2" i="30"/>
  <c r="D28" i="29" l="1"/>
  <c r="C11" i="25" s="1"/>
  <c r="D10" i="39"/>
  <c r="G24" i="29"/>
  <c r="G25" i="29"/>
  <c r="G27" i="29" s="1"/>
  <c r="F24" i="29"/>
  <c r="F25" i="29"/>
  <c r="F27" i="29" s="1"/>
  <c r="E24" i="29"/>
  <c r="E25" i="29"/>
  <c r="E27" i="29" s="1"/>
  <c r="C24" i="29"/>
  <c r="C21" i="30"/>
  <c r="C12" i="31"/>
  <c r="D18" i="31" s="1"/>
  <c r="C47" i="30"/>
  <c r="C10" i="2" s="1"/>
  <c r="C12" i="2" s="1"/>
  <c r="G47" i="30"/>
  <c r="G10" i="2" s="1"/>
  <c r="D47" i="30"/>
  <c r="D10" i="2" s="1"/>
  <c r="E47" i="30"/>
  <c r="E10" i="2" s="1"/>
  <c r="F47" i="30"/>
  <c r="F10" i="2" s="1"/>
  <c r="C27" i="29"/>
  <c r="B7" i="25" l="1"/>
  <c r="C10" i="39"/>
  <c r="G28" i="29"/>
  <c r="F11" i="25" s="1"/>
  <c r="G10" i="39"/>
  <c r="E28" i="29"/>
  <c r="D11" i="25" s="1"/>
  <c r="E10" i="39"/>
  <c r="F28" i="29"/>
  <c r="E11" i="25" s="1"/>
  <c r="F10" i="39"/>
  <c r="C5" i="31"/>
  <c r="C13" i="31" s="1"/>
  <c r="C20" i="31" s="1"/>
  <c r="C34" i="31" s="1"/>
  <c r="C36" i="31" s="1"/>
  <c r="D35" i="31" s="1"/>
  <c r="C28" i="29"/>
  <c r="B11" i="25" s="1"/>
  <c r="C7" i="30"/>
  <c r="C34" i="30" l="1"/>
  <c r="C8" i="30"/>
  <c r="C23" i="30" s="1"/>
  <c r="C38" i="30" l="1"/>
  <c r="C40" i="30" s="1"/>
  <c r="C49" i="30" s="1"/>
  <c r="C42" i="30" l="1"/>
  <c r="D9" i="2" l="1"/>
  <c r="D9" i="31" l="1"/>
  <c r="D31" i="30"/>
  <c r="E9" i="2" l="1"/>
  <c r="D5" i="2"/>
  <c r="D7" i="2" s="1"/>
  <c r="C10" i="25"/>
  <c r="D8" i="2" l="1"/>
  <c r="D12" i="2" s="1"/>
  <c r="E9" i="31"/>
  <c r="D20" i="30"/>
  <c r="E31" i="30"/>
  <c r="D21" i="30" l="1"/>
  <c r="D12" i="31"/>
  <c r="E18" i="31" s="1"/>
  <c r="F9" i="2"/>
  <c r="E5" i="2"/>
  <c r="D10" i="25"/>
  <c r="C7" i="25"/>
  <c r="E7" i="2" l="1"/>
  <c r="E8" i="2" s="1"/>
  <c r="E12" i="2" s="1"/>
  <c r="D5" i="31"/>
  <c r="D13" i="31" s="1"/>
  <c r="D20" i="31" s="1"/>
  <c r="D34" i="31" s="1"/>
  <c r="D36" i="31" s="1"/>
  <c r="D7" i="30"/>
  <c r="D8" i="30" s="1"/>
  <c r="D23" i="30" s="1"/>
  <c r="E20" i="30"/>
  <c r="F31" i="30"/>
  <c r="F9" i="31"/>
  <c r="D7" i="25" l="1"/>
  <c r="E35" i="31"/>
  <c r="D34" i="30"/>
  <c r="G9" i="2"/>
  <c r="E21" i="30"/>
  <c r="E12" i="31"/>
  <c r="F18" i="31" s="1"/>
  <c r="F5" i="2"/>
  <c r="E10" i="25"/>
  <c r="G31" i="30" l="1"/>
  <c r="E5" i="31"/>
  <c r="E13" i="31" s="1"/>
  <c r="E20" i="31" s="1"/>
  <c r="E34" i="31" s="1"/>
  <c r="E36" i="31" s="1"/>
  <c r="E7" i="30"/>
  <c r="E8" i="30" s="1"/>
  <c r="E23" i="30" s="1"/>
  <c r="F7" i="2"/>
  <c r="F8" i="2" s="1"/>
  <c r="F12" i="2" s="1"/>
  <c r="D38" i="30"/>
  <c r="F20" i="30"/>
  <c r="G9" i="31"/>
  <c r="E6" i="3"/>
  <c r="C6" i="3"/>
  <c r="F6" i="3" s="1"/>
  <c r="D27" i="3"/>
  <c r="D28" i="3" s="1"/>
  <c r="C4" i="25"/>
  <c r="D4" i="25" s="1"/>
  <c r="E4" i="25" s="1"/>
  <c r="F4" i="25" s="1"/>
  <c r="G4" i="25" s="1"/>
  <c r="H4" i="25" s="1"/>
  <c r="I4" i="25" s="1"/>
  <c r="J4" i="25" s="1"/>
  <c r="F21" i="30" l="1"/>
  <c r="F12" i="31"/>
  <c r="G18" i="31" s="1"/>
  <c r="E7" i="25"/>
  <c r="D40" i="30"/>
  <c r="D49" i="30" s="1"/>
  <c r="D42" i="30"/>
  <c r="G5" i="2"/>
  <c r="F10" i="25"/>
  <c r="F35" i="31"/>
  <c r="E34" i="30"/>
  <c r="D17" i="3"/>
  <c r="D18" i="3" s="1"/>
  <c r="D19" i="3" s="1"/>
  <c r="G7" i="2" l="1"/>
  <c r="G8" i="2" s="1"/>
  <c r="G12" i="2" s="1"/>
  <c r="G20" i="30"/>
  <c r="F5" i="31"/>
  <c r="F13" i="31" s="1"/>
  <c r="F20" i="31" s="1"/>
  <c r="F34" i="31" s="1"/>
  <c r="F36" i="31" s="1"/>
  <c r="F7" i="30"/>
  <c r="F8" i="30" s="1"/>
  <c r="F23" i="30" s="1"/>
  <c r="E38" i="30"/>
  <c r="E7" i="3"/>
  <c r="F7" i="3" s="1"/>
  <c r="F8" i="3" s="1"/>
  <c r="F10" i="3" s="1"/>
  <c r="A19" i="39" l="1"/>
  <c r="C22" i="39" s="1"/>
  <c r="H15" i="2"/>
  <c r="H16" i="2" s="1"/>
  <c r="I15" i="2"/>
  <c r="I16" i="2" s="1"/>
  <c r="J15" i="2"/>
  <c r="J16" i="2" s="1"/>
  <c r="K15" i="2"/>
  <c r="K16" i="2" s="1"/>
  <c r="D15" i="2"/>
  <c r="D16" i="2" s="1"/>
  <c r="C15" i="2"/>
  <c r="C16" i="2" s="1"/>
  <c r="G15" i="2"/>
  <c r="G16" i="2" s="1"/>
  <c r="E15" i="2"/>
  <c r="E16" i="2" s="1"/>
  <c r="F15" i="2"/>
  <c r="F16" i="2" s="1"/>
  <c r="D22" i="2"/>
  <c r="F7" i="25"/>
  <c r="F34" i="30"/>
  <c r="G35" i="31"/>
  <c r="G21" i="30"/>
  <c r="G12" i="31"/>
  <c r="H18" i="31" s="1"/>
  <c r="H20" i="31" s="1"/>
  <c r="H34" i="31" s="1"/>
  <c r="E40" i="30"/>
  <c r="E49" i="30" s="1"/>
  <c r="E42" i="30"/>
  <c r="C24" i="39" l="1"/>
  <c r="C23" i="39"/>
  <c r="D23" i="2"/>
  <c r="D18" i="2"/>
  <c r="G5" i="31"/>
  <c r="G13" i="31" s="1"/>
  <c r="G20" i="31" s="1"/>
  <c r="G34" i="31" s="1"/>
  <c r="G36" i="31" s="1"/>
  <c r="G7" i="30"/>
  <c r="F38" i="30"/>
  <c r="D23" i="39" l="1"/>
  <c r="M6" i="25"/>
  <c r="G34" i="30"/>
  <c r="G38" i="30" s="1"/>
  <c r="H35" i="31"/>
  <c r="H36" i="31" s="1"/>
  <c r="G8" i="30"/>
  <c r="G23" i="30" s="1"/>
  <c r="H7" i="30"/>
  <c r="D24" i="2"/>
  <c r="M20" i="2" s="1"/>
  <c r="F40" i="30"/>
  <c r="F49" i="30" s="1"/>
  <c r="F42" i="30"/>
  <c r="I7" i="30" l="1"/>
  <c r="H8" i="30"/>
  <c r="H23" i="30" s="1"/>
  <c r="I35" i="31"/>
  <c r="I36" i="31" s="1"/>
  <c r="H34" i="30"/>
  <c r="H38" i="30" s="1"/>
  <c r="M5" i="25"/>
  <c r="M11" i="25" s="1"/>
  <c r="G40" i="30"/>
  <c r="G49" i="30" s="1"/>
  <c r="G42" i="30"/>
  <c r="H40" i="30" l="1"/>
  <c r="H49" i="30" s="1"/>
  <c r="H42" i="30"/>
  <c r="J35" i="31"/>
  <c r="J36" i="31" s="1"/>
  <c r="I34" i="30"/>
  <c r="I38" i="30" s="1"/>
  <c r="I8" i="30"/>
  <c r="I23" i="30" s="1"/>
  <c r="J7" i="30"/>
  <c r="N5" i="25"/>
  <c r="I40" i="30" l="1"/>
  <c r="I49" i="30" s="1"/>
  <c r="I42" i="30"/>
  <c r="J34" i="30"/>
  <c r="J38" i="30" s="1"/>
  <c r="K35" i="31"/>
  <c r="K36" i="31" s="1"/>
  <c r="K34" i="30" s="1"/>
  <c r="K38" i="30" s="1"/>
  <c r="J8" i="30"/>
  <c r="J23" i="30" s="1"/>
  <c r="K7" i="30"/>
  <c r="K8" i="30" s="1"/>
  <c r="K23" i="30" s="1"/>
  <c r="K42" i="30" l="1"/>
  <c r="K40" i="30"/>
  <c r="K49" i="30" s="1"/>
  <c r="J42" i="30"/>
  <c r="J40" i="30"/>
  <c r="J49" i="30" s="1"/>
</calcChain>
</file>

<file path=xl/sharedStrings.xml><?xml version="1.0" encoding="utf-8"?>
<sst xmlns="http://schemas.openxmlformats.org/spreadsheetml/2006/main" count="1688" uniqueCount="293">
  <si>
    <t>Date of cash flows</t>
  </si>
  <si>
    <t>EBIT</t>
  </si>
  <si>
    <t>Tax expense</t>
  </si>
  <si>
    <t>NOPAT</t>
  </si>
  <si>
    <t>Add: Depreciation and amortisation</t>
  </si>
  <si>
    <t>Add/Less: (Increase)/ Decrease in net working capital</t>
  </si>
  <si>
    <t>Less: Capital expenditure</t>
  </si>
  <si>
    <t>Discount rate (%)</t>
  </si>
  <si>
    <t>Terminal value</t>
  </si>
  <si>
    <t>Present value for explicit period</t>
  </si>
  <si>
    <t>Terminal Value</t>
  </si>
  <si>
    <t>Present Value of TV</t>
  </si>
  <si>
    <t xml:space="preserve">Cost of equity </t>
  </si>
  <si>
    <t xml:space="preserve">Cost of debt </t>
  </si>
  <si>
    <t>Weighted average cost of capital</t>
  </si>
  <si>
    <t>Particulars</t>
  </si>
  <si>
    <t>Notes</t>
  </si>
  <si>
    <t>Value</t>
  </si>
  <si>
    <t>Weight</t>
  </si>
  <si>
    <t>Cost</t>
  </si>
  <si>
    <t xml:space="preserve">Risk-free rate (%) </t>
  </si>
  <si>
    <t>Debt borrowing rate (%)</t>
  </si>
  <si>
    <t>Debt (%)</t>
  </si>
  <si>
    <t>Cost of debt (%)</t>
  </si>
  <si>
    <t>Expected income tax rate (%)</t>
  </si>
  <si>
    <t>Equity (%)</t>
  </si>
  <si>
    <t>Cost of equity (%)</t>
  </si>
  <si>
    <t>After-tax cost of debt (%)</t>
  </si>
  <si>
    <t>WACC</t>
  </si>
  <si>
    <t>Source: Calculation</t>
  </si>
  <si>
    <t>Date</t>
  </si>
  <si>
    <t>Income Statement</t>
  </si>
  <si>
    <t>DCF Value of Firm / Operating Business Enterprise Value</t>
  </si>
  <si>
    <t>Net Revenue</t>
  </si>
  <si>
    <t>Less: Depreciation during the year</t>
  </si>
  <si>
    <t>Debt free cash flow (Free Cash Flows to Firm)</t>
  </si>
  <si>
    <t>Tax Rate</t>
  </si>
  <si>
    <t>Valuation Date</t>
  </si>
  <si>
    <t xml:space="preserve">Present value debt free cash flow </t>
  </si>
  <si>
    <t>Long Term Growth Rate</t>
  </si>
  <si>
    <t>LTGR</t>
  </si>
  <si>
    <t>Check</t>
  </si>
  <si>
    <t>All figures in INR wherever applicable</t>
  </si>
  <si>
    <t>Traction ( In Crore)</t>
  </si>
  <si>
    <t>Total Revenue</t>
  </si>
  <si>
    <t>PAT</t>
  </si>
  <si>
    <t>Traction (%)</t>
  </si>
  <si>
    <t>Operating profit margin (%)</t>
  </si>
  <si>
    <t>PAT %</t>
  </si>
  <si>
    <t>Indirect expense</t>
  </si>
  <si>
    <t>Unlevered equity beta</t>
  </si>
  <si>
    <t>Average market return</t>
  </si>
  <si>
    <t>Market rate of return - Ascertainment</t>
  </si>
  <si>
    <t>Base value - Sensex</t>
  </si>
  <si>
    <t>Sensex value</t>
  </si>
  <si>
    <t>No. of years</t>
  </si>
  <si>
    <t>Sensex multiple</t>
  </si>
  <si>
    <t>Equity risk premium</t>
  </si>
  <si>
    <t>Levered Cost of equity (Rf+b(Rm-Rf)</t>
  </si>
  <si>
    <t>Adjusted WACC</t>
  </si>
  <si>
    <t>Assets</t>
  </si>
  <si>
    <t>Opening balance</t>
  </si>
  <si>
    <t>Closing balance</t>
  </si>
  <si>
    <t>Add: Net additions during the year</t>
  </si>
  <si>
    <t>Source: BSE website &amp; Calculation</t>
  </si>
  <si>
    <t>Cost of Sales</t>
  </si>
  <si>
    <t>Gross Profit</t>
  </si>
  <si>
    <t>Gross Profit % to Sales</t>
  </si>
  <si>
    <t>Selling, General &amp; Admin Expense</t>
  </si>
  <si>
    <t>Indirect costs</t>
  </si>
  <si>
    <t>Employee cost</t>
  </si>
  <si>
    <t>Other expenses</t>
  </si>
  <si>
    <t>Selling, General &amp; Admin Expense - Sub-total</t>
  </si>
  <si>
    <t>EBITDA</t>
  </si>
  <si>
    <t>EBITDA % to Sales</t>
  </si>
  <si>
    <t>Depreciation &amp; Amortisation</t>
  </si>
  <si>
    <t>EBIT % to Sales</t>
  </si>
  <si>
    <t>Interest &amp; Bank Charges (Long-term)</t>
  </si>
  <si>
    <t>Profit before Tax (PBT)</t>
  </si>
  <si>
    <t>PBT % to Sales</t>
  </si>
  <si>
    <t>Provision for Tax</t>
  </si>
  <si>
    <t>Income Tax Expense</t>
  </si>
  <si>
    <t>Profit after Tax (PAT)</t>
  </si>
  <si>
    <t>PAT % to Sales</t>
  </si>
  <si>
    <t>Balance Sheet</t>
  </si>
  <si>
    <t>Share Capital</t>
  </si>
  <si>
    <t>Reserves and Surplus</t>
  </si>
  <si>
    <t>Sources of funds - Sub-total</t>
  </si>
  <si>
    <t>Sources of Funds</t>
  </si>
  <si>
    <t>Non-Current Liabilities</t>
  </si>
  <si>
    <t>Loan</t>
  </si>
  <si>
    <t>Deferred Tax Liability</t>
  </si>
  <si>
    <t>Non-Current Liabilities - Sub-total</t>
  </si>
  <si>
    <t>Current Liabilities and Provisions</t>
  </si>
  <si>
    <t>Short-term Borrowings</t>
  </si>
  <si>
    <t>Interest Paid</t>
  </si>
  <si>
    <t>Sundry Creditors</t>
  </si>
  <si>
    <t>Accrued Expenses &amp; Other Current Liabilities</t>
  </si>
  <si>
    <t>Tax Provision</t>
  </si>
  <si>
    <t>Current Liabilities and Provisions - Sub-total</t>
  </si>
  <si>
    <t>Liabilities - Total</t>
  </si>
  <si>
    <t>Application of Funds</t>
  </si>
  <si>
    <t>Fixed Assets</t>
  </si>
  <si>
    <t>Tangibles &amp; Intangibles</t>
  </si>
  <si>
    <t>Deferred Tax Asset (Net)</t>
  </si>
  <si>
    <t>Application of Funds - Sub-total</t>
  </si>
  <si>
    <t>Cash &amp; Bank Balance</t>
  </si>
  <si>
    <t>Trade Receivables</t>
  </si>
  <si>
    <t>Other Current Assets</t>
  </si>
  <si>
    <t>Closing Stock</t>
  </si>
  <si>
    <t>Current Assets, Loans and Advances</t>
  </si>
  <si>
    <t>Current Assets, Loans and Advances - Sub-total</t>
  </si>
  <si>
    <t>Liabilities</t>
  </si>
  <si>
    <t>Assets - Total</t>
  </si>
  <si>
    <t>Net Current Assets</t>
  </si>
  <si>
    <t>Changes to Working Capital</t>
  </si>
  <si>
    <t>Current Assets (Net of Cash)</t>
  </si>
  <si>
    <t>Current Liabilities</t>
  </si>
  <si>
    <t>Working Capital Requirement (Net of Cash)</t>
  </si>
  <si>
    <t>Cash Flow Statements</t>
  </si>
  <si>
    <t>Net Profit/(Loss) after Tax</t>
  </si>
  <si>
    <t>Adjustments for:</t>
  </si>
  <si>
    <t xml:space="preserve">Deferred Tax </t>
  </si>
  <si>
    <t>Depreciation and Amortisation</t>
  </si>
  <si>
    <t>Non-cash Adjustment</t>
  </si>
  <si>
    <t>Finance cost + Borrowing cost</t>
  </si>
  <si>
    <t>Non-operating Income</t>
  </si>
  <si>
    <t>Operating profit before changes in Working Capital</t>
  </si>
  <si>
    <t>Changes in Working Capital:</t>
  </si>
  <si>
    <t>Closing stock</t>
  </si>
  <si>
    <t>Tax Paid</t>
  </si>
  <si>
    <t>Addition in Fixed Assets</t>
  </si>
  <si>
    <t>Other Non-current Assets</t>
  </si>
  <si>
    <t>Other Income</t>
  </si>
  <si>
    <t>Net Cashflow from Operating Activities</t>
  </si>
  <si>
    <t>Net Cashflow from Investing Activities</t>
  </si>
  <si>
    <t>Proceeds from issue of Equity Shares</t>
  </si>
  <si>
    <t>Proceeds/ (Repayment) of Long-term Borrowings</t>
  </si>
  <si>
    <t>Finance Costs</t>
  </si>
  <si>
    <t>Net Cashflow from Financing Activities</t>
  </si>
  <si>
    <t>Adj. for Group Business</t>
  </si>
  <si>
    <t>A. Cash from Operating Activities</t>
  </si>
  <si>
    <t>B. Cash from Investing Activities</t>
  </si>
  <si>
    <t>C. Cash from Financing Activities</t>
  </si>
  <si>
    <t>Net Increase / (Decrease) in Cash and Cash Equivalents (A+B+C)</t>
  </si>
  <si>
    <t>Cash and Cash Equivalents at the Beginning of the Year</t>
  </si>
  <si>
    <t xml:space="preserve">Cash and Cash Equivalents at the End of the Year </t>
  </si>
  <si>
    <t>Present value factor</t>
  </si>
  <si>
    <t>Discounting period</t>
  </si>
  <si>
    <t>Summary</t>
  </si>
  <si>
    <t>Valuation Technique</t>
  </si>
  <si>
    <t>DCF (Discounted Cash Flow)</t>
  </si>
  <si>
    <t>Salary Sheet</t>
  </si>
  <si>
    <t>Annual escalation</t>
  </si>
  <si>
    <t>Column</t>
  </si>
  <si>
    <t>CEO</t>
  </si>
  <si>
    <t>No. Needed</t>
  </si>
  <si>
    <t>Average Salary</t>
  </si>
  <si>
    <t>Annual  Salary</t>
  </si>
  <si>
    <t>Total Salary</t>
  </si>
  <si>
    <t>Total Employees</t>
  </si>
  <si>
    <t>New</t>
  </si>
  <si>
    <t>Assumptions</t>
  </si>
  <si>
    <t>Unit</t>
  </si>
  <si>
    <t>Revenue</t>
  </si>
  <si>
    <t>INR</t>
  </si>
  <si>
    <t>Input</t>
  </si>
  <si>
    <t>%</t>
  </si>
  <si>
    <t>USD</t>
  </si>
  <si>
    <t>Specific company risk premium</t>
  </si>
  <si>
    <t>Ask Amount (INR)</t>
  </si>
  <si>
    <t>CTO</t>
  </si>
  <si>
    <t>Head of Marketing</t>
  </si>
  <si>
    <t>Social Media</t>
  </si>
  <si>
    <t>Developer/Tester</t>
  </si>
  <si>
    <t>QA1</t>
  </si>
  <si>
    <t>Management Trainee/Executive</t>
  </si>
  <si>
    <t>Customer Service Executive</t>
  </si>
  <si>
    <t>Finance Executive</t>
  </si>
  <si>
    <t>HR &amp; Admin</t>
  </si>
  <si>
    <t>Hospital 1 - Clearmedi</t>
  </si>
  <si>
    <t>Annual turnover</t>
  </si>
  <si>
    <t>Equity value</t>
  </si>
  <si>
    <t>Revenue sharing</t>
  </si>
  <si>
    <t>Equity take</t>
  </si>
  <si>
    <t>Annual escalation - equity</t>
  </si>
  <si>
    <t>Total revenue through pharmacy</t>
  </si>
  <si>
    <t>Take rate - Pharmacy</t>
  </si>
  <si>
    <t>Patent acquisition</t>
  </si>
  <si>
    <t>Incremental profit</t>
  </si>
  <si>
    <t>Pharmacy</t>
  </si>
  <si>
    <t>Patient acquisition</t>
  </si>
  <si>
    <t>Hospital 2 - Girik</t>
  </si>
  <si>
    <t>Hospital 3 - Mann</t>
  </si>
  <si>
    <t>Hospital 4 - Le-crest</t>
  </si>
  <si>
    <t>Hospital 5 - Royal</t>
  </si>
  <si>
    <t>Hospital 6 - Pancham</t>
  </si>
  <si>
    <t>Revenue - total</t>
  </si>
  <si>
    <t># of radiation oncology</t>
  </si>
  <si>
    <t>#</t>
  </si>
  <si>
    <t>Average revenue per case</t>
  </si>
  <si>
    <t>Annual escalation - # of radiations</t>
  </si>
  <si>
    <t>Onco surgery</t>
  </si>
  <si>
    <t># of surgery</t>
  </si>
  <si>
    <t>Average revenue per surgery</t>
  </si>
  <si>
    <t>Day care Chemo charge</t>
  </si>
  <si>
    <t>Day care chemo charge</t>
  </si>
  <si>
    <t># of cases</t>
  </si>
  <si>
    <t xml:space="preserve"># of cycles </t>
  </si>
  <si>
    <t>Average revenue per cycle</t>
  </si>
  <si>
    <t>MCI</t>
  </si>
  <si>
    <t>HOSP</t>
  </si>
  <si>
    <t># of cycles</t>
  </si>
  <si>
    <t>Revenue take</t>
  </si>
  <si>
    <t>PCC</t>
  </si>
  <si>
    <t>MS</t>
  </si>
  <si>
    <t>Branding</t>
  </si>
  <si>
    <t xml:space="preserve">Revenue </t>
  </si>
  <si>
    <t>Radiation oncology</t>
  </si>
  <si>
    <t xml:space="preserve">Account Head </t>
  </si>
  <si>
    <t>Operational Expense</t>
  </si>
  <si>
    <t>Catch-Lab AMC</t>
  </si>
  <si>
    <t>GIPSA Empanelment</t>
  </si>
  <si>
    <t xml:space="preserve">ECHS Empanelment </t>
  </si>
  <si>
    <t xml:space="preserve">ESIC Empanelment </t>
  </si>
  <si>
    <t xml:space="preserve">CGHS Empanelment </t>
  </si>
  <si>
    <t>NABH Accredition</t>
  </si>
  <si>
    <t>Brachy</t>
  </si>
  <si>
    <t xml:space="preserve">Linac </t>
  </si>
  <si>
    <t>Dosimetry</t>
  </si>
  <si>
    <t>Ultrasound</t>
  </si>
  <si>
    <t xml:space="preserve">MRI AMC </t>
  </si>
  <si>
    <t>AMC Automation</t>
  </si>
  <si>
    <t xml:space="preserve">Marketing commision </t>
  </si>
  <si>
    <t>General</t>
  </si>
  <si>
    <t>Months in an year</t>
  </si>
  <si>
    <t xml:space="preserve">MS </t>
  </si>
  <si>
    <t xml:space="preserve">Pharmacy </t>
  </si>
  <si>
    <t>Billed to hospital</t>
  </si>
  <si>
    <t>Operational expense</t>
  </si>
  <si>
    <t>Monthly cost</t>
  </si>
  <si>
    <t>Quantity</t>
  </si>
  <si>
    <t>Annual cost</t>
  </si>
  <si>
    <t>Annual escalation - Pharmacy</t>
  </si>
  <si>
    <t>One-time cost</t>
  </si>
  <si>
    <t>MRI</t>
  </si>
  <si>
    <t>Linac AMC</t>
  </si>
  <si>
    <t>Dedicated call centre</t>
  </si>
  <si>
    <t xml:space="preserve">Digital prescription EMR </t>
  </si>
  <si>
    <t xml:space="preserve">HIS with all modules </t>
  </si>
  <si>
    <t xml:space="preserve">POC device reagents </t>
  </si>
  <si>
    <t xml:space="preserve">IOT device with EMR </t>
  </si>
  <si>
    <t>Ultrasound AMC</t>
  </si>
  <si>
    <t>Pharmacist</t>
  </si>
  <si>
    <t>Digital marketing &amp; promotion</t>
  </si>
  <si>
    <t>Press release</t>
  </si>
  <si>
    <t>Patient smart app</t>
  </si>
  <si>
    <t>Server</t>
  </si>
  <si>
    <t>Capex assumptions</t>
  </si>
  <si>
    <t>HIS with all modules</t>
  </si>
  <si>
    <t>Digital prescription EMR</t>
  </si>
  <si>
    <t>CT</t>
  </si>
  <si>
    <t>CT AMC</t>
  </si>
  <si>
    <t>Working</t>
  </si>
  <si>
    <t>Account head</t>
  </si>
  <si>
    <t>MRI AMC</t>
  </si>
  <si>
    <t>IOT device with EMR</t>
  </si>
  <si>
    <t>Marketing commission</t>
  </si>
  <si>
    <t>POC device reagents</t>
  </si>
  <si>
    <t>Direct expense</t>
  </si>
  <si>
    <t>Direct expense - total</t>
  </si>
  <si>
    <t>Indirect expense - total</t>
  </si>
  <si>
    <t>Other investments</t>
  </si>
  <si>
    <t>Other investments - total</t>
  </si>
  <si>
    <t>Net Income</t>
  </si>
  <si>
    <t>Exit Year:</t>
  </si>
  <si>
    <t>Denominator</t>
  </si>
  <si>
    <t>Multiple</t>
  </si>
  <si>
    <t>Exit Value</t>
  </si>
  <si>
    <t>Post-Money</t>
  </si>
  <si>
    <t>Pre-Money</t>
  </si>
  <si>
    <t>VC Ownership</t>
  </si>
  <si>
    <t>All figures in GBP wherever applicable</t>
  </si>
  <si>
    <t>Venture Capital Method</t>
  </si>
  <si>
    <t>Investment required</t>
  </si>
  <si>
    <t>Exit multiple</t>
  </si>
  <si>
    <t>Discount Rate</t>
  </si>
  <si>
    <t>Ownership stake</t>
  </si>
  <si>
    <t>Equity revenue</t>
  </si>
  <si>
    <t>Ask Amount (USD)</t>
  </si>
  <si>
    <t>VC (Venture Capital)</t>
  </si>
  <si>
    <t>Dilution as per DCF</t>
  </si>
  <si>
    <t>Dilution as per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</si>
</sst>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_-* #,##0_-;\-* #,##0_-;_-* &quot;-&quot;_-;_-@_-"/>
    <numFmt numFmtId="169" formatCode="#,##0;\(#,##0\);&quot;-&quot;"/>
    <numFmt numFmtId="170" formatCode="\ #,##0.0_);\(#,##0.0\);&quot; - &quot;_);@_)"/>
    <numFmt numFmtId="171" formatCode="0.0"/>
    <numFmt numFmtId="172" formatCode="_ * #,##0_ ;_ * \-#,##0_ ;_ * &quot;-&quot;??_ ;_ @_ "/>
    <numFmt numFmtId="173" formatCode="[$-409]d\-mmm\-yyyy;@"/>
    <numFmt numFmtId="174" formatCode="_ [$₹-4009]\ * #,##0_ ;_ [$₹-4009]\ * \-#,##0_ ;_ [$₹-4009]\ * &quot;-&quot;??_ ;_ @_ "/>
    <numFmt numFmtId="175" formatCode="_ &quot;₹&quot;\ * #,##0_ ;_ &quot;₹&quot;\ * \-#,##0_ ;_ &quot;₹&quot;\ * &quot;-&quot;??_ ;_ @_ "/>
    <numFmt numFmtId="176" formatCode="_ [$₹-4009]\ * #,##0.00_ ;_ [$₹-4009]\ * \-#,##0.00_ ;_ [$₹-4009]\ * &quot;-&quot;??_ ;_ @_ "/>
    <numFmt numFmtId="177" formatCode="&quot;Year&quot;\ 0"/>
    <numFmt numFmtId="178" formatCode="0%\ &quot;p.a.&quot;"/>
    <numFmt numFmtId="179" formatCode="&quot;$&quot;#,##0&quot;M&quot;"/>
    <numFmt numFmtId="180" formatCode="#,##0.0&quot;x&quot;"/>
  </numFmts>
  <fonts count="4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indexed="25"/>
      <name val="Arial Narrow"/>
      <family val="2"/>
    </font>
    <font>
      <b/>
      <sz val="10"/>
      <color indexed="25"/>
      <name val="Calibri"/>
      <family val="2"/>
      <scheme val="minor"/>
    </font>
    <font>
      <sz val="10"/>
      <name val="Arial Narrow"/>
      <family val="2"/>
    </font>
    <font>
      <sz val="10"/>
      <color indexed="25"/>
      <name val="Arial Narrow"/>
      <family val="2"/>
    </font>
    <font>
      <i/>
      <sz val="10"/>
      <name val="Calibri"/>
      <family val="2"/>
      <scheme val="minor"/>
    </font>
    <font>
      <sz val="8"/>
      <color indexed="25"/>
      <name val="Arial Narrow"/>
      <family val="2"/>
    </font>
    <font>
      <sz val="10"/>
      <color indexed="25"/>
      <name val="Calibri"/>
      <family val="2"/>
      <scheme val="minor"/>
    </font>
    <font>
      <sz val="1"/>
      <color indexed="9"/>
      <name val="Symbol"/>
      <family val="1"/>
      <charset val="2"/>
    </font>
    <font>
      <b/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9"/>
      <color indexed="25"/>
      <name val="Calibri"/>
      <family val="2"/>
      <scheme val="minor"/>
    </font>
    <font>
      <i/>
      <sz val="9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0"/>
      <color theme="3" tint="0.79998168889431442"/>
      <name val="Calibri"/>
      <family val="2"/>
      <scheme val="minor"/>
    </font>
    <font>
      <sz val="10"/>
      <color rgb="FF0000FF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thin">
        <color indexed="25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</borders>
  <cellStyleXfs count="17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5">
      <alignment horizontal="right" wrapText="1"/>
    </xf>
    <xf numFmtId="168" fontId="10" fillId="0" borderId="5" applyFill="0" applyBorder="0" applyProtection="0">
      <alignment horizontal="right" vertical="top"/>
    </xf>
    <xf numFmtId="169" fontId="11" fillId="0" borderId="5">
      <alignment horizontal="center"/>
    </xf>
    <xf numFmtId="0" fontId="10" fillId="0" borderId="0" applyFill="0" applyBorder="0">
      <alignment horizontal="left" vertical="top" wrapText="1"/>
    </xf>
    <xf numFmtId="169" fontId="10" fillId="0" borderId="0">
      <alignment horizontal="center"/>
    </xf>
    <xf numFmtId="170" fontId="10" fillId="0" borderId="0" applyFill="0" applyBorder="0">
      <alignment horizontal="right" vertical="top"/>
    </xf>
    <xf numFmtId="169" fontId="13" fillId="0" borderId="0">
      <alignment horizontal="left" vertical="top"/>
    </xf>
    <xf numFmtId="0" fontId="15" fillId="0" borderId="0" applyAlignment="0"/>
    <xf numFmtId="4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5">
    <xf numFmtId="0" fontId="0" fillId="0" borderId="0" xfId="0"/>
    <xf numFmtId="0" fontId="4" fillId="0" borderId="0" xfId="0" applyFont="1"/>
    <xf numFmtId="0" fontId="6" fillId="0" borderId="0" xfId="3" applyFont="1" applyBorder="1" applyAlignment="1">
      <alignment horizontal="left" vertical="top" wrapText="1"/>
    </xf>
    <xf numFmtId="0" fontId="9" fillId="0" borderId="0" xfId="3" applyFont="1" applyBorder="1" applyAlignment="1">
      <alignment horizontal="right" vertical="top" wrapText="1"/>
    </xf>
    <xf numFmtId="49" fontId="4" fillId="0" borderId="0" xfId="4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6" fillId="0" borderId="0" xfId="3" applyFont="1" applyBorder="1" applyAlignment="1">
      <alignment horizontal="left" vertical="top"/>
    </xf>
    <xf numFmtId="0" fontId="6" fillId="0" borderId="5" xfId="3" applyFont="1" applyAlignment="1">
      <alignment horizontal="left" vertical="top" wrapText="1"/>
    </xf>
    <xf numFmtId="169" fontId="4" fillId="0" borderId="5" xfId="5" applyFont="1" applyAlignment="1">
      <alignment horizontal="center" vertical="top"/>
    </xf>
    <xf numFmtId="0" fontId="6" fillId="0" borderId="5" xfId="3" applyFont="1" applyAlignment="1">
      <alignment horizontal="right" vertical="top" wrapText="1"/>
    </xf>
    <xf numFmtId="169" fontId="4" fillId="0" borderId="0" xfId="6" applyNumberFormat="1" applyFont="1">
      <alignment horizontal="left" vertical="top" wrapText="1"/>
    </xf>
    <xf numFmtId="169" fontId="4" fillId="0" borderId="0" xfId="7" applyFont="1" applyAlignment="1">
      <alignment horizontal="center" vertical="top" wrapText="1"/>
    </xf>
    <xf numFmtId="169" fontId="4" fillId="0" borderId="0" xfId="6" applyNumberFormat="1" applyFont="1" applyAlignment="1">
      <alignment horizontal="left" vertical="top"/>
    </xf>
    <xf numFmtId="0" fontId="4" fillId="0" borderId="0" xfId="6" applyFont="1" applyAlignment="1">
      <alignment horizontal="center" vertical="top" wrapText="1"/>
    </xf>
    <xf numFmtId="166" fontId="12" fillId="0" borderId="0" xfId="2" applyNumberFormat="1" applyFont="1" applyAlignment="1">
      <alignment horizontal="right" vertical="top"/>
    </xf>
    <xf numFmtId="0" fontId="4" fillId="0" borderId="0" xfId="6" applyFont="1" applyAlignment="1">
      <alignment horizontal="left" vertical="top"/>
    </xf>
    <xf numFmtId="169" fontId="4" fillId="0" borderId="6" xfId="6" applyNumberFormat="1" applyFont="1" applyBorder="1">
      <alignment horizontal="left" vertical="top" wrapText="1"/>
    </xf>
    <xf numFmtId="166" fontId="12" fillId="0" borderId="6" xfId="2" applyNumberFormat="1" applyFont="1" applyBorder="1" applyAlignment="1">
      <alignment horizontal="right" vertical="top"/>
    </xf>
    <xf numFmtId="169" fontId="4" fillId="0" borderId="6" xfId="6" applyNumberFormat="1" applyFont="1" applyBorder="1" applyAlignment="1">
      <alignment horizontal="left" vertical="top"/>
    </xf>
    <xf numFmtId="0" fontId="4" fillId="0" borderId="6" xfId="0" applyFont="1" applyBorder="1" applyAlignment="1">
      <alignment vertical="top"/>
    </xf>
    <xf numFmtId="170" fontId="12" fillId="0" borderId="0" xfId="8" applyFont="1">
      <alignment horizontal="right" vertical="top"/>
    </xf>
    <xf numFmtId="169" fontId="14" fillId="0" borderId="0" xfId="9" applyFont="1">
      <alignment horizontal="left" vertical="top"/>
    </xf>
    <xf numFmtId="0" fontId="4" fillId="0" borderId="0" xfId="0" applyFont="1" applyAlignment="1">
      <alignment horizontal="left" vertical="top"/>
    </xf>
    <xf numFmtId="9" fontId="4" fillId="0" borderId="0" xfId="2" applyFont="1" applyAlignment="1">
      <alignment vertical="top"/>
    </xf>
    <xf numFmtId="0" fontId="6" fillId="0" borderId="0" xfId="0" applyFont="1" applyAlignment="1">
      <alignment vertical="top"/>
    </xf>
    <xf numFmtId="166" fontId="4" fillId="0" borderId="0" xfId="2" applyNumberFormat="1" applyFont="1" applyAlignment="1">
      <alignment vertical="top"/>
    </xf>
    <xf numFmtId="9" fontId="4" fillId="0" borderId="0" xfId="0" applyNumberFormat="1" applyFont="1" applyAlignment="1">
      <alignment vertical="top"/>
    </xf>
    <xf numFmtId="165" fontId="4" fillId="0" borderId="0" xfId="1" applyNumberFormat="1" applyFont="1" applyAlignment="1">
      <alignment vertical="top"/>
    </xf>
    <xf numFmtId="0" fontId="7" fillId="0" borderId="0" xfId="0" applyFont="1" applyAlignment="1">
      <alignment vertical="top"/>
    </xf>
    <xf numFmtId="0" fontId="12" fillId="0" borderId="0" xfId="0" applyFont="1" applyAlignment="1">
      <alignment vertical="top"/>
    </xf>
    <xf numFmtId="166" fontId="4" fillId="0" borderId="0" xfId="0" applyNumberFormat="1" applyFont="1" applyAlignment="1">
      <alignment vertical="top"/>
    </xf>
    <xf numFmtId="15" fontId="6" fillId="0" borderId="0" xfId="0" applyNumberFormat="1" applyFont="1" applyAlignment="1">
      <alignment vertical="top"/>
    </xf>
    <xf numFmtId="15" fontId="4" fillId="0" borderId="0" xfId="0" applyNumberFormat="1" applyFont="1" applyAlignment="1">
      <alignment vertical="top"/>
    </xf>
    <xf numFmtId="165" fontId="4" fillId="0" borderId="0" xfId="1" applyNumberFormat="1" applyFont="1" applyAlignment="1">
      <alignment horizontal="left" vertical="top"/>
    </xf>
    <xf numFmtId="165" fontId="6" fillId="0" borderId="0" xfId="1" applyNumberFormat="1" applyFont="1" applyAlignment="1">
      <alignment horizontal="center" vertical="top" wrapText="1"/>
    </xf>
    <xf numFmtId="15" fontId="6" fillId="0" borderId="0" xfId="0" applyNumberFormat="1" applyFont="1" applyAlignment="1">
      <alignment horizontal="right" vertical="top"/>
    </xf>
    <xf numFmtId="165" fontId="6" fillId="0" borderId="1" xfId="1" applyNumberFormat="1" applyFont="1" applyBorder="1" applyAlignment="1">
      <alignment vertical="top"/>
    </xf>
    <xf numFmtId="165" fontId="6" fillId="0" borderId="0" xfId="1" applyNumberFormat="1" applyFont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165" fontId="6" fillId="2" borderId="4" xfId="1" applyNumberFormat="1" applyFont="1" applyFill="1" applyBorder="1" applyAlignment="1">
      <alignment vertical="top"/>
    </xf>
    <xf numFmtId="167" fontId="4" fillId="0" borderId="0" xfId="1" applyNumberFormat="1" applyFont="1" applyAlignment="1">
      <alignment vertical="top"/>
    </xf>
    <xf numFmtId="165" fontId="4" fillId="0" borderId="0" xfId="1" applyNumberFormat="1" applyFont="1" applyBorder="1" applyAlignment="1">
      <alignment vertical="top"/>
    </xf>
    <xf numFmtId="171" fontId="4" fillId="0" borderId="0" xfId="0" applyNumberFormat="1" applyFont="1" applyAlignment="1">
      <alignment vertical="top"/>
    </xf>
    <xf numFmtId="166" fontId="12" fillId="0" borderId="0" xfId="2" applyNumberFormat="1" applyFont="1" applyFill="1" applyAlignment="1">
      <alignment horizontal="right" vertical="top"/>
    </xf>
    <xf numFmtId="166" fontId="4" fillId="5" borderId="0" xfId="0" applyNumberFormat="1" applyFont="1" applyFill="1" applyAlignment="1">
      <alignment vertical="top"/>
    </xf>
    <xf numFmtId="166" fontId="4" fillId="0" borderId="8" xfId="0" applyNumberFormat="1" applyFont="1" applyBorder="1" applyAlignment="1">
      <alignment vertical="top"/>
    </xf>
    <xf numFmtId="173" fontId="4" fillId="0" borderId="0" xfId="7" applyNumberFormat="1" applyFont="1" applyAlignment="1">
      <alignment horizontal="center" vertical="top" wrapText="1"/>
    </xf>
    <xf numFmtId="43" fontId="4" fillId="0" borderId="8" xfId="1" applyNumberFormat="1" applyFont="1" applyBorder="1" applyAlignment="1">
      <alignment horizontal="left" vertical="top"/>
    </xf>
    <xf numFmtId="166" fontId="4" fillId="5" borderId="0" xfId="2" applyNumberFormat="1" applyFont="1" applyFill="1" applyAlignment="1">
      <alignment horizontal="center" vertical="top" wrapText="1"/>
    </xf>
    <xf numFmtId="10" fontId="4" fillId="0" borderId="0" xfId="0" applyNumberFormat="1" applyFont="1" applyAlignment="1">
      <alignment vertical="top"/>
    </xf>
    <xf numFmtId="10" fontId="4" fillId="0" borderId="8" xfId="0" applyNumberFormat="1" applyFont="1" applyBorder="1" applyAlignment="1">
      <alignment vertical="top"/>
    </xf>
    <xf numFmtId="10" fontId="4" fillId="0" borderId="10" xfId="0" applyNumberFormat="1" applyFont="1" applyBorder="1" applyAlignment="1">
      <alignment vertical="top"/>
    </xf>
    <xf numFmtId="167" fontId="4" fillId="0" borderId="0" xfId="0" applyNumberFormat="1" applyFont="1" applyAlignment="1">
      <alignment vertical="top"/>
    </xf>
    <xf numFmtId="0" fontId="6" fillId="0" borderId="0" xfId="0" applyFont="1" applyBorder="1" applyAlignment="1">
      <alignment vertical="top"/>
    </xf>
    <xf numFmtId="165" fontId="6" fillId="0" borderId="0" xfId="1" applyNumberFormat="1" applyFont="1" applyBorder="1" applyAlignment="1">
      <alignment vertical="top"/>
    </xf>
    <xf numFmtId="165" fontId="4" fillId="5" borderId="9" xfId="0" applyNumberFormat="1" applyFont="1" applyFill="1" applyBorder="1" applyAlignment="1">
      <alignment vertical="top"/>
    </xf>
    <xf numFmtId="167" fontId="4" fillId="0" borderId="0" xfId="1" applyNumberFormat="1" applyFont="1" applyFill="1" applyBorder="1" applyAlignment="1">
      <alignment vertical="top"/>
    </xf>
    <xf numFmtId="169" fontId="4" fillId="0" borderId="0" xfId="6" applyNumberFormat="1" applyFont="1" applyFill="1">
      <alignment horizontal="left" vertical="top" wrapText="1"/>
    </xf>
    <xf numFmtId="165" fontId="4" fillId="0" borderId="0" xfId="1" applyNumberFormat="1" applyFont="1"/>
    <xf numFmtId="0" fontId="6" fillId="0" borderId="0" xfId="0" applyFont="1"/>
    <xf numFmtId="0" fontId="4" fillId="0" borderId="0" xfId="0" applyFont="1" applyAlignment="1">
      <alignment horizontal="left" indent="1"/>
    </xf>
    <xf numFmtId="165" fontId="6" fillId="0" borderId="0" xfId="1" applyNumberFormat="1" applyFont="1"/>
    <xf numFmtId="0" fontId="4" fillId="0" borderId="0" xfId="0" applyFont="1" applyAlignment="1">
      <alignment horizontal="center" vertical="top"/>
    </xf>
    <xf numFmtId="172" fontId="23" fillId="0" borderId="0" xfId="1" applyNumberFormat="1" applyFont="1" applyFill="1" applyBorder="1"/>
    <xf numFmtId="9" fontId="23" fillId="0" borderId="0" xfId="1" applyNumberFormat="1" applyFont="1" applyFill="1" applyBorder="1" applyAlignment="1">
      <alignment horizontal="center"/>
    </xf>
    <xf numFmtId="175" fontId="23" fillId="0" borderId="0" xfId="11" applyNumberFormat="1" applyFont="1" applyFill="1" applyBorder="1"/>
    <xf numFmtId="166" fontId="23" fillId="0" borderId="0" xfId="2" applyNumberFormat="1" applyFont="1" applyBorder="1"/>
    <xf numFmtId="172" fontId="4" fillId="0" borderId="0" xfId="1" applyNumberFormat="1" applyFont="1" applyFill="1"/>
    <xf numFmtId="172" fontId="4" fillId="0" borderId="0" xfId="1" applyNumberFormat="1" applyFont="1"/>
    <xf numFmtId="9" fontId="4" fillId="0" borderId="0" xfId="2" applyFont="1"/>
    <xf numFmtId="172" fontId="4" fillId="0" borderId="0" xfId="1" applyNumberFormat="1" applyFont="1" applyBorder="1"/>
    <xf numFmtId="172" fontId="4" fillId="0" borderId="0" xfId="1" applyNumberFormat="1" applyFont="1" applyFill="1" applyBorder="1"/>
    <xf numFmtId="9" fontId="4" fillId="0" borderId="0" xfId="1" applyNumberFormat="1" applyFont="1"/>
    <xf numFmtId="172" fontId="25" fillId="0" borderId="0" xfId="0" applyNumberFormat="1" applyFont="1"/>
    <xf numFmtId="9" fontId="4" fillId="0" borderId="0" xfId="1" applyNumberFormat="1" applyFont="1" applyFill="1" applyBorder="1"/>
    <xf numFmtId="172" fontId="4" fillId="0" borderId="0" xfId="1" applyNumberFormat="1" applyFont="1" applyFill="1" applyBorder="1" applyAlignment="1">
      <alignment horizontal="center" vertical="center"/>
    </xf>
    <xf numFmtId="9" fontId="4" fillId="0" borderId="0" xfId="1" applyNumberFormat="1" applyFont="1" applyFill="1" applyAlignment="1">
      <alignment vertical="top"/>
    </xf>
    <xf numFmtId="0" fontId="4" fillId="0" borderId="0" xfId="2" applyNumberFormat="1" applyFont="1" applyAlignment="1">
      <alignment horizontal="right" vertical="top" wrapText="1"/>
    </xf>
    <xf numFmtId="0" fontId="4" fillId="0" borderId="0" xfId="2" applyNumberFormat="1" applyFont="1" applyAlignment="1">
      <alignment horizontal="right" vertical="top"/>
    </xf>
    <xf numFmtId="173" fontId="4" fillId="7" borderId="0" xfId="7" applyNumberFormat="1" applyFont="1" applyFill="1" applyAlignment="1">
      <alignment horizontal="center" vertical="top" wrapText="1"/>
    </xf>
    <xf numFmtId="169" fontId="4" fillId="0" borderId="12" xfId="6" applyNumberFormat="1" applyFont="1" applyFill="1" applyBorder="1">
      <alignment horizontal="left" vertical="top" wrapText="1"/>
    </xf>
    <xf numFmtId="169" fontId="4" fillId="0" borderId="12" xfId="7" applyFont="1" applyBorder="1" applyAlignment="1">
      <alignment horizontal="center" vertical="top" wrapText="1"/>
    </xf>
    <xf numFmtId="166" fontId="12" fillId="0" borderId="0" xfId="2" applyNumberFormat="1" applyFont="1" applyAlignment="1">
      <alignment horizontal="right" vertical="top" wrapText="1"/>
    </xf>
    <xf numFmtId="165" fontId="4" fillId="0" borderId="0" xfId="1" applyNumberFormat="1" applyFont="1" applyAlignment="1">
      <alignment horizontal="center" vertical="top"/>
    </xf>
    <xf numFmtId="1" fontId="12" fillId="0" borderId="12" xfId="2" applyNumberFormat="1" applyFont="1" applyFill="1" applyBorder="1" applyAlignment="1">
      <alignment horizontal="right" vertical="top"/>
    </xf>
    <xf numFmtId="43" fontId="4" fillId="7" borderId="0" xfId="1" applyFont="1" applyFill="1" applyAlignment="1">
      <alignment vertical="top"/>
    </xf>
    <xf numFmtId="166" fontId="4" fillId="0" borderId="0" xfId="2" applyNumberFormat="1" applyFont="1" applyAlignment="1">
      <alignment horizontal="right" vertical="top"/>
    </xf>
    <xf numFmtId="9" fontId="12" fillId="0" borderId="0" xfId="2" applyFont="1" applyAlignment="1">
      <alignment horizontal="center" vertical="top"/>
    </xf>
    <xf numFmtId="0" fontId="6" fillId="0" borderId="11" xfId="3" applyFont="1" applyBorder="1" applyAlignment="1">
      <alignment horizontal="left" vertical="top" wrapText="1"/>
    </xf>
    <xf numFmtId="0" fontId="6" fillId="0" borderId="11" xfId="3" applyFont="1" applyBorder="1" applyAlignment="1">
      <alignment horizontal="center" vertical="top" wrapText="1"/>
    </xf>
    <xf numFmtId="0" fontId="6" fillId="0" borderId="11" xfId="3" applyFont="1" applyBorder="1" applyAlignment="1">
      <alignment horizontal="right" vertical="top" wrapText="1"/>
    </xf>
    <xf numFmtId="169" fontId="4" fillId="0" borderId="0" xfId="6" applyNumberFormat="1" applyFont="1" applyBorder="1">
      <alignment horizontal="left" vertical="top" wrapText="1"/>
    </xf>
    <xf numFmtId="9" fontId="12" fillId="0" borderId="0" xfId="2" applyFont="1" applyBorder="1" applyAlignment="1">
      <alignment horizontal="center" vertical="top"/>
    </xf>
    <xf numFmtId="0" fontId="4" fillId="0" borderId="0" xfId="6" applyFont="1" applyBorder="1" applyAlignment="1">
      <alignment horizontal="left" vertical="top"/>
    </xf>
    <xf numFmtId="166" fontId="12" fillId="0" borderId="0" xfId="2" applyNumberFormat="1" applyFont="1" applyBorder="1" applyAlignment="1">
      <alignment horizontal="right" vertical="top"/>
    </xf>
    <xf numFmtId="169" fontId="6" fillId="0" borderId="0" xfId="6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6" fillId="0" borderId="13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3" xfId="0" applyFont="1" applyBorder="1" applyAlignment="1">
      <alignment vertical="top"/>
    </xf>
    <xf numFmtId="0" fontId="4" fillId="7" borderId="0" xfId="0" applyFont="1" applyFill="1" applyBorder="1" applyAlignment="1">
      <alignment vertical="top"/>
    </xf>
    <xf numFmtId="0" fontId="4" fillId="7" borderId="0" xfId="0" applyFont="1" applyFill="1" applyBorder="1" applyAlignment="1">
      <alignment horizontal="center" vertical="top"/>
    </xf>
    <xf numFmtId="10" fontId="12" fillId="7" borderId="0" xfId="0" applyNumberFormat="1" applyFont="1" applyFill="1" applyBorder="1" applyAlignment="1">
      <alignment vertical="top"/>
    </xf>
    <xf numFmtId="0" fontId="12" fillId="7" borderId="0" xfId="0" applyFont="1" applyFill="1" applyBorder="1" applyAlignment="1">
      <alignment vertical="top"/>
    </xf>
    <xf numFmtId="10" fontId="12" fillId="0" borderId="6" xfId="2" applyNumberFormat="1" applyFont="1" applyBorder="1" applyAlignment="1">
      <alignment horizontal="right" vertical="top"/>
    </xf>
    <xf numFmtId="10" fontId="17" fillId="4" borderId="0" xfId="2" applyNumberFormat="1" applyFont="1" applyFill="1" applyBorder="1" applyAlignment="1">
      <alignment horizontal="right" vertical="top"/>
    </xf>
    <xf numFmtId="10" fontId="7" fillId="0" borderId="13" xfId="0" applyNumberFormat="1" applyFont="1" applyFill="1" applyBorder="1" applyAlignment="1">
      <alignment vertical="top"/>
    </xf>
    <xf numFmtId="169" fontId="6" fillId="0" borderId="6" xfId="6" applyNumberFormat="1" applyFont="1" applyFill="1" applyBorder="1">
      <alignment horizontal="left" vertical="top" wrapText="1"/>
    </xf>
    <xf numFmtId="172" fontId="27" fillId="0" borderId="0" xfId="1" applyNumberFormat="1" applyFont="1"/>
    <xf numFmtId="0" fontId="29" fillId="0" borderId="0" xfId="0" applyFont="1"/>
    <xf numFmtId="10" fontId="7" fillId="0" borderId="6" xfId="2" applyNumberFormat="1" applyFont="1" applyFill="1" applyBorder="1" applyAlignment="1">
      <alignment horizontal="right" vertical="top"/>
    </xf>
    <xf numFmtId="169" fontId="31" fillId="0" borderId="0" xfId="9" applyFont="1">
      <alignment horizontal="left" vertical="top"/>
    </xf>
    <xf numFmtId="169" fontId="32" fillId="0" borderId="0" xfId="6" applyNumberFormat="1" applyFont="1">
      <alignment horizontal="left" vertical="top" wrapText="1"/>
    </xf>
    <xf numFmtId="170" fontId="32" fillId="0" borderId="0" xfId="8" applyFont="1">
      <alignment horizontal="right" vertical="top"/>
    </xf>
    <xf numFmtId="49" fontId="32" fillId="0" borderId="0" xfId="4" applyNumberFormat="1" applyFont="1" applyBorder="1" applyAlignment="1">
      <alignment horizontal="left" vertical="top"/>
    </xf>
    <xf numFmtId="0" fontId="32" fillId="0" borderId="0" xfId="0" applyFont="1" applyAlignment="1">
      <alignment vertical="top"/>
    </xf>
    <xf numFmtId="0" fontId="32" fillId="0" borderId="0" xfId="0" applyFont="1" applyAlignment="1">
      <alignment horizontal="center" vertical="top"/>
    </xf>
    <xf numFmtId="169" fontId="31" fillId="0" borderId="13" xfId="9" applyFont="1" applyBorder="1">
      <alignment horizontal="left" vertical="top"/>
    </xf>
    <xf numFmtId="0" fontId="32" fillId="0" borderId="13" xfId="0" applyFont="1" applyBorder="1" applyAlignment="1">
      <alignment horizontal="center" vertical="top"/>
    </xf>
    <xf numFmtId="0" fontId="32" fillId="0" borderId="13" xfId="0" applyFont="1" applyBorder="1" applyAlignment="1">
      <alignment vertical="top"/>
    </xf>
    <xf numFmtId="0" fontId="6" fillId="3" borderId="0" xfId="0" applyFont="1" applyFill="1"/>
    <xf numFmtId="178" fontId="4" fillId="6" borderId="0" xfId="0" applyNumberFormat="1" applyFont="1" applyFill="1"/>
    <xf numFmtId="0" fontId="6" fillId="0" borderId="1" xfId="0" applyFont="1" applyBorder="1"/>
    <xf numFmtId="165" fontId="6" fillId="0" borderId="1" xfId="1" applyNumberFormat="1" applyFont="1" applyBorder="1"/>
    <xf numFmtId="0" fontId="12" fillId="0" borderId="0" xfId="0" applyFont="1"/>
    <xf numFmtId="0" fontId="5" fillId="0" borderId="0" xfId="0" applyFont="1"/>
    <xf numFmtId="165" fontId="4" fillId="0" borderId="1" xfId="1" applyNumberFormat="1" applyFont="1" applyBorder="1"/>
    <xf numFmtId="165" fontId="6" fillId="0" borderId="7" xfId="1" applyNumberFormat="1" applyFont="1" applyBorder="1"/>
    <xf numFmtId="165" fontId="4" fillId="0" borderId="0" xfId="1" applyNumberFormat="1" applyFont="1" applyFill="1"/>
    <xf numFmtId="177" fontId="6" fillId="0" borderId="0" xfId="0" applyNumberFormat="1" applyFont="1" applyAlignment="1">
      <alignment horizontal="center" vertical="top"/>
    </xf>
    <xf numFmtId="166" fontId="21" fillId="0" borderId="0" xfId="0" applyNumberFormat="1" applyFont="1" applyFill="1" applyAlignment="1">
      <alignment vertical="top"/>
    </xf>
    <xf numFmtId="166" fontId="4" fillId="0" borderId="0" xfId="0" applyNumberFormat="1" applyFont="1" applyFill="1" applyAlignment="1">
      <alignment vertical="top"/>
    </xf>
    <xf numFmtId="10" fontId="4" fillId="5" borderId="0" xfId="0" applyNumberFormat="1" applyFont="1" applyFill="1" applyAlignment="1">
      <alignment vertical="top"/>
    </xf>
    <xf numFmtId="165" fontId="6" fillId="0" borderId="0" xfId="1" applyNumberFormat="1" applyFont="1" applyBorder="1"/>
    <xf numFmtId="176" fontId="20" fillId="0" borderId="0" xfId="11" applyNumberFormat="1" applyFont="1" applyBorder="1" applyAlignment="1"/>
    <xf numFmtId="9" fontId="20" fillId="0" borderId="0" xfId="1" applyNumberFormat="1" applyFont="1" applyBorder="1"/>
    <xf numFmtId="9" fontId="19" fillId="6" borderId="0" xfId="0" applyNumberFormat="1" applyFont="1" applyFill="1"/>
    <xf numFmtId="0" fontId="6" fillId="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5" fontId="25" fillId="0" borderId="0" xfId="11" applyNumberFormat="1" applyFont="1" applyFill="1" applyBorder="1" applyAlignment="1">
      <alignment horizontal="right"/>
    </xf>
    <xf numFmtId="175" fontId="4" fillId="0" borderId="1" xfId="11" applyNumberFormat="1" applyFont="1" applyFill="1" applyBorder="1" applyAlignment="1">
      <alignment horizontal="right" vertical="center"/>
    </xf>
    <xf numFmtId="0" fontId="19" fillId="9" borderId="0" xfId="0" applyFont="1" applyFill="1"/>
    <xf numFmtId="175" fontId="19" fillId="9" borderId="0" xfId="0" applyNumberFormat="1" applyFont="1" applyFill="1"/>
    <xf numFmtId="0" fontId="19" fillId="8" borderId="0" xfId="0" applyFont="1" applyFill="1"/>
    <xf numFmtId="1" fontId="19" fillId="8" borderId="0" xfId="0" applyNumberFormat="1" applyFont="1" applyFill="1"/>
    <xf numFmtId="165" fontId="4" fillId="0" borderId="7" xfId="1" applyNumberFormat="1" applyFont="1" applyBorder="1"/>
    <xf numFmtId="165" fontId="7" fillId="0" borderId="0" xfId="1" applyNumberFormat="1" applyFont="1"/>
    <xf numFmtId="165" fontId="20" fillId="0" borderId="0" xfId="1" applyNumberFormat="1" applyFont="1"/>
    <xf numFmtId="0" fontId="6" fillId="7" borderId="0" xfId="0" applyFont="1" applyFill="1"/>
    <xf numFmtId="0" fontId="4" fillId="0" borderId="0" xfId="0" applyFont="1" applyBorder="1" applyAlignment="1">
      <alignment horizontal="left" vertical="center"/>
    </xf>
    <xf numFmtId="1" fontId="4" fillId="0" borderId="0" xfId="11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/>
    </xf>
    <xf numFmtId="0" fontId="19" fillId="6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75" fontId="4" fillId="0" borderId="0" xfId="0" applyNumberFormat="1" applyFont="1"/>
    <xf numFmtId="172" fontId="7" fillId="0" borderId="0" xfId="1" applyNumberFormat="1" applyFont="1" applyBorder="1"/>
    <xf numFmtId="167" fontId="4" fillId="0" borderId="0" xfId="1" applyNumberFormat="1" applyFont="1" applyFill="1"/>
    <xf numFmtId="0" fontId="30" fillId="10" borderId="0" xfId="0" applyFont="1" applyFill="1" applyAlignment="1">
      <alignment vertical="center"/>
    </xf>
    <xf numFmtId="0" fontId="29" fillId="10" borderId="0" xfId="0" applyFont="1" applyFill="1"/>
    <xf numFmtId="0" fontId="24" fillId="10" borderId="0" xfId="0" applyFont="1" applyFill="1"/>
    <xf numFmtId="0" fontId="22" fillId="10" borderId="0" xfId="0" applyFont="1" applyFill="1" applyAlignment="1">
      <alignment vertical="center"/>
    </xf>
    <xf numFmtId="177" fontId="16" fillId="10" borderId="0" xfId="0" applyNumberFormat="1" applyFont="1" applyFill="1" applyAlignment="1">
      <alignment horizontal="center"/>
    </xf>
    <xf numFmtId="0" fontId="28" fillId="10" borderId="0" xfId="0" applyFont="1" applyFill="1"/>
    <xf numFmtId="177" fontId="16" fillId="10" borderId="0" xfId="0" applyNumberFormat="1" applyFont="1" applyFill="1" applyBorder="1" applyAlignment="1">
      <alignment horizontal="right" vertical="center"/>
    </xf>
    <xf numFmtId="0" fontId="22" fillId="10" borderId="0" xfId="0" applyFont="1" applyFill="1"/>
    <xf numFmtId="172" fontId="20" fillId="0" borderId="0" xfId="1" applyNumberFormat="1" applyFont="1" applyFill="1" applyBorder="1"/>
    <xf numFmtId="172" fontId="19" fillId="11" borderId="0" xfId="1" applyNumberFormat="1" applyFont="1" applyFill="1" applyBorder="1" applyAlignment="1">
      <alignment vertical="center"/>
    </xf>
    <xf numFmtId="172" fontId="19" fillId="11" borderId="0" xfId="1" applyNumberFormat="1" applyFont="1" applyFill="1" applyBorder="1"/>
    <xf numFmtId="177" fontId="34" fillId="11" borderId="0" xfId="0" applyNumberFormat="1" applyFont="1" applyFill="1" applyBorder="1" applyAlignment="1">
      <alignment horizontal="right" vertical="center"/>
    </xf>
    <xf numFmtId="172" fontId="25" fillId="0" borderId="0" xfId="1" applyNumberFormat="1" applyFont="1" applyFill="1" applyBorder="1"/>
    <xf numFmtId="172" fontId="26" fillId="11" borderId="0" xfId="1" applyNumberFormat="1" applyFont="1" applyFill="1" applyBorder="1" applyAlignment="1">
      <alignment horizontal="left" vertical="center" wrapText="1"/>
    </xf>
    <xf numFmtId="172" fontId="26" fillId="11" borderId="0" xfId="1" applyNumberFormat="1" applyFont="1" applyFill="1" applyBorder="1" applyAlignment="1">
      <alignment horizontal="right" vertical="center" wrapText="1"/>
    </xf>
    <xf numFmtId="174" fontId="6" fillId="0" borderId="0" xfId="1" applyNumberFormat="1" applyFont="1" applyFill="1" applyBorder="1" applyAlignment="1">
      <alignment horizontal="center"/>
    </xf>
    <xf numFmtId="42" fontId="6" fillId="0" borderId="0" xfId="1" applyNumberFormat="1" applyFont="1" applyFill="1" applyBorder="1" applyAlignment="1">
      <alignment horizontal="center"/>
    </xf>
    <xf numFmtId="172" fontId="23" fillId="11" borderId="0" xfId="1" applyNumberFormat="1" applyFont="1" applyFill="1" applyBorder="1"/>
    <xf numFmtId="172" fontId="4" fillId="11" borderId="0" xfId="1" applyNumberFormat="1" applyFont="1" applyFill="1"/>
    <xf numFmtId="172" fontId="6" fillId="11" borderId="0" xfId="1" applyNumberFormat="1" applyFont="1" applyFill="1" applyBorder="1" applyAlignment="1">
      <alignment horizontal="left" vertical="center"/>
    </xf>
    <xf numFmtId="9" fontId="6" fillId="11" borderId="0" xfId="2" applyFont="1" applyFill="1" applyBorder="1"/>
    <xf numFmtId="177" fontId="16" fillId="10" borderId="0" xfId="0" applyNumberFormat="1" applyFont="1" applyFill="1" applyAlignment="1">
      <alignment horizontal="right"/>
    </xf>
    <xf numFmtId="0" fontId="32" fillId="11" borderId="0" xfId="0" applyFont="1" applyFill="1"/>
    <xf numFmtId="9" fontId="32" fillId="11" borderId="0" xfId="2" applyFont="1" applyFill="1"/>
    <xf numFmtId="0" fontId="4" fillId="11" borderId="0" xfId="0" applyFont="1" applyFill="1"/>
    <xf numFmtId="0" fontId="6" fillId="11" borderId="0" xfId="0" applyFont="1" applyFill="1"/>
    <xf numFmtId="0" fontId="16" fillId="10" borderId="0" xfId="0" applyFont="1" applyFill="1" applyAlignment="1">
      <alignment vertical="center"/>
    </xf>
    <xf numFmtId="0" fontId="16" fillId="10" borderId="0" xfId="0" applyFont="1" applyFill="1"/>
    <xf numFmtId="0" fontId="4" fillId="0" borderId="0" xfId="0" applyFont="1" applyBorder="1" applyAlignment="1">
      <alignment horizontal="left" vertical="center"/>
    </xf>
    <xf numFmtId="177" fontId="16" fillId="10" borderId="0" xfId="0" applyNumberFormat="1" applyFont="1" applyFill="1"/>
    <xf numFmtId="0" fontId="6" fillId="6" borderId="0" xfId="0" applyFont="1" applyFill="1"/>
    <xf numFmtId="165" fontId="6" fillId="6" borderId="0" xfId="1" applyNumberFormat="1" applyFont="1" applyFill="1"/>
    <xf numFmtId="0" fontId="6" fillId="0" borderId="0" xfId="0" applyFont="1" applyFill="1"/>
    <xf numFmtId="165" fontId="6" fillId="0" borderId="0" xfId="1" applyNumberFormat="1" applyFont="1" applyFill="1"/>
    <xf numFmtId="175" fontId="6" fillId="0" borderId="1" xfId="12" applyNumberFormat="1" applyFont="1" applyFill="1" applyBorder="1" applyAlignment="1">
      <alignment horizontal="right"/>
    </xf>
    <xf numFmtId="0" fontId="33" fillId="10" borderId="0" xfId="0" applyFont="1" applyFill="1" applyAlignment="1">
      <alignment horizontal="left" vertical="center"/>
    </xf>
    <xf numFmtId="0" fontId="4" fillId="10" borderId="0" xfId="0" applyFont="1" applyFill="1"/>
    <xf numFmtId="0" fontId="18" fillId="10" borderId="0" xfId="0" applyFont="1" applyFill="1"/>
    <xf numFmtId="0" fontId="16" fillId="10" borderId="0" xfId="0" applyFont="1" applyFill="1" applyAlignment="1">
      <alignment horizontal="left" vertical="center"/>
    </xf>
    <xf numFmtId="0" fontId="17" fillId="10" borderId="0" xfId="0" applyFont="1" applyFill="1" applyAlignment="1">
      <alignment vertical="top"/>
    </xf>
    <xf numFmtId="9" fontId="4" fillId="0" borderId="0" xfId="2" applyFont="1" applyFill="1"/>
    <xf numFmtId="9" fontId="35" fillId="0" borderId="0" xfId="2" applyFont="1"/>
    <xf numFmtId="165" fontId="35" fillId="0" borderId="0" xfId="1" applyNumberFormat="1" applyFont="1"/>
    <xf numFmtId="165" fontId="4" fillId="7" borderId="0" xfId="1" applyNumberFormat="1" applyFont="1" applyFill="1"/>
    <xf numFmtId="0" fontId="12" fillId="7" borderId="0" xfId="0" applyFont="1" applyFill="1" applyAlignment="1">
      <alignment horizontal="left" indent="1"/>
    </xf>
    <xf numFmtId="0" fontId="12" fillId="7" borderId="0" xfId="0" applyFont="1" applyFill="1"/>
    <xf numFmtId="9" fontId="12" fillId="7" borderId="0" xfId="0" applyNumberFormat="1" applyFont="1" applyFill="1"/>
    <xf numFmtId="166" fontId="35" fillId="0" borderId="0" xfId="2" applyNumberFormat="1" applyFont="1"/>
    <xf numFmtId="9" fontId="35" fillId="7" borderId="0" xfId="2" applyFont="1" applyFill="1"/>
    <xf numFmtId="165" fontId="4" fillId="0" borderId="0" xfId="0" applyNumberFormat="1" applyFont="1"/>
    <xf numFmtId="43" fontId="4" fillId="0" borderId="0" xfId="1" applyNumberFormat="1" applyFont="1"/>
    <xf numFmtId="0" fontId="4" fillId="0" borderId="0" xfId="0" applyFont="1" applyAlignment="1">
      <alignment horizontal="left" indent="3"/>
    </xf>
    <xf numFmtId="0" fontId="36" fillId="10" borderId="0" xfId="0" applyFont="1" applyFill="1" applyAlignment="1">
      <alignment vertic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4" fillId="0" borderId="0" xfId="0" applyFont="1" applyBorder="1"/>
    <xf numFmtId="165" fontId="4" fillId="0" borderId="0" xfId="1" applyNumberFormat="1" applyFont="1" applyBorder="1"/>
    <xf numFmtId="0" fontId="12" fillId="7" borderId="0" xfId="0" applyFont="1" applyFill="1" applyAlignment="1">
      <alignment horizontal="left" indent="3"/>
    </xf>
    <xf numFmtId="165" fontId="37" fillId="0" borderId="0" xfId="1" applyNumberFormat="1" applyFont="1"/>
    <xf numFmtId="165" fontId="12" fillId="0" borderId="0" xfId="1" applyNumberFormat="1" applyFont="1"/>
    <xf numFmtId="0" fontId="6" fillId="0" borderId="0" xfId="0" applyFont="1" applyAlignment="1">
      <alignment horizontal="left" indent="2"/>
    </xf>
    <xf numFmtId="0" fontId="6" fillId="0" borderId="0" xfId="0" applyFont="1" applyBorder="1" applyAlignment="1">
      <alignment horizontal="left" indent="2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65" fontId="4" fillId="0" borderId="0" xfId="0" applyNumberFormat="1" applyFont="1" applyFill="1"/>
    <xf numFmtId="0" fontId="7" fillId="0" borderId="0" xfId="0" applyFont="1" applyFill="1"/>
    <xf numFmtId="165" fontId="7" fillId="0" borderId="1" xfId="1" applyNumberFormat="1" applyFont="1" applyFill="1" applyBorder="1"/>
    <xf numFmtId="165" fontId="7" fillId="0" borderId="0" xfId="1" applyNumberFormat="1" applyFont="1" applyFill="1"/>
    <xf numFmtId="0" fontId="7" fillId="0" borderId="0" xfId="0" applyFont="1"/>
    <xf numFmtId="165" fontId="7" fillId="0" borderId="1" xfId="1" applyNumberFormat="1" applyFont="1" applyBorder="1"/>
    <xf numFmtId="0" fontId="4" fillId="0" borderId="0" xfId="0" applyFont="1" applyFill="1" applyAlignment="1">
      <alignment vertical="top"/>
    </xf>
    <xf numFmtId="0" fontId="20" fillId="0" borderId="0" xfId="13" applyFont="1"/>
    <xf numFmtId="0" fontId="38" fillId="0" borderId="0" xfId="13" applyFont="1"/>
    <xf numFmtId="0" fontId="19" fillId="0" borderId="8" xfId="13" applyFont="1" applyBorder="1"/>
    <xf numFmtId="0" fontId="19" fillId="0" borderId="0" xfId="13" applyFont="1"/>
    <xf numFmtId="180" fontId="35" fillId="0" borderId="0" xfId="13" applyNumberFormat="1" applyFont="1"/>
    <xf numFmtId="9" fontId="35" fillId="0" borderId="0" xfId="14" applyFont="1" applyFill="1" applyBorder="1"/>
    <xf numFmtId="1" fontId="38" fillId="0" borderId="0" xfId="16" applyNumberFormat="1" applyFont="1" applyFill="1" applyBorder="1"/>
    <xf numFmtId="166" fontId="20" fillId="0" borderId="0" xfId="14" applyNumberFormat="1" applyFont="1" applyFill="1" applyBorder="1"/>
    <xf numFmtId="0" fontId="20" fillId="7" borderId="0" xfId="13" applyFont="1" applyFill="1"/>
    <xf numFmtId="165" fontId="35" fillId="7" borderId="0" xfId="1" applyNumberFormat="1" applyFont="1" applyFill="1"/>
    <xf numFmtId="0" fontId="30" fillId="4" borderId="0" xfId="0" applyFont="1" applyFill="1" applyAlignment="1">
      <alignment vertical="center"/>
    </xf>
    <xf numFmtId="0" fontId="18" fillId="4" borderId="0" xfId="0" applyFont="1" applyFill="1"/>
    <xf numFmtId="0" fontId="16" fillId="4" borderId="0" xfId="0" applyFont="1" applyFill="1" applyAlignment="1">
      <alignment vertical="center"/>
    </xf>
    <xf numFmtId="177" fontId="16" fillId="4" borderId="0" xfId="0" applyNumberFormat="1" applyFont="1" applyFill="1"/>
    <xf numFmtId="0" fontId="16" fillId="4" borderId="0" xfId="0" applyFont="1" applyFill="1"/>
    <xf numFmtId="15" fontId="4" fillId="7" borderId="0" xfId="0" applyNumberFormat="1" applyFont="1" applyFill="1" applyAlignment="1">
      <alignment horizontal="right" vertical="top"/>
    </xf>
    <xf numFmtId="165" fontId="39" fillId="0" borderId="0" xfId="1" applyNumberFormat="1" applyFont="1"/>
    <xf numFmtId="165" fontId="18" fillId="0" borderId="0" xfId="1" applyNumberFormat="1" applyFont="1" applyFill="1"/>
    <xf numFmtId="179" fontId="4" fillId="0" borderId="0" xfId="13" applyNumberFormat="1" applyFont="1" applyAlignment="1">
      <alignment horizontal="right"/>
    </xf>
    <xf numFmtId="1" fontId="4" fillId="7" borderId="0" xfId="13" applyNumberFormat="1" applyFont="1" applyFill="1" applyAlignment="1">
      <alignment horizontal="right"/>
    </xf>
    <xf numFmtId="0" fontId="2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top"/>
    </xf>
    <xf numFmtId="165" fontId="4" fillId="0" borderId="10" xfId="1" applyNumberFormat="1" applyFont="1" applyBorder="1" applyAlignment="1">
      <alignment horizontal="center" vertical="center" textRotation="180"/>
    </xf>
    <xf numFmtId="172" fontId="23" fillId="0" borderId="0" xfId="1" applyNumberFormat="1" applyFont="1" applyFill="1" applyBorder="1" applyAlignment="1">
      <alignment horizontal="center"/>
    </xf>
  </cellXfs>
  <cellStyles count="17">
    <cellStyle name="Comma" xfId="1" builtinId="3"/>
    <cellStyle name="Comma 2" xfId="16" xr:uid="{3BE0D57C-66E4-4862-BD59-48480DCB7FFF}"/>
    <cellStyle name="Currency" xfId="11" builtinId="4"/>
    <cellStyle name="Currency 2" xfId="15" xr:uid="{22E7AAAF-099B-45EA-850D-A77300969A09}"/>
    <cellStyle name="Currency 3" xfId="12" xr:uid="{1D430198-F4B5-4D96-BEFB-3996EEF64D4B}"/>
    <cellStyle name="EY1dp" xfId="8" xr:uid="{00000000-0005-0000-0000-000001000000}"/>
    <cellStyle name="EYColumnHeading 3" xfId="3" xr:uid="{00000000-0005-0000-0000-000002000000}"/>
    <cellStyle name="EYNotes" xfId="7" xr:uid="{00000000-0005-0000-0000-000003000000}"/>
    <cellStyle name="EYNotesHeading 3" xfId="5" xr:uid="{00000000-0005-0000-0000-000004000000}"/>
    <cellStyle name="EYnumber 2 2" xfId="4" xr:uid="{00000000-0005-0000-0000-000005000000}"/>
    <cellStyle name="EYSource" xfId="9" xr:uid="{00000000-0005-0000-0000-000006000000}"/>
    <cellStyle name="EYtext" xfId="6" xr:uid="{00000000-0005-0000-0000-000007000000}"/>
    <cellStyle name="Invisible" xfId="10" xr:uid="{00000000-0005-0000-0000-000008000000}"/>
    <cellStyle name="Normal" xfId="0" builtinId="0"/>
    <cellStyle name="Normal 2" xfId="13" xr:uid="{77A0E1B8-2A12-4A77-B6D2-C514B6829C78}"/>
    <cellStyle name="Percent" xfId="2" builtinId="5"/>
    <cellStyle name="Percent 2" xfId="14" xr:uid="{336E74A7-9DFD-4B24-B33D-697486B3E789}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C00000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00FF"/>
      <color rgb="FFFFFFCC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Key Financial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Summary!$A$5</c:f>
              <c:strCache>
                <c:ptCount val="1"/>
                <c:pt idx="0">
                  <c:v> Total Revenue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Summary!$B$4:$J$4</c:f>
              <c:numCache>
                <c:formatCode>"Year"\ 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Summary!$B$5:$J$5</c:f>
              <c:numCache>
                <c:formatCode>_ [$₹-4009]\ * #,##0.00_ ;_ [$₹-4009]\ * \-#,##0.00_ ;_ [$₹-4009]\ * "-"??_ ;_ @_ </c:formatCode>
                <c:ptCount val="9"/>
                <c:pt idx="0">
                  <c:v>145.33287999999999</c:v>
                </c:pt>
                <c:pt idx="1">
                  <c:v>179.89051040000001</c:v>
                </c:pt>
                <c:pt idx="2">
                  <c:v>182.02685123199998</c:v>
                </c:pt>
                <c:pt idx="3">
                  <c:v>198.54840933055999</c:v>
                </c:pt>
                <c:pt idx="4">
                  <c:v>217.77107307700481</c:v>
                </c:pt>
                <c:pt idx="5">
                  <c:v>233.39102902316526</c:v>
                </c:pt>
                <c:pt idx="6">
                  <c:v>251.71576845501846</c:v>
                </c:pt>
                <c:pt idx="7">
                  <c:v>267.12519275241999</c:v>
                </c:pt>
                <c:pt idx="8">
                  <c:v>286.9128272757136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C-48BA-B6EF-93C7EFF70E9D}"/>
            </c:ext>
          </c:extLst>
        </c:ser>
        <c:ser>
          <c:idx val="1"/>
          <c:order val="1"/>
          <c:tx>
            <c:strRef>
              <c:f>Summary!$A$6</c:f>
              <c:strCache>
                <c:ptCount val="1"/>
                <c:pt idx="0">
                  <c:v> EBITDA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Summary!$B$4:$J$4</c:f>
              <c:numCache>
                <c:formatCode>"Year"\ 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Summary!$B$6:$J$6</c:f>
              <c:numCache>
                <c:formatCode>_ [$₹-4009]\ * #,##0.00_ ;_ [$₹-4009]\ * \-#,##0.00_ ;_ [$₹-4009]\ * "-"??_ ;_ @_ </c:formatCode>
                <c:ptCount val="9"/>
                <c:pt idx="0">
                  <c:v>22.423279999999998</c:v>
                </c:pt>
                <c:pt idx="1">
                  <c:v>50.437950399999998</c:v>
                </c:pt>
                <c:pt idx="2">
                  <c:v>43.573035231999967</c:v>
                </c:pt>
                <c:pt idx="3">
                  <c:v>50.193211730559966</c:v>
                </c:pt>
                <c:pt idx="4">
                  <c:v>58.524355717004767</c:v>
                </c:pt>
                <c:pt idx="5">
                  <c:v>62.163639927165249</c:v>
                </c:pt>
                <c:pt idx="6">
                  <c:v>67.309640449418353</c:v>
                </c:pt>
                <c:pt idx="7">
                  <c:v>68.222451946259952</c:v>
                </c:pt>
                <c:pt idx="8">
                  <c:v>72.063812388937478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C-48BA-B6EF-93C7EFF70E9D}"/>
            </c:ext>
          </c:extLst>
        </c:ser>
        <c:ser>
          <c:idx val="2"/>
          <c:order val="2"/>
          <c:tx>
            <c:strRef>
              <c:f>Summary!$A$7</c:f>
              <c:strCache>
                <c:ptCount val="1"/>
                <c:pt idx="0">
                  <c:v> PAT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Summary!$B$4:$J$4</c:f>
              <c:numCache>
                <c:formatCode>"Year"\ 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Summary!$B$7:$J$7</c:f>
              <c:numCache>
                <c:formatCode>_ [$₹-4009]\ * #,##0.00_ ;_ [$₹-4009]\ * \-#,##0.00_ ;_ [$₹-4009]\ * "-"??_ ;_ @_ </c:formatCode>
                <c:ptCount val="9"/>
                <c:pt idx="0">
                  <c:v>1.8759600000000001</c:v>
                </c:pt>
                <c:pt idx="1">
                  <c:v>25.875262800000002</c:v>
                </c:pt>
                <c:pt idx="2">
                  <c:v>23.117216423999977</c:v>
                </c:pt>
                <c:pt idx="3">
                  <c:v>29.994860797919976</c:v>
                </c:pt>
                <c:pt idx="4">
                  <c:v>37.773228387753569</c:v>
                </c:pt>
                <c:pt idx="5">
                  <c:v>41.726699225373935</c:v>
                </c:pt>
                <c:pt idx="6">
                  <c:v>46.565405761063758</c:v>
                </c:pt>
                <c:pt idx="7">
                  <c:v>48.033379298894957</c:v>
                </c:pt>
                <c:pt idx="8">
                  <c:v>51.541091563063112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C-48BA-B6EF-93C7EFF70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1276192"/>
        <c:axId val="401282096"/>
      </c:barChart>
      <c:catAx>
        <c:axId val="401276192"/>
        <c:scaling>
          <c:orientation val="minMax"/>
        </c:scaling>
        <c:delete val="0"/>
        <c:axPos val="b"/>
        <c:numFmt formatCode="&quot;Year&quot;\ 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82096"/>
        <c:crosses val="autoZero"/>
        <c:auto val="1"/>
        <c:lblAlgn val="ctr"/>
        <c:lblOffset val="100"/>
        <c:noMultiLvlLbl val="0"/>
      </c:catAx>
      <c:valAx>
        <c:axId val="4012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in Crores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76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Operational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Summary!$A$10</c:f>
              <c:strCache>
                <c:ptCount val="1"/>
                <c:pt idx="0">
                  <c:v> Operating profit margin (%)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Summary!$B$9:$J$9</c:f>
              <c:numCache>
                <c:formatCode>"Year"\ 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Summary!$B$10:$J$10</c:f>
              <c:numCache>
                <c:formatCode>0%</c:formatCode>
                <c:ptCount val="9"/>
                <c:pt idx="0">
                  <c:v>1.7210695886574326E-2</c:v>
                </c:pt>
                <c:pt idx="1">
                  <c:v>0.191785271625979</c:v>
                </c:pt>
                <c:pt idx="2">
                  <c:v>0.16933191462349126</c:v>
                </c:pt>
                <c:pt idx="3">
                  <c:v>0.20142769144010633</c:v>
                </c:pt>
                <c:pt idx="4">
                  <c:v>0.23127178373775897</c:v>
                </c:pt>
                <c:pt idx="5">
                  <c:v>0.23837933788638946</c:v>
                </c:pt>
                <c:pt idx="6">
                  <c:v>0.24665601230505871</c:v>
                </c:pt>
                <c:pt idx="7">
                  <c:v>0.23975464489872508</c:v>
                </c:pt>
                <c:pt idx="8">
                  <c:v>0.23952033120979449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B-4287-A1C2-1854C7265B09}"/>
            </c:ext>
          </c:extLst>
        </c:ser>
        <c:ser>
          <c:idx val="1"/>
          <c:order val="1"/>
          <c:tx>
            <c:strRef>
              <c:f>Summary!$A$11</c:f>
              <c:strCache>
                <c:ptCount val="1"/>
                <c:pt idx="0">
                  <c:v> PAT %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Summary!$B$9:$J$9</c:f>
              <c:numCache>
                <c:formatCode>"Year"\ 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Summary!$B$11:$J$11</c:f>
              <c:numCache>
                <c:formatCode>0%</c:formatCode>
                <c:ptCount val="9"/>
                <c:pt idx="0">
                  <c:v>1.2908021914930744E-2</c:v>
                </c:pt>
                <c:pt idx="1">
                  <c:v>0.14383895371948424</c:v>
                </c:pt>
                <c:pt idx="2">
                  <c:v>0.12699893596761846</c:v>
                </c:pt>
                <c:pt idx="3">
                  <c:v>0.15107076858007976</c:v>
                </c:pt>
                <c:pt idx="4">
                  <c:v>0.17345383780331922</c:v>
                </c:pt>
                <c:pt idx="5">
                  <c:v>0.1787845034147921</c:v>
                </c:pt>
                <c:pt idx="6">
                  <c:v>0.18499200922879402</c:v>
                </c:pt>
                <c:pt idx="7">
                  <c:v>0.17981598367404381</c:v>
                </c:pt>
                <c:pt idx="8">
                  <c:v>0.17964024840734588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B-4287-A1C2-1854C7265B0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01281112"/>
        <c:axId val="401279800"/>
      </c:lineChart>
      <c:catAx>
        <c:axId val="401281112"/>
        <c:scaling>
          <c:orientation val="minMax"/>
        </c:scaling>
        <c:delete val="0"/>
        <c:axPos val="b"/>
        <c:numFmt formatCode="&quot;Year&quot;\ 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79800"/>
        <c:crosses val="autoZero"/>
        <c:auto val="1"/>
        <c:lblAlgn val="ctr"/>
        <c:lblOffset val="100"/>
        <c:noMultiLvlLbl val="0"/>
      </c:catAx>
      <c:valAx>
        <c:axId val="40127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8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12</xdr:row>
      <xdr:rowOff>148292</xdr:rowOff>
    </xdr:from>
    <xdr:to>
      <xdr:col>14</xdr:col>
      <xdr:colOff>882650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09E331-4192-4045-95B5-1F4E806EB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123775</xdr:colOff>
      <xdr:row>12</xdr:row>
      <xdr:rowOff>154013</xdr:rowOff>
    </xdr:from>
    <xdr:to>
      <xdr:col>5</xdr:col>
      <xdr:colOff>393700</xdr:colOff>
      <xdr:row>31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49F199-370D-445B-A790-5A8E909C4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AA84-C4FF-4D14-B0CC-F84FAC1ADB29}">
  <sheetPr>
    <tabColor theme="7" tint="0.79998168889431442"/>
  </sheetPr>
  <dimension ref="A1:L679"/>
  <sheetViews>
    <sheetView showGridLines="0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0" sqref="D20"/>
    </sheetView>
  </sheetViews>
  <sheetFormatPr defaultRowHeight="13" x14ac:dyDescent="0.3"/>
  <cols>
    <col min="1" max="1" width="40" style="1" customWidth="1"/>
    <col min="2" max="2" width="10" style="1" customWidth="1"/>
    <col min="3" max="3" width="13.36328125" style="1" bestFit="1" customWidth="1"/>
    <col min="4" max="15" width="14.54296875" style="59" customWidth="1"/>
    <col min="16" max="16384" width="8.7265625" style="59"/>
  </cols>
  <sheetData>
    <row r="1" spans="1:12" s="160" customFormat="1" ht="14.5" x14ac:dyDescent="0.35">
      <c r="A1" s="159" t="s">
        <v>42</v>
      </c>
    </row>
    <row r="2" spans="1:12" s="186" customFormat="1" ht="14" customHeight="1" x14ac:dyDescent="0.3">
      <c r="A2" s="185" t="s">
        <v>162</v>
      </c>
      <c r="B2" s="185"/>
      <c r="C2" s="185"/>
      <c r="D2" s="188">
        <v>1</v>
      </c>
      <c r="E2" s="188">
        <f t="shared" ref="E2:G2" si="0">D2+1</f>
        <v>2</v>
      </c>
      <c r="F2" s="188">
        <f t="shared" si="0"/>
        <v>3</v>
      </c>
      <c r="G2" s="188">
        <f t="shared" si="0"/>
        <v>4</v>
      </c>
      <c r="H2" s="188">
        <f t="shared" ref="H2" si="1">G2+1</f>
        <v>5</v>
      </c>
      <c r="I2" s="188">
        <f t="shared" ref="I2" si="2">H2+1</f>
        <v>6</v>
      </c>
      <c r="J2" s="188">
        <f t="shared" ref="J2" si="3">I2+1</f>
        <v>7</v>
      </c>
      <c r="K2" s="188">
        <f t="shared" ref="K2:L2" si="4">J2+1</f>
        <v>8</v>
      </c>
      <c r="L2" s="188">
        <f t="shared" si="4"/>
        <v>9</v>
      </c>
    </row>
    <row r="3" spans="1:12" s="1" customFormat="1" x14ac:dyDescent="0.3"/>
    <row r="4" spans="1:12" s="60" customFormat="1" x14ac:dyDescent="0.3">
      <c r="A4" s="60" t="s">
        <v>15</v>
      </c>
      <c r="B4" s="60" t="s">
        <v>163</v>
      </c>
      <c r="C4" s="60" t="s">
        <v>166</v>
      </c>
    </row>
    <row r="5" spans="1:12" s="1" customFormat="1" x14ac:dyDescent="0.3"/>
    <row r="6" spans="1:12" s="189" customFormat="1" x14ac:dyDescent="0.3">
      <c r="A6" s="189" t="s">
        <v>234</v>
      </c>
    </row>
    <row r="7" spans="1:12" s="1" customFormat="1" x14ac:dyDescent="0.3"/>
    <row r="8" spans="1:12" s="1" customFormat="1" x14ac:dyDescent="0.3">
      <c r="A8" s="212" t="s">
        <v>235</v>
      </c>
      <c r="B8" s="212"/>
      <c r="C8" s="213">
        <v>12</v>
      </c>
    </row>
    <row r="9" spans="1:12" s="1" customFormat="1" x14ac:dyDescent="0.3"/>
    <row r="10" spans="1:12" s="189" customFormat="1" x14ac:dyDescent="0.3">
      <c r="A10" s="189" t="s">
        <v>164</v>
      </c>
    </row>
    <row r="12" spans="1:12" x14ac:dyDescent="0.3">
      <c r="A12" s="155" t="s">
        <v>180</v>
      </c>
      <c r="D12" s="148"/>
      <c r="E12" s="148"/>
      <c r="F12" s="148"/>
      <c r="G12" s="148"/>
    </row>
    <row r="13" spans="1:12" x14ac:dyDescent="0.3">
      <c r="A13" s="61" t="s">
        <v>181</v>
      </c>
      <c r="B13" s="1" t="s">
        <v>165</v>
      </c>
      <c r="D13" s="201">
        <v>420000000</v>
      </c>
      <c r="E13" s="201">
        <v>480000000</v>
      </c>
      <c r="F13" s="201">
        <v>480000000</v>
      </c>
      <c r="G13" s="201">
        <v>480000000</v>
      </c>
      <c r="H13" s="201">
        <v>480000000</v>
      </c>
      <c r="I13" s="201">
        <v>480000000</v>
      </c>
      <c r="J13" s="201">
        <v>480000000</v>
      </c>
      <c r="K13" s="201">
        <v>480000000</v>
      </c>
      <c r="L13" s="201">
        <v>480000000</v>
      </c>
    </row>
    <row r="14" spans="1:12" x14ac:dyDescent="0.3">
      <c r="A14" s="61" t="s">
        <v>182</v>
      </c>
      <c r="B14" s="1" t="s">
        <v>165</v>
      </c>
      <c r="C14" s="202">
        <v>715000000</v>
      </c>
      <c r="D14" s="201"/>
      <c r="E14" s="201"/>
      <c r="F14" s="201"/>
      <c r="G14" s="201"/>
      <c r="H14" s="201"/>
      <c r="I14" s="201"/>
      <c r="J14" s="201"/>
      <c r="K14" s="201"/>
    </row>
    <row r="15" spans="1:12" x14ac:dyDescent="0.3">
      <c r="A15" s="61" t="s">
        <v>184</v>
      </c>
      <c r="B15" s="1" t="s">
        <v>167</v>
      </c>
      <c r="D15" s="200">
        <v>0.1</v>
      </c>
      <c r="E15" s="200">
        <f t="shared" ref="E15:L15" si="5">D15*(1+$C$16)</f>
        <v>0.11000000000000001</v>
      </c>
      <c r="F15" s="200">
        <f t="shared" si="5"/>
        <v>0.12100000000000002</v>
      </c>
      <c r="G15" s="200">
        <f t="shared" si="5"/>
        <v>0.13310000000000002</v>
      </c>
      <c r="H15" s="200">
        <f t="shared" si="5"/>
        <v>0.14641000000000004</v>
      </c>
      <c r="I15" s="200">
        <f t="shared" si="5"/>
        <v>0.16105100000000006</v>
      </c>
      <c r="J15" s="200">
        <f t="shared" si="5"/>
        <v>0.17715610000000007</v>
      </c>
      <c r="K15" s="200">
        <f t="shared" si="5"/>
        <v>0.19487171000000009</v>
      </c>
      <c r="L15" s="200">
        <f t="shared" si="5"/>
        <v>0.21435888100000011</v>
      </c>
    </row>
    <row r="16" spans="1:12" x14ac:dyDescent="0.3">
      <c r="A16" s="203" t="s">
        <v>185</v>
      </c>
      <c r="B16" s="204" t="s">
        <v>167</v>
      </c>
      <c r="C16" s="205">
        <v>0.1</v>
      </c>
      <c r="D16" s="200"/>
      <c r="E16" s="200"/>
      <c r="F16" s="200"/>
      <c r="G16" s="200"/>
      <c r="H16" s="200"/>
      <c r="I16" s="200"/>
      <c r="J16" s="200"/>
      <c r="K16" s="200"/>
    </row>
    <row r="17" spans="1:12" x14ac:dyDescent="0.3">
      <c r="A17" s="61" t="s">
        <v>183</v>
      </c>
      <c r="B17" s="1" t="s">
        <v>167</v>
      </c>
      <c r="D17" s="200">
        <v>7.0000000000000007E-2</v>
      </c>
      <c r="E17" s="200">
        <v>7.0000000000000007E-2</v>
      </c>
      <c r="F17" s="200">
        <v>7.0000000000000007E-2</v>
      </c>
      <c r="G17" s="200">
        <v>7.0000000000000007E-2</v>
      </c>
      <c r="H17" s="200">
        <v>7.0000000000000007E-2</v>
      </c>
      <c r="I17" s="200">
        <v>7.0000000000000007E-2</v>
      </c>
      <c r="J17" s="200">
        <v>7.0000000000000007E-2</v>
      </c>
      <c r="K17" s="200">
        <v>7.0000000000000007E-2</v>
      </c>
      <c r="L17" s="200">
        <v>7.0000000000000007E-2</v>
      </c>
    </row>
    <row r="18" spans="1:12" x14ac:dyDescent="0.3">
      <c r="A18" s="61" t="s">
        <v>186</v>
      </c>
      <c r="B18" s="1" t="s">
        <v>167</v>
      </c>
      <c r="D18" s="200">
        <v>0.1</v>
      </c>
      <c r="E18" s="200">
        <v>0.1</v>
      </c>
      <c r="F18" s="200">
        <v>0.1</v>
      </c>
      <c r="G18" s="200">
        <v>0.1</v>
      </c>
      <c r="H18" s="200">
        <v>0.1</v>
      </c>
      <c r="I18" s="200">
        <v>0.1</v>
      </c>
      <c r="J18" s="200">
        <v>0.1</v>
      </c>
      <c r="K18" s="200">
        <v>0.1</v>
      </c>
      <c r="L18" s="200">
        <v>0.1</v>
      </c>
    </row>
    <row r="19" spans="1:12" x14ac:dyDescent="0.3">
      <c r="A19" s="61" t="s">
        <v>187</v>
      </c>
      <c r="B19" s="1" t="s">
        <v>167</v>
      </c>
      <c r="D19" s="200">
        <v>0.2</v>
      </c>
      <c r="E19" s="200">
        <v>0.25</v>
      </c>
      <c r="F19" s="200">
        <v>0.3</v>
      </c>
      <c r="G19" s="200">
        <v>0.35</v>
      </c>
      <c r="H19" s="200">
        <v>0.4</v>
      </c>
      <c r="I19" s="200">
        <v>0.45</v>
      </c>
      <c r="J19" s="200">
        <v>0.5</v>
      </c>
      <c r="K19" s="200">
        <v>0.5</v>
      </c>
      <c r="L19" s="200">
        <v>0.5</v>
      </c>
    </row>
    <row r="20" spans="1:12" x14ac:dyDescent="0.3">
      <c r="A20" s="61" t="s">
        <v>188</v>
      </c>
      <c r="B20" s="1" t="s">
        <v>167</v>
      </c>
      <c r="D20" s="200">
        <v>0.05</v>
      </c>
      <c r="E20" s="200">
        <v>0.05</v>
      </c>
      <c r="F20" s="200">
        <v>0.05</v>
      </c>
      <c r="G20" s="200">
        <v>0.05</v>
      </c>
      <c r="H20" s="200">
        <v>0.05</v>
      </c>
      <c r="I20" s="200">
        <v>0.05</v>
      </c>
      <c r="J20" s="200">
        <v>0.05</v>
      </c>
      <c r="K20" s="200">
        <v>0.05</v>
      </c>
      <c r="L20" s="200">
        <v>0.05</v>
      </c>
    </row>
    <row r="21" spans="1:12" x14ac:dyDescent="0.3">
      <c r="A21" s="61" t="s">
        <v>189</v>
      </c>
      <c r="B21" s="1" t="s">
        <v>167</v>
      </c>
      <c r="C21" s="129"/>
      <c r="D21" s="200">
        <v>0</v>
      </c>
      <c r="E21" s="200">
        <v>0.5</v>
      </c>
      <c r="F21" s="200">
        <v>0.5</v>
      </c>
      <c r="G21" s="200">
        <v>0.5</v>
      </c>
      <c r="H21" s="200">
        <v>0.5</v>
      </c>
      <c r="I21" s="200">
        <v>0.5</v>
      </c>
      <c r="J21" s="200">
        <v>0.5</v>
      </c>
      <c r="K21" s="200">
        <v>0.5</v>
      </c>
      <c r="L21" s="200">
        <v>0.5</v>
      </c>
    </row>
    <row r="22" spans="1:12" x14ac:dyDescent="0.3">
      <c r="A22" s="61"/>
    </row>
    <row r="23" spans="1:12" x14ac:dyDescent="0.3">
      <c r="A23" s="155" t="s">
        <v>192</v>
      </c>
      <c r="D23" s="148"/>
      <c r="E23" s="148"/>
      <c r="F23" s="148"/>
      <c r="G23" s="148"/>
    </row>
    <row r="24" spans="1:12" x14ac:dyDescent="0.3">
      <c r="A24" s="61" t="s">
        <v>181</v>
      </c>
      <c r="B24" s="1" t="s">
        <v>165</v>
      </c>
      <c r="D24" s="201">
        <v>300000000</v>
      </c>
      <c r="E24" s="201">
        <v>480000000</v>
      </c>
      <c r="F24" s="201">
        <v>480000000</v>
      </c>
      <c r="G24" s="201">
        <v>480000000</v>
      </c>
      <c r="H24" s="201">
        <v>480000000</v>
      </c>
      <c r="I24" s="201">
        <v>480000000</v>
      </c>
      <c r="J24" s="201">
        <v>480000000</v>
      </c>
      <c r="K24" s="201">
        <v>480000000</v>
      </c>
      <c r="L24" s="201">
        <v>480000000</v>
      </c>
    </row>
    <row r="25" spans="1:12" x14ac:dyDescent="0.3">
      <c r="A25" s="61" t="s">
        <v>182</v>
      </c>
      <c r="B25" s="1" t="s">
        <v>165</v>
      </c>
      <c r="C25" s="202">
        <v>715000000</v>
      </c>
      <c r="D25" s="201"/>
      <c r="E25" s="201"/>
      <c r="F25" s="201"/>
      <c r="G25" s="201"/>
      <c r="H25" s="201"/>
      <c r="I25" s="201"/>
      <c r="J25" s="201"/>
      <c r="K25" s="201"/>
    </row>
    <row r="26" spans="1:12" x14ac:dyDescent="0.3">
      <c r="A26" s="61" t="s">
        <v>184</v>
      </c>
      <c r="B26" s="1" t="s">
        <v>167</v>
      </c>
      <c r="D26" s="200">
        <v>0.1</v>
      </c>
      <c r="E26" s="200">
        <f t="shared" ref="E26" si="6">D26*(1+$C$16)</f>
        <v>0.11000000000000001</v>
      </c>
      <c r="F26" s="200">
        <f t="shared" ref="F26" si="7">E26*(1+$C$16)</f>
        <v>0.12100000000000002</v>
      </c>
      <c r="G26" s="200">
        <f t="shared" ref="G26" si="8">F26*(1+$C$16)</f>
        <v>0.13310000000000002</v>
      </c>
      <c r="H26" s="200">
        <f t="shared" ref="H26" si="9">G26*(1+$C$16)</f>
        <v>0.14641000000000004</v>
      </c>
      <c r="I26" s="200">
        <f t="shared" ref="I26" si="10">H26*(1+$C$16)</f>
        <v>0.16105100000000006</v>
      </c>
      <c r="J26" s="200">
        <f t="shared" ref="J26" si="11">I26*(1+$C$16)</f>
        <v>0.17715610000000007</v>
      </c>
      <c r="K26" s="200">
        <f t="shared" ref="K26" si="12">J26*(1+$C$16)</f>
        <v>0.19487171000000009</v>
      </c>
      <c r="L26" s="200">
        <f t="shared" ref="L26" si="13">K26*(1+$C$16)</f>
        <v>0.21435888100000011</v>
      </c>
    </row>
    <row r="27" spans="1:12" x14ac:dyDescent="0.3">
      <c r="A27" s="203" t="s">
        <v>185</v>
      </c>
      <c r="B27" s="204" t="s">
        <v>167</v>
      </c>
      <c r="C27" s="205">
        <v>0.1</v>
      </c>
      <c r="D27" s="200"/>
      <c r="E27" s="200"/>
      <c r="F27" s="200"/>
      <c r="G27" s="200"/>
      <c r="H27" s="200"/>
      <c r="I27" s="200"/>
      <c r="J27" s="200"/>
      <c r="K27" s="200"/>
    </row>
    <row r="28" spans="1:12" x14ac:dyDescent="0.3">
      <c r="A28" s="61" t="s">
        <v>183</v>
      </c>
      <c r="B28" s="1" t="s">
        <v>167</v>
      </c>
      <c r="D28" s="200">
        <v>0.1</v>
      </c>
      <c r="E28" s="200">
        <v>0.1</v>
      </c>
      <c r="F28" s="200">
        <v>0.1</v>
      </c>
      <c r="G28" s="200">
        <v>0.1</v>
      </c>
      <c r="H28" s="200">
        <v>0.1</v>
      </c>
      <c r="I28" s="200">
        <v>0.1</v>
      </c>
      <c r="J28" s="200">
        <v>0.1</v>
      </c>
      <c r="K28" s="200">
        <v>0.1</v>
      </c>
      <c r="L28" s="200">
        <v>0.1</v>
      </c>
    </row>
    <row r="29" spans="1:12" x14ac:dyDescent="0.3">
      <c r="A29" s="61" t="s">
        <v>186</v>
      </c>
      <c r="B29" s="1" t="s">
        <v>167</v>
      </c>
      <c r="D29" s="200">
        <v>0.1</v>
      </c>
      <c r="E29" s="200">
        <v>0.1</v>
      </c>
      <c r="F29" s="200">
        <v>0.1</v>
      </c>
      <c r="G29" s="200">
        <v>0.1</v>
      </c>
      <c r="H29" s="200">
        <v>0.1</v>
      </c>
      <c r="I29" s="200">
        <v>0.1</v>
      </c>
      <c r="J29" s="200">
        <v>0.1</v>
      </c>
      <c r="K29" s="200">
        <v>0.1</v>
      </c>
      <c r="L29" s="200">
        <v>0.1</v>
      </c>
    </row>
    <row r="30" spans="1:12" x14ac:dyDescent="0.3">
      <c r="A30" s="61" t="s">
        <v>187</v>
      </c>
      <c r="B30" s="1" t="s">
        <v>167</v>
      </c>
      <c r="D30" s="200">
        <v>0.2</v>
      </c>
      <c r="E30" s="200">
        <v>0.25</v>
      </c>
      <c r="F30" s="200">
        <v>0.3</v>
      </c>
      <c r="G30" s="200">
        <v>0.35</v>
      </c>
      <c r="H30" s="200">
        <v>0.4</v>
      </c>
      <c r="I30" s="200">
        <v>0.45</v>
      </c>
      <c r="J30" s="200">
        <v>0.5</v>
      </c>
      <c r="K30" s="200">
        <v>0.5</v>
      </c>
      <c r="L30" s="200">
        <v>0.5</v>
      </c>
    </row>
    <row r="31" spans="1:12" x14ac:dyDescent="0.3">
      <c r="A31" s="61" t="s">
        <v>188</v>
      </c>
      <c r="B31" s="1" t="s">
        <v>167</v>
      </c>
      <c r="D31" s="200">
        <v>0.05</v>
      </c>
      <c r="E31" s="200">
        <v>0.05</v>
      </c>
      <c r="F31" s="200">
        <v>0.05</v>
      </c>
      <c r="G31" s="200">
        <v>0.05</v>
      </c>
      <c r="H31" s="200">
        <v>0.05</v>
      </c>
      <c r="I31" s="200">
        <v>0.05</v>
      </c>
      <c r="J31" s="200">
        <v>0.05</v>
      </c>
      <c r="K31" s="200">
        <v>0.05</v>
      </c>
      <c r="L31" s="200">
        <v>0.05</v>
      </c>
    </row>
    <row r="32" spans="1:12" x14ac:dyDescent="0.3">
      <c r="A32" s="61" t="s">
        <v>189</v>
      </c>
      <c r="B32" s="1" t="s">
        <v>167</v>
      </c>
      <c r="D32" s="200">
        <v>0</v>
      </c>
      <c r="E32" s="200">
        <v>0.5</v>
      </c>
      <c r="F32" s="200">
        <v>0.5</v>
      </c>
      <c r="G32" s="200">
        <v>0.5</v>
      </c>
      <c r="H32" s="200">
        <v>0.5</v>
      </c>
      <c r="I32" s="200">
        <v>0.5</v>
      </c>
      <c r="J32" s="200">
        <v>0.5</v>
      </c>
      <c r="K32" s="200">
        <v>0.5</v>
      </c>
      <c r="L32" s="200">
        <v>0.5</v>
      </c>
    </row>
    <row r="33" spans="1:12" x14ac:dyDescent="0.3">
      <c r="A33" s="61"/>
    </row>
    <row r="34" spans="1:12" x14ac:dyDescent="0.3">
      <c r="A34" s="155" t="s">
        <v>193</v>
      </c>
      <c r="D34" s="148"/>
      <c r="E34" s="148"/>
      <c r="F34" s="148"/>
      <c r="G34" s="148"/>
    </row>
    <row r="35" spans="1:12" x14ac:dyDescent="0.3">
      <c r="A35" s="61" t="s">
        <v>181</v>
      </c>
      <c r="B35" s="1" t="s">
        <v>165</v>
      </c>
      <c r="D35" s="201">
        <v>360000000</v>
      </c>
      <c r="E35" s="201">
        <v>420000000</v>
      </c>
      <c r="F35" s="201">
        <v>420000000</v>
      </c>
      <c r="G35" s="201">
        <v>480000000</v>
      </c>
      <c r="H35" s="201">
        <v>480000000</v>
      </c>
      <c r="I35" s="201">
        <v>480000000</v>
      </c>
      <c r="J35" s="201">
        <v>480000000</v>
      </c>
      <c r="K35" s="201">
        <v>480000000</v>
      </c>
      <c r="L35" s="201">
        <v>480000000</v>
      </c>
    </row>
    <row r="36" spans="1:12" x14ac:dyDescent="0.3">
      <c r="A36" s="61" t="s">
        <v>182</v>
      </c>
      <c r="B36" s="1" t="s">
        <v>165</v>
      </c>
      <c r="C36" s="202">
        <v>495000000</v>
      </c>
      <c r="D36" s="201"/>
      <c r="E36" s="201"/>
      <c r="F36" s="201"/>
      <c r="G36" s="201"/>
      <c r="H36" s="201"/>
      <c r="I36" s="201"/>
      <c r="J36" s="201"/>
      <c r="K36" s="201"/>
    </row>
    <row r="37" spans="1:12" x14ac:dyDescent="0.3">
      <c r="A37" s="61" t="s">
        <v>184</v>
      </c>
      <c r="B37" s="1" t="s">
        <v>167</v>
      </c>
      <c r="D37" s="200">
        <v>0.1</v>
      </c>
      <c r="E37" s="200">
        <f t="shared" ref="E37" si="14">D37*(1+$C$16)</f>
        <v>0.11000000000000001</v>
      </c>
      <c r="F37" s="200">
        <f t="shared" ref="F37" si="15">E37*(1+$C$16)</f>
        <v>0.12100000000000002</v>
      </c>
      <c r="G37" s="200">
        <f t="shared" ref="G37" si="16">F37*(1+$C$16)</f>
        <v>0.13310000000000002</v>
      </c>
      <c r="H37" s="200">
        <f t="shared" ref="H37" si="17">G37*(1+$C$16)</f>
        <v>0.14641000000000004</v>
      </c>
      <c r="I37" s="200">
        <f t="shared" ref="I37" si="18">H37*(1+$C$16)</f>
        <v>0.16105100000000006</v>
      </c>
      <c r="J37" s="200">
        <f t="shared" ref="J37" si="19">I37*(1+$C$16)</f>
        <v>0.17715610000000007</v>
      </c>
      <c r="K37" s="200">
        <f t="shared" ref="K37" si="20">J37*(1+$C$16)</f>
        <v>0.19487171000000009</v>
      </c>
      <c r="L37" s="200">
        <f t="shared" ref="L37" si="21">K37*(1+$C$16)</f>
        <v>0.21435888100000011</v>
      </c>
    </row>
    <row r="38" spans="1:12" x14ac:dyDescent="0.3">
      <c r="A38" s="203" t="s">
        <v>185</v>
      </c>
      <c r="B38" s="204" t="s">
        <v>167</v>
      </c>
      <c r="C38" s="205">
        <v>0.1</v>
      </c>
      <c r="D38" s="200"/>
      <c r="E38" s="200"/>
      <c r="F38" s="200"/>
      <c r="G38" s="200"/>
      <c r="H38" s="200"/>
      <c r="I38" s="200"/>
      <c r="J38" s="200"/>
      <c r="K38" s="200"/>
    </row>
    <row r="39" spans="1:12" x14ac:dyDescent="0.3">
      <c r="A39" s="61" t="s">
        <v>183</v>
      </c>
      <c r="B39" s="1" t="s">
        <v>167</v>
      </c>
      <c r="D39" s="200">
        <v>0.11</v>
      </c>
      <c r="E39" s="200">
        <v>0.11</v>
      </c>
      <c r="F39" s="200">
        <v>0.11</v>
      </c>
      <c r="G39" s="200">
        <v>0.11</v>
      </c>
      <c r="H39" s="200">
        <v>0.11</v>
      </c>
      <c r="I39" s="200">
        <v>0.11</v>
      </c>
      <c r="J39" s="200">
        <v>0.11</v>
      </c>
      <c r="K39" s="200">
        <v>0.11</v>
      </c>
      <c r="L39" s="200">
        <v>0.11</v>
      </c>
    </row>
    <row r="40" spans="1:12" x14ac:dyDescent="0.3">
      <c r="A40" s="61" t="s">
        <v>186</v>
      </c>
      <c r="B40" s="1" t="s">
        <v>167</v>
      </c>
      <c r="D40" s="200">
        <v>0.1</v>
      </c>
      <c r="E40" s="200">
        <v>0.1</v>
      </c>
      <c r="F40" s="200">
        <v>0.1</v>
      </c>
      <c r="G40" s="200">
        <v>0.1</v>
      </c>
      <c r="H40" s="200">
        <v>0.1</v>
      </c>
      <c r="I40" s="200">
        <v>0.1</v>
      </c>
      <c r="J40" s="200">
        <v>0.1</v>
      </c>
      <c r="K40" s="200">
        <v>0.1</v>
      </c>
      <c r="L40" s="200">
        <v>0.1</v>
      </c>
    </row>
    <row r="41" spans="1:12" x14ac:dyDescent="0.3">
      <c r="A41" s="61" t="s">
        <v>187</v>
      </c>
      <c r="B41" s="1" t="s">
        <v>167</v>
      </c>
      <c r="D41" s="200">
        <v>0.2</v>
      </c>
      <c r="E41" s="200">
        <v>0.25</v>
      </c>
      <c r="F41" s="200">
        <v>0.3</v>
      </c>
      <c r="G41" s="200">
        <v>0.35</v>
      </c>
      <c r="H41" s="200">
        <v>0.4</v>
      </c>
      <c r="I41" s="200">
        <v>0.45</v>
      </c>
      <c r="J41" s="200">
        <v>0.5</v>
      </c>
      <c r="K41" s="200">
        <v>0.5</v>
      </c>
      <c r="L41" s="200">
        <v>0.5</v>
      </c>
    </row>
    <row r="42" spans="1:12" x14ac:dyDescent="0.3">
      <c r="A42" s="61" t="s">
        <v>188</v>
      </c>
      <c r="B42" s="1" t="s">
        <v>167</v>
      </c>
      <c r="D42" s="200">
        <v>0.05</v>
      </c>
      <c r="E42" s="200">
        <v>0.05</v>
      </c>
      <c r="F42" s="200">
        <v>0.05</v>
      </c>
      <c r="G42" s="200">
        <v>0.05</v>
      </c>
      <c r="H42" s="200">
        <v>0.05</v>
      </c>
      <c r="I42" s="200">
        <v>0.05</v>
      </c>
      <c r="J42" s="200">
        <v>0.05</v>
      </c>
      <c r="K42" s="200">
        <v>0.05</v>
      </c>
      <c r="L42" s="200">
        <v>0.05</v>
      </c>
    </row>
    <row r="43" spans="1:12" x14ac:dyDescent="0.3">
      <c r="A43" s="61" t="s">
        <v>189</v>
      </c>
      <c r="B43" s="1" t="s">
        <v>167</v>
      </c>
      <c r="D43" s="200">
        <v>0</v>
      </c>
      <c r="E43" s="200">
        <v>0</v>
      </c>
      <c r="F43" s="200">
        <v>0</v>
      </c>
      <c r="G43" s="200">
        <v>0</v>
      </c>
      <c r="H43" s="200">
        <v>0</v>
      </c>
      <c r="I43" s="200">
        <v>0</v>
      </c>
      <c r="J43" s="200">
        <v>0</v>
      </c>
      <c r="K43" s="200">
        <v>0</v>
      </c>
      <c r="L43" s="200">
        <v>0</v>
      </c>
    </row>
    <row r="44" spans="1:12" x14ac:dyDescent="0.3">
      <c r="A44" s="61"/>
    </row>
    <row r="45" spans="1:12" x14ac:dyDescent="0.3">
      <c r="A45" s="155" t="s">
        <v>194</v>
      </c>
      <c r="D45" s="148"/>
      <c r="E45" s="148"/>
      <c r="F45" s="148"/>
      <c r="G45" s="148"/>
    </row>
    <row r="46" spans="1:12" x14ac:dyDescent="0.3">
      <c r="A46" s="61" t="s">
        <v>181</v>
      </c>
      <c r="B46" s="1" t="s">
        <v>165</v>
      </c>
      <c r="D46" s="201">
        <v>600000000</v>
      </c>
      <c r="E46" s="201">
        <v>840000000</v>
      </c>
      <c r="F46" s="201">
        <v>840000000</v>
      </c>
      <c r="G46" s="201">
        <v>840000000</v>
      </c>
      <c r="H46" s="201">
        <v>960000000</v>
      </c>
      <c r="I46" s="201">
        <v>840000000</v>
      </c>
      <c r="J46" s="201">
        <v>840000000</v>
      </c>
      <c r="K46" s="201">
        <v>720000000</v>
      </c>
      <c r="L46" s="201">
        <v>720000000</v>
      </c>
    </row>
    <row r="47" spans="1:12" x14ac:dyDescent="0.3">
      <c r="A47" s="61" t="s">
        <v>182</v>
      </c>
      <c r="B47" s="1" t="s">
        <v>165</v>
      </c>
      <c r="C47" s="202">
        <v>1760000000</v>
      </c>
      <c r="D47" s="201"/>
      <c r="E47" s="201"/>
      <c r="F47" s="201"/>
      <c r="G47" s="201"/>
      <c r="H47" s="201"/>
      <c r="I47" s="201"/>
      <c r="J47" s="201"/>
      <c r="K47" s="201"/>
    </row>
    <row r="48" spans="1:12" x14ac:dyDescent="0.3">
      <c r="A48" s="61" t="s">
        <v>184</v>
      </c>
      <c r="B48" s="1" t="s">
        <v>167</v>
      </c>
      <c r="D48" s="200">
        <v>0.3</v>
      </c>
      <c r="E48" s="200">
        <f t="shared" ref="E48" si="22">D48*(1+$C$16)</f>
        <v>0.33</v>
      </c>
      <c r="F48" s="200">
        <f t="shared" ref="F48" si="23">E48*(1+$C$16)</f>
        <v>0.36300000000000004</v>
      </c>
      <c r="G48" s="200">
        <f t="shared" ref="G48" si="24">F48*(1+$C$16)</f>
        <v>0.3993000000000001</v>
      </c>
      <c r="H48" s="200">
        <f t="shared" ref="H48" si="25">G48*(1+$C$16)</f>
        <v>0.43923000000000012</v>
      </c>
      <c r="I48" s="200">
        <f t="shared" ref="I48" si="26">H48*(1+$C$16)</f>
        <v>0.48315300000000017</v>
      </c>
      <c r="J48" s="200">
        <f t="shared" ref="J48" si="27">I48*(1+$C$16)</f>
        <v>0.53146830000000023</v>
      </c>
      <c r="K48" s="200">
        <f t="shared" ref="K48" si="28">J48*(1+$C$16)</f>
        <v>0.58461513000000032</v>
      </c>
      <c r="L48" s="200">
        <f t="shared" ref="L48" si="29">K48*(1+$C$16)</f>
        <v>0.64307664300000045</v>
      </c>
    </row>
    <row r="49" spans="1:12" x14ac:dyDescent="0.3">
      <c r="A49" s="203" t="s">
        <v>185</v>
      </c>
      <c r="B49" s="204" t="s">
        <v>167</v>
      </c>
      <c r="C49" s="205">
        <v>0.1</v>
      </c>
      <c r="D49" s="200"/>
      <c r="E49" s="200"/>
      <c r="F49" s="200"/>
      <c r="G49" s="200"/>
      <c r="H49" s="200"/>
      <c r="I49" s="200"/>
      <c r="J49" s="200"/>
      <c r="K49" s="200"/>
    </row>
    <row r="50" spans="1:12" x14ac:dyDescent="0.3">
      <c r="A50" s="61" t="s">
        <v>183</v>
      </c>
      <c r="B50" s="1" t="s">
        <v>167</v>
      </c>
      <c r="D50" s="200">
        <v>0.12</v>
      </c>
      <c r="E50" s="200">
        <v>0.12</v>
      </c>
      <c r="F50" s="200">
        <v>0.12</v>
      </c>
      <c r="G50" s="200">
        <v>0.12</v>
      </c>
      <c r="H50" s="200">
        <v>0.12</v>
      </c>
      <c r="I50" s="200">
        <v>0.12</v>
      </c>
      <c r="J50" s="200">
        <v>0.12</v>
      </c>
      <c r="K50" s="200">
        <v>0.12</v>
      </c>
      <c r="L50" s="200">
        <v>0.12</v>
      </c>
    </row>
    <row r="51" spans="1:12" x14ac:dyDescent="0.3">
      <c r="A51" s="61" t="s">
        <v>186</v>
      </c>
      <c r="B51" s="1" t="s">
        <v>167</v>
      </c>
      <c r="D51" s="200">
        <v>0.1</v>
      </c>
      <c r="E51" s="200">
        <v>0.1</v>
      </c>
      <c r="F51" s="200">
        <v>0.1</v>
      </c>
      <c r="G51" s="200">
        <v>0.1</v>
      </c>
      <c r="H51" s="200">
        <v>0.1</v>
      </c>
      <c r="I51" s="200">
        <v>0.1</v>
      </c>
      <c r="J51" s="200">
        <v>0.1</v>
      </c>
      <c r="K51" s="200">
        <v>0.1</v>
      </c>
      <c r="L51" s="200">
        <v>0.1</v>
      </c>
    </row>
    <row r="52" spans="1:12" x14ac:dyDescent="0.3">
      <c r="A52" s="61" t="s">
        <v>187</v>
      </c>
      <c r="B52" s="1" t="s">
        <v>167</v>
      </c>
      <c r="D52" s="200">
        <v>0.2</v>
      </c>
      <c r="E52" s="200">
        <v>0.25</v>
      </c>
      <c r="F52" s="200">
        <v>0.3</v>
      </c>
      <c r="G52" s="200">
        <v>0.35</v>
      </c>
      <c r="H52" s="200">
        <v>0.4</v>
      </c>
      <c r="I52" s="200">
        <v>0.45</v>
      </c>
      <c r="J52" s="200">
        <v>0.5</v>
      </c>
      <c r="K52" s="200">
        <v>0.5</v>
      </c>
      <c r="L52" s="200">
        <v>0.5</v>
      </c>
    </row>
    <row r="53" spans="1:12" x14ac:dyDescent="0.3">
      <c r="A53" s="61" t="s">
        <v>188</v>
      </c>
      <c r="B53" s="1" t="s">
        <v>167</v>
      </c>
      <c r="D53" s="200">
        <v>0.05</v>
      </c>
      <c r="E53" s="200">
        <v>0.05</v>
      </c>
      <c r="F53" s="200">
        <v>0.05</v>
      </c>
      <c r="G53" s="200">
        <v>0.05</v>
      </c>
      <c r="H53" s="200">
        <v>0.05</v>
      </c>
      <c r="I53" s="200">
        <v>0.05</v>
      </c>
      <c r="J53" s="200">
        <v>0.05</v>
      </c>
      <c r="K53" s="200">
        <v>0.05</v>
      </c>
      <c r="L53" s="200">
        <v>0.05</v>
      </c>
    </row>
    <row r="54" spans="1:12" x14ac:dyDescent="0.3">
      <c r="A54" s="61" t="s">
        <v>189</v>
      </c>
      <c r="B54" s="1" t="s">
        <v>167</v>
      </c>
      <c r="D54" s="200">
        <v>0</v>
      </c>
      <c r="E54" s="200">
        <v>0</v>
      </c>
      <c r="F54" s="200">
        <v>0</v>
      </c>
      <c r="G54" s="200">
        <v>0</v>
      </c>
      <c r="H54" s="200">
        <v>0</v>
      </c>
      <c r="I54" s="200">
        <v>0</v>
      </c>
      <c r="J54" s="200">
        <v>0</v>
      </c>
      <c r="K54" s="200">
        <v>0</v>
      </c>
      <c r="L54" s="200">
        <v>0</v>
      </c>
    </row>
    <row r="55" spans="1:12" x14ac:dyDescent="0.3">
      <c r="A55" s="61"/>
    </row>
    <row r="56" spans="1:12" x14ac:dyDescent="0.3">
      <c r="A56" s="155" t="s">
        <v>195</v>
      </c>
      <c r="D56" s="148"/>
      <c r="E56" s="148"/>
      <c r="F56" s="148"/>
      <c r="G56" s="148"/>
    </row>
    <row r="57" spans="1:12" x14ac:dyDescent="0.3">
      <c r="A57" s="61" t="s">
        <v>181</v>
      </c>
      <c r="B57" s="1" t="s">
        <v>165</v>
      </c>
      <c r="D57" s="201">
        <v>600000000</v>
      </c>
      <c r="E57" s="201">
        <v>720000000</v>
      </c>
      <c r="F57" s="201">
        <v>840000000</v>
      </c>
      <c r="G57" s="201">
        <v>960000000</v>
      </c>
      <c r="H57" s="201">
        <v>1080000000</v>
      </c>
      <c r="I57" s="201">
        <v>1200000000</v>
      </c>
      <c r="J57" s="201">
        <v>1200000000</v>
      </c>
      <c r="K57" s="201">
        <v>1200000000</v>
      </c>
      <c r="L57" s="201">
        <v>1200000000</v>
      </c>
    </row>
    <row r="58" spans="1:12" x14ac:dyDescent="0.3">
      <c r="A58" s="61" t="s">
        <v>182</v>
      </c>
      <c r="B58" s="1" t="s">
        <v>165</v>
      </c>
      <c r="D58" s="201"/>
      <c r="E58" s="201"/>
      <c r="F58" s="201"/>
      <c r="G58" s="201"/>
      <c r="H58" s="201"/>
      <c r="I58" s="201"/>
      <c r="J58" s="201"/>
      <c r="K58" s="201"/>
    </row>
    <row r="59" spans="1:12" x14ac:dyDescent="0.3">
      <c r="A59" s="61" t="s">
        <v>184</v>
      </c>
      <c r="B59" s="1" t="s">
        <v>167</v>
      </c>
      <c r="D59" s="200">
        <v>0</v>
      </c>
      <c r="E59" s="200">
        <f t="shared" ref="E59" si="30">D59*(1+$C$16)</f>
        <v>0</v>
      </c>
      <c r="F59" s="200">
        <f t="shared" ref="F59" si="31">E59*(1+$C$16)</f>
        <v>0</v>
      </c>
      <c r="G59" s="200">
        <f t="shared" ref="G59" si="32">F59*(1+$C$16)</f>
        <v>0</v>
      </c>
      <c r="H59" s="200">
        <f t="shared" ref="H59" si="33">G59*(1+$C$16)</f>
        <v>0</v>
      </c>
      <c r="I59" s="200">
        <f t="shared" ref="I59" si="34">H59*(1+$C$16)</f>
        <v>0</v>
      </c>
      <c r="J59" s="200">
        <f t="shared" ref="J59" si="35">I59*(1+$C$16)</f>
        <v>0</v>
      </c>
      <c r="K59" s="200">
        <f t="shared" ref="K59" si="36">J59*(1+$C$16)</f>
        <v>0</v>
      </c>
      <c r="L59" s="200">
        <f t="shared" ref="L59" si="37">K59*(1+$C$16)</f>
        <v>0</v>
      </c>
    </row>
    <row r="60" spans="1:12" x14ac:dyDescent="0.3">
      <c r="A60" s="203" t="s">
        <v>185</v>
      </c>
      <c r="B60" s="204" t="s">
        <v>167</v>
      </c>
      <c r="C60" s="205">
        <v>0.1</v>
      </c>
      <c r="D60" s="200"/>
      <c r="E60" s="200"/>
      <c r="F60" s="200"/>
      <c r="G60" s="200"/>
      <c r="H60" s="200"/>
      <c r="I60" s="200"/>
      <c r="J60" s="200"/>
      <c r="K60" s="200"/>
    </row>
    <row r="61" spans="1:12" x14ac:dyDescent="0.3">
      <c r="A61" s="61" t="s">
        <v>183</v>
      </c>
      <c r="B61" s="1" t="s">
        <v>167</v>
      </c>
      <c r="D61" s="206">
        <v>1.4999999999999999E-2</v>
      </c>
      <c r="E61" s="206">
        <v>1.4999999999999999E-2</v>
      </c>
      <c r="F61" s="206">
        <v>1.4999999999999999E-2</v>
      </c>
      <c r="G61" s="206">
        <v>1.4999999999999999E-2</v>
      </c>
      <c r="H61" s="206">
        <v>1.4999999999999999E-2</v>
      </c>
      <c r="I61" s="206">
        <v>1.4999999999999999E-2</v>
      </c>
      <c r="J61" s="206">
        <v>1.4999999999999999E-2</v>
      </c>
      <c r="K61" s="206">
        <v>1.4999999999999999E-2</v>
      </c>
      <c r="L61" s="206">
        <v>1.4999999999999999E-2</v>
      </c>
    </row>
    <row r="62" spans="1:12" x14ac:dyDescent="0.3">
      <c r="A62" s="61" t="s">
        <v>186</v>
      </c>
      <c r="B62" s="1" t="s">
        <v>167</v>
      </c>
      <c r="D62" s="200">
        <v>0.1</v>
      </c>
      <c r="E62" s="200">
        <v>0.1</v>
      </c>
      <c r="F62" s="200">
        <v>0.1</v>
      </c>
      <c r="G62" s="200">
        <v>0.1</v>
      </c>
      <c r="H62" s="200">
        <v>0.1</v>
      </c>
      <c r="I62" s="200">
        <v>0.1</v>
      </c>
      <c r="J62" s="200">
        <v>0.1</v>
      </c>
      <c r="K62" s="200">
        <v>0.1</v>
      </c>
      <c r="L62" s="200">
        <v>0.1</v>
      </c>
    </row>
    <row r="63" spans="1:12" x14ac:dyDescent="0.3">
      <c r="A63" s="61" t="s">
        <v>187</v>
      </c>
      <c r="B63" s="1" t="s">
        <v>167</v>
      </c>
      <c r="D63" s="200">
        <v>0.2</v>
      </c>
      <c r="E63" s="200">
        <v>0.25</v>
      </c>
      <c r="F63" s="200">
        <v>0.3</v>
      </c>
      <c r="G63" s="200">
        <v>0.35</v>
      </c>
      <c r="H63" s="200">
        <v>0.4</v>
      </c>
      <c r="I63" s="200">
        <v>0.45</v>
      </c>
      <c r="J63" s="200">
        <v>0.5</v>
      </c>
      <c r="K63" s="200">
        <v>0.5</v>
      </c>
      <c r="L63" s="200">
        <v>0.5</v>
      </c>
    </row>
    <row r="64" spans="1:12" x14ac:dyDescent="0.3">
      <c r="A64" s="61" t="s">
        <v>188</v>
      </c>
      <c r="B64" s="1" t="s">
        <v>167</v>
      </c>
      <c r="D64" s="200">
        <v>0.05</v>
      </c>
      <c r="E64" s="200">
        <v>0.05</v>
      </c>
      <c r="F64" s="200">
        <v>0.05</v>
      </c>
      <c r="G64" s="200">
        <v>0.05</v>
      </c>
      <c r="H64" s="200">
        <v>0.05</v>
      </c>
      <c r="I64" s="200">
        <v>0.05</v>
      </c>
      <c r="J64" s="200">
        <v>0.05</v>
      </c>
      <c r="K64" s="200">
        <v>0.05</v>
      </c>
      <c r="L64" s="200">
        <v>0.05</v>
      </c>
    </row>
    <row r="65" spans="1:12" x14ac:dyDescent="0.3">
      <c r="A65" s="61" t="s">
        <v>189</v>
      </c>
      <c r="B65" s="1" t="s">
        <v>167</v>
      </c>
      <c r="D65" s="200">
        <v>0</v>
      </c>
      <c r="E65" s="200">
        <v>0</v>
      </c>
      <c r="F65" s="200">
        <v>0</v>
      </c>
      <c r="G65" s="200">
        <v>0</v>
      </c>
      <c r="H65" s="200">
        <v>0</v>
      </c>
      <c r="I65" s="200">
        <v>0</v>
      </c>
      <c r="J65" s="200">
        <v>0</v>
      </c>
      <c r="K65" s="200">
        <v>0</v>
      </c>
      <c r="L65" s="200">
        <v>0</v>
      </c>
    </row>
    <row r="66" spans="1:12" x14ac:dyDescent="0.3">
      <c r="A66" s="61"/>
    </row>
    <row r="67" spans="1:12" x14ac:dyDescent="0.3">
      <c r="A67" s="155" t="s">
        <v>196</v>
      </c>
      <c r="D67" s="148"/>
      <c r="E67" s="148"/>
      <c r="F67" s="148"/>
      <c r="G67" s="148"/>
    </row>
    <row r="68" spans="1:12" x14ac:dyDescent="0.3">
      <c r="A68" s="61" t="s">
        <v>181</v>
      </c>
      <c r="B68" s="1" t="s">
        <v>165</v>
      </c>
      <c r="D68" s="201">
        <v>240000000</v>
      </c>
      <c r="E68" s="201">
        <v>240000000</v>
      </c>
      <c r="F68" s="201">
        <v>240000000</v>
      </c>
      <c r="G68" s="201">
        <v>240000000</v>
      </c>
      <c r="H68" s="201">
        <v>240000000</v>
      </c>
      <c r="I68" s="201">
        <v>240000000</v>
      </c>
      <c r="J68" s="201">
        <v>240000000</v>
      </c>
      <c r="K68" s="201">
        <v>240000000</v>
      </c>
      <c r="L68" s="201">
        <v>240000000</v>
      </c>
    </row>
    <row r="69" spans="1:12" x14ac:dyDescent="0.3">
      <c r="A69" s="61" t="s">
        <v>182</v>
      </c>
      <c r="B69" s="1" t="s">
        <v>165</v>
      </c>
      <c r="C69" s="202">
        <v>275000000</v>
      </c>
      <c r="D69" s="201"/>
      <c r="E69" s="201"/>
      <c r="F69" s="201"/>
      <c r="G69" s="201"/>
      <c r="H69" s="201"/>
      <c r="I69" s="201"/>
      <c r="J69" s="201"/>
      <c r="K69" s="201"/>
    </row>
    <row r="70" spans="1:12" x14ac:dyDescent="0.3">
      <c r="A70" s="61" t="s">
        <v>184</v>
      </c>
      <c r="B70" s="1" t="s">
        <v>167</v>
      </c>
      <c r="D70" s="200">
        <v>0.4</v>
      </c>
      <c r="E70" s="200">
        <f t="shared" ref="E70" si="38">D70*(1+$C$16)</f>
        <v>0.44000000000000006</v>
      </c>
      <c r="F70" s="200">
        <f t="shared" ref="F70" si="39">E70*(1+$C$16)</f>
        <v>0.4840000000000001</v>
      </c>
      <c r="G70" s="200">
        <f t="shared" ref="G70" si="40">F70*(1+$C$16)</f>
        <v>0.5324000000000001</v>
      </c>
      <c r="H70" s="200">
        <f t="shared" ref="H70" si="41">G70*(1+$C$16)</f>
        <v>0.58564000000000016</v>
      </c>
      <c r="I70" s="200">
        <f t="shared" ref="I70" si="42">H70*(1+$C$16)</f>
        <v>0.64420400000000022</v>
      </c>
      <c r="J70" s="200">
        <f t="shared" ref="J70" si="43">I70*(1+$C$16)</f>
        <v>0.70862440000000027</v>
      </c>
      <c r="K70" s="200">
        <f t="shared" ref="K70" si="44">J70*(1+$C$16)</f>
        <v>0.77948684000000035</v>
      </c>
      <c r="L70" s="200">
        <f t="shared" ref="L70" si="45">K70*(1+$C$16)</f>
        <v>0.85743552400000045</v>
      </c>
    </row>
    <row r="71" spans="1:12" x14ac:dyDescent="0.3">
      <c r="A71" s="203" t="s">
        <v>185</v>
      </c>
      <c r="B71" s="204" t="s">
        <v>167</v>
      </c>
      <c r="C71" s="205">
        <v>0.1</v>
      </c>
      <c r="D71" s="200"/>
      <c r="E71" s="200"/>
      <c r="F71" s="200"/>
      <c r="G71" s="200"/>
      <c r="H71" s="200"/>
      <c r="I71" s="200"/>
      <c r="J71" s="200"/>
      <c r="K71" s="200"/>
    </row>
    <row r="72" spans="1:12" x14ac:dyDescent="0.3">
      <c r="A72" s="61" t="s">
        <v>183</v>
      </c>
      <c r="B72" s="1" t="s">
        <v>167</v>
      </c>
      <c r="D72" s="206">
        <v>1.4999999999999999E-2</v>
      </c>
      <c r="E72" s="206">
        <v>1.4999999999999999E-2</v>
      </c>
      <c r="F72" s="206">
        <v>1.4999999999999999E-2</v>
      </c>
      <c r="G72" s="206">
        <v>1.4999999999999999E-2</v>
      </c>
      <c r="H72" s="206">
        <v>1.4999999999999999E-2</v>
      </c>
      <c r="I72" s="206">
        <v>1.4999999999999999E-2</v>
      </c>
      <c r="J72" s="206">
        <v>1.4999999999999999E-2</v>
      </c>
      <c r="K72" s="206">
        <v>1.4999999999999999E-2</v>
      </c>
      <c r="L72" s="206">
        <v>1.4999999999999999E-2</v>
      </c>
    </row>
    <row r="73" spans="1:12" x14ac:dyDescent="0.3">
      <c r="A73" s="61" t="s">
        <v>186</v>
      </c>
      <c r="B73" s="1" t="s">
        <v>167</v>
      </c>
      <c r="D73" s="200">
        <v>0.1</v>
      </c>
      <c r="E73" s="200">
        <v>0.1</v>
      </c>
      <c r="F73" s="200">
        <v>0.1</v>
      </c>
      <c r="G73" s="200">
        <v>0.1</v>
      </c>
      <c r="H73" s="200">
        <v>0.1</v>
      </c>
      <c r="I73" s="200">
        <v>0.1</v>
      </c>
      <c r="J73" s="200">
        <v>0.1</v>
      </c>
      <c r="K73" s="200">
        <v>0.1</v>
      </c>
      <c r="L73" s="200">
        <v>0.1</v>
      </c>
    </row>
    <row r="74" spans="1:12" x14ac:dyDescent="0.3">
      <c r="A74" s="61" t="s">
        <v>187</v>
      </c>
      <c r="B74" s="1" t="s">
        <v>167</v>
      </c>
      <c r="D74" s="200">
        <v>0.2</v>
      </c>
      <c r="E74" s="200">
        <v>0.25</v>
      </c>
      <c r="F74" s="200">
        <v>0.3</v>
      </c>
      <c r="G74" s="200">
        <v>0.35</v>
      </c>
      <c r="H74" s="200">
        <v>0.4</v>
      </c>
      <c r="I74" s="200">
        <v>0.45</v>
      </c>
      <c r="J74" s="200">
        <v>0.5</v>
      </c>
      <c r="K74" s="200">
        <v>0.5</v>
      </c>
      <c r="L74" s="200">
        <v>0.5</v>
      </c>
    </row>
    <row r="75" spans="1:12" x14ac:dyDescent="0.3">
      <c r="A75" s="61" t="s">
        <v>188</v>
      </c>
      <c r="B75" s="1" t="s">
        <v>167</v>
      </c>
      <c r="D75" s="200">
        <v>0.05</v>
      </c>
      <c r="E75" s="200">
        <v>0.05</v>
      </c>
      <c r="F75" s="200">
        <v>0.05</v>
      </c>
      <c r="G75" s="200">
        <v>0.05</v>
      </c>
      <c r="H75" s="200">
        <v>0.05</v>
      </c>
      <c r="I75" s="200">
        <v>0.05</v>
      </c>
      <c r="J75" s="200">
        <v>0.05</v>
      </c>
      <c r="K75" s="200">
        <v>0.05</v>
      </c>
      <c r="L75" s="200">
        <v>0.05</v>
      </c>
    </row>
    <row r="76" spans="1:12" x14ac:dyDescent="0.3">
      <c r="A76" s="61" t="s">
        <v>189</v>
      </c>
      <c r="B76" s="1" t="s">
        <v>167</v>
      </c>
      <c r="D76" s="200">
        <v>0</v>
      </c>
      <c r="E76" s="200">
        <v>0</v>
      </c>
      <c r="F76" s="200">
        <v>0</v>
      </c>
      <c r="G76" s="200">
        <v>0</v>
      </c>
      <c r="H76" s="200">
        <v>0</v>
      </c>
      <c r="I76" s="200">
        <v>0</v>
      </c>
      <c r="J76" s="200">
        <v>0</v>
      </c>
      <c r="K76" s="200">
        <v>0</v>
      </c>
      <c r="L76" s="200">
        <v>0</v>
      </c>
    </row>
    <row r="77" spans="1:12" x14ac:dyDescent="0.3">
      <c r="A77" s="61"/>
    </row>
    <row r="78" spans="1:12" x14ac:dyDescent="0.3">
      <c r="A78" s="155" t="s">
        <v>218</v>
      </c>
    </row>
    <row r="79" spans="1:12" x14ac:dyDescent="0.3">
      <c r="A79" s="61" t="s">
        <v>198</v>
      </c>
      <c r="B79" s="1" t="s">
        <v>199</v>
      </c>
      <c r="D79" s="201">
        <f>60*12</f>
        <v>720</v>
      </c>
      <c r="E79" s="59">
        <f>D79*(1+E$80)</f>
        <v>777.6</v>
      </c>
      <c r="F79" s="59">
        <f t="shared" ref="F79:L79" si="46">E79*(1+F$80)</f>
        <v>839.80800000000011</v>
      </c>
      <c r="G79" s="59">
        <f t="shared" si="46"/>
        <v>906.99264000000016</v>
      </c>
      <c r="H79" s="59">
        <f t="shared" si="46"/>
        <v>979.55205120000028</v>
      </c>
      <c r="I79" s="59">
        <f t="shared" si="46"/>
        <v>1057.9162152960005</v>
      </c>
      <c r="J79" s="59">
        <f t="shared" si="46"/>
        <v>1142.5495125196805</v>
      </c>
      <c r="K79" s="59">
        <f t="shared" si="46"/>
        <v>1233.9534735212551</v>
      </c>
      <c r="L79" s="59">
        <f t="shared" si="46"/>
        <v>1332.6697514029556</v>
      </c>
    </row>
    <row r="80" spans="1:12" x14ac:dyDescent="0.3">
      <c r="A80" s="61" t="s">
        <v>201</v>
      </c>
      <c r="B80" s="1" t="s">
        <v>167</v>
      </c>
      <c r="D80" s="201"/>
      <c r="E80" s="207">
        <v>0.08</v>
      </c>
      <c r="F80" s="207">
        <v>0.08</v>
      </c>
      <c r="G80" s="207">
        <v>0.08</v>
      </c>
      <c r="H80" s="207">
        <v>0.08</v>
      </c>
      <c r="I80" s="207">
        <v>0.08</v>
      </c>
      <c r="J80" s="207">
        <v>0.08</v>
      </c>
      <c r="K80" s="207">
        <v>0.08</v>
      </c>
      <c r="L80" s="207">
        <v>0.08</v>
      </c>
    </row>
    <row r="81" spans="1:12" x14ac:dyDescent="0.3">
      <c r="A81" s="61" t="s">
        <v>200</v>
      </c>
      <c r="B81" s="1" t="s">
        <v>165</v>
      </c>
      <c r="D81" s="201">
        <v>120000</v>
      </c>
      <c r="E81" s="59">
        <f>D81</f>
        <v>120000</v>
      </c>
      <c r="F81" s="59">
        <f t="shared" ref="F81:L81" si="47">E81</f>
        <v>120000</v>
      </c>
      <c r="G81" s="59">
        <f t="shared" si="47"/>
        <v>120000</v>
      </c>
      <c r="H81" s="59">
        <f t="shared" si="47"/>
        <v>120000</v>
      </c>
      <c r="I81" s="59">
        <f t="shared" si="47"/>
        <v>120000</v>
      </c>
      <c r="J81" s="59">
        <f t="shared" si="47"/>
        <v>120000</v>
      </c>
      <c r="K81" s="59">
        <f t="shared" si="47"/>
        <v>120000</v>
      </c>
      <c r="L81" s="59">
        <f t="shared" si="47"/>
        <v>120000</v>
      </c>
    </row>
    <row r="82" spans="1:12" x14ac:dyDescent="0.3">
      <c r="A82" s="61"/>
    </row>
    <row r="83" spans="1:12" x14ac:dyDescent="0.3">
      <c r="A83" s="155" t="s">
        <v>202</v>
      </c>
    </row>
    <row r="84" spans="1:12" x14ac:dyDescent="0.3">
      <c r="A84" s="61" t="s">
        <v>203</v>
      </c>
      <c r="B84" s="1" t="s">
        <v>199</v>
      </c>
      <c r="D84" s="59">
        <f>D79</f>
        <v>720</v>
      </c>
      <c r="E84" s="59">
        <f t="shared" ref="E84:L84" si="48">E79</f>
        <v>777.6</v>
      </c>
      <c r="F84" s="59">
        <f t="shared" si="48"/>
        <v>839.80800000000011</v>
      </c>
      <c r="G84" s="59">
        <f t="shared" si="48"/>
        <v>906.99264000000016</v>
      </c>
      <c r="H84" s="59">
        <f t="shared" si="48"/>
        <v>979.55205120000028</v>
      </c>
      <c r="I84" s="59">
        <f t="shared" si="48"/>
        <v>1057.9162152960005</v>
      </c>
      <c r="J84" s="59">
        <f t="shared" si="48"/>
        <v>1142.5495125196805</v>
      </c>
      <c r="K84" s="59">
        <f t="shared" si="48"/>
        <v>1233.9534735212551</v>
      </c>
      <c r="L84" s="59">
        <f t="shared" si="48"/>
        <v>1332.6697514029556</v>
      </c>
    </row>
    <row r="85" spans="1:12" x14ac:dyDescent="0.3">
      <c r="A85" s="61" t="s">
        <v>204</v>
      </c>
      <c r="B85" s="1" t="s">
        <v>165</v>
      </c>
      <c r="D85" s="201">
        <v>150000</v>
      </c>
      <c r="E85" s="201">
        <v>150000</v>
      </c>
      <c r="F85" s="201">
        <v>150000</v>
      </c>
      <c r="G85" s="201">
        <v>150000</v>
      </c>
      <c r="H85" s="201">
        <v>150000</v>
      </c>
      <c r="I85" s="201">
        <v>150000</v>
      </c>
      <c r="J85" s="201">
        <v>150000</v>
      </c>
      <c r="K85" s="201">
        <v>150000</v>
      </c>
      <c r="L85" s="201">
        <v>150000</v>
      </c>
    </row>
    <row r="86" spans="1:12" x14ac:dyDescent="0.3">
      <c r="A86" s="61"/>
    </row>
    <row r="87" spans="1:12" x14ac:dyDescent="0.3">
      <c r="A87" s="155" t="s">
        <v>206</v>
      </c>
    </row>
    <row r="88" spans="1:12" x14ac:dyDescent="0.3">
      <c r="A88" s="61" t="s">
        <v>207</v>
      </c>
      <c r="B88" s="1" t="s">
        <v>199</v>
      </c>
      <c r="C88" s="205">
        <v>0.8</v>
      </c>
      <c r="D88" s="59">
        <f>D84*$C$88</f>
        <v>576</v>
      </c>
      <c r="E88" s="59">
        <f t="shared" ref="E88:L88" si="49">E84*$C$88</f>
        <v>622.08000000000004</v>
      </c>
      <c r="F88" s="59">
        <f t="shared" si="49"/>
        <v>671.84640000000013</v>
      </c>
      <c r="G88" s="59">
        <f t="shared" si="49"/>
        <v>725.59411200000022</v>
      </c>
      <c r="H88" s="59">
        <f t="shared" si="49"/>
        <v>783.64164096000025</v>
      </c>
      <c r="I88" s="59">
        <f t="shared" si="49"/>
        <v>846.3329722368004</v>
      </c>
      <c r="J88" s="59">
        <f t="shared" si="49"/>
        <v>914.03961001574453</v>
      </c>
      <c r="K88" s="59">
        <f t="shared" si="49"/>
        <v>987.1627788170041</v>
      </c>
      <c r="L88" s="59">
        <f t="shared" si="49"/>
        <v>1066.1358011223645</v>
      </c>
    </row>
    <row r="89" spans="1:12" x14ac:dyDescent="0.3">
      <c r="A89" s="61" t="s">
        <v>208</v>
      </c>
      <c r="B89" s="1" t="s">
        <v>199</v>
      </c>
      <c r="D89" s="201">
        <v>6</v>
      </c>
      <c r="E89" s="201">
        <v>6</v>
      </c>
      <c r="F89" s="201">
        <v>6</v>
      </c>
      <c r="G89" s="201">
        <v>6</v>
      </c>
      <c r="H89" s="201">
        <v>6</v>
      </c>
      <c r="I89" s="201">
        <v>6</v>
      </c>
      <c r="J89" s="201">
        <v>6</v>
      </c>
      <c r="K89" s="201">
        <v>6</v>
      </c>
      <c r="L89" s="201">
        <v>6</v>
      </c>
    </row>
    <row r="90" spans="1:12" x14ac:dyDescent="0.3">
      <c r="A90" s="61" t="s">
        <v>200</v>
      </c>
      <c r="B90" s="1" t="s">
        <v>165</v>
      </c>
      <c r="D90" s="201">
        <v>15000</v>
      </c>
      <c r="E90" s="201">
        <v>15000</v>
      </c>
      <c r="F90" s="201">
        <v>15000</v>
      </c>
      <c r="G90" s="201">
        <v>15000</v>
      </c>
      <c r="H90" s="201">
        <v>15000</v>
      </c>
      <c r="I90" s="201">
        <v>15000</v>
      </c>
      <c r="J90" s="201">
        <v>15000</v>
      </c>
      <c r="K90" s="201">
        <v>15000</v>
      </c>
      <c r="L90" s="201">
        <v>15000</v>
      </c>
    </row>
    <row r="91" spans="1:12" x14ac:dyDescent="0.3">
      <c r="A91" s="61" t="s">
        <v>210</v>
      </c>
      <c r="B91" s="1" t="s">
        <v>167</v>
      </c>
      <c r="D91" s="200">
        <v>0.4</v>
      </c>
      <c r="E91" s="200">
        <v>0.4</v>
      </c>
      <c r="F91" s="200">
        <v>0.4</v>
      </c>
      <c r="G91" s="200">
        <v>0.4</v>
      </c>
      <c r="H91" s="200">
        <v>0.4</v>
      </c>
      <c r="I91" s="200">
        <v>0.4</v>
      </c>
      <c r="J91" s="200">
        <v>0.4</v>
      </c>
      <c r="K91" s="200">
        <v>0.4</v>
      </c>
      <c r="L91" s="200">
        <v>0.4</v>
      </c>
    </row>
    <row r="92" spans="1:12" x14ac:dyDescent="0.3">
      <c r="A92" s="61" t="s">
        <v>211</v>
      </c>
      <c r="B92" s="1" t="s">
        <v>167</v>
      </c>
      <c r="D92" s="70">
        <f>1-D91</f>
        <v>0.6</v>
      </c>
      <c r="E92" s="70">
        <f t="shared" ref="E92:L92" si="50">1-E91</f>
        <v>0.6</v>
      </c>
      <c r="F92" s="70">
        <f t="shared" si="50"/>
        <v>0.6</v>
      </c>
      <c r="G92" s="70">
        <f t="shared" si="50"/>
        <v>0.6</v>
      </c>
      <c r="H92" s="70">
        <f t="shared" si="50"/>
        <v>0.6</v>
      </c>
      <c r="I92" s="70">
        <f t="shared" si="50"/>
        <v>0.6</v>
      </c>
      <c r="J92" s="70">
        <f t="shared" si="50"/>
        <v>0.6</v>
      </c>
      <c r="K92" s="70">
        <f t="shared" si="50"/>
        <v>0.6</v>
      </c>
      <c r="L92" s="70">
        <f t="shared" si="50"/>
        <v>0.6</v>
      </c>
    </row>
    <row r="93" spans="1:12" x14ac:dyDescent="0.3">
      <c r="A93" s="61"/>
    </row>
    <row r="94" spans="1:12" x14ac:dyDescent="0.3">
      <c r="A94" s="155" t="s">
        <v>190</v>
      </c>
    </row>
    <row r="95" spans="1:12" x14ac:dyDescent="0.3">
      <c r="A95" s="61" t="s">
        <v>207</v>
      </c>
      <c r="B95" s="1" t="s">
        <v>199</v>
      </c>
      <c r="D95" s="59">
        <f>D88</f>
        <v>576</v>
      </c>
      <c r="E95" s="59">
        <f t="shared" ref="E95:L95" si="51">E88</f>
        <v>622.08000000000004</v>
      </c>
      <c r="F95" s="59">
        <f t="shared" si="51"/>
        <v>671.84640000000013</v>
      </c>
      <c r="G95" s="59">
        <f t="shared" si="51"/>
        <v>725.59411200000022</v>
      </c>
      <c r="H95" s="59">
        <f t="shared" si="51"/>
        <v>783.64164096000025</v>
      </c>
      <c r="I95" s="59">
        <f t="shared" si="51"/>
        <v>846.3329722368004</v>
      </c>
      <c r="J95" s="59">
        <f t="shared" si="51"/>
        <v>914.03961001574453</v>
      </c>
      <c r="K95" s="59">
        <f t="shared" si="51"/>
        <v>987.1627788170041</v>
      </c>
      <c r="L95" s="59">
        <f t="shared" si="51"/>
        <v>1066.1358011223645</v>
      </c>
    </row>
    <row r="96" spans="1:12" x14ac:dyDescent="0.3">
      <c r="A96" s="61" t="s">
        <v>212</v>
      </c>
      <c r="B96" s="1" t="s">
        <v>199</v>
      </c>
      <c r="D96" s="59">
        <f>D89</f>
        <v>6</v>
      </c>
      <c r="E96" s="59">
        <f t="shared" ref="E96:L96" si="52">E89</f>
        <v>6</v>
      </c>
      <c r="F96" s="59">
        <f t="shared" si="52"/>
        <v>6</v>
      </c>
      <c r="G96" s="59">
        <f t="shared" si="52"/>
        <v>6</v>
      </c>
      <c r="H96" s="59">
        <f t="shared" si="52"/>
        <v>6</v>
      </c>
      <c r="I96" s="59">
        <f t="shared" si="52"/>
        <v>6</v>
      </c>
      <c r="J96" s="59">
        <f t="shared" si="52"/>
        <v>6</v>
      </c>
      <c r="K96" s="59">
        <f t="shared" si="52"/>
        <v>6</v>
      </c>
      <c r="L96" s="59">
        <f t="shared" si="52"/>
        <v>6</v>
      </c>
    </row>
    <row r="97" spans="1:12" x14ac:dyDescent="0.3">
      <c r="A97" s="61" t="s">
        <v>209</v>
      </c>
      <c r="B97" s="1" t="s">
        <v>165</v>
      </c>
      <c r="D97" s="201">
        <v>12000</v>
      </c>
      <c r="E97" s="201">
        <v>12000</v>
      </c>
      <c r="F97" s="201">
        <v>12000</v>
      </c>
      <c r="G97" s="201">
        <v>12000</v>
      </c>
      <c r="H97" s="201">
        <v>12000</v>
      </c>
      <c r="I97" s="201">
        <v>12000</v>
      </c>
      <c r="J97" s="201">
        <v>12000</v>
      </c>
      <c r="K97" s="201">
        <v>12000</v>
      </c>
      <c r="L97" s="201">
        <v>12000</v>
      </c>
    </row>
    <row r="98" spans="1:12" x14ac:dyDescent="0.3">
      <c r="A98" s="61" t="s">
        <v>213</v>
      </c>
      <c r="B98" s="1" t="s">
        <v>167</v>
      </c>
      <c r="D98" s="200">
        <v>0.4</v>
      </c>
      <c r="E98" s="200">
        <v>0.4</v>
      </c>
      <c r="F98" s="200">
        <v>0.4</v>
      </c>
      <c r="G98" s="200">
        <v>0.4</v>
      </c>
      <c r="H98" s="200">
        <v>0.4</v>
      </c>
      <c r="I98" s="200">
        <v>0.4</v>
      </c>
      <c r="J98" s="200">
        <v>0.4</v>
      </c>
      <c r="K98" s="200">
        <v>0.4</v>
      </c>
      <c r="L98" s="200">
        <v>0.4</v>
      </c>
    </row>
    <row r="99" spans="1:12" x14ac:dyDescent="0.3">
      <c r="A99" s="61"/>
    </row>
    <row r="100" spans="1:12" s="190" customFormat="1" x14ac:dyDescent="0.3">
      <c r="A100" s="189" t="s">
        <v>19</v>
      </c>
      <c r="B100" s="189"/>
      <c r="C100" s="189"/>
    </row>
    <row r="101" spans="1:12" s="192" customFormat="1" x14ac:dyDescent="0.3">
      <c r="A101" s="191"/>
      <c r="B101" s="191"/>
      <c r="C101" s="191"/>
    </row>
    <row r="102" spans="1:12" x14ac:dyDescent="0.3">
      <c r="A102" s="184" t="str">
        <f>$A$12</f>
        <v>Hospital 1 - Clearmedi</v>
      </c>
      <c r="B102" s="184"/>
      <c r="C102" s="184"/>
    </row>
    <row r="103" spans="1:12" x14ac:dyDescent="0.3">
      <c r="A103" s="219" t="s">
        <v>239</v>
      </c>
    </row>
    <row r="104" spans="1:12" x14ac:dyDescent="0.3">
      <c r="A104" s="210" t="s">
        <v>244</v>
      </c>
      <c r="B104" s="1" t="s">
        <v>165</v>
      </c>
    </row>
    <row r="105" spans="1:12" x14ac:dyDescent="0.3">
      <c r="A105" s="210" t="s">
        <v>240</v>
      </c>
      <c r="B105" s="1" t="s">
        <v>165</v>
      </c>
      <c r="D105" s="201">
        <v>500000</v>
      </c>
      <c r="E105" s="59">
        <f>D105*(1+$C108)</f>
        <v>550000</v>
      </c>
      <c r="F105" s="59">
        <f t="shared" ref="F105:L105" si="53">E105*(1+$C108)</f>
        <v>605000</v>
      </c>
      <c r="G105" s="59">
        <f t="shared" si="53"/>
        <v>665500</v>
      </c>
      <c r="H105" s="59">
        <f t="shared" si="53"/>
        <v>732050.00000000012</v>
      </c>
      <c r="I105" s="59">
        <f t="shared" si="53"/>
        <v>805255.00000000023</v>
      </c>
      <c r="J105" s="59">
        <f t="shared" si="53"/>
        <v>885780.50000000035</v>
      </c>
      <c r="K105" s="59">
        <f t="shared" si="53"/>
        <v>974358.55000000051</v>
      </c>
      <c r="L105" s="59">
        <f t="shared" si="53"/>
        <v>1071794.4050000007</v>
      </c>
    </row>
    <row r="106" spans="1:12" x14ac:dyDescent="0.3">
      <c r="A106" s="210" t="s">
        <v>242</v>
      </c>
      <c r="B106" s="1" t="s">
        <v>165</v>
      </c>
      <c r="D106" s="59">
        <f>D105*$C$8</f>
        <v>6000000</v>
      </c>
      <c r="E106" s="59">
        <f t="shared" ref="E106:L106" si="54">E105*$C$8</f>
        <v>6600000</v>
      </c>
      <c r="F106" s="59">
        <f t="shared" si="54"/>
        <v>7260000</v>
      </c>
      <c r="G106" s="59">
        <f t="shared" si="54"/>
        <v>7986000</v>
      </c>
      <c r="H106" s="59">
        <f t="shared" si="54"/>
        <v>8784600.0000000019</v>
      </c>
      <c r="I106" s="59">
        <f t="shared" si="54"/>
        <v>9663060.0000000037</v>
      </c>
      <c r="J106" s="59">
        <f t="shared" si="54"/>
        <v>10629366.000000004</v>
      </c>
      <c r="K106" s="59">
        <f t="shared" si="54"/>
        <v>11692302.600000005</v>
      </c>
      <c r="L106" s="59">
        <f t="shared" si="54"/>
        <v>12861532.860000009</v>
      </c>
    </row>
    <row r="107" spans="1:12" x14ac:dyDescent="0.3">
      <c r="A107" s="210" t="s">
        <v>241</v>
      </c>
      <c r="B107" s="1" t="s">
        <v>199</v>
      </c>
      <c r="D107" s="201">
        <v>6</v>
      </c>
      <c r="E107" s="59">
        <f>D107</f>
        <v>6</v>
      </c>
      <c r="F107" s="59">
        <f t="shared" ref="F107:L107" si="55">E107</f>
        <v>6</v>
      </c>
      <c r="G107" s="59">
        <f t="shared" si="55"/>
        <v>6</v>
      </c>
      <c r="H107" s="59">
        <f t="shared" si="55"/>
        <v>6</v>
      </c>
      <c r="I107" s="59">
        <f t="shared" si="55"/>
        <v>6</v>
      </c>
      <c r="J107" s="59">
        <f t="shared" si="55"/>
        <v>6</v>
      </c>
      <c r="K107" s="59">
        <f t="shared" si="55"/>
        <v>6</v>
      </c>
      <c r="L107" s="59">
        <f t="shared" si="55"/>
        <v>6</v>
      </c>
    </row>
    <row r="108" spans="1:12" s="218" customFormat="1" x14ac:dyDescent="0.3">
      <c r="A108" s="216" t="s">
        <v>153</v>
      </c>
      <c r="B108" s="204" t="s">
        <v>167</v>
      </c>
      <c r="C108" s="205">
        <v>0.1</v>
      </c>
      <c r="D108" s="217"/>
    </row>
    <row r="109" spans="1:12" x14ac:dyDescent="0.3">
      <c r="A109" s="210" t="s">
        <v>238</v>
      </c>
      <c r="B109" s="1" t="s">
        <v>165</v>
      </c>
      <c r="D109" s="201">
        <v>30000000</v>
      </c>
      <c r="E109" s="59">
        <f>D109</f>
        <v>30000000</v>
      </c>
      <c r="F109" s="59">
        <f t="shared" ref="F109:L109" si="56">E109</f>
        <v>30000000</v>
      </c>
      <c r="G109" s="59">
        <f t="shared" si="56"/>
        <v>30000000</v>
      </c>
      <c r="H109" s="59">
        <f t="shared" si="56"/>
        <v>30000000</v>
      </c>
      <c r="I109" s="59">
        <f t="shared" si="56"/>
        <v>30000000</v>
      </c>
      <c r="J109" s="59">
        <f t="shared" si="56"/>
        <v>30000000</v>
      </c>
      <c r="K109" s="59">
        <f t="shared" si="56"/>
        <v>30000000</v>
      </c>
      <c r="L109" s="59">
        <f t="shared" si="56"/>
        <v>30000000</v>
      </c>
    </row>
    <row r="110" spans="1:12" s="215" customFormat="1" x14ac:dyDescent="0.3">
      <c r="A110" s="220" t="s">
        <v>237</v>
      </c>
      <c r="B110" s="214"/>
      <c r="C110" s="214"/>
    </row>
    <row r="111" spans="1:12" x14ac:dyDescent="0.3">
      <c r="A111" s="210" t="s">
        <v>244</v>
      </c>
      <c r="B111" s="1" t="s">
        <v>165</v>
      </c>
    </row>
    <row r="112" spans="1:12" x14ac:dyDescent="0.3">
      <c r="A112" s="210" t="s">
        <v>240</v>
      </c>
      <c r="B112" s="1" t="s">
        <v>165</v>
      </c>
      <c r="D112" s="201">
        <v>2000000</v>
      </c>
      <c r="E112" s="59">
        <f>D112*(1+$C115)</f>
        <v>2200000</v>
      </c>
      <c r="F112" s="59">
        <f t="shared" ref="F112:L112" si="57">E112*(1+$C115)</f>
        <v>2420000</v>
      </c>
      <c r="G112" s="59">
        <f t="shared" si="57"/>
        <v>2662000</v>
      </c>
      <c r="H112" s="59">
        <f t="shared" si="57"/>
        <v>2928200.0000000005</v>
      </c>
      <c r="I112" s="59">
        <f t="shared" si="57"/>
        <v>3221020.0000000009</v>
      </c>
      <c r="J112" s="59">
        <f t="shared" si="57"/>
        <v>3543122.0000000014</v>
      </c>
      <c r="K112" s="59">
        <f t="shared" si="57"/>
        <v>3897434.200000002</v>
      </c>
      <c r="L112" s="59">
        <f t="shared" si="57"/>
        <v>4287177.6200000029</v>
      </c>
    </row>
    <row r="113" spans="1:12" x14ac:dyDescent="0.3">
      <c r="A113" s="210" t="s">
        <v>242</v>
      </c>
      <c r="B113" s="1" t="s">
        <v>165</v>
      </c>
      <c r="D113" s="59">
        <f>D112*$C$8</f>
        <v>24000000</v>
      </c>
      <c r="E113" s="59">
        <f t="shared" ref="E113" si="58">E112*$C$8</f>
        <v>26400000</v>
      </c>
      <c r="F113" s="59">
        <f t="shared" ref="F113" si="59">F112*$C$8</f>
        <v>29040000</v>
      </c>
      <c r="G113" s="59">
        <f t="shared" ref="G113" si="60">G112*$C$8</f>
        <v>31944000</v>
      </c>
      <c r="H113" s="59">
        <f t="shared" ref="H113" si="61">H112*$C$8</f>
        <v>35138400.000000007</v>
      </c>
      <c r="I113" s="59">
        <f t="shared" ref="I113" si="62">I112*$C$8</f>
        <v>38652240.000000015</v>
      </c>
      <c r="J113" s="59">
        <f t="shared" ref="J113" si="63">J112*$C$8</f>
        <v>42517464.000000015</v>
      </c>
      <c r="K113" s="59">
        <f t="shared" ref="K113" si="64">K112*$C$8</f>
        <v>46769210.400000021</v>
      </c>
      <c r="L113" s="59">
        <f t="shared" ref="L113" si="65">L112*$C$8</f>
        <v>51446131.440000035</v>
      </c>
    </row>
    <row r="114" spans="1:12" x14ac:dyDescent="0.3">
      <c r="A114" s="210" t="s">
        <v>241</v>
      </c>
      <c r="B114" s="1" t="s">
        <v>199</v>
      </c>
      <c r="D114" s="201">
        <v>6</v>
      </c>
      <c r="E114" s="59">
        <f>D114</f>
        <v>6</v>
      </c>
      <c r="F114" s="59">
        <f t="shared" ref="F114:L114" si="66">E114</f>
        <v>6</v>
      </c>
      <c r="G114" s="59">
        <f t="shared" si="66"/>
        <v>6</v>
      </c>
      <c r="H114" s="59">
        <f t="shared" si="66"/>
        <v>6</v>
      </c>
      <c r="I114" s="59">
        <f t="shared" si="66"/>
        <v>6</v>
      </c>
      <c r="J114" s="59">
        <f t="shared" si="66"/>
        <v>6</v>
      </c>
      <c r="K114" s="59">
        <f t="shared" si="66"/>
        <v>6</v>
      </c>
      <c r="L114" s="59">
        <f t="shared" si="66"/>
        <v>6</v>
      </c>
    </row>
    <row r="115" spans="1:12" s="218" customFormat="1" x14ac:dyDescent="0.3">
      <c r="A115" s="216" t="s">
        <v>153</v>
      </c>
      <c r="B115" s="204" t="s">
        <v>167</v>
      </c>
      <c r="C115" s="205">
        <v>0.1</v>
      </c>
      <c r="D115" s="217"/>
    </row>
    <row r="116" spans="1:12" x14ac:dyDescent="0.3">
      <c r="A116" s="210" t="s">
        <v>238</v>
      </c>
      <c r="B116" s="1" t="s">
        <v>165</v>
      </c>
      <c r="D116" s="201">
        <v>12000000</v>
      </c>
      <c r="E116" s="59">
        <f>D116</f>
        <v>12000000</v>
      </c>
      <c r="F116" s="59">
        <f t="shared" ref="F116:L116" si="67">E116</f>
        <v>12000000</v>
      </c>
      <c r="G116" s="59">
        <f t="shared" si="67"/>
        <v>12000000</v>
      </c>
      <c r="H116" s="59">
        <f t="shared" si="67"/>
        <v>12000000</v>
      </c>
      <c r="I116" s="59">
        <f t="shared" si="67"/>
        <v>12000000</v>
      </c>
      <c r="J116" s="59">
        <f t="shared" si="67"/>
        <v>12000000</v>
      </c>
      <c r="K116" s="59">
        <f t="shared" si="67"/>
        <v>12000000</v>
      </c>
      <c r="L116" s="59">
        <f t="shared" si="67"/>
        <v>12000000</v>
      </c>
    </row>
    <row r="117" spans="1:12" x14ac:dyDescent="0.3">
      <c r="A117" s="219" t="s">
        <v>216</v>
      </c>
    </row>
    <row r="118" spans="1:12" x14ac:dyDescent="0.3">
      <c r="A118" s="210" t="s">
        <v>244</v>
      </c>
      <c r="B118" s="1" t="s">
        <v>165</v>
      </c>
      <c r="D118" s="201">
        <v>100000</v>
      </c>
    </row>
    <row r="119" spans="1:12" x14ac:dyDescent="0.3">
      <c r="A119" s="210" t="s">
        <v>240</v>
      </c>
      <c r="B119" s="1" t="s">
        <v>165</v>
      </c>
      <c r="D119" s="201"/>
      <c r="E119" s="59">
        <f>D119*(1+$C122)</f>
        <v>0</v>
      </c>
      <c r="F119" s="59">
        <f t="shared" ref="F119:L119" si="68">E119*(1+$C122)</f>
        <v>0</v>
      </c>
      <c r="G119" s="59">
        <f t="shared" si="68"/>
        <v>0</v>
      </c>
      <c r="H119" s="59">
        <f t="shared" si="68"/>
        <v>0</v>
      </c>
      <c r="I119" s="59">
        <f t="shared" si="68"/>
        <v>0</v>
      </c>
      <c r="J119" s="59">
        <f t="shared" si="68"/>
        <v>0</v>
      </c>
      <c r="K119" s="59">
        <f t="shared" si="68"/>
        <v>0</v>
      </c>
      <c r="L119" s="59">
        <f t="shared" si="68"/>
        <v>0</v>
      </c>
    </row>
    <row r="120" spans="1:12" x14ac:dyDescent="0.3">
      <c r="A120" s="210" t="s">
        <v>242</v>
      </c>
      <c r="B120" s="1" t="s">
        <v>165</v>
      </c>
      <c r="D120" s="59">
        <f>D119*$C$8</f>
        <v>0</v>
      </c>
      <c r="E120" s="59">
        <f t="shared" ref="E120" si="69">E119*$C$8</f>
        <v>0</v>
      </c>
      <c r="F120" s="59">
        <f t="shared" ref="F120" si="70">F119*$C$8</f>
        <v>0</v>
      </c>
      <c r="G120" s="59">
        <f t="shared" ref="G120" si="71">G119*$C$8</f>
        <v>0</v>
      </c>
      <c r="H120" s="59">
        <f t="shared" ref="H120" si="72">H119*$C$8</f>
        <v>0</v>
      </c>
      <c r="I120" s="59">
        <f t="shared" ref="I120" si="73">I119*$C$8</f>
        <v>0</v>
      </c>
      <c r="J120" s="59">
        <f t="shared" ref="J120" si="74">J119*$C$8</f>
        <v>0</v>
      </c>
      <c r="K120" s="59">
        <f t="shared" ref="K120" si="75">K119*$C$8</f>
        <v>0</v>
      </c>
      <c r="L120" s="59">
        <f t="shared" ref="L120" si="76">L119*$C$8</f>
        <v>0</v>
      </c>
    </row>
    <row r="121" spans="1:12" x14ac:dyDescent="0.3">
      <c r="A121" s="210" t="s">
        <v>241</v>
      </c>
      <c r="B121" s="1" t="s">
        <v>199</v>
      </c>
      <c r="D121" s="201"/>
      <c r="E121" s="59">
        <f>D121</f>
        <v>0</v>
      </c>
      <c r="F121" s="59">
        <f t="shared" ref="F121:L121" si="77">E121</f>
        <v>0</v>
      </c>
      <c r="G121" s="59">
        <f t="shared" si="77"/>
        <v>0</v>
      </c>
      <c r="H121" s="59">
        <f t="shared" si="77"/>
        <v>0</v>
      </c>
      <c r="I121" s="59">
        <f t="shared" si="77"/>
        <v>0</v>
      </c>
      <c r="J121" s="59">
        <f t="shared" si="77"/>
        <v>0</v>
      </c>
      <c r="K121" s="59">
        <f t="shared" si="77"/>
        <v>0</v>
      </c>
      <c r="L121" s="59">
        <f t="shared" si="77"/>
        <v>0</v>
      </c>
    </row>
    <row r="122" spans="1:12" s="218" customFormat="1" x14ac:dyDescent="0.3">
      <c r="A122" s="216" t="s">
        <v>153</v>
      </c>
      <c r="B122" s="204" t="s">
        <v>167</v>
      </c>
      <c r="C122" s="205">
        <v>0.1</v>
      </c>
      <c r="D122" s="217"/>
    </row>
    <row r="123" spans="1:12" x14ac:dyDescent="0.3">
      <c r="A123" s="210" t="s">
        <v>238</v>
      </c>
      <c r="B123" s="1" t="s">
        <v>165</v>
      </c>
      <c r="D123" s="201">
        <v>100000</v>
      </c>
    </row>
    <row r="124" spans="1:12" x14ac:dyDescent="0.3">
      <c r="A124" s="219" t="s">
        <v>219</v>
      </c>
    </row>
    <row r="125" spans="1:12" x14ac:dyDescent="0.3">
      <c r="A125" s="210" t="s">
        <v>244</v>
      </c>
      <c r="B125" s="1" t="s">
        <v>165</v>
      </c>
      <c r="D125" s="201"/>
    </row>
    <row r="126" spans="1:12" x14ac:dyDescent="0.3">
      <c r="A126" s="210" t="s">
        <v>240</v>
      </c>
      <c r="B126" s="1" t="s">
        <v>165</v>
      </c>
      <c r="D126" s="201">
        <v>50000</v>
      </c>
      <c r="E126" s="59">
        <f>D126*(1+$C129)</f>
        <v>55000.000000000007</v>
      </c>
      <c r="F126" s="59">
        <f t="shared" ref="F126:L126" si="78">E126*(1+$C129)</f>
        <v>60500.000000000015</v>
      </c>
      <c r="G126" s="59">
        <f t="shared" si="78"/>
        <v>66550.000000000015</v>
      </c>
      <c r="H126" s="59">
        <f t="shared" si="78"/>
        <v>73205.000000000029</v>
      </c>
      <c r="I126" s="59">
        <f t="shared" si="78"/>
        <v>80525.500000000044</v>
      </c>
      <c r="J126" s="59">
        <f t="shared" si="78"/>
        <v>88578.050000000061</v>
      </c>
      <c r="K126" s="59">
        <f t="shared" si="78"/>
        <v>97435.855000000069</v>
      </c>
      <c r="L126" s="59">
        <f t="shared" si="78"/>
        <v>107179.44050000008</v>
      </c>
    </row>
    <row r="127" spans="1:12" x14ac:dyDescent="0.3">
      <c r="A127" s="210" t="s">
        <v>242</v>
      </c>
      <c r="B127" s="1" t="s">
        <v>165</v>
      </c>
      <c r="D127" s="59">
        <f>D126*$C$8</f>
        <v>600000</v>
      </c>
      <c r="E127" s="59">
        <f t="shared" ref="E127" si="79">E126*$C$8</f>
        <v>660000.00000000012</v>
      </c>
      <c r="F127" s="59">
        <f t="shared" ref="F127" si="80">F126*$C$8</f>
        <v>726000.00000000023</v>
      </c>
      <c r="G127" s="59">
        <f t="shared" ref="G127" si="81">G126*$C$8</f>
        <v>798600.00000000023</v>
      </c>
      <c r="H127" s="59">
        <f t="shared" ref="H127" si="82">H126*$C$8</f>
        <v>878460.00000000035</v>
      </c>
      <c r="I127" s="59">
        <f t="shared" ref="I127" si="83">I126*$C$8</f>
        <v>966306.00000000047</v>
      </c>
      <c r="J127" s="59">
        <f t="shared" ref="J127" si="84">J126*$C$8</f>
        <v>1062936.6000000008</v>
      </c>
      <c r="K127" s="59">
        <f t="shared" ref="K127" si="85">K126*$C$8</f>
        <v>1169230.2600000007</v>
      </c>
      <c r="L127" s="59">
        <f t="shared" ref="L127" si="86">L126*$C$8</f>
        <v>1286153.286000001</v>
      </c>
    </row>
    <row r="128" spans="1:12" x14ac:dyDescent="0.3">
      <c r="A128" s="210" t="s">
        <v>241</v>
      </c>
      <c r="B128" s="1" t="s">
        <v>199</v>
      </c>
      <c r="D128" s="201">
        <v>1</v>
      </c>
      <c r="E128" s="59">
        <f>D128</f>
        <v>1</v>
      </c>
      <c r="F128" s="59">
        <f t="shared" ref="F128:L128" si="87">E128</f>
        <v>1</v>
      </c>
      <c r="G128" s="59">
        <f t="shared" si="87"/>
        <v>1</v>
      </c>
      <c r="H128" s="59">
        <f t="shared" si="87"/>
        <v>1</v>
      </c>
      <c r="I128" s="59">
        <f t="shared" si="87"/>
        <v>1</v>
      </c>
      <c r="J128" s="59">
        <f t="shared" si="87"/>
        <v>1</v>
      </c>
      <c r="K128" s="59">
        <f t="shared" si="87"/>
        <v>1</v>
      </c>
      <c r="L128" s="59">
        <f t="shared" si="87"/>
        <v>1</v>
      </c>
    </row>
    <row r="129" spans="1:12" s="218" customFormat="1" x14ac:dyDescent="0.3">
      <c r="A129" s="216" t="s">
        <v>153</v>
      </c>
      <c r="B129" s="204" t="s">
        <v>167</v>
      </c>
      <c r="C129" s="205">
        <v>0.1</v>
      </c>
      <c r="D129" s="217"/>
    </row>
    <row r="130" spans="1:12" x14ac:dyDescent="0.3">
      <c r="A130" s="210" t="s">
        <v>238</v>
      </c>
      <c r="B130" s="1" t="s">
        <v>165</v>
      </c>
      <c r="D130" s="201"/>
    </row>
    <row r="131" spans="1:12" x14ac:dyDescent="0.3">
      <c r="A131" s="219" t="s">
        <v>246</v>
      </c>
    </row>
    <row r="132" spans="1:12" x14ac:dyDescent="0.3">
      <c r="A132" s="210" t="s">
        <v>244</v>
      </c>
      <c r="B132" s="1" t="s">
        <v>165</v>
      </c>
      <c r="D132" s="201"/>
    </row>
    <row r="133" spans="1:12" x14ac:dyDescent="0.3">
      <c r="A133" s="210" t="s">
        <v>240</v>
      </c>
      <c r="B133" s="1" t="s">
        <v>165</v>
      </c>
      <c r="D133" s="201"/>
      <c r="E133" s="59">
        <f>D133*(1+$C136)</f>
        <v>0</v>
      </c>
      <c r="F133" s="59">
        <f t="shared" ref="F133" si="88">E133*(1+$C136)</f>
        <v>0</v>
      </c>
      <c r="G133" s="59">
        <f t="shared" ref="G133" si="89">F133*(1+$C136)</f>
        <v>0</v>
      </c>
      <c r="H133" s="59">
        <f t="shared" ref="H133" si="90">G133*(1+$C136)</f>
        <v>0</v>
      </c>
      <c r="I133" s="59">
        <f t="shared" ref="I133" si="91">H133*(1+$C136)</f>
        <v>0</v>
      </c>
      <c r="J133" s="59">
        <f t="shared" ref="J133" si="92">I133*(1+$C136)</f>
        <v>0</v>
      </c>
      <c r="K133" s="59">
        <f t="shared" ref="K133" si="93">J133*(1+$C136)</f>
        <v>0</v>
      </c>
      <c r="L133" s="59">
        <f t="shared" ref="L133" si="94">K133*(1+$C136)</f>
        <v>0</v>
      </c>
    </row>
    <row r="134" spans="1:12" x14ac:dyDescent="0.3">
      <c r="A134" s="210" t="s">
        <v>242</v>
      </c>
      <c r="B134" s="1" t="s">
        <v>165</v>
      </c>
      <c r="D134" s="201">
        <v>2500000</v>
      </c>
      <c r="E134" s="59">
        <f>D134*(1+$C136)</f>
        <v>2750000</v>
      </c>
      <c r="F134" s="59">
        <f t="shared" ref="F134:L134" si="95">E134*(1+$C136)</f>
        <v>3025000.0000000005</v>
      </c>
      <c r="G134" s="59">
        <f t="shared" si="95"/>
        <v>3327500.0000000009</v>
      </c>
      <c r="H134" s="59">
        <f t="shared" si="95"/>
        <v>3660250.0000000014</v>
      </c>
      <c r="I134" s="59">
        <f t="shared" si="95"/>
        <v>4026275.0000000019</v>
      </c>
      <c r="J134" s="59">
        <f t="shared" si="95"/>
        <v>4428902.5000000028</v>
      </c>
      <c r="K134" s="59">
        <f t="shared" si="95"/>
        <v>4871792.7500000037</v>
      </c>
      <c r="L134" s="59">
        <f t="shared" si="95"/>
        <v>5358972.0250000041</v>
      </c>
    </row>
    <row r="135" spans="1:12" x14ac:dyDescent="0.3">
      <c r="A135" s="210" t="s">
        <v>241</v>
      </c>
      <c r="B135" s="1" t="s">
        <v>199</v>
      </c>
      <c r="D135" s="201">
        <v>1</v>
      </c>
      <c r="E135" s="59">
        <f>D135</f>
        <v>1</v>
      </c>
      <c r="F135" s="59">
        <f t="shared" ref="F135" si="96">E135</f>
        <v>1</v>
      </c>
      <c r="G135" s="59">
        <f t="shared" ref="G135" si="97">F135</f>
        <v>1</v>
      </c>
      <c r="H135" s="59">
        <f t="shared" ref="H135" si="98">G135</f>
        <v>1</v>
      </c>
      <c r="I135" s="59">
        <f t="shared" ref="I135" si="99">H135</f>
        <v>1</v>
      </c>
      <c r="J135" s="59">
        <f t="shared" ref="J135" si="100">I135</f>
        <v>1</v>
      </c>
      <c r="K135" s="59">
        <f t="shared" ref="K135" si="101">J135</f>
        <v>1</v>
      </c>
      <c r="L135" s="59">
        <f t="shared" ref="L135" si="102">K135</f>
        <v>1</v>
      </c>
    </row>
    <row r="136" spans="1:12" s="218" customFormat="1" x14ac:dyDescent="0.3">
      <c r="A136" s="216" t="s">
        <v>153</v>
      </c>
      <c r="B136" s="204" t="s">
        <v>167</v>
      </c>
      <c r="C136" s="205">
        <v>0.1</v>
      </c>
      <c r="D136" s="217"/>
    </row>
    <row r="137" spans="1:12" x14ac:dyDescent="0.3">
      <c r="A137" s="210" t="s">
        <v>238</v>
      </c>
      <c r="B137" s="1" t="s">
        <v>165</v>
      </c>
      <c r="D137" s="201"/>
    </row>
    <row r="138" spans="1:12" x14ac:dyDescent="0.3">
      <c r="A138" s="219" t="s">
        <v>231</v>
      </c>
    </row>
    <row r="139" spans="1:12" x14ac:dyDescent="0.3">
      <c r="A139" s="210" t="s">
        <v>244</v>
      </c>
      <c r="B139" s="1" t="s">
        <v>165</v>
      </c>
      <c r="D139" s="201"/>
    </row>
    <row r="140" spans="1:12" x14ac:dyDescent="0.3">
      <c r="A140" s="210" t="s">
        <v>240</v>
      </c>
      <c r="B140" s="1" t="s">
        <v>165</v>
      </c>
      <c r="D140" s="201"/>
      <c r="E140" s="59">
        <f>D140*(1+$C143)</f>
        <v>0</v>
      </c>
      <c r="F140" s="59">
        <f t="shared" ref="F140" si="103">E140*(1+$C143)</f>
        <v>0</v>
      </c>
      <c r="G140" s="59">
        <f t="shared" ref="G140" si="104">F140*(1+$C143)</f>
        <v>0</v>
      </c>
      <c r="H140" s="59">
        <f t="shared" ref="H140" si="105">G140*(1+$C143)</f>
        <v>0</v>
      </c>
      <c r="I140" s="59">
        <f t="shared" ref="I140" si="106">H140*(1+$C143)</f>
        <v>0</v>
      </c>
      <c r="J140" s="59">
        <f t="shared" ref="J140" si="107">I140*(1+$C143)</f>
        <v>0</v>
      </c>
      <c r="K140" s="59">
        <f t="shared" ref="K140" si="108">J140*(1+$C143)</f>
        <v>0</v>
      </c>
      <c r="L140" s="59">
        <f t="shared" ref="L140" si="109">K140*(1+$C143)</f>
        <v>0</v>
      </c>
    </row>
    <row r="141" spans="1:12" x14ac:dyDescent="0.3">
      <c r="A141" s="210" t="s">
        <v>242</v>
      </c>
      <c r="B141" s="1" t="s">
        <v>165</v>
      </c>
      <c r="D141" s="201">
        <v>1500000</v>
      </c>
      <c r="E141" s="59">
        <f>D141*(1+$C143)</f>
        <v>1650000.0000000002</v>
      </c>
      <c r="F141" s="59">
        <f t="shared" ref="F141:L141" si="110">E141*(1+$C143)</f>
        <v>1815000.0000000005</v>
      </c>
      <c r="G141" s="59">
        <f t="shared" si="110"/>
        <v>1996500.0000000007</v>
      </c>
      <c r="H141" s="59">
        <f t="shared" si="110"/>
        <v>2196150.0000000009</v>
      </c>
      <c r="I141" s="59">
        <f t="shared" si="110"/>
        <v>2415765.0000000014</v>
      </c>
      <c r="J141" s="59">
        <f t="shared" si="110"/>
        <v>2657341.5000000019</v>
      </c>
      <c r="K141" s="59">
        <f t="shared" si="110"/>
        <v>2923075.6500000022</v>
      </c>
      <c r="L141" s="59">
        <f t="shared" si="110"/>
        <v>3215383.2150000026</v>
      </c>
    </row>
    <row r="142" spans="1:12" x14ac:dyDescent="0.3">
      <c r="A142" s="210" t="s">
        <v>241</v>
      </c>
      <c r="B142" s="1" t="s">
        <v>199</v>
      </c>
      <c r="D142" s="201">
        <v>1</v>
      </c>
      <c r="E142" s="59">
        <f>D142</f>
        <v>1</v>
      </c>
      <c r="F142" s="59">
        <f t="shared" ref="F142" si="111">E142</f>
        <v>1</v>
      </c>
      <c r="G142" s="59">
        <f t="shared" ref="G142" si="112">F142</f>
        <v>1</v>
      </c>
      <c r="H142" s="59">
        <f t="shared" ref="H142" si="113">G142</f>
        <v>1</v>
      </c>
      <c r="I142" s="59">
        <f t="shared" ref="I142" si="114">H142</f>
        <v>1</v>
      </c>
      <c r="J142" s="59">
        <f t="shared" ref="J142" si="115">I142</f>
        <v>1</v>
      </c>
      <c r="K142" s="59">
        <f t="shared" ref="K142" si="116">J142</f>
        <v>1</v>
      </c>
      <c r="L142" s="59">
        <f t="shared" ref="L142" si="117">K142</f>
        <v>1</v>
      </c>
    </row>
    <row r="143" spans="1:12" s="218" customFormat="1" x14ac:dyDescent="0.3">
      <c r="A143" s="216" t="s">
        <v>153</v>
      </c>
      <c r="B143" s="204" t="s">
        <v>167</v>
      </c>
      <c r="C143" s="205">
        <v>0.1</v>
      </c>
      <c r="D143" s="217"/>
    </row>
    <row r="144" spans="1:12" x14ac:dyDescent="0.3">
      <c r="A144" s="210" t="s">
        <v>238</v>
      </c>
      <c r="B144" s="1" t="s">
        <v>165</v>
      </c>
      <c r="D144" s="201">
        <v>36000000</v>
      </c>
      <c r="E144" s="59">
        <f>D144</f>
        <v>36000000</v>
      </c>
      <c r="F144" s="59">
        <f t="shared" ref="F144:L144" si="118">E144</f>
        <v>36000000</v>
      </c>
      <c r="G144" s="59">
        <f t="shared" si="118"/>
        <v>36000000</v>
      </c>
      <c r="H144" s="59">
        <f t="shared" si="118"/>
        <v>36000000</v>
      </c>
      <c r="I144" s="59">
        <f t="shared" si="118"/>
        <v>36000000</v>
      </c>
      <c r="J144" s="59">
        <f t="shared" si="118"/>
        <v>36000000</v>
      </c>
      <c r="K144" s="59">
        <f t="shared" si="118"/>
        <v>36000000</v>
      </c>
      <c r="L144" s="59">
        <f t="shared" si="118"/>
        <v>36000000</v>
      </c>
    </row>
    <row r="145" spans="1:12" x14ac:dyDescent="0.3">
      <c r="A145" s="219" t="s">
        <v>232</v>
      </c>
    </row>
    <row r="146" spans="1:12" x14ac:dyDescent="0.3">
      <c r="A146" s="210" t="s">
        <v>244</v>
      </c>
      <c r="B146" s="1" t="s">
        <v>165</v>
      </c>
      <c r="D146" s="201"/>
    </row>
    <row r="147" spans="1:12" x14ac:dyDescent="0.3">
      <c r="A147" s="210" t="s">
        <v>240</v>
      </c>
      <c r="B147" s="1" t="s">
        <v>165</v>
      </c>
      <c r="D147" s="201">
        <v>50000</v>
      </c>
      <c r="E147" s="59">
        <f>D147*(1+$C150)</f>
        <v>55000.000000000007</v>
      </c>
      <c r="F147" s="59">
        <f t="shared" ref="F147:L147" si="119">E147*(1+$C150)</f>
        <v>60500.000000000015</v>
      </c>
      <c r="G147" s="59">
        <f t="shared" si="119"/>
        <v>66550.000000000015</v>
      </c>
      <c r="H147" s="59">
        <f t="shared" si="119"/>
        <v>73205.000000000029</v>
      </c>
      <c r="I147" s="59">
        <f t="shared" si="119"/>
        <v>80525.500000000044</v>
      </c>
      <c r="J147" s="59">
        <f t="shared" si="119"/>
        <v>88578.050000000061</v>
      </c>
      <c r="K147" s="59">
        <f t="shared" si="119"/>
        <v>97435.855000000069</v>
      </c>
      <c r="L147" s="59">
        <f t="shared" si="119"/>
        <v>107179.44050000008</v>
      </c>
    </row>
    <row r="148" spans="1:12" x14ac:dyDescent="0.3">
      <c r="A148" s="210" t="s">
        <v>242</v>
      </c>
      <c r="B148" s="1" t="s">
        <v>165</v>
      </c>
      <c r="D148" s="59">
        <f>D147*$C$8</f>
        <v>600000</v>
      </c>
      <c r="E148" s="59">
        <f t="shared" ref="E148" si="120">E147*$C$8</f>
        <v>660000.00000000012</v>
      </c>
      <c r="F148" s="59">
        <f t="shared" ref="F148" si="121">F147*$C$8</f>
        <v>726000.00000000023</v>
      </c>
      <c r="G148" s="59">
        <f t="shared" ref="G148" si="122">G147*$C$8</f>
        <v>798600.00000000023</v>
      </c>
      <c r="H148" s="59">
        <f t="shared" ref="H148" si="123">H147*$C$8</f>
        <v>878460.00000000035</v>
      </c>
      <c r="I148" s="59">
        <f t="shared" ref="I148" si="124">I147*$C$8</f>
        <v>966306.00000000047</v>
      </c>
      <c r="J148" s="59">
        <f t="shared" ref="J148" si="125">J147*$C$8</f>
        <v>1062936.6000000008</v>
      </c>
      <c r="K148" s="59">
        <f t="shared" ref="K148" si="126">K147*$C$8</f>
        <v>1169230.2600000007</v>
      </c>
      <c r="L148" s="59">
        <f t="shared" ref="L148" si="127">L147*$C$8</f>
        <v>1286153.286000001</v>
      </c>
    </row>
    <row r="149" spans="1:12" x14ac:dyDescent="0.3">
      <c r="A149" s="210" t="s">
        <v>241</v>
      </c>
      <c r="B149" s="1" t="s">
        <v>199</v>
      </c>
      <c r="D149" s="201">
        <v>1</v>
      </c>
      <c r="E149" s="59">
        <f>D149</f>
        <v>1</v>
      </c>
      <c r="F149" s="59">
        <f t="shared" ref="F149:L149" si="128">E149</f>
        <v>1</v>
      </c>
      <c r="G149" s="59">
        <f t="shared" si="128"/>
        <v>1</v>
      </c>
      <c r="H149" s="59">
        <f t="shared" si="128"/>
        <v>1</v>
      </c>
      <c r="I149" s="59">
        <f t="shared" si="128"/>
        <v>1</v>
      </c>
      <c r="J149" s="59">
        <f t="shared" si="128"/>
        <v>1</v>
      </c>
      <c r="K149" s="59">
        <f t="shared" si="128"/>
        <v>1</v>
      </c>
      <c r="L149" s="59">
        <f t="shared" si="128"/>
        <v>1</v>
      </c>
    </row>
    <row r="150" spans="1:12" s="218" customFormat="1" x14ac:dyDescent="0.3">
      <c r="A150" s="216" t="s">
        <v>243</v>
      </c>
      <c r="B150" s="204" t="s">
        <v>167</v>
      </c>
      <c r="C150" s="205">
        <v>0.1</v>
      </c>
      <c r="D150" s="217"/>
    </row>
    <row r="151" spans="1:12" x14ac:dyDescent="0.3">
      <c r="A151" s="210" t="s">
        <v>238</v>
      </c>
      <c r="D151" s="201">
        <v>5400000</v>
      </c>
      <c r="E151" s="59">
        <f>D151</f>
        <v>5400000</v>
      </c>
      <c r="F151" s="59">
        <f t="shared" ref="F151:L151" si="129">E151</f>
        <v>5400000</v>
      </c>
      <c r="G151" s="59">
        <f t="shared" si="129"/>
        <v>5400000</v>
      </c>
      <c r="H151" s="59">
        <f t="shared" si="129"/>
        <v>5400000</v>
      </c>
      <c r="I151" s="59">
        <f t="shared" si="129"/>
        <v>5400000</v>
      </c>
      <c r="J151" s="59">
        <f t="shared" si="129"/>
        <v>5400000</v>
      </c>
      <c r="K151" s="59">
        <f t="shared" si="129"/>
        <v>5400000</v>
      </c>
      <c r="L151" s="59">
        <f t="shared" si="129"/>
        <v>5400000</v>
      </c>
    </row>
    <row r="152" spans="1:12" x14ac:dyDescent="0.3">
      <c r="A152" s="219" t="s">
        <v>251</v>
      </c>
    </row>
    <row r="153" spans="1:12" x14ac:dyDescent="0.3">
      <c r="A153" s="210" t="s">
        <v>244</v>
      </c>
      <c r="B153" s="1" t="s">
        <v>165</v>
      </c>
      <c r="D153" s="201"/>
    </row>
    <row r="154" spans="1:12" x14ac:dyDescent="0.3">
      <c r="A154" s="210" t="s">
        <v>240</v>
      </c>
      <c r="B154" s="1" t="s">
        <v>165</v>
      </c>
      <c r="D154" s="201">
        <v>5000</v>
      </c>
      <c r="E154" s="59">
        <f>D154*(1+$C157)</f>
        <v>5500</v>
      </c>
      <c r="F154" s="59">
        <f t="shared" ref="F154" si="130">E154*(1+$C157)</f>
        <v>6050.0000000000009</v>
      </c>
      <c r="G154" s="59">
        <f t="shared" ref="G154" si="131">F154*(1+$C157)</f>
        <v>6655.0000000000018</v>
      </c>
      <c r="H154" s="59">
        <f t="shared" ref="H154" si="132">G154*(1+$C157)</f>
        <v>7320.5000000000027</v>
      </c>
      <c r="I154" s="59">
        <f t="shared" ref="I154" si="133">H154*(1+$C157)</f>
        <v>8052.5500000000038</v>
      </c>
      <c r="J154" s="59">
        <f t="shared" ref="J154" si="134">I154*(1+$C157)</f>
        <v>8857.8050000000057</v>
      </c>
      <c r="K154" s="59">
        <f t="shared" ref="K154" si="135">J154*(1+$C157)</f>
        <v>9743.5855000000065</v>
      </c>
      <c r="L154" s="59">
        <f t="shared" ref="L154" si="136">K154*(1+$C157)</f>
        <v>10717.944050000007</v>
      </c>
    </row>
    <row r="155" spans="1:12" x14ac:dyDescent="0.3">
      <c r="A155" s="210" t="s">
        <v>242</v>
      </c>
      <c r="B155" s="1" t="s">
        <v>165</v>
      </c>
      <c r="D155" s="59">
        <f>D154*$C$8</f>
        <v>60000</v>
      </c>
      <c r="E155" s="59">
        <f t="shared" ref="E155:L155" si="137">E154*$C$8</f>
        <v>66000</v>
      </c>
      <c r="F155" s="59">
        <f t="shared" si="137"/>
        <v>72600.000000000015</v>
      </c>
      <c r="G155" s="59">
        <f t="shared" si="137"/>
        <v>79860.000000000029</v>
      </c>
      <c r="H155" s="59">
        <f t="shared" si="137"/>
        <v>87846.000000000029</v>
      </c>
      <c r="I155" s="59">
        <f t="shared" si="137"/>
        <v>96630.600000000049</v>
      </c>
      <c r="J155" s="59">
        <f t="shared" si="137"/>
        <v>106293.66000000006</v>
      </c>
      <c r="K155" s="59">
        <f t="shared" si="137"/>
        <v>116923.02600000007</v>
      </c>
      <c r="L155" s="59">
        <f t="shared" si="137"/>
        <v>128615.3286000001</v>
      </c>
    </row>
    <row r="156" spans="1:12" x14ac:dyDescent="0.3">
      <c r="A156" s="210" t="s">
        <v>241</v>
      </c>
      <c r="B156" s="1" t="s">
        <v>199</v>
      </c>
      <c r="D156" s="201">
        <v>3</v>
      </c>
      <c r="E156" s="59">
        <f>D156</f>
        <v>3</v>
      </c>
      <c r="F156" s="59">
        <f t="shared" ref="F156" si="138">E156</f>
        <v>3</v>
      </c>
      <c r="G156" s="59">
        <f t="shared" ref="G156" si="139">F156</f>
        <v>3</v>
      </c>
      <c r="H156" s="59">
        <f t="shared" ref="H156" si="140">G156</f>
        <v>3</v>
      </c>
      <c r="I156" s="59">
        <f t="shared" ref="I156" si="141">H156</f>
        <v>3</v>
      </c>
      <c r="J156" s="59">
        <f t="shared" ref="J156" si="142">I156</f>
        <v>3</v>
      </c>
      <c r="K156" s="59">
        <f t="shared" ref="K156" si="143">J156</f>
        <v>3</v>
      </c>
      <c r="L156" s="59">
        <f t="shared" ref="L156" si="144">K156</f>
        <v>3</v>
      </c>
    </row>
    <row r="157" spans="1:12" s="218" customFormat="1" x14ac:dyDescent="0.3">
      <c r="A157" s="216" t="s">
        <v>243</v>
      </c>
      <c r="B157" s="204" t="s">
        <v>167</v>
      </c>
      <c r="C157" s="205">
        <v>0.1</v>
      </c>
      <c r="D157" s="217"/>
    </row>
    <row r="158" spans="1:12" x14ac:dyDescent="0.3">
      <c r="A158" s="210" t="s">
        <v>238</v>
      </c>
      <c r="D158" s="201">
        <v>600000</v>
      </c>
      <c r="E158" s="59">
        <f>D158</f>
        <v>600000</v>
      </c>
      <c r="F158" s="59">
        <f t="shared" ref="F158:L158" si="145">E158</f>
        <v>600000</v>
      </c>
      <c r="G158" s="59">
        <f t="shared" si="145"/>
        <v>600000</v>
      </c>
      <c r="H158" s="59">
        <f t="shared" si="145"/>
        <v>600000</v>
      </c>
      <c r="I158" s="59">
        <f t="shared" si="145"/>
        <v>600000</v>
      </c>
      <c r="J158" s="59">
        <f t="shared" si="145"/>
        <v>600000</v>
      </c>
      <c r="K158" s="59">
        <f t="shared" si="145"/>
        <v>600000</v>
      </c>
      <c r="L158" s="59">
        <f t="shared" si="145"/>
        <v>600000</v>
      </c>
    </row>
    <row r="159" spans="1:12" x14ac:dyDescent="0.3">
      <c r="A159" s="219" t="s">
        <v>250</v>
      </c>
    </row>
    <row r="160" spans="1:12" x14ac:dyDescent="0.3">
      <c r="A160" s="210" t="s">
        <v>244</v>
      </c>
      <c r="B160" s="1" t="s">
        <v>165</v>
      </c>
      <c r="D160" s="201"/>
    </row>
    <row r="161" spans="1:12" x14ac:dyDescent="0.3">
      <c r="A161" s="210" t="s">
        <v>240</v>
      </c>
      <c r="B161" s="1" t="s">
        <v>165</v>
      </c>
      <c r="D161" s="201">
        <v>15000</v>
      </c>
      <c r="E161" s="59">
        <f>D161*(1+$C164)</f>
        <v>16500</v>
      </c>
      <c r="F161" s="59">
        <f t="shared" ref="F161" si="146">E161*(1+$C164)</f>
        <v>18150</v>
      </c>
      <c r="G161" s="59">
        <f t="shared" ref="G161" si="147">F161*(1+$C164)</f>
        <v>19965</v>
      </c>
      <c r="H161" s="59">
        <f t="shared" ref="H161" si="148">G161*(1+$C164)</f>
        <v>21961.5</v>
      </c>
      <c r="I161" s="59">
        <f t="shared" ref="I161" si="149">H161*(1+$C164)</f>
        <v>24157.65</v>
      </c>
      <c r="J161" s="59">
        <f t="shared" ref="J161" si="150">I161*(1+$C164)</f>
        <v>26573.415000000005</v>
      </c>
      <c r="K161" s="59">
        <f t="shared" ref="K161" si="151">J161*(1+$C164)</f>
        <v>29230.756500000007</v>
      </c>
      <c r="L161" s="59">
        <f t="shared" ref="L161" si="152">K161*(1+$C164)</f>
        <v>32153.832150000009</v>
      </c>
    </row>
    <row r="162" spans="1:12" x14ac:dyDescent="0.3">
      <c r="A162" s="210" t="s">
        <v>242</v>
      </c>
      <c r="B162" s="1" t="s">
        <v>165</v>
      </c>
      <c r="D162" s="59">
        <f>D161*$C$8</f>
        <v>180000</v>
      </c>
      <c r="E162" s="59">
        <f t="shared" ref="E162:L162" si="153">E161*$C$8</f>
        <v>198000</v>
      </c>
      <c r="F162" s="59">
        <f t="shared" si="153"/>
        <v>217800</v>
      </c>
      <c r="G162" s="59">
        <f t="shared" si="153"/>
        <v>239580</v>
      </c>
      <c r="H162" s="59">
        <f t="shared" si="153"/>
        <v>263538</v>
      </c>
      <c r="I162" s="59">
        <f t="shared" si="153"/>
        <v>289891.80000000005</v>
      </c>
      <c r="J162" s="59">
        <f t="shared" si="153"/>
        <v>318880.98000000004</v>
      </c>
      <c r="K162" s="59">
        <f t="shared" si="153"/>
        <v>350769.0780000001</v>
      </c>
      <c r="L162" s="59">
        <f t="shared" si="153"/>
        <v>385845.98580000014</v>
      </c>
    </row>
    <row r="163" spans="1:12" x14ac:dyDescent="0.3">
      <c r="A163" s="210" t="s">
        <v>241</v>
      </c>
      <c r="B163" s="1" t="s">
        <v>199</v>
      </c>
      <c r="D163" s="201">
        <v>1</v>
      </c>
      <c r="E163" s="59">
        <f>D163</f>
        <v>1</v>
      </c>
      <c r="F163" s="59">
        <f t="shared" ref="F163" si="154">E163</f>
        <v>1</v>
      </c>
      <c r="G163" s="59">
        <f t="shared" ref="G163" si="155">F163</f>
        <v>1</v>
      </c>
      <c r="H163" s="59">
        <f t="shared" ref="H163" si="156">G163</f>
        <v>1</v>
      </c>
      <c r="I163" s="59">
        <f t="shared" ref="I163" si="157">H163</f>
        <v>1</v>
      </c>
      <c r="J163" s="59">
        <f t="shared" ref="J163" si="158">I163</f>
        <v>1</v>
      </c>
      <c r="K163" s="59">
        <f t="shared" ref="K163" si="159">J163</f>
        <v>1</v>
      </c>
      <c r="L163" s="59">
        <f t="shared" ref="L163" si="160">K163</f>
        <v>1</v>
      </c>
    </row>
    <row r="164" spans="1:12" s="218" customFormat="1" x14ac:dyDescent="0.3">
      <c r="A164" s="216" t="s">
        <v>243</v>
      </c>
      <c r="B164" s="204" t="s">
        <v>167</v>
      </c>
      <c r="C164" s="205">
        <v>0.1</v>
      </c>
      <c r="D164" s="217"/>
    </row>
    <row r="165" spans="1:12" x14ac:dyDescent="0.3">
      <c r="A165" s="210" t="s">
        <v>238</v>
      </c>
      <c r="D165" s="201">
        <v>300000</v>
      </c>
      <c r="E165" s="59">
        <f>D165</f>
        <v>300000</v>
      </c>
      <c r="F165" s="59">
        <f t="shared" ref="F165:L165" si="161">E165</f>
        <v>300000</v>
      </c>
      <c r="G165" s="59">
        <f t="shared" si="161"/>
        <v>300000</v>
      </c>
      <c r="H165" s="59">
        <f t="shared" si="161"/>
        <v>300000</v>
      </c>
      <c r="I165" s="59">
        <f t="shared" si="161"/>
        <v>300000</v>
      </c>
      <c r="J165" s="59">
        <f t="shared" si="161"/>
        <v>300000</v>
      </c>
      <c r="K165" s="59">
        <f t="shared" si="161"/>
        <v>300000</v>
      </c>
      <c r="L165" s="59">
        <f t="shared" si="161"/>
        <v>300000</v>
      </c>
    </row>
    <row r="166" spans="1:12" x14ac:dyDescent="0.3">
      <c r="A166" s="219" t="s">
        <v>247</v>
      </c>
    </row>
    <row r="167" spans="1:12" x14ac:dyDescent="0.3">
      <c r="A167" s="210" t="s">
        <v>244</v>
      </c>
      <c r="B167" s="1" t="s">
        <v>165</v>
      </c>
      <c r="D167" s="201"/>
    </row>
    <row r="168" spans="1:12" x14ac:dyDescent="0.3">
      <c r="A168" s="210" t="s">
        <v>240</v>
      </c>
      <c r="B168" s="1" t="s">
        <v>165</v>
      </c>
      <c r="D168" s="201">
        <v>4500</v>
      </c>
      <c r="E168" s="59">
        <f>D168*(1+$C171)</f>
        <v>4950</v>
      </c>
      <c r="F168" s="59">
        <f t="shared" ref="F168" si="162">E168*(1+$C171)</f>
        <v>5445</v>
      </c>
      <c r="G168" s="59">
        <f t="shared" ref="G168" si="163">F168*(1+$C171)</f>
        <v>5989.5000000000009</v>
      </c>
      <c r="H168" s="59">
        <f t="shared" ref="H168" si="164">G168*(1+$C171)</f>
        <v>6588.4500000000016</v>
      </c>
      <c r="I168" s="59">
        <f t="shared" ref="I168" si="165">H168*(1+$C171)</f>
        <v>7247.2950000000028</v>
      </c>
      <c r="J168" s="59">
        <f t="shared" ref="J168" si="166">I168*(1+$C171)</f>
        <v>7972.0245000000041</v>
      </c>
      <c r="K168" s="59">
        <f t="shared" ref="K168" si="167">J168*(1+$C171)</f>
        <v>8769.2269500000057</v>
      </c>
      <c r="L168" s="59">
        <f t="shared" ref="L168" si="168">K168*(1+$C171)</f>
        <v>9646.1496450000068</v>
      </c>
    </row>
    <row r="169" spans="1:12" x14ac:dyDescent="0.3">
      <c r="A169" s="210" t="s">
        <v>242</v>
      </c>
      <c r="B169" s="1" t="s">
        <v>165</v>
      </c>
      <c r="D169" s="59">
        <f>D168*$C$8</f>
        <v>54000</v>
      </c>
      <c r="E169" s="59">
        <f t="shared" ref="E169:L169" si="169">E168*$C$8</f>
        <v>59400</v>
      </c>
      <c r="F169" s="59">
        <f t="shared" si="169"/>
        <v>65340</v>
      </c>
      <c r="G169" s="59">
        <f t="shared" si="169"/>
        <v>71874.000000000015</v>
      </c>
      <c r="H169" s="59">
        <f t="shared" si="169"/>
        <v>79061.400000000023</v>
      </c>
      <c r="I169" s="59">
        <f t="shared" si="169"/>
        <v>86967.540000000037</v>
      </c>
      <c r="J169" s="59">
        <f t="shared" si="169"/>
        <v>95664.294000000053</v>
      </c>
      <c r="K169" s="59">
        <f t="shared" si="169"/>
        <v>105230.72340000008</v>
      </c>
      <c r="L169" s="59">
        <f t="shared" si="169"/>
        <v>115753.79574000009</v>
      </c>
    </row>
    <row r="170" spans="1:12" x14ac:dyDescent="0.3">
      <c r="A170" s="210" t="s">
        <v>241</v>
      </c>
      <c r="B170" s="1" t="s">
        <v>199</v>
      </c>
      <c r="D170" s="201">
        <v>4</v>
      </c>
      <c r="E170" s="59">
        <f>D170</f>
        <v>4</v>
      </c>
      <c r="F170" s="59">
        <f t="shared" ref="F170" si="170">E170</f>
        <v>4</v>
      </c>
      <c r="G170" s="59">
        <f t="shared" ref="G170" si="171">F170</f>
        <v>4</v>
      </c>
      <c r="H170" s="59">
        <f t="shared" ref="H170" si="172">G170</f>
        <v>4</v>
      </c>
      <c r="I170" s="59">
        <f t="shared" ref="I170" si="173">H170</f>
        <v>4</v>
      </c>
      <c r="J170" s="59">
        <f t="shared" ref="J170" si="174">I170</f>
        <v>4</v>
      </c>
      <c r="K170" s="59">
        <f t="shared" ref="K170" si="175">J170</f>
        <v>4</v>
      </c>
      <c r="L170" s="59">
        <f t="shared" ref="L170" si="176">K170</f>
        <v>4</v>
      </c>
    </row>
    <row r="171" spans="1:12" s="218" customFormat="1" x14ac:dyDescent="0.3">
      <c r="A171" s="216" t="s">
        <v>243</v>
      </c>
      <c r="B171" s="204" t="s">
        <v>167</v>
      </c>
      <c r="C171" s="205">
        <v>0.1</v>
      </c>
      <c r="D171" s="217"/>
    </row>
    <row r="172" spans="1:12" x14ac:dyDescent="0.3">
      <c r="A172" s="210" t="s">
        <v>238</v>
      </c>
      <c r="D172" s="201">
        <v>500000</v>
      </c>
      <c r="E172" s="59">
        <f>D172</f>
        <v>500000</v>
      </c>
      <c r="F172" s="59">
        <f t="shared" ref="F172:L172" si="177">E172</f>
        <v>500000</v>
      </c>
      <c r="G172" s="59">
        <f t="shared" si="177"/>
        <v>500000</v>
      </c>
      <c r="H172" s="59">
        <f t="shared" si="177"/>
        <v>500000</v>
      </c>
      <c r="I172" s="59">
        <f t="shared" si="177"/>
        <v>500000</v>
      </c>
      <c r="J172" s="59">
        <f t="shared" si="177"/>
        <v>500000</v>
      </c>
      <c r="K172" s="59">
        <f t="shared" si="177"/>
        <v>500000</v>
      </c>
      <c r="L172" s="59">
        <f t="shared" si="177"/>
        <v>500000</v>
      </c>
    </row>
    <row r="173" spans="1:12" x14ac:dyDescent="0.3">
      <c r="A173" s="219" t="s">
        <v>252</v>
      </c>
    </row>
    <row r="174" spans="1:12" x14ac:dyDescent="0.3">
      <c r="A174" s="210" t="s">
        <v>244</v>
      </c>
      <c r="B174" s="1" t="s">
        <v>165</v>
      </c>
      <c r="D174" s="201"/>
    </row>
    <row r="175" spans="1:12" x14ac:dyDescent="0.3">
      <c r="A175" s="210" t="s">
        <v>240</v>
      </c>
      <c r="B175" s="1" t="s">
        <v>165</v>
      </c>
      <c r="D175" s="201"/>
      <c r="E175" s="59">
        <f>D175*(1+$C178)</f>
        <v>0</v>
      </c>
      <c r="F175" s="59">
        <f t="shared" ref="F175" si="178">E175*(1+$C178)</f>
        <v>0</v>
      </c>
      <c r="G175" s="59">
        <f t="shared" ref="G175" si="179">F175*(1+$C178)</f>
        <v>0</v>
      </c>
      <c r="H175" s="59">
        <f t="shared" ref="H175" si="180">G175*(1+$C178)</f>
        <v>0</v>
      </c>
      <c r="I175" s="59">
        <f t="shared" ref="I175" si="181">H175*(1+$C178)</f>
        <v>0</v>
      </c>
      <c r="J175" s="59">
        <f t="shared" ref="J175" si="182">I175*(1+$C178)</f>
        <v>0</v>
      </c>
      <c r="K175" s="59">
        <f t="shared" ref="K175" si="183">J175*(1+$C178)</f>
        <v>0</v>
      </c>
      <c r="L175" s="59">
        <f t="shared" ref="L175" si="184">K175*(1+$C178)</f>
        <v>0</v>
      </c>
    </row>
    <row r="176" spans="1:12" x14ac:dyDescent="0.3">
      <c r="A176" s="210" t="s">
        <v>242</v>
      </c>
      <c r="B176" s="1" t="s">
        <v>165</v>
      </c>
      <c r="D176" s="201">
        <v>1500000</v>
      </c>
      <c r="E176" s="59">
        <f>D176*(1+$C178)</f>
        <v>1650000.0000000002</v>
      </c>
      <c r="F176" s="59">
        <f t="shared" ref="F176:L176" si="185">E176*(1+$C178)</f>
        <v>1815000.0000000005</v>
      </c>
      <c r="G176" s="59">
        <f t="shared" si="185"/>
        <v>1996500.0000000007</v>
      </c>
      <c r="H176" s="59">
        <f t="shared" si="185"/>
        <v>2196150.0000000009</v>
      </c>
      <c r="I176" s="59">
        <f t="shared" si="185"/>
        <v>2415765.0000000014</v>
      </c>
      <c r="J176" s="59">
        <f t="shared" si="185"/>
        <v>2657341.5000000019</v>
      </c>
      <c r="K176" s="59">
        <f t="shared" si="185"/>
        <v>2923075.6500000022</v>
      </c>
      <c r="L176" s="59">
        <f t="shared" si="185"/>
        <v>3215383.2150000026</v>
      </c>
    </row>
    <row r="177" spans="1:12" x14ac:dyDescent="0.3">
      <c r="A177" s="210" t="s">
        <v>241</v>
      </c>
      <c r="B177" s="1" t="s">
        <v>199</v>
      </c>
      <c r="D177" s="201">
        <v>1</v>
      </c>
      <c r="E177" s="59">
        <f>D177</f>
        <v>1</v>
      </c>
      <c r="F177" s="59">
        <f t="shared" ref="F177" si="186">E177</f>
        <v>1</v>
      </c>
      <c r="G177" s="59">
        <f t="shared" ref="G177" si="187">F177</f>
        <v>1</v>
      </c>
      <c r="H177" s="59">
        <f t="shared" ref="H177" si="188">G177</f>
        <v>1</v>
      </c>
      <c r="I177" s="59">
        <f t="shared" ref="I177" si="189">H177</f>
        <v>1</v>
      </c>
      <c r="J177" s="59">
        <f t="shared" ref="J177" si="190">I177</f>
        <v>1</v>
      </c>
      <c r="K177" s="59">
        <f t="shared" ref="K177" si="191">J177</f>
        <v>1</v>
      </c>
      <c r="L177" s="59">
        <f t="shared" ref="L177" si="192">K177</f>
        <v>1</v>
      </c>
    </row>
    <row r="178" spans="1:12" s="218" customFormat="1" x14ac:dyDescent="0.3">
      <c r="A178" s="216" t="s">
        <v>243</v>
      </c>
      <c r="B178" s="204" t="s">
        <v>167</v>
      </c>
      <c r="C178" s="205">
        <v>0.1</v>
      </c>
      <c r="D178" s="217"/>
    </row>
    <row r="179" spans="1:12" x14ac:dyDescent="0.3">
      <c r="A179" s="210" t="s">
        <v>238</v>
      </c>
      <c r="D179" s="201">
        <v>1500000</v>
      </c>
      <c r="E179" s="59">
        <f>D179</f>
        <v>1500000</v>
      </c>
      <c r="F179" s="59">
        <f t="shared" ref="F179:L179" si="193">E179</f>
        <v>1500000</v>
      </c>
      <c r="G179" s="59">
        <f t="shared" si="193"/>
        <v>1500000</v>
      </c>
      <c r="H179" s="59">
        <f t="shared" si="193"/>
        <v>1500000</v>
      </c>
      <c r="I179" s="59">
        <f t="shared" si="193"/>
        <v>1500000</v>
      </c>
      <c r="J179" s="59">
        <f t="shared" si="193"/>
        <v>1500000</v>
      </c>
      <c r="K179" s="59">
        <f t="shared" si="193"/>
        <v>1500000</v>
      </c>
      <c r="L179" s="59">
        <f t="shared" si="193"/>
        <v>1500000</v>
      </c>
    </row>
    <row r="180" spans="1:12" x14ac:dyDescent="0.3">
      <c r="A180" s="219" t="s">
        <v>253</v>
      </c>
    </row>
    <row r="181" spans="1:12" x14ac:dyDescent="0.3">
      <c r="A181" s="210" t="s">
        <v>244</v>
      </c>
      <c r="B181" s="1" t="s">
        <v>165</v>
      </c>
      <c r="D181" s="201"/>
    </row>
    <row r="182" spans="1:12" x14ac:dyDescent="0.3">
      <c r="A182" s="210" t="s">
        <v>240</v>
      </c>
      <c r="B182" s="1" t="s">
        <v>165</v>
      </c>
      <c r="D182" s="201">
        <v>50000</v>
      </c>
      <c r="E182" s="59">
        <f>D182*(1+$C185)</f>
        <v>55000.000000000007</v>
      </c>
      <c r="F182" s="59">
        <f t="shared" ref="F182" si="194">E182*(1+$C185)</f>
        <v>60500.000000000015</v>
      </c>
      <c r="G182" s="59">
        <f t="shared" ref="G182" si="195">F182*(1+$C185)</f>
        <v>66550.000000000015</v>
      </c>
      <c r="H182" s="59">
        <f t="shared" ref="H182" si="196">G182*(1+$C185)</f>
        <v>73205.000000000029</v>
      </c>
      <c r="I182" s="59">
        <f t="shared" ref="I182" si="197">H182*(1+$C185)</f>
        <v>80525.500000000044</v>
      </c>
      <c r="J182" s="59">
        <f t="shared" ref="J182" si="198">I182*(1+$C185)</f>
        <v>88578.050000000061</v>
      </c>
      <c r="K182" s="59">
        <f t="shared" ref="K182" si="199">J182*(1+$C185)</f>
        <v>97435.855000000069</v>
      </c>
      <c r="L182" s="59">
        <f t="shared" ref="L182" si="200">K182*(1+$C185)</f>
        <v>107179.44050000008</v>
      </c>
    </row>
    <row r="183" spans="1:12" x14ac:dyDescent="0.3">
      <c r="A183" s="210" t="s">
        <v>242</v>
      </c>
      <c r="B183" s="1" t="s">
        <v>165</v>
      </c>
      <c r="D183" s="59">
        <f>D182*$C$8</f>
        <v>600000</v>
      </c>
      <c r="E183" s="59">
        <f t="shared" ref="E183:L183" si="201">E182*$C$8</f>
        <v>660000.00000000012</v>
      </c>
      <c r="F183" s="59">
        <f t="shared" si="201"/>
        <v>726000.00000000023</v>
      </c>
      <c r="G183" s="59">
        <f t="shared" si="201"/>
        <v>798600.00000000023</v>
      </c>
      <c r="H183" s="59">
        <f t="shared" si="201"/>
        <v>878460.00000000035</v>
      </c>
      <c r="I183" s="59">
        <f t="shared" si="201"/>
        <v>966306.00000000047</v>
      </c>
      <c r="J183" s="59">
        <f t="shared" si="201"/>
        <v>1062936.6000000008</v>
      </c>
      <c r="K183" s="59">
        <f t="shared" si="201"/>
        <v>1169230.2600000007</v>
      </c>
      <c r="L183" s="59">
        <f t="shared" si="201"/>
        <v>1286153.286000001</v>
      </c>
    </row>
    <row r="184" spans="1:12" x14ac:dyDescent="0.3">
      <c r="A184" s="210" t="s">
        <v>241</v>
      </c>
      <c r="B184" s="1" t="s">
        <v>199</v>
      </c>
      <c r="D184" s="201">
        <v>4</v>
      </c>
      <c r="E184" s="59">
        <f>D184</f>
        <v>4</v>
      </c>
      <c r="F184" s="59">
        <f t="shared" ref="F184" si="202">E184</f>
        <v>4</v>
      </c>
      <c r="G184" s="59">
        <f t="shared" ref="G184" si="203">F184</f>
        <v>4</v>
      </c>
      <c r="H184" s="59">
        <f t="shared" ref="H184" si="204">G184</f>
        <v>4</v>
      </c>
      <c r="I184" s="59">
        <f t="shared" ref="I184" si="205">H184</f>
        <v>4</v>
      </c>
      <c r="J184" s="59">
        <f t="shared" ref="J184" si="206">I184</f>
        <v>4</v>
      </c>
      <c r="K184" s="59">
        <f t="shared" ref="K184" si="207">J184</f>
        <v>4</v>
      </c>
      <c r="L184" s="59">
        <f t="shared" ref="L184" si="208">K184</f>
        <v>4</v>
      </c>
    </row>
    <row r="185" spans="1:12" s="218" customFormat="1" x14ac:dyDescent="0.3">
      <c r="A185" s="216" t="s">
        <v>243</v>
      </c>
      <c r="B185" s="204" t="s">
        <v>167</v>
      </c>
      <c r="C185" s="205">
        <v>0.1</v>
      </c>
      <c r="D185" s="217"/>
    </row>
    <row r="186" spans="1:12" x14ac:dyDescent="0.3">
      <c r="A186" s="210" t="s">
        <v>238</v>
      </c>
      <c r="D186" s="201"/>
      <c r="E186" s="59">
        <f>D186</f>
        <v>0</v>
      </c>
      <c r="F186" s="59">
        <f t="shared" ref="F186:L186" si="209">E186</f>
        <v>0</v>
      </c>
      <c r="G186" s="59">
        <f t="shared" si="209"/>
        <v>0</v>
      </c>
      <c r="H186" s="59">
        <f t="shared" si="209"/>
        <v>0</v>
      </c>
      <c r="I186" s="59">
        <f t="shared" si="209"/>
        <v>0</v>
      </c>
      <c r="J186" s="59">
        <f t="shared" si="209"/>
        <v>0</v>
      </c>
      <c r="K186" s="59">
        <f t="shared" si="209"/>
        <v>0</v>
      </c>
      <c r="L186" s="59">
        <f t="shared" si="209"/>
        <v>0</v>
      </c>
    </row>
    <row r="187" spans="1:12" x14ac:dyDescent="0.3">
      <c r="A187" s="219" t="s">
        <v>254</v>
      </c>
    </row>
    <row r="188" spans="1:12" x14ac:dyDescent="0.3">
      <c r="A188" s="210" t="s">
        <v>244</v>
      </c>
      <c r="B188" s="1" t="s">
        <v>165</v>
      </c>
      <c r="D188" s="201"/>
    </row>
    <row r="189" spans="1:12" x14ac:dyDescent="0.3">
      <c r="A189" s="210" t="s">
        <v>240</v>
      </c>
      <c r="B189" s="1" t="s">
        <v>165</v>
      </c>
      <c r="D189" s="201">
        <v>25000</v>
      </c>
      <c r="E189" s="59">
        <f>D189*(1+$C192)</f>
        <v>27500.000000000004</v>
      </c>
      <c r="F189" s="59">
        <f t="shared" ref="F189" si="210">E189*(1+$C192)</f>
        <v>30250.000000000007</v>
      </c>
      <c r="G189" s="59">
        <f t="shared" ref="G189" si="211">F189*(1+$C192)</f>
        <v>33275.000000000007</v>
      </c>
      <c r="H189" s="59">
        <f t="shared" ref="H189" si="212">G189*(1+$C192)</f>
        <v>36602.500000000015</v>
      </c>
      <c r="I189" s="59">
        <f t="shared" ref="I189" si="213">H189*(1+$C192)</f>
        <v>40262.750000000022</v>
      </c>
      <c r="J189" s="59">
        <f t="shared" ref="J189" si="214">I189*(1+$C192)</f>
        <v>44289.025000000031</v>
      </c>
      <c r="K189" s="59">
        <f t="shared" ref="K189" si="215">J189*(1+$C192)</f>
        <v>48717.927500000034</v>
      </c>
      <c r="L189" s="59">
        <f t="shared" ref="L189" si="216">K189*(1+$C192)</f>
        <v>53589.720250000042</v>
      </c>
    </row>
    <row r="190" spans="1:12" x14ac:dyDescent="0.3">
      <c r="A190" s="210" t="s">
        <v>242</v>
      </c>
      <c r="B190" s="1" t="s">
        <v>165</v>
      </c>
      <c r="D190" s="59">
        <f>D189*$C$8</f>
        <v>300000</v>
      </c>
      <c r="E190" s="59">
        <f t="shared" ref="E190:L190" si="217">E189*$C$8</f>
        <v>330000.00000000006</v>
      </c>
      <c r="F190" s="59">
        <f t="shared" si="217"/>
        <v>363000.00000000012</v>
      </c>
      <c r="G190" s="59">
        <f t="shared" si="217"/>
        <v>399300.00000000012</v>
      </c>
      <c r="H190" s="59">
        <f t="shared" si="217"/>
        <v>439230.00000000017</v>
      </c>
      <c r="I190" s="59">
        <f t="shared" si="217"/>
        <v>483153.00000000023</v>
      </c>
      <c r="J190" s="59">
        <f t="shared" si="217"/>
        <v>531468.3000000004</v>
      </c>
      <c r="K190" s="59">
        <f t="shared" si="217"/>
        <v>584615.13000000035</v>
      </c>
      <c r="L190" s="59">
        <f t="shared" si="217"/>
        <v>643076.64300000051</v>
      </c>
    </row>
    <row r="191" spans="1:12" x14ac:dyDescent="0.3">
      <c r="A191" s="210" t="s">
        <v>241</v>
      </c>
      <c r="B191" s="1" t="s">
        <v>199</v>
      </c>
      <c r="D191" s="201">
        <v>1</v>
      </c>
      <c r="E191" s="59">
        <f>D191</f>
        <v>1</v>
      </c>
      <c r="F191" s="59">
        <f t="shared" ref="F191" si="218">E191</f>
        <v>1</v>
      </c>
      <c r="G191" s="59">
        <f t="shared" ref="G191" si="219">F191</f>
        <v>1</v>
      </c>
      <c r="H191" s="59">
        <f t="shared" ref="H191" si="220">G191</f>
        <v>1</v>
      </c>
      <c r="I191" s="59">
        <f t="shared" ref="I191" si="221">H191</f>
        <v>1</v>
      </c>
      <c r="J191" s="59">
        <f t="shared" ref="J191" si="222">I191</f>
        <v>1</v>
      </c>
      <c r="K191" s="59">
        <f t="shared" ref="K191" si="223">J191</f>
        <v>1</v>
      </c>
      <c r="L191" s="59">
        <f t="shared" ref="L191" si="224">K191</f>
        <v>1</v>
      </c>
    </row>
    <row r="192" spans="1:12" s="218" customFormat="1" x14ac:dyDescent="0.3">
      <c r="A192" s="216" t="s">
        <v>243</v>
      </c>
      <c r="B192" s="204" t="s">
        <v>167</v>
      </c>
      <c r="C192" s="205">
        <v>0.1</v>
      </c>
      <c r="D192" s="217"/>
    </row>
    <row r="193" spans="1:12" x14ac:dyDescent="0.3">
      <c r="A193" s="210" t="s">
        <v>238</v>
      </c>
      <c r="D193" s="201">
        <v>10800000</v>
      </c>
      <c r="E193" s="59">
        <f>D193</f>
        <v>10800000</v>
      </c>
      <c r="F193" s="59">
        <f t="shared" ref="F193:L193" si="225">E193</f>
        <v>10800000</v>
      </c>
      <c r="G193" s="59">
        <f t="shared" si="225"/>
        <v>10800000</v>
      </c>
      <c r="H193" s="59">
        <f t="shared" si="225"/>
        <v>10800000</v>
      </c>
      <c r="I193" s="59">
        <f t="shared" si="225"/>
        <v>10800000</v>
      </c>
      <c r="J193" s="59">
        <f t="shared" si="225"/>
        <v>10800000</v>
      </c>
      <c r="K193" s="59">
        <f t="shared" si="225"/>
        <v>10800000</v>
      </c>
      <c r="L193" s="59">
        <f t="shared" si="225"/>
        <v>10800000</v>
      </c>
    </row>
    <row r="194" spans="1:12" x14ac:dyDescent="0.3">
      <c r="A194" s="219" t="s">
        <v>255</v>
      </c>
    </row>
    <row r="195" spans="1:12" x14ac:dyDescent="0.3">
      <c r="A195" s="210" t="s">
        <v>244</v>
      </c>
      <c r="B195" s="1" t="s">
        <v>165</v>
      </c>
      <c r="D195" s="201"/>
    </row>
    <row r="196" spans="1:12" x14ac:dyDescent="0.3">
      <c r="A196" s="210" t="s">
        <v>240</v>
      </c>
      <c r="B196" s="1" t="s">
        <v>165</v>
      </c>
      <c r="D196" s="201">
        <v>25000</v>
      </c>
      <c r="E196" s="59">
        <f>D196*(1+$C199)</f>
        <v>27500.000000000004</v>
      </c>
      <c r="F196" s="59">
        <f t="shared" ref="F196" si="226">E196*(1+$C199)</f>
        <v>30250.000000000007</v>
      </c>
      <c r="G196" s="59">
        <f t="shared" ref="G196" si="227">F196*(1+$C199)</f>
        <v>33275.000000000007</v>
      </c>
      <c r="H196" s="59">
        <f t="shared" ref="H196" si="228">G196*(1+$C199)</f>
        <v>36602.500000000015</v>
      </c>
      <c r="I196" s="59">
        <f t="shared" ref="I196" si="229">H196*(1+$C199)</f>
        <v>40262.750000000022</v>
      </c>
      <c r="J196" s="59">
        <f t="shared" ref="J196" si="230">I196*(1+$C199)</f>
        <v>44289.025000000031</v>
      </c>
      <c r="K196" s="59">
        <f t="shared" ref="K196" si="231">J196*(1+$C199)</f>
        <v>48717.927500000034</v>
      </c>
      <c r="L196" s="59">
        <f t="shared" ref="L196" si="232">K196*(1+$C199)</f>
        <v>53589.720250000042</v>
      </c>
    </row>
    <row r="197" spans="1:12" x14ac:dyDescent="0.3">
      <c r="A197" s="210" t="s">
        <v>242</v>
      </c>
      <c r="B197" s="1" t="s">
        <v>165</v>
      </c>
      <c r="D197" s="59">
        <f>D196*$C$8</f>
        <v>300000</v>
      </c>
      <c r="E197" s="59">
        <f t="shared" ref="E197:L197" si="233">E196*$C$8</f>
        <v>330000.00000000006</v>
      </c>
      <c r="F197" s="59">
        <f t="shared" si="233"/>
        <v>363000.00000000012</v>
      </c>
      <c r="G197" s="59">
        <f t="shared" si="233"/>
        <v>399300.00000000012</v>
      </c>
      <c r="H197" s="59">
        <f t="shared" si="233"/>
        <v>439230.00000000017</v>
      </c>
      <c r="I197" s="59">
        <f t="shared" si="233"/>
        <v>483153.00000000023</v>
      </c>
      <c r="J197" s="59">
        <f t="shared" si="233"/>
        <v>531468.3000000004</v>
      </c>
      <c r="K197" s="59">
        <f t="shared" si="233"/>
        <v>584615.13000000035</v>
      </c>
      <c r="L197" s="59">
        <f t="shared" si="233"/>
        <v>643076.64300000051</v>
      </c>
    </row>
    <row r="198" spans="1:12" x14ac:dyDescent="0.3">
      <c r="A198" s="210" t="s">
        <v>241</v>
      </c>
      <c r="B198" s="1" t="s">
        <v>199</v>
      </c>
      <c r="D198" s="201">
        <v>1</v>
      </c>
      <c r="E198" s="59">
        <f>D198</f>
        <v>1</v>
      </c>
      <c r="F198" s="59">
        <f t="shared" ref="F198" si="234">E198</f>
        <v>1</v>
      </c>
      <c r="G198" s="59">
        <f t="shared" ref="G198" si="235">F198</f>
        <v>1</v>
      </c>
      <c r="H198" s="59">
        <f t="shared" ref="H198" si="236">G198</f>
        <v>1</v>
      </c>
      <c r="I198" s="59">
        <f t="shared" ref="I198" si="237">H198</f>
        <v>1</v>
      </c>
      <c r="J198" s="59">
        <f t="shared" ref="J198" si="238">I198</f>
        <v>1</v>
      </c>
      <c r="K198" s="59">
        <f t="shared" ref="K198" si="239">J198</f>
        <v>1</v>
      </c>
      <c r="L198" s="59">
        <f t="shared" ref="L198" si="240">K198</f>
        <v>1</v>
      </c>
    </row>
    <row r="199" spans="1:12" s="218" customFormat="1" x14ac:dyDescent="0.3">
      <c r="A199" s="216" t="s">
        <v>243</v>
      </c>
      <c r="B199" s="204" t="s">
        <v>167</v>
      </c>
      <c r="C199" s="205">
        <v>0.1</v>
      </c>
      <c r="D199" s="217"/>
    </row>
    <row r="200" spans="1:12" x14ac:dyDescent="0.3">
      <c r="A200" s="210" t="s">
        <v>238</v>
      </c>
      <c r="D200" s="201">
        <v>500000</v>
      </c>
      <c r="E200" s="59">
        <f>D200</f>
        <v>500000</v>
      </c>
      <c r="F200" s="59">
        <f t="shared" ref="F200:L200" si="241">E200</f>
        <v>500000</v>
      </c>
      <c r="G200" s="59">
        <f t="shared" si="241"/>
        <v>500000</v>
      </c>
      <c r="H200" s="59">
        <f t="shared" si="241"/>
        <v>500000</v>
      </c>
      <c r="I200" s="59">
        <f t="shared" si="241"/>
        <v>500000</v>
      </c>
      <c r="J200" s="59">
        <f t="shared" si="241"/>
        <v>500000</v>
      </c>
      <c r="K200" s="59">
        <f t="shared" si="241"/>
        <v>500000</v>
      </c>
      <c r="L200" s="59">
        <f t="shared" si="241"/>
        <v>500000</v>
      </c>
    </row>
    <row r="201" spans="1:12" x14ac:dyDescent="0.3">
      <c r="A201" s="219" t="s">
        <v>256</v>
      </c>
    </row>
    <row r="202" spans="1:12" x14ac:dyDescent="0.3">
      <c r="A202" s="210" t="s">
        <v>244</v>
      </c>
      <c r="B202" s="1" t="s">
        <v>165</v>
      </c>
      <c r="D202" s="201"/>
    </row>
    <row r="203" spans="1:12" x14ac:dyDescent="0.3">
      <c r="A203" s="210" t="s">
        <v>240</v>
      </c>
      <c r="B203" s="1" t="s">
        <v>165</v>
      </c>
      <c r="D203" s="201">
        <v>5000</v>
      </c>
      <c r="E203" s="59">
        <f>D203*(1+$C206)</f>
        <v>5500</v>
      </c>
      <c r="F203" s="59">
        <f t="shared" ref="F203" si="242">E203*(1+$C206)</f>
        <v>6050.0000000000009</v>
      </c>
      <c r="G203" s="59">
        <f t="shared" ref="G203" si="243">F203*(1+$C206)</f>
        <v>6655.0000000000018</v>
      </c>
      <c r="H203" s="59">
        <f t="shared" ref="H203" si="244">G203*(1+$C206)</f>
        <v>7320.5000000000027</v>
      </c>
      <c r="I203" s="59">
        <f t="shared" ref="I203" si="245">H203*(1+$C206)</f>
        <v>8052.5500000000038</v>
      </c>
      <c r="J203" s="59">
        <f t="shared" ref="J203" si="246">I203*(1+$C206)</f>
        <v>8857.8050000000057</v>
      </c>
      <c r="K203" s="59">
        <f t="shared" ref="K203" si="247">J203*(1+$C206)</f>
        <v>9743.5855000000065</v>
      </c>
      <c r="L203" s="59">
        <f t="shared" ref="L203" si="248">K203*(1+$C206)</f>
        <v>10717.944050000007</v>
      </c>
    </row>
    <row r="204" spans="1:12" x14ac:dyDescent="0.3">
      <c r="A204" s="210" t="s">
        <v>242</v>
      </c>
      <c r="B204" s="1" t="s">
        <v>165</v>
      </c>
      <c r="D204" s="59">
        <f>D203*$C$8</f>
        <v>60000</v>
      </c>
      <c r="E204" s="59">
        <f t="shared" ref="E204:L204" si="249">E203*$C$8</f>
        <v>66000</v>
      </c>
      <c r="F204" s="59">
        <f t="shared" si="249"/>
        <v>72600.000000000015</v>
      </c>
      <c r="G204" s="59">
        <f t="shared" si="249"/>
        <v>79860.000000000029</v>
      </c>
      <c r="H204" s="59">
        <f t="shared" si="249"/>
        <v>87846.000000000029</v>
      </c>
      <c r="I204" s="59">
        <f t="shared" si="249"/>
        <v>96630.600000000049</v>
      </c>
      <c r="J204" s="59">
        <f t="shared" si="249"/>
        <v>106293.66000000006</v>
      </c>
      <c r="K204" s="59">
        <f t="shared" si="249"/>
        <v>116923.02600000007</v>
      </c>
      <c r="L204" s="59">
        <f t="shared" si="249"/>
        <v>128615.3286000001</v>
      </c>
    </row>
    <row r="205" spans="1:12" x14ac:dyDescent="0.3">
      <c r="A205" s="210" t="s">
        <v>241</v>
      </c>
      <c r="B205" s="1" t="s">
        <v>199</v>
      </c>
      <c r="D205" s="201">
        <v>1</v>
      </c>
      <c r="E205" s="59">
        <f>D205</f>
        <v>1</v>
      </c>
      <c r="F205" s="59">
        <f t="shared" ref="F205" si="250">E205</f>
        <v>1</v>
      </c>
      <c r="G205" s="59">
        <f t="shared" ref="G205" si="251">F205</f>
        <v>1</v>
      </c>
      <c r="H205" s="59">
        <f t="shared" ref="H205" si="252">G205</f>
        <v>1</v>
      </c>
      <c r="I205" s="59">
        <f t="shared" ref="I205" si="253">H205</f>
        <v>1</v>
      </c>
      <c r="J205" s="59">
        <f t="shared" ref="J205" si="254">I205</f>
        <v>1</v>
      </c>
      <c r="K205" s="59">
        <f t="shared" ref="K205" si="255">J205</f>
        <v>1</v>
      </c>
      <c r="L205" s="59">
        <f t="shared" ref="L205" si="256">K205</f>
        <v>1</v>
      </c>
    </row>
    <row r="206" spans="1:12" s="218" customFormat="1" x14ac:dyDescent="0.3">
      <c r="A206" s="216" t="s">
        <v>243</v>
      </c>
      <c r="B206" s="204" t="s">
        <v>167</v>
      </c>
      <c r="C206" s="205">
        <v>0.1</v>
      </c>
      <c r="D206" s="217"/>
    </row>
    <row r="207" spans="1:12" x14ac:dyDescent="0.3">
      <c r="A207" s="210" t="s">
        <v>238</v>
      </c>
      <c r="D207" s="201"/>
      <c r="E207" s="59">
        <f>D207</f>
        <v>0</v>
      </c>
      <c r="F207" s="59">
        <f t="shared" ref="F207:L207" si="257">E207</f>
        <v>0</v>
      </c>
      <c r="G207" s="59">
        <f t="shared" si="257"/>
        <v>0</v>
      </c>
      <c r="H207" s="59">
        <f t="shared" si="257"/>
        <v>0</v>
      </c>
      <c r="I207" s="59">
        <f t="shared" si="257"/>
        <v>0</v>
      </c>
      <c r="J207" s="59">
        <f t="shared" si="257"/>
        <v>0</v>
      </c>
      <c r="K207" s="59">
        <f t="shared" si="257"/>
        <v>0</v>
      </c>
      <c r="L207" s="59">
        <f t="shared" si="257"/>
        <v>0</v>
      </c>
    </row>
    <row r="208" spans="1:12" x14ac:dyDescent="0.3">
      <c r="A208" s="219" t="s">
        <v>257</v>
      </c>
    </row>
    <row r="209" spans="1:12" x14ac:dyDescent="0.3">
      <c r="A209" s="210" t="s">
        <v>244</v>
      </c>
      <c r="B209" s="1" t="s">
        <v>165</v>
      </c>
      <c r="D209" s="201"/>
    </row>
    <row r="210" spans="1:12" x14ac:dyDescent="0.3">
      <c r="A210" s="210" t="s">
        <v>240</v>
      </c>
      <c r="B210" s="1" t="s">
        <v>165</v>
      </c>
      <c r="D210" s="201">
        <v>50000</v>
      </c>
      <c r="E210" s="59">
        <f>D210*(1+$C213)</f>
        <v>55000.000000000007</v>
      </c>
      <c r="F210" s="59">
        <f t="shared" ref="F210" si="258">E210*(1+$C213)</f>
        <v>60500.000000000015</v>
      </c>
      <c r="G210" s="59">
        <f t="shared" ref="G210" si="259">F210*(1+$C213)</f>
        <v>66550.000000000015</v>
      </c>
      <c r="H210" s="59">
        <f t="shared" ref="H210" si="260">G210*(1+$C213)</f>
        <v>73205.000000000029</v>
      </c>
      <c r="I210" s="59">
        <f t="shared" ref="I210" si="261">H210*(1+$C213)</f>
        <v>80525.500000000044</v>
      </c>
      <c r="J210" s="59">
        <f t="shared" ref="J210" si="262">I210*(1+$C213)</f>
        <v>88578.050000000061</v>
      </c>
      <c r="K210" s="59">
        <f t="shared" ref="K210" si="263">J210*(1+$C213)</f>
        <v>97435.855000000069</v>
      </c>
      <c r="L210" s="59">
        <f t="shared" ref="L210" si="264">K210*(1+$C213)</f>
        <v>107179.44050000008</v>
      </c>
    </row>
    <row r="211" spans="1:12" x14ac:dyDescent="0.3">
      <c r="A211" s="210" t="s">
        <v>242</v>
      </c>
      <c r="B211" s="1" t="s">
        <v>165</v>
      </c>
      <c r="D211" s="59">
        <f>D210*$C$8</f>
        <v>600000</v>
      </c>
      <c r="E211" s="59">
        <f t="shared" ref="E211:L211" si="265">E210*$C$8</f>
        <v>660000.00000000012</v>
      </c>
      <c r="F211" s="59">
        <f t="shared" si="265"/>
        <v>726000.00000000023</v>
      </c>
      <c r="G211" s="59">
        <f t="shared" si="265"/>
        <v>798600.00000000023</v>
      </c>
      <c r="H211" s="59">
        <f t="shared" si="265"/>
        <v>878460.00000000035</v>
      </c>
      <c r="I211" s="59">
        <f t="shared" si="265"/>
        <v>966306.00000000047</v>
      </c>
      <c r="J211" s="59">
        <f t="shared" si="265"/>
        <v>1062936.6000000008</v>
      </c>
      <c r="K211" s="59">
        <f t="shared" si="265"/>
        <v>1169230.2600000007</v>
      </c>
      <c r="L211" s="59">
        <f t="shared" si="265"/>
        <v>1286153.286000001</v>
      </c>
    </row>
    <row r="212" spans="1:12" x14ac:dyDescent="0.3">
      <c r="A212" s="210" t="s">
        <v>241</v>
      </c>
      <c r="B212" s="1" t="s">
        <v>199</v>
      </c>
      <c r="D212" s="201">
        <v>1</v>
      </c>
      <c r="E212" s="59">
        <f>D212</f>
        <v>1</v>
      </c>
      <c r="F212" s="59">
        <f t="shared" ref="F212" si="266">E212</f>
        <v>1</v>
      </c>
      <c r="G212" s="59">
        <f t="shared" ref="G212" si="267">F212</f>
        <v>1</v>
      </c>
      <c r="H212" s="59">
        <f t="shared" ref="H212" si="268">G212</f>
        <v>1</v>
      </c>
      <c r="I212" s="59">
        <f t="shared" ref="I212" si="269">H212</f>
        <v>1</v>
      </c>
      <c r="J212" s="59">
        <f t="shared" ref="J212" si="270">I212</f>
        <v>1</v>
      </c>
      <c r="K212" s="59">
        <f t="shared" ref="K212" si="271">J212</f>
        <v>1</v>
      </c>
      <c r="L212" s="59">
        <f t="shared" ref="L212" si="272">K212</f>
        <v>1</v>
      </c>
    </row>
    <row r="213" spans="1:12" s="218" customFormat="1" x14ac:dyDescent="0.3">
      <c r="A213" s="216" t="s">
        <v>243</v>
      </c>
      <c r="B213" s="204" t="s">
        <v>167</v>
      </c>
      <c r="C213" s="205">
        <v>0.1</v>
      </c>
      <c r="D213" s="217"/>
    </row>
    <row r="214" spans="1:12" x14ac:dyDescent="0.3">
      <c r="A214" s="210" t="s">
        <v>238</v>
      </c>
      <c r="D214" s="201">
        <v>10800000</v>
      </c>
      <c r="E214" s="59">
        <f>D214</f>
        <v>10800000</v>
      </c>
      <c r="F214" s="59">
        <f t="shared" ref="F214:L214" si="273">E214</f>
        <v>10800000</v>
      </c>
      <c r="G214" s="59">
        <f t="shared" si="273"/>
        <v>10800000</v>
      </c>
      <c r="H214" s="59">
        <f t="shared" si="273"/>
        <v>10800000</v>
      </c>
      <c r="I214" s="59">
        <f t="shared" si="273"/>
        <v>10800000</v>
      </c>
      <c r="J214" s="59">
        <f t="shared" si="273"/>
        <v>10800000</v>
      </c>
      <c r="K214" s="59">
        <f t="shared" si="273"/>
        <v>10800000</v>
      </c>
      <c r="L214" s="59">
        <f t="shared" si="273"/>
        <v>10800000</v>
      </c>
    </row>
    <row r="215" spans="1:12" x14ac:dyDescent="0.3">
      <c r="A215" s="210"/>
      <c r="D215" s="201"/>
    </row>
    <row r="216" spans="1:12" x14ac:dyDescent="0.3">
      <c r="A216" s="184" t="str">
        <f>$A$23</f>
        <v>Hospital 2 - Girik</v>
      </c>
      <c r="B216" s="183"/>
      <c r="C216" s="183"/>
    </row>
    <row r="217" spans="1:12" x14ac:dyDescent="0.3">
      <c r="A217" s="219" t="s">
        <v>216</v>
      </c>
    </row>
    <row r="218" spans="1:12" x14ac:dyDescent="0.3">
      <c r="A218" s="210" t="s">
        <v>244</v>
      </c>
      <c r="B218" s="1" t="s">
        <v>165</v>
      </c>
      <c r="D218" s="201">
        <v>100000</v>
      </c>
    </row>
    <row r="219" spans="1:12" x14ac:dyDescent="0.3">
      <c r="A219" s="210" t="s">
        <v>240</v>
      </c>
      <c r="B219" s="1" t="s">
        <v>165</v>
      </c>
      <c r="D219" s="201"/>
      <c r="E219" s="59">
        <f>D219*(1+$C222)</f>
        <v>0</v>
      </c>
      <c r="F219" s="59">
        <f t="shared" ref="F219" si="274">E219*(1+$C222)</f>
        <v>0</v>
      </c>
      <c r="G219" s="59">
        <f t="shared" ref="G219" si="275">F219*(1+$C222)</f>
        <v>0</v>
      </c>
      <c r="H219" s="59">
        <f t="shared" ref="H219" si="276">G219*(1+$C222)</f>
        <v>0</v>
      </c>
      <c r="I219" s="59">
        <f t="shared" ref="I219" si="277">H219*(1+$C222)</f>
        <v>0</v>
      </c>
      <c r="J219" s="59">
        <f t="shared" ref="J219" si="278">I219*(1+$C222)</f>
        <v>0</v>
      </c>
      <c r="K219" s="59">
        <f t="shared" ref="K219" si="279">J219*(1+$C222)</f>
        <v>0</v>
      </c>
      <c r="L219" s="59">
        <f t="shared" ref="L219" si="280">K219*(1+$C222)</f>
        <v>0</v>
      </c>
    </row>
    <row r="220" spans="1:12" x14ac:dyDescent="0.3">
      <c r="A220" s="210" t="s">
        <v>242</v>
      </c>
      <c r="B220" s="1" t="s">
        <v>165</v>
      </c>
      <c r="D220" s="59">
        <f>D219*$C$8</f>
        <v>0</v>
      </c>
      <c r="E220" s="59">
        <f t="shared" ref="E220:L220" si="281">E219*$C$8</f>
        <v>0</v>
      </c>
      <c r="F220" s="59">
        <f t="shared" si="281"/>
        <v>0</v>
      </c>
      <c r="G220" s="59">
        <f t="shared" si="281"/>
        <v>0</v>
      </c>
      <c r="H220" s="59">
        <f t="shared" si="281"/>
        <v>0</v>
      </c>
      <c r="I220" s="59">
        <f t="shared" si="281"/>
        <v>0</v>
      </c>
      <c r="J220" s="59">
        <f t="shared" si="281"/>
        <v>0</v>
      </c>
      <c r="K220" s="59">
        <f t="shared" si="281"/>
        <v>0</v>
      </c>
      <c r="L220" s="59">
        <f t="shared" si="281"/>
        <v>0</v>
      </c>
    </row>
    <row r="221" spans="1:12" x14ac:dyDescent="0.3">
      <c r="A221" s="210" t="s">
        <v>241</v>
      </c>
      <c r="B221" s="1" t="s">
        <v>199</v>
      </c>
      <c r="D221" s="201"/>
      <c r="E221" s="59">
        <f>D221</f>
        <v>0</v>
      </c>
      <c r="F221" s="59">
        <f t="shared" ref="F221" si="282">E221</f>
        <v>0</v>
      </c>
      <c r="G221" s="59">
        <f t="shared" ref="G221" si="283">F221</f>
        <v>0</v>
      </c>
      <c r="H221" s="59">
        <f t="shared" ref="H221" si="284">G221</f>
        <v>0</v>
      </c>
      <c r="I221" s="59">
        <f t="shared" ref="I221" si="285">H221</f>
        <v>0</v>
      </c>
      <c r="J221" s="59">
        <f t="shared" ref="J221" si="286">I221</f>
        <v>0</v>
      </c>
      <c r="K221" s="59">
        <f t="shared" ref="K221" si="287">J221</f>
        <v>0</v>
      </c>
      <c r="L221" s="59">
        <f t="shared" ref="L221" si="288">K221</f>
        <v>0</v>
      </c>
    </row>
    <row r="222" spans="1:12" s="218" customFormat="1" x14ac:dyDescent="0.3">
      <c r="A222" s="216" t="s">
        <v>153</v>
      </c>
      <c r="B222" s="204" t="s">
        <v>167</v>
      </c>
      <c r="C222" s="205">
        <v>0.1</v>
      </c>
      <c r="D222" s="217"/>
    </row>
    <row r="223" spans="1:12" x14ac:dyDescent="0.3">
      <c r="A223" s="210" t="s">
        <v>238</v>
      </c>
      <c r="B223" s="1" t="s">
        <v>165</v>
      </c>
      <c r="D223" s="201">
        <v>100000</v>
      </c>
    </row>
    <row r="224" spans="1:12" x14ac:dyDescent="0.3">
      <c r="A224" s="219" t="s">
        <v>219</v>
      </c>
    </row>
    <row r="225" spans="1:12" x14ac:dyDescent="0.3">
      <c r="A225" s="210" t="s">
        <v>244</v>
      </c>
      <c r="B225" s="1" t="s">
        <v>165</v>
      </c>
      <c r="D225" s="201"/>
    </row>
    <row r="226" spans="1:12" x14ac:dyDescent="0.3">
      <c r="A226" s="210" t="s">
        <v>240</v>
      </c>
      <c r="B226" s="1" t="s">
        <v>165</v>
      </c>
      <c r="D226" s="201">
        <v>50000</v>
      </c>
      <c r="E226" s="59">
        <f>D226*(1+$C229)</f>
        <v>55000.000000000007</v>
      </c>
      <c r="F226" s="59">
        <f t="shared" ref="F226" si="289">E226*(1+$C229)</f>
        <v>60500.000000000015</v>
      </c>
      <c r="G226" s="59">
        <f t="shared" ref="G226" si="290">F226*(1+$C229)</f>
        <v>66550.000000000015</v>
      </c>
      <c r="H226" s="59">
        <f t="shared" ref="H226" si="291">G226*(1+$C229)</f>
        <v>73205.000000000029</v>
      </c>
      <c r="I226" s="59">
        <f t="shared" ref="I226" si="292">H226*(1+$C229)</f>
        <v>80525.500000000044</v>
      </c>
      <c r="J226" s="59">
        <f t="shared" ref="J226" si="293">I226*(1+$C229)</f>
        <v>88578.050000000061</v>
      </c>
      <c r="K226" s="59">
        <f t="shared" ref="K226" si="294">J226*(1+$C229)</f>
        <v>97435.855000000069</v>
      </c>
      <c r="L226" s="59">
        <f t="shared" ref="L226" si="295">K226*(1+$C229)</f>
        <v>107179.44050000008</v>
      </c>
    </row>
    <row r="227" spans="1:12" x14ac:dyDescent="0.3">
      <c r="A227" s="210" t="s">
        <v>242</v>
      </c>
      <c r="B227" s="1" t="s">
        <v>165</v>
      </c>
      <c r="D227" s="59">
        <f>D226*$C$8</f>
        <v>600000</v>
      </c>
      <c r="E227" s="59">
        <f t="shared" ref="E227:L227" si="296">E226*$C$8</f>
        <v>660000.00000000012</v>
      </c>
      <c r="F227" s="59">
        <f t="shared" si="296"/>
        <v>726000.00000000023</v>
      </c>
      <c r="G227" s="59">
        <f t="shared" si="296"/>
        <v>798600.00000000023</v>
      </c>
      <c r="H227" s="59">
        <f t="shared" si="296"/>
        <v>878460.00000000035</v>
      </c>
      <c r="I227" s="59">
        <f t="shared" si="296"/>
        <v>966306.00000000047</v>
      </c>
      <c r="J227" s="59">
        <f t="shared" si="296"/>
        <v>1062936.6000000008</v>
      </c>
      <c r="K227" s="59">
        <f t="shared" si="296"/>
        <v>1169230.2600000007</v>
      </c>
      <c r="L227" s="59">
        <f t="shared" si="296"/>
        <v>1286153.286000001</v>
      </c>
    </row>
    <row r="228" spans="1:12" x14ac:dyDescent="0.3">
      <c r="A228" s="210" t="s">
        <v>241</v>
      </c>
      <c r="B228" s="1" t="s">
        <v>199</v>
      </c>
      <c r="D228" s="201">
        <v>1</v>
      </c>
      <c r="E228" s="59">
        <f>D228</f>
        <v>1</v>
      </c>
      <c r="F228" s="59">
        <f t="shared" ref="F228" si="297">E228</f>
        <v>1</v>
      </c>
      <c r="G228" s="59">
        <f t="shared" ref="G228" si="298">F228</f>
        <v>1</v>
      </c>
      <c r="H228" s="59">
        <f t="shared" ref="H228" si="299">G228</f>
        <v>1</v>
      </c>
      <c r="I228" s="59">
        <f t="shared" ref="I228" si="300">H228</f>
        <v>1</v>
      </c>
      <c r="J228" s="59">
        <f t="shared" ref="J228" si="301">I228</f>
        <v>1</v>
      </c>
      <c r="K228" s="59">
        <f t="shared" ref="K228" si="302">J228</f>
        <v>1</v>
      </c>
      <c r="L228" s="59">
        <f t="shared" ref="L228" si="303">K228</f>
        <v>1</v>
      </c>
    </row>
    <row r="229" spans="1:12" s="218" customFormat="1" x14ac:dyDescent="0.3">
      <c r="A229" s="216" t="s">
        <v>153</v>
      </c>
      <c r="B229" s="204" t="s">
        <v>167</v>
      </c>
      <c r="C229" s="205">
        <v>0.1</v>
      </c>
      <c r="D229" s="217"/>
    </row>
    <row r="230" spans="1:12" x14ac:dyDescent="0.3">
      <c r="A230" s="210" t="s">
        <v>238</v>
      </c>
      <c r="B230" s="1" t="s">
        <v>165</v>
      </c>
      <c r="D230" s="201"/>
    </row>
    <row r="231" spans="1:12" x14ac:dyDescent="0.3">
      <c r="A231" s="219" t="s">
        <v>246</v>
      </c>
    </row>
    <row r="232" spans="1:12" x14ac:dyDescent="0.3">
      <c r="A232" s="210" t="s">
        <v>244</v>
      </c>
      <c r="B232" s="1" t="s">
        <v>165</v>
      </c>
      <c r="D232" s="201"/>
    </row>
    <row r="233" spans="1:12" x14ac:dyDescent="0.3">
      <c r="A233" s="210" t="s">
        <v>240</v>
      </c>
      <c r="B233" s="1" t="s">
        <v>165</v>
      </c>
      <c r="D233" s="201"/>
      <c r="E233" s="59">
        <f>D233*(1+$C236)</f>
        <v>0</v>
      </c>
      <c r="F233" s="59">
        <f t="shared" ref="F233" si="304">E233*(1+$C236)</f>
        <v>0</v>
      </c>
      <c r="G233" s="59">
        <f t="shared" ref="G233" si="305">F233*(1+$C236)</f>
        <v>0</v>
      </c>
      <c r="H233" s="59">
        <f t="shared" ref="H233" si="306">G233*(1+$C236)</f>
        <v>0</v>
      </c>
      <c r="I233" s="59">
        <f t="shared" ref="I233" si="307">H233*(1+$C236)</f>
        <v>0</v>
      </c>
      <c r="J233" s="59">
        <f t="shared" ref="J233" si="308">I233*(1+$C236)</f>
        <v>0</v>
      </c>
      <c r="K233" s="59">
        <f t="shared" ref="K233" si="309">J233*(1+$C236)</f>
        <v>0</v>
      </c>
      <c r="L233" s="59">
        <f t="shared" ref="L233" si="310">K233*(1+$C236)</f>
        <v>0</v>
      </c>
    </row>
    <row r="234" spans="1:12" x14ac:dyDescent="0.3">
      <c r="A234" s="210" t="s">
        <v>242</v>
      </c>
      <c r="B234" s="1" t="s">
        <v>165</v>
      </c>
      <c r="D234" s="201">
        <v>2500000</v>
      </c>
      <c r="E234" s="59">
        <f>D234*(1+$C236)</f>
        <v>2750000</v>
      </c>
      <c r="F234" s="59">
        <f t="shared" ref="F234:L234" si="311">E234*(1+$C236)</f>
        <v>3025000.0000000005</v>
      </c>
      <c r="G234" s="59">
        <f t="shared" si="311"/>
        <v>3327500.0000000009</v>
      </c>
      <c r="H234" s="59">
        <f t="shared" si="311"/>
        <v>3660250.0000000014</v>
      </c>
      <c r="I234" s="59">
        <f t="shared" si="311"/>
        <v>4026275.0000000019</v>
      </c>
      <c r="J234" s="59">
        <f t="shared" si="311"/>
        <v>4428902.5000000028</v>
      </c>
      <c r="K234" s="59">
        <f t="shared" si="311"/>
        <v>4871792.7500000037</v>
      </c>
      <c r="L234" s="59">
        <f t="shared" si="311"/>
        <v>5358972.0250000041</v>
      </c>
    </row>
    <row r="235" spans="1:12" x14ac:dyDescent="0.3">
      <c r="A235" s="210" t="s">
        <v>241</v>
      </c>
      <c r="B235" s="1" t="s">
        <v>199</v>
      </c>
      <c r="D235" s="201">
        <v>1</v>
      </c>
      <c r="E235" s="59">
        <f>D235</f>
        <v>1</v>
      </c>
      <c r="F235" s="59">
        <f t="shared" ref="F235" si="312">E235</f>
        <v>1</v>
      </c>
      <c r="G235" s="59">
        <f t="shared" ref="G235" si="313">F235</f>
        <v>1</v>
      </c>
      <c r="H235" s="59">
        <f t="shared" ref="H235" si="314">G235</f>
        <v>1</v>
      </c>
      <c r="I235" s="59">
        <f t="shared" ref="I235" si="315">H235</f>
        <v>1</v>
      </c>
      <c r="J235" s="59">
        <f t="shared" ref="J235" si="316">I235</f>
        <v>1</v>
      </c>
      <c r="K235" s="59">
        <f t="shared" ref="K235" si="317">J235</f>
        <v>1</v>
      </c>
      <c r="L235" s="59">
        <f t="shared" ref="L235" si="318">K235</f>
        <v>1</v>
      </c>
    </row>
    <row r="236" spans="1:12" s="218" customFormat="1" x14ac:dyDescent="0.3">
      <c r="A236" s="216" t="s">
        <v>153</v>
      </c>
      <c r="B236" s="204" t="s">
        <v>167</v>
      </c>
      <c r="C236" s="205">
        <v>0.1</v>
      </c>
      <c r="D236" s="217"/>
    </row>
    <row r="237" spans="1:12" x14ac:dyDescent="0.3">
      <c r="A237" s="210" t="s">
        <v>238</v>
      </c>
      <c r="B237" s="1" t="s">
        <v>165</v>
      </c>
      <c r="D237" s="201"/>
    </row>
    <row r="238" spans="1:12" x14ac:dyDescent="0.3">
      <c r="A238" s="219" t="s">
        <v>231</v>
      </c>
    </row>
    <row r="239" spans="1:12" x14ac:dyDescent="0.3">
      <c r="A239" s="210" t="s">
        <v>244</v>
      </c>
      <c r="B239" s="1" t="s">
        <v>165</v>
      </c>
      <c r="D239" s="201"/>
    </row>
    <row r="240" spans="1:12" x14ac:dyDescent="0.3">
      <c r="A240" s="210" t="s">
        <v>240</v>
      </c>
      <c r="B240" s="1" t="s">
        <v>165</v>
      </c>
      <c r="D240" s="201"/>
      <c r="E240" s="59">
        <f>D240*(1+$C243)</f>
        <v>0</v>
      </c>
      <c r="F240" s="59">
        <f t="shared" ref="F240" si="319">E240*(1+$C243)</f>
        <v>0</v>
      </c>
      <c r="G240" s="59">
        <f t="shared" ref="G240" si="320">F240*(1+$C243)</f>
        <v>0</v>
      </c>
      <c r="H240" s="59">
        <f t="shared" ref="H240" si="321">G240*(1+$C243)</f>
        <v>0</v>
      </c>
      <c r="I240" s="59">
        <f t="shared" ref="I240" si="322">H240*(1+$C243)</f>
        <v>0</v>
      </c>
      <c r="J240" s="59">
        <f t="shared" ref="J240" si="323">I240*(1+$C243)</f>
        <v>0</v>
      </c>
      <c r="K240" s="59">
        <f t="shared" ref="K240" si="324">J240*(1+$C243)</f>
        <v>0</v>
      </c>
      <c r="L240" s="59">
        <f t="shared" ref="L240" si="325">K240*(1+$C243)</f>
        <v>0</v>
      </c>
    </row>
    <row r="241" spans="1:12" x14ac:dyDescent="0.3">
      <c r="A241" s="210" t="s">
        <v>242</v>
      </c>
      <c r="B241" s="1" t="s">
        <v>165</v>
      </c>
      <c r="D241" s="201">
        <v>1500000</v>
      </c>
      <c r="E241" s="59">
        <f>D241*(1+$C243)</f>
        <v>1650000.0000000002</v>
      </c>
      <c r="F241" s="59">
        <f t="shared" ref="F241:L241" si="326">E241*(1+$C243)</f>
        <v>1815000.0000000005</v>
      </c>
      <c r="G241" s="59">
        <f t="shared" si="326"/>
        <v>1996500.0000000007</v>
      </c>
      <c r="H241" s="59">
        <f t="shared" si="326"/>
        <v>2196150.0000000009</v>
      </c>
      <c r="I241" s="59">
        <f t="shared" si="326"/>
        <v>2415765.0000000014</v>
      </c>
      <c r="J241" s="59">
        <f t="shared" si="326"/>
        <v>2657341.5000000019</v>
      </c>
      <c r="K241" s="59">
        <f t="shared" si="326"/>
        <v>2923075.6500000022</v>
      </c>
      <c r="L241" s="59">
        <f t="shared" si="326"/>
        <v>3215383.2150000026</v>
      </c>
    </row>
    <row r="242" spans="1:12" x14ac:dyDescent="0.3">
      <c r="A242" s="210" t="s">
        <v>241</v>
      </c>
      <c r="B242" s="1" t="s">
        <v>199</v>
      </c>
      <c r="D242" s="201">
        <v>1</v>
      </c>
      <c r="E242" s="59">
        <f>D242</f>
        <v>1</v>
      </c>
      <c r="F242" s="59">
        <f t="shared" ref="F242" si="327">E242</f>
        <v>1</v>
      </c>
      <c r="G242" s="59">
        <f t="shared" ref="G242" si="328">F242</f>
        <v>1</v>
      </c>
      <c r="H242" s="59">
        <f t="shared" ref="H242" si="329">G242</f>
        <v>1</v>
      </c>
      <c r="I242" s="59">
        <f t="shared" ref="I242" si="330">H242</f>
        <v>1</v>
      </c>
      <c r="J242" s="59">
        <f t="shared" ref="J242" si="331">I242</f>
        <v>1</v>
      </c>
      <c r="K242" s="59">
        <f t="shared" ref="K242" si="332">J242</f>
        <v>1</v>
      </c>
      <c r="L242" s="59">
        <f t="shared" ref="L242" si="333">K242</f>
        <v>1</v>
      </c>
    </row>
    <row r="243" spans="1:12" s="218" customFormat="1" x14ac:dyDescent="0.3">
      <c r="A243" s="216" t="s">
        <v>153</v>
      </c>
      <c r="B243" s="204" t="s">
        <v>167</v>
      </c>
      <c r="C243" s="205">
        <v>0.1</v>
      </c>
      <c r="D243" s="217"/>
    </row>
    <row r="244" spans="1:12" x14ac:dyDescent="0.3">
      <c r="A244" s="210" t="s">
        <v>238</v>
      </c>
      <c r="B244" s="1" t="s">
        <v>165</v>
      </c>
      <c r="D244" s="201">
        <v>36000000</v>
      </c>
      <c r="E244" s="59">
        <f>D244</f>
        <v>36000000</v>
      </c>
      <c r="F244" s="59">
        <f t="shared" ref="F244:L244" si="334">E244</f>
        <v>36000000</v>
      </c>
      <c r="G244" s="59">
        <f t="shared" si="334"/>
        <v>36000000</v>
      </c>
      <c r="H244" s="59">
        <f t="shared" si="334"/>
        <v>36000000</v>
      </c>
      <c r="I244" s="59">
        <f t="shared" si="334"/>
        <v>36000000</v>
      </c>
      <c r="J244" s="59">
        <f t="shared" si="334"/>
        <v>36000000</v>
      </c>
      <c r="K244" s="59">
        <f t="shared" si="334"/>
        <v>36000000</v>
      </c>
      <c r="L244" s="59">
        <f t="shared" si="334"/>
        <v>36000000</v>
      </c>
    </row>
    <row r="245" spans="1:12" x14ac:dyDescent="0.3">
      <c r="A245" s="219" t="s">
        <v>232</v>
      </c>
    </row>
    <row r="246" spans="1:12" x14ac:dyDescent="0.3">
      <c r="A246" s="210" t="s">
        <v>244</v>
      </c>
      <c r="B246" s="1" t="s">
        <v>165</v>
      </c>
      <c r="D246" s="201"/>
    </row>
    <row r="247" spans="1:12" x14ac:dyDescent="0.3">
      <c r="A247" s="210" t="s">
        <v>240</v>
      </c>
      <c r="B247" s="1" t="s">
        <v>165</v>
      </c>
      <c r="D247" s="201">
        <v>50000</v>
      </c>
      <c r="E247" s="59">
        <f>D247*(1+$C250)</f>
        <v>55000.000000000007</v>
      </c>
      <c r="F247" s="59">
        <f t="shared" ref="F247" si="335">E247*(1+$C250)</f>
        <v>60500.000000000015</v>
      </c>
      <c r="G247" s="59">
        <f t="shared" ref="G247" si="336">F247*(1+$C250)</f>
        <v>66550.000000000015</v>
      </c>
      <c r="H247" s="59">
        <f t="shared" ref="H247" si="337">G247*(1+$C250)</f>
        <v>73205.000000000029</v>
      </c>
      <c r="I247" s="59">
        <f t="shared" ref="I247" si="338">H247*(1+$C250)</f>
        <v>80525.500000000044</v>
      </c>
      <c r="J247" s="59">
        <f t="shared" ref="J247" si="339">I247*(1+$C250)</f>
        <v>88578.050000000061</v>
      </c>
      <c r="K247" s="59">
        <f t="shared" ref="K247" si="340">J247*(1+$C250)</f>
        <v>97435.855000000069</v>
      </c>
      <c r="L247" s="59">
        <f t="shared" ref="L247" si="341">K247*(1+$C250)</f>
        <v>107179.44050000008</v>
      </c>
    </row>
    <row r="248" spans="1:12" x14ac:dyDescent="0.3">
      <c r="A248" s="210" t="s">
        <v>242</v>
      </c>
      <c r="B248" s="1" t="s">
        <v>165</v>
      </c>
      <c r="D248" s="59">
        <f>D247*$C$8</f>
        <v>600000</v>
      </c>
      <c r="E248" s="59">
        <f t="shared" ref="E248:L248" si="342">E247*$C$8</f>
        <v>660000.00000000012</v>
      </c>
      <c r="F248" s="59">
        <f t="shared" si="342"/>
        <v>726000.00000000023</v>
      </c>
      <c r="G248" s="59">
        <f t="shared" si="342"/>
        <v>798600.00000000023</v>
      </c>
      <c r="H248" s="59">
        <f t="shared" si="342"/>
        <v>878460.00000000035</v>
      </c>
      <c r="I248" s="59">
        <f t="shared" si="342"/>
        <v>966306.00000000047</v>
      </c>
      <c r="J248" s="59">
        <f t="shared" si="342"/>
        <v>1062936.6000000008</v>
      </c>
      <c r="K248" s="59">
        <f t="shared" si="342"/>
        <v>1169230.2600000007</v>
      </c>
      <c r="L248" s="59">
        <f t="shared" si="342"/>
        <v>1286153.286000001</v>
      </c>
    </row>
    <row r="249" spans="1:12" x14ac:dyDescent="0.3">
      <c r="A249" s="210" t="s">
        <v>241</v>
      </c>
      <c r="B249" s="1" t="s">
        <v>199</v>
      </c>
      <c r="D249" s="201">
        <v>1</v>
      </c>
      <c r="E249" s="59">
        <f>D249</f>
        <v>1</v>
      </c>
      <c r="F249" s="59">
        <f t="shared" ref="F249" si="343">E249</f>
        <v>1</v>
      </c>
      <c r="G249" s="59">
        <f t="shared" ref="G249" si="344">F249</f>
        <v>1</v>
      </c>
      <c r="H249" s="59">
        <f t="shared" ref="H249" si="345">G249</f>
        <v>1</v>
      </c>
      <c r="I249" s="59">
        <f t="shared" ref="I249" si="346">H249</f>
        <v>1</v>
      </c>
      <c r="J249" s="59">
        <f t="shared" ref="J249" si="347">I249</f>
        <v>1</v>
      </c>
      <c r="K249" s="59">
        <f t="shared" ref="K249" si="348">J249</f>
        <v>1</v>
      </c>
      <c r="L249" s="59">
        <f t="shared" ref="L249" si="349">K249</f>
        <v>1</v>
      </c>
    </row>
    <row r="250" spans="1:12" s="218" customFormat="1" x14ac:dyDescent="0.3">
      <c r="A250" s="216" t="s">
        <v>243</v>
      </c>
      <c r="B250" s="204" t="s">
        <v>167</v>
      </c>
      <c r="C250" s="205">
        <v>0.1</v>
      </c>
      <c r="D250" s="217"/>
    </row>
    <row r="251" spans="1:12" x14ac:dyDescent="0.3">
      <c r="A251" s="210" t="s">
        <v>238</v>
      </c>
      <c r="D251" s="201">
        <v>5400000</v>
      </c>
      <c r="E251" s="59">
        <f>D251</f>
        <v>5400000</v>
      </c>
      <c r="F251" s="59">
        <f t="shared" ref="F251:L251" si="350">E251</f>
        <v>5400000</v>
      </c>
      <c r="G251" s="59">
        <f t="shared" si="350"/>
        <v>5400000</v>
      </c>
      <c r="H251" s="59">
        <f t="shared" si="350"/>
        <v>5400000</v>
      </c>
      <c r="I251" s="59">
        <f t="shared" si="350"/>
        <v>5400000</v>
      </c>
      <c r="J251" s="59">
        <f t="shared" si="350"/>
        <v>5400000</v>
      </c>
      <c r="K251" s="59">
        <f t="shared" si="350"/>
        <v>5400000</v>
      </c>
      <c r="L251" s="59">
        <f t="shared" si="350"/>
        <v>5400000</v>
      </c>
    </row>
    <row r="252" spans="1:12" x14ac:dyDescent="0.3">
      <c r="A252" s="219" t="s">
        <v>251</v>
      </c>
    </row>
    <row r="253" spans="1:12" x14ac:dyDescent="0.3">
      <c r="A253" s="210" t="s">
        <v>244</v>
      </c>
      <c r="B253" s="1" t="s">
        <v>165</v>
      </c>
      <c r="D253" s="201"/>
    </row>
    <row r="254" spans="1:12" x14ac:dyDescent="0.3">
      <c r="A254" s="210" t="s">
        <v>240</v>
      </c>
      <c r="B254" s="1" t="s">
        <v>165</v>
      </c>
      <c r="D254" s="201">
        <v>5000</v>
      </c>
      <c r="E254" s="59">
        <f>D254*(1+$C257)</f>
        <v>5500</v>
      </c>
      <c r="F254" s="59">
        <f t="shared" ref="F254" si="351">E254*(1+$C257)</f>
        <v>6050.0000000000009</v>
      </c>
      <c r="G254" s="59">
        <f t="shared" ref="G254" si="352">F254*(1+$C257)</f>
        <v>6655.0000000000018</v>
      </c>
      <c r="H254" s="59">
        <f t="shared" ref="H254" si="353">G254*(1+$C257)</f>
        <v>7320.5000000000027</v>
      </c>
      <c r="I254" s="59">
        <f t="shared" ref="I254" si="354">H254*(1+$C257)</f>
        <v>8052.5500000000038</v>
      </c>
      <c r="J254" s="59">
        <f t="shared" ref="J254" si="355">I254*(1+$C257)</f>
        <v>8857.8050000000057</v>
      </c>
      <c r="K254" s="59">
        <f t="shared" ref="K254" si="356">J254*(1+$C257)</f>
        <v>9743.5855000000065</v>
      </c>
      <c r="L254" s="59">
        <f t="shared" ref="L254" si="357">K254*(1+$C257)</f>
        <v>10717.944050000007</v>
      </c>
    </row>
    <row r="255" spans="1:12" x14ac:dyDescent="0.3">
      <c r="A255" s="210" t="s">
        <v>242</v>
      </c>
      <c r="B255" s="1" t="s">
        <v>165</v>
      </c>
      <c r="D255" s="59">
        <f>D254*$C$8</f>
        <v>60000</v>
      </c>
      <c r="E255" s="59">
        <f t="shared" ref="E255:L255" si="358">E254*$C$8</f>
        <v>66000</v>
      </c>
      <c r="F255" s="59">
        <f t="shared" si="358"/>
        <v>72600.000000000015</v>
      </c>
      <c r="G255" s="59">
        <f t="shared" si="358"/>
        <v>79860.000000000029</v>
      </c>
      <c r="H255" s="59">
        <f t="shared" si="358"/>
        <v>87846.000000000029</v>
      </c>
      <c r="I255" s="59">
        <f t="shared" si="358"/>
        <v>96630.600000000049</v>
      </c>
      <c r="J255" s="59">
        <f t="shared" si="358"/>
        <v>106293.66000000006</v>
      </c>
      <c r="K255" s="59">
        <f t="shared" si="358"/>
        <v>116923.02600000007</v>
      </c>
      <c r="L255" s="59">
        <f t="shared" si="358"/>
        <v>128615.3286000001</v>
      </c>
    </row>
    <row r="256" spans="1:12" x14ac:dyDescent="0.3">
      <c r="A256" s="210" t="s">
        <v>241</v>
      </c>
      <c r="B256" s="1" t="s">
        <v>199</v>
      </c>
      <c r="D256" s="201">
        <v>3</v>
      </c>
      <c r="E256" s="59">
        <f>D256</f>
        <v>3</v>
      </c>
      <c r="F256" s="59">
        <f t="shared" ref="F256" si="359">E256</f>
        <v>3</v>
      </c>
      <c r="G256" s="59">
        <f t="shared" ref="G256" si="360">F256</f>
        <v>3</v>
      </c>
      <c r="H256" s="59">
        <f t="shared" ref="H256" si="361">G256</f>
        <v>3</v>
      </c>
      <c r="I256" s="59">
        <f t="shared" ref="I256" si="362">H256</f>
        <v>3</v>
      </c>
      <c r="J256" s="59">
        <f t="shared" ref="J256" si="363">I256</f>
        <v>3</v>
      </c>
      <c r="K256" s="59">
        <f t="shared" ref="K256" si="364">J256</f>
        <v>3</v>
      </c>
      <c r="L256" s="59">
        <f t="shared" ref="L256" si="365">K256</f>
        <v>3</v>
      </c>
    </row>
    <row r="257" spans="1:12" s="218" customFormat="1" x14ac:dyDescent="0.3">
      <c r="A257" s="216" t="s">
        <v>243</v>
      </c>
      <c r="B257" s="204" t="s">
        <v>167</v>
      </c>
      <c r="C257" s="205">
        <v>0.1</v>
      </c>
      <c r="D257" s="217"/>
    </row>
    <row r="258" spans="1:12" x14ac:dyDescent="0.3">
      <c r="A258" s="210" t="s">
        <v>238</v>
      </c>
      <c r="D258" s="201">
        <v>600000</v>
      </c>
      <c r="E258" s="59">
        <f>D258</f>
        <v>600000</v>
      </c>
      <c r="F258" s="59">
        <f t="shared" ref="F258:L258" si="366">E258</f>
        <v>600000</v>
      </c>
      <c r="G258" s="59">
        <f t="shared" si="366"/>
        <v>600000</v>
      </c>
      <c r="H258" s="59">
        <f t="shared" si="366"/>
        <v>600000</v>
      </c>
      <c r="I258" s="59">
        <f t="shared" si="366"/>
        <v>600000</v>
      </c>
      <c r="J258" s="59">
        <f t="shared" si="366"/>
        <v>600000</v>
      </c>
      <c r="K258" s="59">
        <f t="shared" si="366"/>
        <v>600000</v>
      </c>
      <c r="L258" s="59">
        <f t="shared" si="366"/>
        <v>600000</v>
      </c>
    </row>
    <row r="259" spans="1:12" x14ac:dyDescent="0.3">
      <c r="A259" s="219" t="s">
        <v>250</v>
      </c>
    </row>
    <row r="260" spans="1:12" x14ac:dyDescent="0.3">
      <c r="A260" s="210" t="s">
        <v>244</v>
      </c>
      <c r="B260" s="1" t="s">
        <v>165</v>
      </c>
      <c r="D260" s="201"/>
    </row>
    <row r="261" spans="1:12" x14ac:dyDescent="0.3">
      <c r="A261" s="210" t="s">
        <v>240</v>
      </c>
      <c r="B261" s="1" t="s">
        <v>165</v>
      </c>
      <c r="D261" s="201">
        <v>15000</v>
      </c>
      <c r="E261" s="59">
        <f>D261*(1+$C264)</f>
        <v>16500</v>
      </c>
      <c r="F261" s="59">
        <f t="shared" ref="F261" si="367">E261*(1+$C264)</f>
        <v>18150</v>
      </c>
      <c r="G261" s="59">
        <f t="shared" ref="G261" si="368">F261*(1+$C264)</f>
        <v>19965</v>
      </c>
      <c r="H261" s="59">
        <f t="shared" ref="H261" si="369">G261*(1+$C264)</f>
        <v>21961.5</v>
      </c>
      <c r="I261" s="59">
        <f t="shared" ref="I261" si="370">H261*(1+$C264)</f>
        <v>24157.65</v>
      </c>
      <c r="J261" s="59">
        <f t="shared" ref="J261" si="371">I261*(1+$C264)</f>
        <v>26573.415000000005</v>
      </c>
      <c r="K261" s="59">
        <f t="shared" ref="K261" si="372">J261*(1+$C264)</f>
        <v>29230.756500000007</v>
      </c>
      <c r="L261" s="59">
        <f t="shared" ref="L261" si="373">K261*(1+$C264)</f>
        <v>32153.832150000009</v>
      </c>
    </row>
    <row r="262" spans="1:12" x14ac:dyDescent="0.3">
      <c r="A262" s="210" t="s">
        <v>242</v>
      </c>
      <c r="B262" s="1" t="s">
        <v>165</v>
      </c>
      <c r="D262" s="59">
        <f>D261*$C$8</f>
        <v>180000</v>
      </c>
      <c r="E262" s="59">
        <f t="shared" ref="E262:L262" si="374">E261*$C$8</f>
        <v>198000</v>
      </c>
      <c r="F262" s="59">
        <f t="shared" si="374"/>
        <v>217800</v>
      </c>
      <c r="G262" s="59">
        <f t="shared" si="374"/>
        <v>239580</v>
      </c>
      <c r="H262" s="59">
        <f t="shared" si="374"/>
        <v>263538</v>
      </c>
      <c r="I262" s="59">
        <f t="shared" si="374"/>
        <v>289891.80000000005</v>
      </c>
      <c r="J262" s="59">
        <f t="shared" si="374"/>
        <v>318880.98000000004</v>
      </c>
      <c r="K262" s="59">
        <f t="shared" si="374"/>
        <v>350769.0780000001</v>
      </c>
      <c r="L262" s="59">
        <f t="shared" si="374"/>
        <v>385845.98580000014</v>
      </c>
    </row>
    <row r="263" spans="1:12" x14ac:dyDescent="0.3">
      <c r="A263" s="210" t="s">
        <v>241</v>
      </c>
      <c r="B263" s="1" t="s">
        <v>199</v>
      </c>
      <c r="D263" s="201">
        <v>1</v>
      </c>
      <c r="E263" s="59">
        <f>D263</f>
        <v>1</v>
      </c>
      <c r="F263" s="59">
        <f t="shared" ref="F263" si="375">E263</f>
        <v>1</v>
      </c>
      <c r="G263" s="59">
        <f t="shared" ref="G263" si="376">F263</f>
        <v>1</v>
      </c>
      <c r="H263" s="59">
        <f t="shared" ref="H263" si="377">G263</f>
        <v>1</v>
      </c>
      <c r="I263" s="59">
        <f t="shared" ref="I263" si="378">H263</f>
        <v>1</v>
      </c>
      <c r="J263" s="59">
        <f t="shared" ref="J263" si="379">I263</f>
        <v>1</v>
      </c>
      <c r="K263" s="59">
        <f t="shared" ref="K263" si="380">J263</f>
        <v>1</v>
      </c>
      <c r="L263" s="59">
        <f t="shared" ref="L263" si="381">K263</f>
        <v>1</v>
      </c>
    </row>
    <row r="264" spans="1:12" s="218" customFormat="1" x14ac:dyDescent="0.3">
      <c r="A264" s="216" t="s">
        <v>243</v>
      </c>
      <c r="B264" s="204" t="s">
        <v>167</v>
      </c>
      <c r="C264" s="205">
        <v>0.1</v>
      </c>
      <c r="D264" s="217"/>
    </row>
    <row r="265" spans="1:12" x14ac:dyDescent="0.3">
      <c r="A265" s="210" t="s">
        <v>238</v>
      </c>
      <c r="D265" s="201">
        <v>300000</v>
      </c>
      <c r="E265" s="59">
        <f>D265</f>
        <v>300000</v>
      </c>
      <c r="F265" s="59">
        <f t="shared" ref="F265:L265" si="382">E265</f>
        <v>300000</v>
      </c>
      <c r="G265" s="59">
        <f t="shared" si="382"/>
        <v>300000</v>
      </c>
      <c r="H265" s="59">
        <f t="shared" si="382"/>
        <v>300000</v>
      </c>
      <c r="I265" s="59">
        <f t="shared" si="382"/>
        <v>300000</v>
      </c>
      <c r="J265" s="59">
        <f t="shared" si="382"/>
        <v>300000</v>
      </c>
      <c r="K265" s="59">
        <f t="shared" si="382"/>
        <v>300000</v>
      </c>
      <c r="L265" s="59">
        <f t="shared" si="382"/>
        <v>300000</v>
      </c>
    </row>
    <row r="266" spans="1:12" x14ac:dyDescent="0.3">
      <c r="A266" s="219" t="s">
        <v>247</v>
      </c>
    </row>
    <row r="267" spans="1:12" x14ac:dyDescent="0.3">
      <c r="A267" s="210" t="s">
        <v>244</v>
      </c>
      <c r="B267" s="1" t="s">
        <v>165</v>
      </c>
      <c r="D267" s="201"/>
    </row>
    <row r="268" spans="1:12" x14ac:dyDescent="0.3">
      <c r="A268" s="210" t="s">
        <v>240</v>
      </c>
      <c r="B268" s="1" t="s">
        <v>165</v>
      </c>
      <c r="D268" s="201">
        <v>4500</v>
      </c>
      <c r="E268" s="59">
        <f>D268*(1+$C271)</f>
        <v>4950</v>
      </c>
      <c r="F268" s="59">
        <f t="shared" ref="F268" si="383">E268*(1+$C271)</f>
        <v>5445</v>
      </c>
      <c r="G268" s="59">
        <f t="shared" ref="G268" si="384">F268*(1+$C271)</f>
        <v>5989.5000000000009</v>
      </c>
      <c r="H268" s="59">
        <f t="shared" ref="H268" si="385">G268*(1+$C271)</f>
        <v>6588.4500000000016</v>
      </c>
      <c r="I268" s="59">
        <f t="shared" ref="I268" si="386">H268*(1+$C271)</f>
        <v>7247.2950000000028</v>
      </c>
      <c r="J268" s="59">
        <f t="shared" ref="J268" si="387">I268*(1+$C271)</f>
        <v>7972.0245000000041</v>
      </c>
      <c r="K268" s="59">
        <f t="shared" ref="K268" si="388">J268*(1+$C271)</f>
        <v>8769.2269500000057</v>
      </c>
      <c r="L268" s="59">
        <f t="shared" ref="L268" si="389">K268*(1+$C271)</f>
        <v>9646.1496450000068</v>
      </c>
    </row>
    <row r="269" spans="1:12" x14ac:dyDescent="0.3">
      <c r="A269" s="210" t="s">
        <v>242</v>
      </c>
      <c r="B269" s="1" t="s">
        <v>165</v>
      </c>
      <c r="D269" s="59">
        <f>D268*$C$8</f>
        <v>54000</v>
      </c>
      <c r="E269" s="59">
        <f t="shared" ref="E269:L269" si="390">E268*$C$8</f>
        <v>59400</v>
      </c>
      <c r="F269" s="59">
        <f t="shared" si="390"/>
        <v>65340</v>
      </c>
      <c r="G269" s="59">
        <f t="shared" si="390"/>
        <v>71874.000000000015</v>
      </c>
      <c r="H269" s="59">
        <f t="shared" si="390"/>
        <v>79061.400000000023</v>
      </c>
      <c r="I269" s="59">
        <f t="shared" si="390"/>
        <v>86967.540000000037</v>
      </c>
      <c r="J269" s="59">
        <f t="shared" si="390"/>
        <v>95664.294000000053</v>
      </c>
      <c r="K269" s="59">
        <f t="shared" si="390"/>
        <v>105230.72340000008</v>
      </c>
      <c r="L269" s="59">
        <f t="shared" si="390"/>
        <v>115753.79574000009</v>
      </c>
    </row>
    <row r="270" spans="1:12" x14ac:dyDescent="0.3">
      <c r="A270" s="210" t="s">
        <v>241</v>
      </c>
      <c r="B270" s="1" t="s">
        <v>199</v>
      </c>
      <c r="D270" s="201">
        <v>4</v>
      </c>
      <c r="E270" s="59">
        <f>D270</f>
        <v>4</v>
      </c>
      <c r="F270" s="59">
        <f t="shared" ref="F270" si="391">E270</f>
        <v>4</v>
      </c>
      <c r="G270" s="59">
        <f t="shared" ref="G270" si="392">F270</f>
        <v>4</v>
      </c>
      <c r="H270" s="59">
        <f t="shared" ref="H270" si="393">G270</f>
        <v>4</v>
      </c>
      <c r="I270" s="59">
        <f t="shared" ref="I270" si="394">H270</f>
        <v>4</v>
      </c>
      <c r="J270" s="59">
        <f t="shared" ref="J270" si="395">I270</f>
        <v>4</v>
      </c>
      <c r="K270" s="59">
        <f t="shared" ref="K270" si="396">J270</f>
        <v>4</v>
      </c>
      <c r="L270" s="59">
        <f t="shared" ref="L270" si="397">K270</f>
        <v>4</v>
      </c>
    </row>
    <row r="271" spans="1:12" s="218" customFormat="1" x14ac:dyDescent="0.3">
      <c r="A271" s="216" t="s">
        <v>243</v>
      </c>
      <c r="B271" s="204" t="s">
        <v>167</v>
      </c>
      <c r="C271" s="205">
        <v>0.1</v>
      </c>
      <c r="D271" s="217"/>
    </row>
    <row r="272" spans="1:12" x14ac:dyDescent="0.3">
      <c r="A272" s="210" t="s">
        <v>238</v>
      </c>
      <c r="D272" s="201">
        <v>500000</v>
      </c>
      <c r="E272" s="59">
        <f>D272</f>
        <v>500000</v>
      </c>
      <c r="F272" s="59">
        <f t="shared" ref="F272:L272" si="398">E272</f>
        <v>500000</v>
      </c>
      <c r="G272" s="59">
        <f t="shared" si="398"/>
        <v>500000</v>
      </c>
      <c r="H272" s="59">
        <f t="shared" si="398"/>
        <v>500000</v>
      </c>
      <c r="I272" s="59">
        <f t="shared" si="398"/>
        <v>500000</v>
      </c>
      <c r="J272" s="59">
        <f t="shared" si="398"/>
        <v>500000</v>
      </c>
      <c r="K272" s="59">
        <f t="shared" si="398"/>
        <v>500000</v>
      </c>
      <c r="L272" s="59">
        <f t="shared" si="398"/>
        <v>500000</v>
      </c>
    </row>
    <row r="273" spans="1:12" x14ac:dyDescent="0.3">
      <c r="A273" s="219" t="s">
        <v>252</v>
      </c>
    </row>
    <row r="274" spans="1:12" x14ac:dyDescent="0.3">
      <c r="A274" s="210" t="s">
        <v>244</v>
      </c>
      <c r="B274" s="1" t="s">
        <v>165</v>
      </c>
      <c r="D274" s="201"/>
    </row>
    <row r="275" spans="1:12" x14ac:dyDescent="0.3">
      <c r="A275" s="210" t="s">
        <v>240</v>
      </c>
      <c r="B275" s="1" t="s">
        <v>165</v>
      </c>
      <c r="D275" s="201"/>
      <c r="E275" s="59">
        <f>D275*(1+$C278)</f>
        <v>0</v>
      </c>
      <c r="F275" s="59">
        <f t="shared" ref="F275" si="399">E275*(1+$C278)</f>
        <v>0</v>
      </c>
      <c r="G275" s="59">
        <f t="shared" ref="G275" si="400">F275*(1+$C278)</f>
        <v>0</v>
      </c>
      <c r="H275" s="59">
        <f t="shared" ref="H275" si="401">G275*(1+$C278)</f>
        <v>0</v>
      </c>
      <c r="I275" s="59">
        <f t="shared" ref="I275" si="402">H275*(1+$C278)</f>
        <v>0</v>
      </c>
      <c r="J275" s="59">
        <f t="shared" ref="J275" si="403">I275*(1+$C278)</f>
        <v>0</v>
      </c>
      <c r="K275" s="59">
        <f t="shared" ref="K275" si="404">J275*(1+$C278)</f>
        <v>0</v>
      </c>
      <c r="L275" s="59">
        <f t="shared" ref="L275" si="405">K275*(1+$C278)</f>
        <v>0</v>
      </c>
    </row>
    <row r="276" spans="1:12" x14ac:dyDescent="0.3">
      <c r="A276" s="210" t="s">
        <v>242</v>
      </c>
      <c r="B276" s="1" t="s">
        <v>165</v>
      </c>
      <c r="D276" s="201">
        <v>1500000</v>
      </c>
      <c r="E276" s="59">
        <f>D276*(1+$C278)</f>
        <v>1650000.0000000002</v>
      </c>
      <c r="F276" s="59">
        <f t="shared" ref="F276:L276" si="406">E276*(1+$C278)</f>
        <v>1815000.0000000005</v>
      </c>
      <c r="G276" s="59">
        <f t="shared" si="406"/>
        <v>1996500.0000000007</v>
      </c>
      <c r="H276" s="59">
        <f t="shared" si="406"/>
        <v>2196150.0000000009</v>
      </c>
      <c r="I276" s="59">
        <f t="shared" si="406"/>
        <v>2415765.0000000014</v>
      </c>
      <c r="J276" s="59">
        <f t="shared" si="406"/>
        <v>2657341.5000000019</v>
      </c>
      <c r="K276" s="59">
        <f t="shared" si="406"/>
        <v>2923075.6500000022</v>
      </c>
      <c r="L276" s="59">
        <f t="shared" si="406"/>
        <v>3215383.2150000026</v>
      </c>
    </row>
    <row r="277" spans="1:12" x14ac:dyDescent="0.3">
      <c r="A277" s="210" t="s">
        <v>241</v>
      </c>
      <c r="B277" s="1" t="s">
        <v>199</v>
      </c>
      <c r="D277" s="201">
        <v>1</v>
      </c>
      <c r="E277" s="59">
        <f>D277</f>
        <v>1</v>
      </c>
      <c r="F277" s="59">
        <f t="shared" ref="F277" si="407">E277</f>
        <v>1</v>
      </c>
      <c r="G277" s="59">
        <f t="shared" ref="G277" si="408">F277</f>
        <v>1</v>
      </c>
      <c r="H277" s="59">
        <f t="shared" ref="H277" si="409">G277</f>
        <v>1</v>
      </c>
      <c r="I277" s="59">
        <f t="shared" ref="I277" si="410">H277</f>
        <v>1</v>
      </c>
      <c r="J277" s="59">
        <f t="shared" ref="J277" si="411">I277</f>
        <v>1</v>
      </c>
      <c r="K277" s="59">
        <f t="shared" ref="K277" si="412">J277</f>
        <v>1</v>
      </c>
      <c r="L277" s="59">
        <f t="shared" ref="L277" si="413">K277</f>
        <v>1</v>
      </c>
    </row>
    <row r="278" spans="1:12" s="218" customFormat="1" x14ac:dyDescent="0.3">
      <c r="A278" s="216" t="s">
        <v>243</v>
      </c>
      <c r="B278" s="204" t="s">
        <v>167</v>
      </c>
      <c r="C278" s="205">
        <v>0.1</v>
      </c>
      <c r="D278" s="217"/>
    </row>
    <row r="279" spans="1:12" x14ac:dyDescent="0.3">
      <c r="A279" s="210" t="s">
        <v>238</v>
      </c>
      <c r="D279" s="201">
        <v>1500000</v>
      </c>
      <c r="E279" s="59">
        <f>D279</f>
        <v>1500000</v>
      </c>
      <c r="F279" s="59">
        <f t="shared" ref="F279:L279" si="414">E279</f>
        <v>1500000</v>
      </c>
      <c r="G279" s="59">
        <f t="shared" si="414"/>
        <v>1500000</v>
      </c>
      <c r="H279" s="59">
        <f t="shared" si="414"/>
        <v>1500000</v>
      </c>
      <c r="I279" s="59">
        <f t="shared" si="414"/>
        <v>1500000</v>
      </c>
      <c r="J279" s="59">
        <f t="shared" si="414"/>
        <v>1500000</v>
      </c>
      <c r="K279" s="59">
        <f t="shared" si="414"/>
        <v>1500000</v>
      </c>
      <c r="L279" s="59">
        <f t="shared" si="414"/>
        <v>1500000</v>
      </c>
    </row>
    <row r="280" spans="1:12" x14ac:dyDescent="0.3">
      <c r="A280" s="219" t="s">
        <v>253</v>
      </c>
    </row>
    <row r="281" spans="1:12" x14ac:dyDescent="0.3">
      <c r="A281" s="210" t="s">
        <v>244</v>
      </c>
      <c r="B281" s="1" t="s">
        <v>165</v>
      </c>
      <c r="D281" s="201"/>
    </row>
    <row r="282" spans="1:12" x14ac:dyDescent="0.3">
      <c r="A282" s="210" t="s">
        <v>240</v>
      </c>
      <c r="B282" s="1" t="s">
        <v>165</v>
      </c>
      <c r="D282" s="201">
        <v>50000</v>
      </c>
      <c r="E282" s="59">
        <f>D282*(1+$C285)</f>
        <v>55000.000000000007</v>
      </c>
      <c r="F282" s="59">
        <f t="shared" ref="F282" si="415">E282*(1+$C285)</f>
        <v>60500.000000000015</v>
      </c>
      <c r="G282" s="59">
        <f t="shared" ref="G282" si="416">F282*(1+$C285)</f>
        <v>66550.000000000015</v>
      </c>
      <c r="H282" s="59">
        <f t="shared" ref="H282" si="417">G282*(1+$C285)</f>
        <v>73205.000000000029</v>
      </c>
      <c r="I282" s="59">
        <f t="shared" ref="I282" si="418">H282*(1+$C285)</f>
        <v>80525.500000000044</v>
      </c>
      <c r="J282" s="59">
        <f t="shared" ref="J282" si="419">I282*(1+$C285)</f>
        <v>88578.050000000061</v>
      </c>
      <c r="K282" s="59">
        <f t="shared" ref="K282" si="420">J282*(1+$C285)</f>
        <v>97435.855000000069</v>
      </c>
      <c r="L282" s="59">
        <f t="shared" ref="L282" si="421">K282*(1+$C285)</f>
        <v>107179.44050000008</v>
      </c>
    </row>
    <row r="283" spans="1:12" x14ac:dyDescent="0.3">
      <c r="A283" s="210" t="s">
        <v>242</v>
      </c>
      <c r="B283" s="1" t="s">
        <v>165</v>
      </c>
      <c r="D283" s="59">
        <f>D282*$C$8</f>
        <v>600000</v>
      </c>
      <c r="E283" s="59">
        <f t="shared" ref="E283:L283" si="422">E282*$C$8</f>
        <v>660000.00000000012</v>
      </c>
      <c r="F283" s="59">
        <f t="shared" si="422"/>
        <v>726000.00000000023</v>
      </c>
      <c r="G283" s="59">
        <f t="shared" si="422"/>
        <v>798600.00000000023</v>
      </c>
      <c r="H283" s="59">
        <f t="shared" si="422"/>
        <v>878460.00000000035</v>
      </c>
      <c r="I283" s="59">
        <f t="shared" si="422"/>
        <v>966306.00000000047</v>
      </c>
      <c r="J283" s="59">
        <f t="shared" si="422"/>
        <v>1062936.6000000008</v>
      </c>
      <c r="K283" s="59">
        <f t="shared" si="422"/>
        <v>1169230.2600000007</v>
      </c>
      <c r="L283" s="59">
        <f t="shared" si="422"/>
        <v>1286153.286000001</v>
      </c>
    </row>
    <row r="284" spans="1:12" x14ac:dyDescent="0.3">
      <c r="A284" s="210" t="s">
        <v>241</v>
      </c>
      <c r="B284" s="1" t="s">
        <v>199</v>
      </c>
      <c r="D284" s="201">
        <v>4</v>
      </c>
      <c r="E284" s="59">
        <f>D284</f>
        <v>4</v>
      </c>
      <c r="F284" s="59">
        <f t="shared" ref="F284" si="423">E284</f>
        <v>4</v>
      </c>
      <c r="G284" s="59">
        <f t="shared" ref="G284" si="424">F284</f>
        <v>4</v>
      </c>
      <c r="H284" s="59">
        <f t="shared" ref="H284" si="425">G284</f>
        <v>4</v>
      </c>
      <c r="I284" s="59">
        <f t="shared" ref="I284" si="426">H284</f>
        <v>4</v>
      </c>
      <c r="J284" s="59">
        <f t="shared" ref="J284" si="427">I284</f>
        <v>4</v>
      </c>
      <c r="K284" s="59">
        <f t="shared" ref="K284" si="428">J284</f>
        <v>4</v>
      </c>
      <c r="L284" s="59">
        <f t="shared" ref="L284" si="429">K284</f>
        <v>4</v>
      </c>
    </row>
    <row r="285" spans="1:12" s="218" customFormat="1" x14ac:dyDescent="0.3">
      <c r="A285" s="216" t="s">
        <v>243</v>
      </c>
      <c r="B285" s="204" t="s">
        <v>167</v>
      </c>
      <c r="C285" s="205">
        <v>0.1</v>
      </c>
      <c r="D285" s="217"/>
    </row>
    <row r="286" spans="1:12" x14ac:dyDescent="0.3">
      <c r="A286" s="210" t="s">
        <v>238</v>
      </c>
      <c r="D286" s="201"/>
      <c r="E286" s="59">
        <f>D286</f>
        <v>0</v>
      </c>
      <c r="F286" s="59">
        <f t="shared" ref="F286:L286" si="430">E286</f>
        <v>0</v>
      </c>
      <c r="G286" s="59">
        <f t="shared" si="430"/>
        <v>0</v>
      </c>
      <c r="H286" s="59">
        <f t="shared" si="430"/>
        <v>0</v>
      </c>
      <c r="I286" s="59">
        <f t="shared" si="430"/>
        <v>0</v>
      </c>
      <c r="J286" s="59">
        <f t="shared" si="430"/>
        <v>0</v>
      </c>
      <c r="K286" s="59">
        <f t="shared" si="430"/>
        <v>0</v>
      </c>
      <c r="L286" s="59">
        <f t="shared" si="430"/>
        <v>0</v>
      </c>
    </row>
    <row r="287" spans="1:12" x14ac:dyDescent="0.3">
      <c r="A287" s="219" t="s">
        <v>254</v>
      </c>
    </row>
    <row r="288" spans="1:12" x14ac:dyDescent="0.3">
      <c r="A288" s="210" t="s">
        <v>244</v>
      </c>
      <c r="B288" s="1" t="s">
        <v>165</v>
      </c>
      <c r="D288" s="201"/>
    </row>
    <row r="289" spans="1:12" x14ac:dyDescent="0.3">
      <c r="A289" s="210" t="s">
        <v>240</v>
      </c>
      <c r="B289" s="1" t="s">
        <v>165</v>
      </c>
      <c r="D289" s="201">
        <v>25000</v>
      </c>
      <c r="E289" s="59">
        <f>D289*(1+$C292)</f>
        <v>27500.000000000004</v>
      </c>
      <c r="F289" s="59">
        <f t="shared" ref="F289" si="431">E289*(1+$C292)</f>
        <v>30250.000000000007</v>
      </c>
      <c r="G289" s="59">
        <f t="shared" ref="G289" si="432">F289*(1+$C292)</f>
        <v>33275.000000000007</v>
      </c>
      <c r="H289" s="59">
        <f t="shared" ref="H289" si="433">G289*(1+$C292)</f>
        <v>36602.500000000015</v>
      </c>
      <c r="I289" s="59">
        <f t="shared" ref="I289" si="434">H289*(1+$C292)</f>
        <v>40262.750000000022</v>
      </c>
      <c r="J289" s="59">
        <f t="shared" ref="J289" si="435">I289*(1+$C292)</f>
        <v>44289.025000000031</v>
      </c>
      <c r="K289" s="59">
        <f t="shared" ref="K289" si="436">J289*(1+$C292)</f>
        <v>48717.927500000034</v>
      </c>
      <c r="L289" s="59">
        <f t="shared" ref="L289" si="437">K289*(1+$C292)</f>
        <v>53589.720250000042</v>
      </c>
    </row>
    <row r="290" spans="1:12" x14ac:dyDescent="0.3">
      <c r="A290" s="210" t="s">
        <v>242</v>
      </c>
      <c r="B290" s="1" t="s">
        <v>165</v>
      </c>
      <c r="D290" s="59">
        <f>D289*$C$8</f>
        <v>300000</v>
      </c>
      <c r="E290" s="59">
        <f t="shared" ref="E290:L290" si="438">E289*$C$8</f>
        <v>330000.00000000006</v>
      </c>
      <c r="F290" s="59">
        <f t="shared" si="438"/>
        <v>363000.00000000012</v>
      </c>
      <c r="G290" s="59">
        <f t="shared" si="438"/>
        <v>399300.00000000012</v>
      </c>
      <c r="H290" s="59">
        <f t="shared" si="438"/>
        <v>439230.00000000017</v>
      </c>
      <c r="I290" s="59">
        <f t="shared" si="438"/>
        <v>483153.00000000023</v>
      </c>
      <c r="J290" s="59">
        <f t="shared" si="438"/>
        <v>531468.3000000004</v>
      </c>
      <c r="K290" s="59">
        <f t="shared" si="438"/>
        <v>584615.13000000035</v>
      </c>
      <c r="L290" s="59">
        <f t="shared" si="438"/>
        <v>643076.64300000051</v>
      </c>
    </row>
    <row r="291" spans="1:12" x14ac:dyDescent="0.3">
      <c r="A291" s="210" t="s">
        <v>241</v>
      </c>
      <c r="B291" s="1" t="s">
        <v>199</v>
      </c>
      <c r="D291" s="201">
        <v>1</v>
      </c>
      <c r="E291" s="59">
        <f>D291</f>
        <v>1</v>
      </c>
      <c r="F291" s="59">
        <f t="shared" ref="F291" si="439">E291</f>
        <v>1</v>
      </c>
      <c r="G291" s="59">
        <f t="shared" ref="G291" si="440">F291</f>
        <v>1</v>
      </c>
      <c r="H291" s="59">
        <f t="shared" ref="H291" si="441">G291</f>
        <v>1</v>
      </c>
      <c r="I291" s="59">
        <f t="shared" ref="I291" si="442">H291</f>
        <v>1</v>
      </c>
      <c r="J291" s="59">
        <f t="shared" ref="J291" si="443">I291</f>
        <v>1</v>
      </c>
      <c r="K291" s="59">
        <f t="shared" ref="K291" si="444">J291</f>
        <v>1</v>
      </c>
      <c r="L291" s="59">
        <f t="shared" ref="L291" si="445">K291</f>
        <v>1</v>
      </c>
    </row>
    <row r="292" spans="1:12" s="218" customFormat="1" x14ac:dyDescent="0.3">
      <c r="A292" s="216" t="s">
        <v>243</v>
      </c>
      <c r="B292" s="204" t="s">
        <v>167</v>
      </c>
      <c r="C292" s="205">
        <v>0.1</v>
      </c>
      <c r="D292" s="217"/>
    </row>
    <row r="293" spans="1:12" x14ac:dyDescent="0.3">
      <c r="A293" s="210" t="s">
        <v>238</v>
      </c>
      <c r="D293" s="201">
        <v>10800000</v>
      </c>
      <c r="E293" s="59">
        <f>D293</f>
        <v>10800000</v>
      </c>
      <c r="F293" s="59">
        <f t="shared" ref="F293:L293" si="446">E293</f>
        <v>10800000</v>
      </c>
      <c r="G293" s="59">
        <f t="shared" si="446"/>
        <v>10800000</v>
      </c>
      <c r="H293" s="59">
        <f t="shared" si="446"/>
        <v>10800000</v>
      </c>
      <c r="I293" s="59">
        <f t="shared" si="446"/>
        <v>10800000</v>
      </c>
      <c r="J293" s="59">
        <f t="shared" si="446"/>
        <v>10800000</v>
      </c>
      <c r="K293" s="59">
        <f t="shared" si="446"/>
        <v>10800000</v>
      </c>
      <c r="L293" s="59">
        <f t="shared" si="446"/>
        <v>10800000</v>
      </c>
    </row>
    <row r="294" spans="1:12" x14ac:dyDescent="0.3">
      <c r="A294" s="219" t="s">
        <v>255</v>
      </c>
    </row>
    <row r="295" spans="1:12" x14ac:dyDescent="0.3">
      <c r="A295" s="210" t="s">
        <v>244</v>
      </c>
      <c r="B295" s="1" t="s">
        <v>165</v>
      </c>
      <c r="D295" s="201"/>
    </row>
    <row r="296" spans="1:12" x14ac:dyDescent="0.3">
      <c r="A296" s="210" t="s">
        <v>240</v>
      </c>
      <c r="B296" s="1" t="s">
        <v>165</v>
      </c>
      <c r="D296" s="201">
        <v>25000</v>
      </c>
      <c r="E296" s="59">
        <f>D296*(1+$C299)</f>
        <v>27500.000000000004</v>
      </c>
      <c r="F296" s="59">
        <f t="shared" ref="F296" si="447">E296*(1+$C299)</f>
        <v>30250.000000000007</v>
      </c>
      <c r="G296" s="59">
        <f t="shared" ref="G296" si="448">F296*(1+$C299)</f>
        <v>33275.000000000007</v>
      </c>
      <c r="H296" s="59">
        <f t="shared" ref="H296" si="449">G296*(1+$C299)</f>
        <v>36602.500000000015</v>
      </c>
      <c r="I296" s="59">
        <f t="shared" ref="I296" si="450">H296*(1+$C299)</f>
        <v>40262.750000000022</v>
      </c>
      <c r="J296" s="59">
        <f t="shared" ref="J296" si="451">I296*(1+$C299)</f>
        <v>44289.025000000031</v>
      </c>
      <c r="K296" s="59">
        <f t="shared" ref="K296" si="452">J296*(1+$C299)</f>
        <v>48717.927500000034</v>
      </c>
      <c r="L296" s="59">
        <f t="shared" ref="L296" si="453">K296*(1+$C299)</f>
        <v>53589.720250000042</v>
      </c>
    </row>
    <row r="297" spans="1:12" x14ac:dyDescent="0.3">
      <c r="A297" s="210" t="s">
        <v>242</v>
      </c>
      <c r="B297" s="1" t="s">
        <v>165</v>
      </c>
      <c r="D297" s="59">
        <f>D296*$C$8</f>
        <v>300000</v>
      </c>
      <c r="E297" s="59">
        <f t="shared" ref="E297:L297" si="454">E296*$C$8</f>
        <v>330000.00000000006</v>
      </c>
      <c r="F297" s="59">
        <f t="shared" si="454"/>
        <v>363000.00000000012</v>
      </c>
      <c r="G297" s="59">
        <f t="shared" si="454"/>
        <v>399300.00000000012</v>
      </c>
      <c r="H297" s="59">
        <f t="shared" si="454"/>
        <v>439230.00000000017</v>
      </c>
      <c r="I297" s="59">
        <f t="shared" si="454"/>
        <v>483153.00000000023</v>
      </c>
      <c r="J297" s="59">
        <f t="shared" si="454"/>
        <v>531468.3000000004</v>
      </c>
      <c r="K297" s="59">
        <f t="shared" si="454"/>
        <v>584615.13000000035</v>
      </c>
      <c r="L297" s="59">
        <f t="shared" si="454"/>
        <v>643076.64300000051</v>
      </c>
    </row>
    <row r="298" spans="1:12" x14ac:dyDescent="0.3">
      <c r="A298" s="210" t="s">
        <v>241</v>
      </c>
      <c r="B298" s="1" t="s">
        <v>199</v>
      </c>
      <c r="D298" s="201">
        <v>1</v>
      </c>
      <c r="E298" s="59">
        <f>D298</f>
        <v>1</v>
      </c>
      <c r="F298" s="59">
        <f t="shared" ref="F298" si="455">E298</f>
        <v>1</v>
      </c>
      <c r="G298" s="59">
        <f t="shared" ref="G298" si="456">F298</f>
        <v>1</v>
      </c>
      <c r="H298" s="59">
        <f t="shared" ref="H298" si="457">G298</f>
        <v>1</v>
      </c>
      <c r="I298" s="59">
        <f t="shared" ref="I298" si="458">H298</f>
        <v>1</v>
      </c>
      <c r="J298" s="59">
        <f t="shared" ref="J298" si="459">I298</f>
        <v>1</v>
      </c>
      <c r="K298" s="59">
        <f t="shared" ref="K298" si="460">J298</f>
        <v>1</v>
      </c>
      <c r="L298" s="59">
        <f t="shared" ref="L298" si="461">K298</f>
        <v>1</v>
      </c>
    </row>
    <row r="299" spans="1:12" s="218" customFormat="1" x14ac:dyDescent="0.3">
      <c r="A299" s="216" t="s">
        <v>243</v>
      </c>
      <c r="B299" s="204" t="s">
        <v>167</v>
      </c>
      <c r="C299" s="205">
        <v>0.1</v>
      </c>
      <c r="D299" s="217"/>
    </row>
    <row r="300" spans="1:12" x14ac:dyDescent="0.3">
      <c r="A300" s="210" t="s">
        <v>238</v>
      </c>
      <c r="D300" s="201">
        <v>500000</v>
      </c>
      <c r="E300" s="59">
        <f>D300</f>
        <v>500000</v>
      </c>
      <c r="F300" s="59">
        <f t="shared" ref="F300:L300" si="462">E300</f>
        <v>500000</v>
      </c>
      <c r="G300" s="59">
        <f t="shared" si="462"/>
        <v>500000</v>
      </c>
      <c r="H300" s="59">
        <f t="shared" si="462"/>
        <v>500000</v>
      </c>
      <c r="I300" s="59">
        <f t="shared" si="462"/>
        <v>500000</v>
      </c>
      <c r="J300" s="59">
        <f t="shared" si="462"/>
        <v>500000</v>
      </c>
      <c r="K300" s="59">
        <f t="shared" si="462"/>
        <v>500000</v>
      </c>
      <c r="L300" s="59">
        <f t="shared" si="462"/>
        <v>500000</v>
      </c>
    </row>
    <row r="301" spans="1:12" x14ac:dyDescent="0.3">
      <c r="A301" s="219" t="s">
        <v>256</v>
      </c>
    </row>
    <row r="302" spans="1:12" x14ac:dyDescent="0.3">
      <c r="A302" s="210" t="s">
        <v>244</v>
      </c>
      <c r="B302" s="1" t="s">
        <v>165</v>
      </c>
      <c r="D302" s="201"/>
    </row>
    <row r="303" spans="1:12" x14ac:dyDescent="0.3">
      <c r="A303" s="210" t="s">
        <v>240</v>
      </c>
      <c r="B303" s="1" t="s">
        <v>165</v>
      </c>
      <c r="D303" s="201">
        <v>5000</v>
      </c>
      <c r="E303" s="59">
        <f>D303*(1+$C306)</f>
        <v>5500</v>
      </c>
      <c r="F303" s="59">
        <f t="shared" ref="F303" si="463">E303*(1+$C306)</f>
        <v>6050.0000000000009</v>
      </c>
      <c r="G303" s="59">
        <f t="shared" ref="G303" si="464">F303*(1+$C306)</f>
        <v>6655.0000000000018</v>
      </c>
      <c r="H303" s="59">
        <f t="shared" ref="H303" si="465">G303*(1+$C306)</f>
        <v>7320.5000000000027</v>
      </c>
      <c r="I303" s="59">
        <f t="shared" ref="I303" si="466">H303*(1+$C306)</f>
        <v>8052.5500000000038</v>
      </c>
      <c r="J303" s="59">
        <f t="shared" ref="J303" si="467">I303*(1+$C306)</f>
        <v>8857.8050000000057</v>
      </c>
      <c r="K303" s="59">
        <f t="shared" ref="K303" si="468">J303*(1+$C306)</f>
        <v>9743.5855000000065</v>
      </c>
      <c r="L303" s="59">
        <f t="shared" ref="L303" si="469">K303*(1+$C306)</f>
        <v>10717.944050000007</v>
      </c>
    </row>
    <row r="304" spans="1:12" x14ac:dyDescent="0.3">
      <c r="A304" s="210" t="s">
        <v>242</v>
      </c>
      <c r="B304" s="1" t="s">
        <v>165</v>
      </c>
      <c r="D304" s="59">
        <f>D303*$C$8</f>
        <v>60000</v>
      </c>
      <c r="E304" s="59">
        <f t="shared" ref="E304:L304" si="470">E303*$C$8</f>
        <v>66000</v>
      </c>
      <c r="F304" s="59">
        <f t="shared" si="470"/>
        <v>72600.000000000015</v>
      </c>
      <c r="G304" s="59">
        <f t="shared" si="470"/>
        <v>79860.000000000029</v>
      </c>
      <c r="H304" s="59">
        <f t="shared" si="470"/>
        <v>87846.000000000029</v>
      </c>
      <c r="I304" s="59">
        <f t="shared" si="470"/>
        <v>96630.600000000049</v>
      </c>
      <c r="J304" s="59">
        <f t="shared" si="470"/>
        <v>106293.66000000006</v>
      </c>
      <c r="K304" s="59">
        <f t="shared" si="470"/>
        <v>116923.02600000007</v>
      </c>
      <c r="L304" s="59">
        <f t="shared" si="470"/>
        <v>128615.3286000001</v>
      </c>
    </row>
    <row r="305" spans="1:12" x14ac:dyDescent="0.3">
      <c r="A305" s="210" t="s">
        <v>241</v>
      </c>
      <c r="B305" s="1" t="s">
        <v>199</v>
      </c>
      <c r="D305" s="201">
        <v>1</v>
      </c>
      <c r="E305" s="59">
        <f>D305</f>
        <v>1</v>
      </c>
      <c r="F305" s="59">
        <f t="shared" ref="F305" si="471">E305</f>
        <v>1</v>
      </c>
      <c r="G305" s="59">
        <f t="shared" ref="G305" si="472">F305</f>
        <v>1</v>
      </c>
      <c r="H305" s="59">
        <f t="shared" ref="H305" si="473">G305</f>
        <v>1</v>
      </c>
      <c r="I305" s="59">
        <f t="shared" ref="I305" si="474">H305</f>
        <v>1</v>
      </c>
      <c r="J305" s="59">
        <f t="shared" ref="J305" si="475">I305</f>
        <v>1</v>
      </c>
      <c r="K305" s="59">
        <f t="shared" ref="K305" si="476">J305</f>
        <v>1</v>
      </c>
      <c r="L305" s="59">
        <f t="shared" ref="L305" si="477">K305</f>
        <v>1</v>
      </c>
    </row>
    <row r="306" spans="1:12" s="218" customFormat="1" x14ac:dyDescent="0.3">
      <c r="A306" s="216" t="s">
        <v>243</v>
      </c>
      <c r="B306" s="204" t="s">
        <v>167</v>
      </c>
      <c r="C306" s="205">
        <v>0.1</v>
      </c>
      <c r="D306" s="217"/>
    </row>
    <row r="307" spans="1:12" x14ac:dyDescent="0.3">
      <c r="A307" s="210" t="s">
        <v>238</v>
      </c>
      <c r="D307" s="201"/>
      <c r="E307" s="59">
        <f>D307</f>
        <v>0</v>
      </c>
      <c r="F307" s="59">
        <f t="shared" ref="F307:L307" si="478">E307</f>
        <v>0</v>
      </c>
      <c r="G307" s="59">
        <f t="shared" si="478"/>
        <v>0</v>
      </c>
      <c r="H307" s="59">
        <f t="shared" si="478"/>
        <v>0</v>
      </c>
      <c r="I307" s="59">
        <f t="shared" si="478"/>
        <v>0</v>
      </c>
      <c r="J307" s="59">
        <f t="shared" si="478"/>
        <v>0</v>
      </c>
      <c r="K307" s="59">
        <f t="shared" si="478"/>
        <v>0</v>
      </c>
      <c r="L307" s="59">
        <f t="shared" si="478"/>
        <v>0</v>
      </c>
    </row>
    <row r="308" spans="1:12" x14ac:dyDescent="0.3">
      <c r="A308" s="219" t="s">
        <v>257</v>
      </c>
    </row>
    <row r="309" spans="1:12" x14ac:dyDescent="0.3">
      <c r="A309" s="210" t="s">
        <v>244</v>
      </c>
      <c r="B309" s="1" t="s">
        <v>165</v>
      </c>
      <c r="D309" s="201"/>
    </row>
    <row r="310" spans="1:12" x14ac:dyDescent="0.3">
      <c r="A310" s="210" t="s">
        <v>240</v>
      </c>
      <c r="B310" s="1" t="s">
        <v>165</v>
      </c>
      <c r="D310" s="201">
        <v>50000</v>
      </c>
      <c r="E310" s="59">
        <f>D310*(1+$C313)</f>
        <v>55000.000000000007</v>
      </c>
      <c r="F310" s="59">
        <f t="shared" ref="F310" si="479">E310*(1+$C313)</f>
        <v>60500.000000000015</v>
      </c>
      <c r="G310" s="59">
        <f t="shared" ref="G310" si="480">F310*(1+$C313)</f>
        <v>66550.000000000015</v>
      </c>
      <c r="H310" s="59">
        <f t="shared" ref="H310" si="481">G310*(1+$C313)</f>
        <v>73205.000000000029</v>
      </c>
      <c r="I310" s="59">
        <f t="shared" ref="I310" si="482">H310*(1+$C313)</f>
        <v>80525.500000000044</v>
      </c>
      <c r="J310" s="59">
        <f t="shared" ref="J310" si="483">I310*(1+$C313)</f>
        <v>88578.050000000061</v>
      </c>
      <c r="K310" s="59">
        <f t="shared" ref="K310" si="484">J310*(1+$C313)</f>
        <v>97435.855000000069</v>
      </c>
      <c r="L310" s="59">
        <f t="shared" ref="L310" si="485">K310*(1+$C313)</f>
        <v>107179.44050000008</v>
      </c>
    </row>
    <row r="311" spans="1:12" x14ac:dyDescent="0.3">
      <c r="A311" s="210" t="s">
        <v>242</v>
      </c>
      <c r="B311" s="1" t="s">
        <v>165</v>
      </c>
      <c r="D311" s="59">
        <f>D310*$C$8</f>
        <v>600000</v>
      </c>
      <c r="E311" s="59">
        <f t="shared" ref="E311:L311" si="486">E310*$C$8</f>
        <v>660000.00000000012</v>
      </c>
      <c r="F311" s="59">
        <f t="shared" si="486"/>
        <v>726000.00000000023</v>
      </c>
      <c r="G311" s="59">
        <f t="shared" si="486"/>
        <v>798600.00000000023</v>
      </c>
      <c r="H311" s="59">
        <f t="shared" si="486"/>
        <v>878460.00000000035</v>
      </c>
      <c r="I311" s="59">
        <f t="shared" si="486"/>
        <v>966306.00000000047</v>
      </c>
      <c r="J311" s="59">
        <f t="shared" si="486"/>
        <v>1062936.6000000008</v>
      </c>
      <c r="K311" s="59">
        <f t="shared" si="486"/>
        <v>1169230.2600000007</v>
      </c>
      <c r="L311" s="59">
        <f t="shared" si="486"/>
        <v>1286153.286000001</v>
      </c>
    </row>
    <row r="312" spans="1:12" x14ac:dyDescent="0.3">
      <c r="A312" s="210" t="s">
        <v>241</v>
      </c>
      <c r="B312" s="1" t="s">
        <v>199</v>
      </c>
      <c r="D312" s="201">
        <v>1</v>
      </c>
      <c r="E312" s="59">
        <f>D312</f>
        <v>1</v>
      </c>
      <c r="F312" s="59">
        <f t="shared" ref="F312" si="487">E312</f>
        <v>1</v>
      </c>
      <c r="G312" s="59">
        <f t="shared" ref="G312" si="488">F312</f>
        <v>1</v>
      </c>
      <c r="H312" s="59">
        <f t="shared" ref="H312" si="489">G312</f>
        <v>1</v>
      </c>
      <c r="I312" s="59">
        <f t="shared" ref="I312" si="490">H312</f>
        <v>1</v>
      </c>
      <c r="J312" s="59">
        <f t="shared" ref="J312" si="491">I312</f>
        <v>1</v>
      </c>
      <c r="K312" s="59">
        <f t="shared" ref="K312" si="492">J312</f>
        <v>1</v>
      </c>
      <c r="L312" s="59">
        <f t="shared" ref="L312" si="493">K312</f>
        <v>1</v>
      </c>
    </row>
    <row r="313" spans="1:12" s="218" customFormat="1" x14ac:dyDescent="0.3">
      <c r="A313" s="216" t="s">
        <v>243</v>
      </c>
      <c r="B313" s="204" t="s">
        <v>167</v>
      </c>
      <c r="C313" s="205">
        <v>0.1</v>
      </c>
      <c r="D313" s="217"/>
    </row>
    <row r="314" spans="1:12" x14ac:dyDescent="0.3">
      <c r="A314" s="210" t="s">
        <v>238</v>
      </c>
      <c r="D314" s="201">
        <v>10800000</v>
      </c>
      <c r="E314" s="59">
        <f>D314</f>
        <v>10800000</v>
      </c>
      <c r="F314" s="59">
        <f t="shared" ref="F314:L314" si="494">E314</f>
        <v>10800000</v>
      </c>
      <c r="G314" s="59">
        <f t="shared" si="494"/>
        <v>10800000</v>
      </c>
      <c r="H314" s="59">
        <f t="shared" si="494"/>
        <v>10800000</v>
      </c>
      <c r="I314" s="59">
        <f t="shared" si="494"/>
        <v>10800000</v>
      </c>
      <c r="J314" s="59">
        <f t="shared" si="494"/>
        <v>10800000</v>
      </c>
      <c r="K314" s="59">
        <f t="shared" si="494"/>
        <v>10800000</v>
      </c>
      <c r="L314" s="59">
        <f t="shared" si="494"/>
        <v>10800000</v>
      </c>
    </row>
    <row r="315" spans="1:12" x14ac:dyDescent="0.3">
      <c r="A315" s="210"/>
      <c r="D315" s="201"/>
    </row>
    <row r="316" spans="1:12" x14ac:dyDescent="0.3">
      <c r="A316" s="184" t="str">
        <f>$A$34</f>
        <v>Hospital 3 - Mann</v>
      </c>
      <c r="B316" s="184"/>
      <c r="C316" s="184"/>
    </row>
    <row r="317" spans="1:12" x14ac:dyDescent="0.3">
      <c r="A317" s="219" t="s">
        <v>214</v>
      </c>
    </row>
    <row r="318" spans="1:12" x14ac:dyDescent="0.3">
      <c r="A318" s="210" t="s">
        <v>244</v>
      </c>
      <c r="B318" s="1" t="s">
        <v>165</v>
      </c>
    </row>
    <row r="319" spans="1:12" x14ac:dyDescent="0.3">
      <c r="A319" s="210" t="s">
        <v>240</v>
      </c>
      <c r="B319" s="1" t="s">
        <v>165</v>
      </c>
      <c r="D319" s="201">
        <v>20000</v>
      </c>
      <c r="E319" s="59">
        <f>D319*(1+$C322)</f>
        <v>22000</v>
      </c>
      <c r="F319" s="59">
        <f t="shared" ref="F319" si="495">E319*(1+$C322)</f>
        <v>24200.000000000004</v>
      </c>
      <c r="G319" s="59">
        <f t="shared" ref="G319" si="496">F319*(1+$C322)</f>
        <v>26620.000000000007</v>
      </c>
      <c r="H319" s="59">
        <f t="shared" ref="H319" si="497">G319*(1+$C322)</f>
        <v>29282.000000000011</v>
      </c>
      <c r="I319" s="59">
        <f t="shared" ref="I319" si="498">H319*(1+$C322)</f>
        <v>32210.200000000015</v>
      </c>
      <c r="J319" s="59">
        <f t="shared" ref="J319" si="499">I319*(1+$C322)</f>
        <v>35431.220000000023</v>
      </c>
      <c r="K319" s="59">
        <f t="shared" ref="K319" si="500">J319*(1+$C322)</f>
        <v>38974.342000000026</v>
      </c>
      <c r="L319" s="59">
        <f t="shared" ref="L319" si="501">K319*(1+$C322)</f>
        <v>42871.776200000029</v>
      </c>
    </row>
    <row r="320" spans="1:12" x14ac:dyDescent="0.3">
      <c r="A320" s="210" t="s">
        <v>242</v>
      </c>
      <c r="B320" s="1" t="s">
        <v>165</v>
      </c>
      <c r="D320" s="59">
        <f>D319*$C$8</f>
        <v>240000</v>
      </c>
      <c r="E320" s="59">
        <f t="shared" ref="E320:L320" si="502">E319*$C$8</f>
        <v>264000</v>
      </c>
      <c r="F320" s="59">
        <f t="shared" si="502"/>
        <v>290400.00000000006</v>
      </c>
      <c r="G320" s="59">
        <f t="shared" si="502"/>
        <v>319440.00000000012</v>
      </c>
      <c r="H320" s="59">
        <f t="shared" si="502"/>
        <v>351384.00000000012</v>
      </c>
      <c r="I320" s="59">
        <f t="shared" si="502"/>
        <v>386522.4000000002</v>
      </c>
      <c r="J320" s="59">
        <f t="shared" si="502"/>
        <v>425174.64000000025</v>
      </c>
      <c r="K320" s="59">
        <f t="shared" si="502"/>
        <v>467692.10400000028</v>
      </c>
      <c r="L320" s="59">
        <f t="shared" si="502"/>
        <v>514461.31440000038</v>
      </c>
    </row>
    <row r="321" spans="1:12" x14ac:dyDescent="0.3">
      <c r="A321" s="210" t="s">
        <v>241</v>
      </c>
      <c r="B321" s="1" t="s">
        <v>199</v>
      </c>
      <c r="D321" s="201">
        <v>2</v>
      </c>
      <c r="E321" s="59">
        <f>D321</f>
        <v>2</v>
      </c>
      <c r="F321" s="59">
        <f t="shared" ref="F321" si="503">E321</f>
        <v>2</v>
      </c>
      <c r="G321" s="59">
        <f t="shared" ref="G321" si="504">F321</f>
        <v>2</v>
      </c>
      <c r="H321" s="59">
        <f t="shared" ref="H321" si="505">G321</f>
        <v>2</v>
      </c>
      <c r="I321" s="59">
        <f t="shared" ref="I321" si="506">H321</f>
        <v>2</v>
      </c>
      <c r="J321" s="59">
        <f t="shared" ref="J321" si="507">I321</f>
        <v>2</v>
      </c>
      <c r="K321" s="59">
        <f t="shared" ref="K321" si="508">J321</f>
        <v>2</v>
      </c>
      <c r="L321" s="59">
        <f t="shared" ref="L321" si="509">K321</f>
        <v>2</v>
      </c>
    </row>
    <row r="322" spans="1:12" s="218" customFormat="1" x14ac:dyDescent="0.3">
      <c r="A322" s="216" t="s">
        <v>153</v>
      </c>
      <c r="B322" s="204" t="s">
        <v>167</v>
      </c>
      <c r="C322" s="205">
        <v>0.1</v>
      </c>
      <c r="D322" s="217"/>
    </row>
    <row r="323" spans="1:12" x14ac:dyDescent="0.3">
      <c r="A323" s="210" t="s">
        <v>238</v>
      </c>
      <c r="B323" s="1" t="s">
        <v>165</v>
      </c>
      <c r="D323" s="201"/>
      <c r="E323" s="59">
        <f>D323</f>
        <v>0</v>
      </c>
      <c r="F323" s="59">
        <f t="shared" ref="F323:L323" si="510">E323</f>
        <v>0</v>
      </c>
      <c r="G323" s="59">
        <f t="shared" si="510"/>
        <v>0</v>
      </c>
      <c r="H323" s="59">
        <f t="shared" si="510"/>
        <v>0</v>
      </c>
      <c r="I323" s="59">
        <f t="shared" si="510"/>
        <v>0</v>
      </c>
      <c r="J323" s="59">
        <f t="shared" si="510"/>
        <v>0</v>
      </c>
      <c r="K323" s="59">
        <f t="shared" si="510"/>
        <v>0</v>
      </c>
      <c r="L323" s="59">
        <f t="shared" si="510"/>
        <v>0</v>
      </c>
    </row>
    <row r="324" spans="1:12" x14ac:dyDescent="0.3">
      <c r="A324" s="219" t="s">
        <v>216</v>
      </c>
    </row>
    <row r="325" spans="1:12" x14ac:dyDescent="0.3">
      <c r="A325" s="210" t="s">
        <v>244</v>
      </c>
      <c r="B325" s="1" t="s">
        <v>165</v>
      </c>
      <c r="D325" s="201">
        <v>100000</v>
      </c>
    </row>
    <row r="326" spans="1:12" x14ac:dyDescent="0.3">
      <c r="A326" s="210" t="s">
        <v>240</v>
      </c>
      <c r="B326" s="1" t="s">
        <v>165</v>
      </c>
      <c r="D326" s="201"/>
      <c r="E326" s="59">
        <f>D326*(1+$C329)</f>
        <v>0</v>
      </c>
      <c r="F326" s="59">
        <f t="shared" ref="F326" si="511">E326*(1+$C329)</f>
        <v>0</v>
      </c>
      <c r="G326" s="59">
        <f t="shared" ref="G326" si="512">F326*(1+$C329)</f>
        <v>0</v>
      </c>
      <c r="H326" s="59">
        <f t="shared" ref="H326" si="513">G326*(1+$C329)</f>
        <v>0</v>
      </c>
      <c r="I326" s="59">
        <f t="shared" ref="I326" si="514">H326*(1+$C329)</f>
        <v>0</v>
      </c>
      <c r="J326" s="59">
        <f t="shared" ref="J326" si="515">I326*(1+$C329)</f>
        <v>0</v>
      </c>
      <c r="K326" s="59">
        <f t="shared" ref="K326" si="516">J326*(1+$C329)</f>
        <v>0</v>
      </c>
      <c r="L326" s="59">
        <f t="shared" ref="L326" si="517">K326*(1+$C329)</f>
        <v>0</v>
      </c>
    </row>
    <row r="327" spans="1:12" x14ac:dyDescent="0.3">
      <c r="A327" s="210" t="s">
        <v>242</v>
      </c>
      <c r="B327" s="1" t="s">
        <v>165</v>
      </c>
      <c r="D327" s="59">
        <f>D326*$C$8</f>
        <v>0</v>
      </c>
      <c r="E327" s="59">
        <f t="shared" ref="E327:L327" si="518">E326*$C$8</f>
        <v>0</v>
      </c>
      <c r="F327" s="59">
        <f t="shared" si="518"/>
        <v>0</v>
      </c>
      <c r="G327" s="59">
        <f t="shared" si="518"/>
        <v>0</v>
      </c>
      <c r="H327" s="59">
        <f t="shared" si="518"/>
        <v>0</v>
      </c>
      <c r="I327" s="59">
        <f t="shared" si="518"/>
        <v>0</v>
      </c>
      <c r="J327" s="59">
        <f t="shared" si="518"/>
        <v>0</v>
      </c>
      <c r="K327" s="59">
        <f t="shared" si="518"/>
        <v>0</v>
      </c>
      <c r="L327" s="59">
        <f t="shared" si="518"/>
        <v>0</v>
      </c>
    </row>
    <row r="328" spans="1:12" x14ac:dyDescent="0.3">
      <c r="A328" s="210" t="s">
        <v>241</v>
      </c>
      <c r="B328" s="1" t="s">
        <v>199</v>
      </c>
      <c r="D328" s="201"/>
      <c r="E328" s="59">
        <f>D328</f>
        <v>0</v>
      </c>
      <c r="F328" s="59">
        <f t="shared" ref="F328" si="519">E328</f>
        <v>0</v>
      </c>
      <c r="G328" s="59">
        <f t="shared" ref="G328" si="520">F328</f>
        <v>0</v>
      </c>
      <c r="H328" s="59">
        <f t="shared" ref="H328" si="521">G328</f>
        <v>0</v>
      </c>
      <c r="I328" s="59">
        <f t="shared" ref="I328" si="522">H328</f>
        <v>0</v>
      </c>
      <c r="J328" s="59">
        <f t="shared" ref="J328" si="523">I328</f>
        <v>0</v>
      </c>
      <c r="K328" s="59">
        <f t="shared" ref="K328" si="524">J328</f>
        <v>0</v>
      </c>
      <c r="L328" s="59">
        <f t="shared" ref="L328" si="525">K328</f>
        <v>0</v>
      </c>
    </row>
    <row r="329" spans="1:12" s="218" customFormat="1" x14ac:dyDescent="0.3">
      <c r="A329" s="216" t="s">
        <v>153</v>
      </c>
      <c r="B329" s="204" t="s">
        <v>167</v>
      </c>
      <c r="C329" s="205">
        <v>0.1</v>
      </c>
      <c r="D329" s="217"/>
    </row>
    <row r="330" spans="1:12" x14ac:dyDescent="0.3">
      <c r="A330" s="210" t="s">
        <v>238</v>
      </c>
      <c r="B330" s="1" t="s">
        <v>165</v>
      </c>
      <c r="D330" s="201">
        <v>100000</v>
      </c>
    </row>
    <row r="331" spans="1:12" x14ac:dyDescent="0.3">
      <c r="A331" s="219" t="s">
        <v>219</v>
      </c>
    </row>
    <row r="332" spans="1:12" x14ac:dyDescent="0.3">
      <c r="A332" s="210" t="s">
        <v>244</v>
      </c>
      <c r="B332" s="1" t="s">
        <v>165</v>
      </c>
      <c r="D332" s="201"/>
    </row>
    <row r="333" spans="1:12" x14ac:dyDescent="0.3">
      <c r="A333" s="210" t="s">
        <v>240</v>
      </c>
      <c r="B333" s="1" t="s">
        <v>165</v>
      </c>
      <c r="D333" s="201">
        <v>50000</v>
      </c>
      <c r="E333" s="59">
        <f>D333*(1+$C336)</f>
        <v>55000.000000000007</v>
      </c>
      <c r="F333" s="59">
        <f t="shared" ref="F333" si="526">E333*(1+$C336)</f>
        <v>60500.000000000015</v>
      </c>
      <c r="G333" s="59">
        <f t="shared" ref="G333" si="527">F333*(1+$C336)</f>
        <v>66550.000000000015</v>
      </c>
      <c r="H333" s="59">
        <f t="shared" ref="H333" si="528">G333*(1+$C336)</f>
        <v>73205.000000000029</v>
      </c>
      <c r="I333" s="59">
        <f t="shared" ref="I333" si="529">H333*(1+$C336)</f>
        <v>80525.500000000044</v>
      </c>
      <c r="J333" s="59">
        <f t="shared" ref="J333" si="530">I333*(1+$C336)</f>
        <v>88578.050000000061</v>
      </c>
      <c r="K333" s="59">
        <f t="shared" ref="K333" si="531">J333*(1+$C336)</f>
        <v>97435.855000000069</v>
      </c>
      <c r="L333" s="59">
        <f t="shared" ref="L333" si="532">K333*(1+$C336)</f>
        <v>107179.44050000008</v>
      </c>
    </row>
    <row r="334" spans="1:12" x14ac:dyDescent="0.3">
      <c r="A334" s="210" t="s">
        <v>242</v>
      </c>
      <c r="B334" s="1" t="s">
        <v>165</v>
      </c>
      <c r="D334" s="59">
        <f>D333*$C$8</f>
        <v>600000</v>
      </c>
      <c r="E334" s="59">
        <f t="shared" ref="E334:L334" si="533">E333*$C$8</f>
        <v>660000.00000000012</v>
      </c>
      <c r="F334" s="59">
        <f t="shared" si="533"/>
        <v>726000.00000000023</v>
      </c>
      <c r="G334" s="59">
        <f t="shared" si="533"/>
        <v>798600.00000000023</v>
      </c>
      <c r="H334" s="59">
        <f t="shared" si="533"/>
        <v>878460.00000000035</v>
      </c>
      <c r="I334" s="59">
        <f t="shared" si="533"/>
        <v>966306.00000000047</v>
      </c>
      <c r="J334" s="59">
        <f t="shared" si="533"/>
        <v>1062936.6000000008</v>
      </c>
      <c r="K334" s="59">
        <f t="shared" si="533"/>
        <v>1169230.2600000007</v>
      </c>
      <c r="L334" s="59">
        <f t="shared" si="533"/>
        <v>1286153.286000001</v>
      </c>
    </row>
    <row r="335" spans="1:12" x14ac:dyDescent="0.3">
      <c r="A335" s="210" t="s">
        <v>241</v>
      </c>
      <c r="B335" s="1" t="s">
        <v>199</v>
      </c>
      <c r="D335" s="201">
        <v>1</v>
      </c>
      <c r="E335" s="59">
        <f>D335</f>
        <v>1</v>
      </c>
      <c r="F335" s="59">
        <f t="shared" ref="F335" si="534">E335</f>
        <v>1</v>
      </c>
      <c r="G335" s="59">
        <f t="shared" ref="G335" si="535">F335</f>
        <v>1</v>
      </c>
      <c r="H335" s="59">
        <f t="shared" ref="H335" si="536">G335</f>
        <v>1</v>
      </c>
      <c r="I335" s="59">
        <f t="shared" ref="I335" si="537">H335</f>
        <v>1</v>
      </c>
      <c r="J335" s="59">
        <f t="shared" ref="J335" si="538">I335</f>
        <v>1</v>
      </c>
      <c r="K335" s="59">
        <f t="shared" ref="K335" si="539">J335</f>
        <v>1</v>
      </c>
      <c r="L335" s="59">
        <f t="shared" ref="L335" si="540">K335</f>
        <v>1</v>
      </c>
    </row>
    <row r="336" spans="1:12" s="218" customFormat="1" x14ac:dyDescent="0.3">
      <c r="A336" s="216" t="s">
        <v>153</v>
      </c>
      <c r="B336" s="204" t="s">
        <v>167</v>
      </c>
      <c r="C336" s="205">
        <v>0.1</v>
      </c>
      <c r="D336" s="217"/>
    </row>
    <row r="337" spans="1:12" x14ac:dyDescent="0.3">
      <c r="A337" s="210" t="s">
        <v>238</v>
      </c>
      <c r="B337" s="1" t="s">
        <v>165</v>
      </c>
      <c r="D337" s="201"/>
    </row>
    <row r="338" spans="1:12" x14ac:dyDescent="0.3">
      <c r="A338" s="219" t="s">
        <v>262</v>
      </c>
    </row>
    <row r="339" spans="1:12" x14ac:dyDescent="0.3">
      <c r="A339" s="210" t="s">
        <v>244</v>
      </c>
      <c r="B339" s="1" t="s">
        <v>165</v>
      </c>
      <c r="D339" s="201"/>
    </row>
    <row r="340" spans="1:12" x14ac:dyDescent="0.3">
      <c r="A340" s="210" t="s">
        <v>240</v>
      </c>
      <c r="B340" s="1" t="s">
        <v>165</v>
      </c>
      <c r="D340" s="201"/>
      <c r="E340" s="59">
        <f>D340*(1+$C343)</f>
        <v>0</v>
      </c>
      <c r="F340" s="59">
        <f t="shared" ref="F340" si="541">E340*(1+$C343)</f>
        <v>0</v>
      </c>
      <c r="G340" s="59">
        <f t="shared" ref="G340" si="542">F340*(1+$C343)</f>
        <v>0</v>
      </c>
      <c r="H340" s="59">
        <f t="shared" ref="H340" si="543">G340*(1+$C343)</f>
        <v>0</v>
      </c>
      <c r="I340" s="59">
        <f t="shared" ref="I340" si="544">H340*(1+$C343)</f>
        <v>0</v>
      </c>
      <c r="J340" s="59">
        <f t="shared" ref="J340" si="545">I340*(1+$C343)</f>
        <v>0</v>
      </c>
      <c r="K340" s="59">
        <f t="shared" ref="K340" si="546">J340*(1+$C343)</f>
        <v>0</v>
      </c>
      <c r="L340" s="59">
        <f t="shared" ref="L340" si="547">K340*(1+$C343)</f>
        <v>0</v>
      </c>
    </row>
    <row r="341" spans="1:12" x14ac:dyDescent="0.3">
      <c r="A341" s="210" t="s">
        <v>242</v>
      </c>
      <c r="B341" s="1" t="s">
        <v>165</v>
      </c>
      <c r="D341" s="201">
        <v>1000000</v>
      </c>
      <c r="E341" s="59">
        <f>D341*(1+$C343)</f>
        <v>1100000</v>
      </c>
      <c r="F341" s="59">
        <f t="shared" ref="F341:L341" si="548">E341*(1+$C343)</f>
        <v>1210000</v>
      </c>
      <c r="G341" s="59">
        <f t="shared" si="548"/>
        <v>1331000</v>
      </c>
      <c r="H341" s="59">
        <f t="shared" si="548"/>
        <v>1464100.0000000002</v>
      </c>
      <c r="I341" s="59">
        <f t="shared" si="548"/>
        <v>1610510.0000000005</v>
      </c>
      <c r="J341" s="59">
        <f t="shared" si="548"/>
        <v>1771561.0000000007</v>
      </c>
      <c r="K341" s="59">
        <f t="shared" si="548"/>
        <v>1948717.100000001</v>
      </c>
      <c r="L341" s="59">
        <f t="shared" si="548"/>
        <v>2143588.8100000015</v>
      </c>
    </row>
    <row r="342" spans="1:12" x14ac:dyDescent="0.3">
      <c r="A342" s="210" t="s">
        <v>241</v>
      </c>
      <c r="B342" s="1" t="s">
        <v>199</v>
      </c>
      <c r="D342" s="201">
        <v>1</v>
      </c>
      <c r="E342" s="59">
        <f>D342</f>
        <v>1</v>
      </c>
      <c r="F342" s="59">
        <f t="shared" ref="F342" si="549">E342</f>
        <v>1</v>
      </c>
      <c r="G342" s="59">
        <f t="shared" ref="G342" si="550">F342</f>
        <v>1</v>
      </c>
      <c r="H342" s="59">
        <f t="shared" ref="H342" si="551">G342</f>
        <v>1</v>
      </c>
      <c r="I342" s="59">
        <f t="shared" ref="I342" si="552">H342</f>
        <v>1</v>
      </c>
      <c r="J342" s="59">
        <f t="shared" ref="J342" si="553">I342</f>
        <v>1</v>
      </c>
      <c r="K342" s="59">
        <f t="shared" ref="K342" si="554">J342</f>
        <v>1</v>
      </c>
      <c r="L342" s="59">
        <f t="shared" ref="L342" si="555">K342</f>
        <v>1</v>
      </c>
    </row>
    <row r="343" spans="1:12" s="218" customFormat="1" x14ac:dyDescent="0.3">
      <c r="A343" s="216" t="s">
        <v>153</v>
      </c>
      <c r="B343" s="204" t="s">
        <v>167</v>
      </c>
      <c r="C343" s="205">
        <v>0.1</v>
      </c>
      <c r="D343" s="217"/>
    </row>
    <row r="344" spans="1:12" x14ac:dyDescent="0.3">
      <c r="A344" s="210" t="s">
        <v>238</v>
      </c>
      <c r="B344" s="1" t="s">
        <v>165</v>
      </c>
      <c r="D344" s="201">
        <v>9000000</v>
      </c>
      <c r="E344" s="59">
        <f>D344</f>
        <v>9000000</v>
      </c>
      <c r="F344" s="59">
        <f t="shared" ref="F344" si="556">E344</f>
        <v>9000000</v>
      </c>
      <c r="G344" s="59">
        <f t="shared" ref="G344" si="557">F344</f>
        <v>9000000</v>
      </c>
      <c r="H344" s="59">
        <f t="shared" ref="H344" si="558">G344</f>
        <v>9000000</v>
      </c>
      <c r="I344" s="59">
        <f t="shared" ref="I344" si="559">H344</f>
        <v>9000000</v>
      </c>
      <c r="J344" s="59">
        <f t="shared" ref="J344" si="560">I344</f>
        <v>9000000</v>
      </c>
      <c r="K344" s="59">
        <f t="shared" ref="K344" si="561">J344</f>
        <v>9000000</v>
      </c>
      <c r="L344" s="59">
        <f t="shared" ref="L344" si="562">K344</f>
        <v>9000000</v>
      </c>
    </row>
    <row r="345" spans="1:12" x14ac:dyDescent="0.3">
      <c r="A345" s="219" t="s">
        <v>233</v>
      </c>
    </row>
    <row r="346" spans="1:12" x14ac:dyDescent="0.3">
      <c r="A346" s="210" t="s">
        <v>244</v>
      </c>
      <c r="B346" s="1" t="s">
        <v>165</v>
      </c>
      <c r="D346" s="201"/>
    </row>
    <row r="347" spans="1:12" x14ac:dyDescent="0.3">
      <c r="A347" s="210" t="s">
        <v>240</v>
      </c>
      <c r="B347" s="1" t="s">
        <v>165</v>
      </c>
      <c r="D347" s="201">
        <v>200000</v>
      </c>
      <c r="E347" s="59">
        <f>D347*(1+$C350)</f>
        <v>220000.00000000003</v>
      </c>
      <c r="F347" s="59">
        <f t="shared" ref="F347" si="563">E347*(1+$C350)</f>
        <v>242000.00000000006</v>
      </c>
      <c r="G347" s="59">
        <f t="shared" ref="G347" si="564">F347*(1+$C350)</f>
        <v>266200.00000000006</v>
      </c>
      <c r="H347" s="59">
        <f t="shared" ref="H347" si="565">G347*(1+$C350)</f>
        <v>292820.00000000012</v>
      </c>
      <c r="I347" s="59">
        <f t="shared" ref="I347" si="566">H347*(1+$C350)</f>
        <v>322102.00000000017</v>
      </c>
      <c r="J347" s="59">
        <f t="shared" ref="J347" si="567">I347*(1+$C350)</f>
        <v>354312.20000000024</v>
      </c>
      <c r="K347" s="59">
        <f t="shared" ref="K347" si="568">J347*(1+$C350)</f>
        <v>389743.42000000027</v>
      </c>
      <c r="L347" s="59">
        <f t="shared" ref="L347" si="569">K347*(1+$C350)</f>
        <v>428717.76200000034</v>
      </c>
    </row>
    <row r="348" spans="1:12" x14ac:dyDescent="0.3">
      <c r="A348" s="210" t="s">
        <v>242</v>
      </c>
      <c r="B348" s="1" t="s">
        <v>165</v>
      </c>
      <c r="D348" s="59">
        <f>D347*$C$8</f>
        <v>2400000</v>
      </c>
      <c r="E348" s="59">
        <f t="shared" ref="E348:L348" si="570">E347*$C$8</f>
        <v>2640000.0000000005</v>
      </c>
      <c r="F348" s="59">
        <f t="shared" si="570"/>
        <v>2904000.0000000009</v>
      </c>
      <c r="G348" s="59">
        <f t="shared" si="570"/>
        <v>3194400.0000000009</v>
      </c>
      <c r="H348" s="59">
        <f t="shared" si="570"/>
        <v>3513840.0000000014</v>
      </c>
      <c r="I348" s="59">
        <f t="shared" si="570"/>
        <v>3865224.0000000019</v>
      </c>
      <c r="J348" s="59">
        <f t="shared" si="570"/>
        <v>4251746.4000000032</v>
      </c>
      <c r="K348" s="59">
        <f t="shared" si="570"/>
        <v>4676921.0400000028</v>
      </c>
      <c r="L348" s="59">
        <f t="shared" si="570"/>
        <v>5144613.144000004</v>
      </c>
    </row>
    <row r="349" spans="1:12" x14ac:dyDescent="0.3">
      <c r="A349" s="210" t="s">
        <v>241</v>
      </c>
      <c r="B349" s="1" t="s">
        <v>199</v>
      </c>
      <c r="D349" s="201">
        <v>1</v>
      </c>
      <c r="E349" s="59">
        <f>D349</f>
        <v>1</v>
      </c>
      <c r="F349" s="59">
        <f t="shared" ref="F349" si="571">E349</f>
        <v>1</v>
      </c>
      <c r="G349" s="59">
        <f t="shared" ref="G349" si="572">F349</f>
        <v>1</v>
      </c>
      <c r="H349" s="59">
        <f t="shared" ref="H349" si="573">G349</f>
        <v>1</v>
      </c>
      <c r="I349" s="59">
        <f t="shared" ref="I349" si="574">H349</f>
        <v>1</v>
      </c>
      <c r="J349" s="59">
        <f t="shared" ref="J349" si="575">I349</f>
        <v>1</v>
      </c>
      <c r="K349" s="59">
        <f t="shared" ref="K349" si="576">J349</f>
        <v>1</v>
      </c>
      <c r="L349" s="59">
        <f t="shared" ref="L349" si="577">K349</f>
        <v>1</v>
      </c>
    </row>
    <row r="350" spans="1:12" s="218" customFormat="1" x14ac:dyDescent="0.3">
      <c r="A350" s="216" t="s">
        <v>243</v>
      </c>
      <c r="B350" s="204" t="s">
        <v>167</v>
      </c>
      <c r="C350" s="205">
        <v>0.1</v>
      </c>
      <c r="D350" s="217"/>
    </row>
    <row r="351" spans="1:12" x14ac:dyDescent="0.3">
      <c r="A351" s="210" t="s">
        <v>238</v>
      </c>
      <c r="D351" s="201"/>
    </row>
    <row r="352" spans="1:12" x14ac:dyDescent="0.3">
      <c r="A352" s="219" t="s">
        <v>251</v>
      </c>
    </row>
    <row r="353" spans="1:12" x14ac:dyDescent="0.3">
      <c r="A353" s="210" t="s">
        <v>244</v>
      </c>
      <c r="B353" s="1" t="s">
        <v>165</v>
      </c>
      <c r="D353" s="201"/>
    </row>
    <row r="354" spans="1:12" x14ac:dyDescent="0.3">
      <c r="A354" s="210" t="s">
        <v>240</v>
      </c>
      <c r="B354" s="1" t="s">
        <v>165</v>
      </c>
      <c r="D354" s="201">
        <v>5000</v>
      </c>
      <c r="E354" s="59">
        <f>D354*(1+$C357)</f>
        <v>5500</v>
      </c>
      <c r="F354" s="59">
        <f t="shared" ref="F354" si="578">E354*(1+$C357)</f>
        <v>6050.0000000000009</v>
      </c>
      <c r="G354" s="59">
        <f t="shared" ref="G354" si="579">F354*(1+$C357)</f>
        <v>6655.0000000000018</v>
      </c>
      <c r="H354" s="59">
        <f t="shared" ref="H354" si="580">G354*(1+$C357)</f>
        <v>7320.5000000000027</v>
      </c>
      <c r="I354" s="59">
        <f t="shared" ref="I354" si="581">H354*(1+$C357)</f>
        <v>8052.5500000000038</v>
      </c>
      <c r="J354" s="59">
        <f t="shared" ref="J354" si="582">I354*(1+$C357)</f>
        <v>8857.8050000000057</v>
      </c>
      <c r="K354" s="59">
        <f t="shared" ref="K354" si="583">J354*(1+$C357)</f>
        <v>9743.5855000000065</v>
      </c>
      <c r="L354" s="59">
        <f t="shared" ref="L354" si="584">K354*(1+$C357)</f>
        <v>10717.944050000007</v>
      </c>
    </row>
    <row r="355" spans="1:12" x14ac:dyDescent="0.3">
      <c r="A355" s="210" t="s">
        <v>242</v>
      </c>
      <c r="B355" s="1" t="s">
        <v>165</v>
      </c>
      <c r="D355" s="59">
        <f>D354*$C$8</f>
        <v>60000</v>
      </c>
      <c r="E355" s="59">
        <f t="shared" ref="E355:L355" si="585">E354*$C$8</f>
        <v>66000</v>
      </c>
      <c r="F355" s="59">
        <f t="shared" si="585"/>
        <v>72600.000000000015</v>
      </c>
      <c r="G355" s="59">
        <f t="shared" si="585"/>
        <v>79860.000000000029</v>
      </c>
      <c r="H355" s="59">
        <f t="shared" si="585"/>
        <v>87846.000000000029</v>
      </c>
      <c r="I355" s="59">
        <f t="shared" si="585"/>
        <v>96630.600000000049</v>
      </c>
      <c r="J355" s="59">
        <f t="shared" si="585"/>
        <v>106293.66000000006</v>
      </c>
      <c r="K355" s="59">
        <f t="shared" si="585"/>
        <v>116923.02600000007</v>
      </c>
      <c r="L355" s="59">
        <f t="shared" si="585"/>
        <v>128615.3286000001</v>
      </c>
    </row>
    <row r="356" spans="1:12" x14ac:dyDescent="0.3">
      <c r="A356" s="210" t="s">
        <v>241</v>
      </c>
      <c r="B356" s="1" t="s">
        <v>199</v>
      </c>
      <c r="D356" s="201">
        <v>3</v>
      </c>
      <c r="E356" s="59">
        <f>D356</f>
        <v>3</v>
      </c>
      <c r="F356" s="59">
        <f t="shared" ref="F356" si="586">E356</f>
        <v>3</v>
      </c>
      <c r="G356" s="59">
        <f t="shared" ref="G356" si="587">F356</f>
        <v>3</v>
      </c>
      <c r="H356" s="59">
        <f t="shared" ref="H356" si="588">G356</f>
        <v>3</v>
      </c>
      <c r="I356" s="59">
        <f t="shared" ref="I356" si="589">H356</f>
        <v>3</v>
      </c>
      <c r="J356" s="59">
        <f t="shared" ref="J356" si="590">I356</f>
        <v>3</v>
      </c>
      <c r="K356" s="59">
        <f t="shared" ref="K356" si="591">J356</f>
        <v>3</v>
      </c>
      <c r="L356" s="59">
        <f t="shared" ref="L356" si="592">K356</f>
        <v>3</v>
      </c>
    </row>
    <row r="357" spans="1:12" s="218" customFormat="1" x14ac:dyDescent="0.3">
      <c r="A357" s="216" t="s">
        <v>243</v>
      </c>
      <c r="B357" s="204" t="s">
        <v>167</v>
      </c>
      <c r="C357" s="205">
        <v>0.1</v>
      </c>
      <c r="D357" s="217"/>
    </row>
    <row r="358" spans="1:12" x14ac:dyDescent="0.3">
      <c r="A358" s="210" t="s">
        <v>238</v>
      </c>
      <c r="D358" s="201">
        <v>600000</v>
      </c>
      <c r="E358" s="59">
        <f>D358</f>
        <v>600000</v>
      </c>
      <c r="F358" s="59">
        <f t="shared" ref="F358:L358" si="593">E358</f>
        <v>600000</v>
      </c>
      <c r="G358" s="59">
        <f t="shared" si="593"/>
        <v>600000</v>
      </c>
      <c r="H358" s="59">
        <f t="shared" si="593"/>
        <v>600000</v>
      </c>
      <c r="I358" s="59">
        <f t="shared" si="593"/>
        <v>600000</v>
      </c>
      <c r="J358" s="59">
        <f t="shared" si="593"/>
        <v>600000</v>
      </c>
      <c r="K358" s="59">
        <f t="shared" si="593"/>
        <v>600000</v>
      </c>
      <c r="L358" s="59">
        <f t="shared" si="593"/>
        <v>600000</v>
      </c>
    </row>
    <row r="359" spans="1:12" x14ac:dyDescent="0.3">
      <c r="A359" s="219" t="s">
        <v>250</v>
      </c>
    </row>
    <row r="360" spans="1:12" x14ac:dyDescent="0.3">
      <c r="A360" s="210" t="s">
        <v>244</v>
      </c>
      <c r="B360" s="1" t="s">
        <v>165</v>
      </c>
      <c r="D360" s="201"/>
    </row>
    <row r="361" spans="1:12" x14ac:dyDescent="0.3">
      <c r="A361" s="210" t="s">
        <v>240</v>
      </c>
      <c r="B361" s="1" t="s">
        <v>165</v>
      </c>
      <c r="D361" s="201">
        <v>15000</v>
      </c>
      <c r="E361" s="59">
        <f>D361*(1+$C364)</f>
        <v>16500</v>
      </c>
      <c r="F361" s="59">
        <f t="shared" ref="F361" si="594">E361*(1+$C364)</f>
        <v>18150</v>
      </c>
      <c r="G361" s="59">
        <f t="shared" ref="G361" si="595">F361*(1+$C364)</f>
        <v>19965</v>
      </c>
      <c r="H361" s="59">
        <f t="shared" ref="H361" si="596">G361*(1+$C364)</f>
        <v>21961.5</v>
      </c>
      <c r="I361" s="59">
        <f t="shared" ref="I361" si="597">H361*(1+$C364)</f>
        <v>24157.65</v>
      </c>
      <c r="J361" s="59">
        <f t="shared" ref="J361" si="598">I361*(1+$C364)</f>
        <v>26573.415000000005</v>
      </c>
      <c r="K361" s="59">
        <f t="shared" ref="K361" si="599">J361*(1+$C364)</f>
        <v>29230.756500000007</v>
      </c>
      <c r="L361" s="59">
        <f t="shared" ref="L361" si="600">K361*(1+$C364)</f>
        <v>32153.832150000009</v>
      </c>
    </row>
    <row r="362" spans="1:12" x14ac:dyDescent="0.3">
      <c r="A362" s="210" t="s">
        <v>242</v>
      </c>
      <c r="B362" s="1" t="s">
        <v>165</v>
      </c>
      <c r="D362" s="59">
        <f>D361*$C$8</f>
        <v>180000</v>
      </c>
      <c r="E362" s="59">
        <f t="shared" ref="E362:L362" si="601">E361*$C$8</f>
        <v>198000</v>
      </c>
      <c r="F362" s="59">
        <f t="shared" si="601"/>
        <v>217800</v>
      </c>
      <c r="G362" s="59">
        <f t="shared" si="601"/>
        <v>239580</v>
      </c>
      <c r="H362" s="59">
        <f t="shared" si="601"/>
        <v>263538</v>
      </c>
      <c r="I362" s="59">
        <f t="shared" si="601"/>
        <v>289891.80000000005</v>
      </c>
      <c r="J362" s="59">
        <f t="shared" si="601"/>
        <v>318880.98000000004</v>
      </c>
      <c r="K362" s="59">
        <f t="shared" si="601"/>
        <v>350769.0780000001</v>
      </c>
      <c r="L362" s="59">
        <f t="shared" si="601"/>
        <v>385845.98580000014</v>
      </c>
    </row>
    <row r="363" spans="1:12" x14ac:dyDescent="0.3">
      <c r="A363" s="210" t="s">
        <v>241</v>
      </c>
      <c r="B363" s="1" t="s">
        <v>199</v>
      </c>
      <c r="D363" s="201">
        <v>1</v>
      </c>
      <c r="E363" s="59">
        <f>D363</f>
        <v>1</v>
      </c>
      <c r="F363" s="59">
        <f t="shared" ref="F363" si="602">E363</f>
        <v>1</v>
      </c>
      <c r="G363" s="59">
        <f t="shared" ref="G363" si="603">F363</f>
        <v>1</v>
      </c>
      <c r="H363" s="59">
        <f t="shared" ref="H363" si="604">G363</f>
        <v>1</v>
      </c>
      <c r="I363" s="59">
        <f t="shared" ref="I363" si="605">H363</f>
        <v>1</v>
      </c>
      <c r="J363" s="59">
        <f t="shared" ref="J363" si="606">I363</f>
        <v>1</v>
      </c>
      <c r="K363" s="59">
        <f t="shared" ref="K363" si="607">J363</f>
        <v>1</v>
      </c>
      <c r="L363" s="59">
        <f t="shared" ref="L363" si="608">K363</f>
        <v>1</v>
      </c>
    </row>
    <row r="364" spans="1:12" s="218" customFormat="1" x14ac:dyDescent="0.3">
      <c r="A364" s="216" t="s">
        <v>243</v>
      </c>
      <c r="B364" s="204" t="s">
        <v>167</v>
      </c>
      <c r="C364" s="205">
        <v>0.1</v>
      </c>
      <c r="D364" s="217"/>
    </row>
    <row r="365" spans="1:12" x14ac:dyDescent="0.3">
      <c r="A365" s="210" t="s">
        <v>238</v>
      </c>
      <c r="D365" s="201">
        <v>300000</v>
      </c>
      <c r="E365" s="59">
        <f>D365</f>
        <v>300000</v>
      </c>
      <c r="F365" s="59">
        <f t="shared" ref="F365:L365" si="609">E365</f>
        <v>300000</v>
      </c>
      <c r="G365" s="59">
        <f t="shared" si="609"/>
        <v>300000</v>
      </c>
      <c r="H365" s="59">
        <f t="shared" si="609"/>
        <v>300000</v>
      </c>
      <c r="I365" s="59">
        <f t="shared" si="609"/>
        <v>300000</v>
      </c>
      <c r="J365" s="59">
        <f t="shared" si="609"/>
        <v>300000</v>
      </c>
      <c r="K365" s="59">
        <f t="shared" si="609"/>
        <v>300000</v>
      </c>
      <c r="L365" s="59">
        <f t="shared" si="609"/>
        <v>300000</v>
      </c>
    </row>
    <row r="366" spans="1:12" x14ac:dyDescent="0.3">
      <c r="A366" s="219" t="s">
        <v>247</v>
      </c>
    </row>
    <row r="367" spans="1:12" x14ac:dyDescent="0.3">
      <c r="A367" s="210" t="s">
        <v>244</v>
      </c>
      <c r="B367" s="1" t="s">
        <v>165</v>
      </c>
      <c r="D367" s="201"/>
    </row>
    <row r="368" spans="1:12" x14ac:dyDescent="0.3">
      <c r="A368" s="210" t="s">
        <v>240</v>
      </c>
      <c r="B368" s="1" t="s">
        <v>165</v>
      </c>
      <c r="D368" s="201">
        <v>4500</v>
      </c>
      <c r="E368" s="59">
        <f>D368*(1+$C371)</f>
        <v>4950</v>
      </c>
      <c r="F368" s="59">
        <f t="shared" ref="F368" si="610">E368*(1+$C371)</f>
        <v>5445</v>
      </c>
      <c r="G368" s="59">
        <f t="shared" ref="G368" si="611">F368*(1+$C371)</f>
        <v>5989.5000000000009</v>
      </c>
      <c r="H368" s="59">
        <f t="shared" ref="H368" si="612">G368*(1+$C371)</f>
        <v>6588.4500000000016</v>
      </c>
      <c r="I368" s="59">
        <f t="shared" ref="I368" si="613">H368*(1+$C371)</f>
        <v>7247.2950000000028</v>
      </c>
      <c r="J368" s="59">
        <f t="shared" ref="J368" si="614">I368*(1+$C371)</f>
        <v>7972.0245000000041</v>
      </c>
      <c r="K368" s="59">
        <f t="shared" ref="K368" si="615">J368*(1+$C371)</f>
        <v>8769.2269500000057</v>
      </c>
      <c r="L368" s="59">
        <f t="shared" ref="L368" si="616">K368*(1+$C371)</f>
        <v>9646.1496450000068</v>
      </c>
    </row>
    <row r="369" spans="1:12" x14ac:dyDescent="0.3">
      <c r="A369" s="210" t="s">
        <v>242</v>
      </c>
      <c r="B369" s="1" t="s">
        <v>165</v>
      </c>
      <c r="D369" s="59">
        <f>D368*$C$8</f>
        <v>54000</v>
      </c>
      <c r="E369" s="59">
        <f t="shared" ref="E369:L369" si="617">E368*$C$8</f>
        <v>59400</v>
      </c>
      <c r="F369" s="59">
        <f t="shared" si="617"/>
        <v>65340</v>
      </c>
      <c r="G369" s="59">
        <f t="shared" si="617"/>
        <v>71874.000000000015</v>
      </c>
      <c r="H369" s="59">
        <f t="shared" si="617"/>
        <v>79061.400000000023</v>
      </c>
      <c r="I369" s="59">
        <f t="shared" si="617"/>
        <v>86967.540000000037</v>
      </c>
      <c r="J369" s="59">
        <f t="shared" si="617"/>
        <v>95664.294000000053</v>
      </c>
      <c r="K369" s="59">
        <f t="shared" si="617"/>
        <v>105230.72340000008</v>
      </c>
      <c r="L369" s="59">
        <f t="shared" si="617"/>
        <v>115753.79574000009</v>
      </c>
    </row>
    <row r="370" spans="1:12" x14ac:dyDescent="0.3">
      <c r="A370" s="210" t="s">
        <v>241</v>
      </c>
      <c r="B370" s="1" t="s">
        <v>199</v>
      </c>
      <c r="D370" s="201">
        <v>4</v>
      </c>
      <c r="E370" s="59">
        <f>D370</f>
        <v>4</v>
      </c>
      <c r="F370" s="59">
        <f t="shared" ref="F370" si="618">E370</f>
        <v>4</v>
      </c>
      <c r="G370" s="59">
        <f t="shared" ref="G370" si="619">F370</f>
        <v>4</v>
      </c>
      <c r="H370" s="59">
        <f t="shared" ref="H370" si="620">G370</f>
        <v>4</v>
      </c>
      <c r="I370" s="59">
        <f t="shared" ref="I370" si="621">H370</f>
        <v>4</v>
      </c>
      <c r="J370" s="59">
        <f t="shared" ref="J370" si="622">I370</f>
        <v>4</v>
      </c>
      <c r="K370" s="59">
        <f t="shared" ref="K370" si="623">J370</f>
        <v>4</v>
      </c>
      <c r="L370" s="59">
        <f t="shared" ref="L370" si="624">K370</f>
        <v>4</v>
      </c>
    </row>
    <row r="371" spans="1:12" s="218" customFormat="1" x14ac:dyDescent="0.3">
      <c r="A371" s="216" t="s">
        <v>243</v>
      </c>
      <c r="B371" s="204" t="s">
        <v>167</v>
      </c>
      <c r="C371" s="205">
        <v>0.1</v>
      </c>
      <c r="D371" s="217"/>
    </row>
    <row r="372" spans="1:12" x14ac:dyDescent="0.3">
      <c r="A372" s="210" t="s">
        <v>238</v>
      </c>
      <c r="D372" s="201">
        <v>500000</v>
      </c>
      <c r="E372" s="59">
        <f>D372</f>
        <v>500000</v>
      </c>
      <c r="F372" s="59">
        <f t="shared" ref="F372:L372" si="625">E372</f>
        <v>500000</v>
      </c>
      <c r="G372" s="59">
        <f t="shared" si="625"/>
        <v>500000</v>
      </c>
      <c r="H372" s="59">
        <f t="shared" si="625"/>
        <v>500000</v>
      </c>
      <c r="I372" s="59">
        <f t="shared" si="625"/>
        <v>500000</v>
      </c>
      <c r="J372" s="59">
        <f t="shared" si="625"/>
        <v>500000</v>
      </c>
      <c r="K372" s="59">
        <f t="shared" si="625"/>
        <v>500000</v>
      </c>
      <c r="L372" s="59">
        <f t="shared" si="625"/>
        <v>500000</v>
      </c>
    </row>
    <row r="373" spans="1:12" x14ac:dyDescent="0.3">
      <c r="A373" s="219" t="s">
        <v>254</v>
      </c>
    </row>
    <row r="374" spans="1:12" x14ac:dyDescent="0.3">
      <c r="A374" s="210" t="s">
        <v>244</v>
      </c>
      <c r="B374" s="1" t="s">
        <v>165</v>
      </c>
      <c r="D374" s="201"/>
    </row>
    <row r="375" spans="1:12" x14ac:dyDescent="0.3">
      <c r="A375" s="210" t="s">
        <v>240</v>
      </c>
      <c r="B375" s="1" t="s">
        <v>165</v>
      </c>
      <c r="D375" s="201">
        <v>25000</v>
      </c>
      <c r="E375" s="59">
        <f>D375*(1+$C378)</f>
        <v>27500.000000000004</v>
      </c>
      <c r="F375" s="59">
        <f t="shared" ref="F375" si="626">E375*(1+$C378)</f>
        <v>30250.000000000007</v>
      </c>
      <c r="G375" s="59">
        <f t="shared" ref="G375" si="627">F375*(1+$C378)</f>
        <v>33275.000000000007</v>
      </c>
      <c r="H375" s="59">
        <f t="shared" ref="H375" si="628">G375*(1+$C378)</f>
        <v>36602.500000000015</v>
      </c>
      <c r="I375" s="59">
        <f t="shared" ref="I375" si="629">H375*(1+$C378)</f>
        <v>40262.750000000022</v>
      </c>
      <c r="J375" s="59">
        <f t="shared" ref="J375" si="630">I375*(1+$C378)</f>
        <v>44289.025000000031</v>
      </c>
      <c r="K375" s="59">
        <f t="shared" ref="K375" si="631">J375*(1+$C378)</f>
        <v>48717.927500000034</v>
      </c>
      <c r="L375" s="59">
        <f t="shared" ref="L375" si="632">K375*(1+$C378)</f>
        <v>53589.720250000042</v>
      </c>
    </row>
    <row r="376" spans="1:12" x14ac:dyDescent="0.3">
      <c r="A376" s="210" t="s">
        <v>242</v>
      </c>
      <c r="B376" s="1" t="s">
        <v>165</v>
      </c>
      <c r="D376" s="59">
        <f>D375*$C$8</f>
        <v>300000</v>
      </c>
      <c r="E376" s="59">
        <f t="shared" ref="E376:L376" si="633">E375*$C$8</f>
        <v>330000.00000000006</v>
      </c>
      <c r="F376" s="59">
        <f t="shared" si="633"/>
        <v>363000.00000000012</v>
      </c>
      <c r="G376" s="59">
        <f t="shared" si="633"/>
        <v>399300.00000000012</v>
      </c>
      <c r="H376" s="59">
        <f t="shared" si="633"/>
        <v>439230.00000000017</v>
      </c>
      <c r="I376" s="59">
        <f t="shared" si="633"/>
        <v>483153.00000000023</v>
      </c>
      <c r="J376" s="59">
        <f t="shared" si="633"/>
        <v>531468.3000000004</v>
      </c>
      <c r="K376" s="59">
        <f t="shared" si="633"/>
        <v>584615.13000000035</v>
      </c>
      <c r="L376" s="59">
        <f t="shared" si="633"/>
        <v>643076.64300000051</v>
      </c>
    </row>
    <row r="377" spans="1:12" x14ac:dyDescent="0.3">
      <c r="A377" s="210" t="s">
        <v>241</v>
      </c>
      <c r="B377" s="1" t="s">
        <v>199</v>
      </c>
      <c r="D377" s="201">
        <v>1</v>
      </c>
      <c r="E377" s="59">
        <f>D377</f>
        <v>1</v>
      </c>
      <c r="F377" s="59">
        <f t="shared" ref="F377" si="634">E377</f>
        <v>1</v>
      </c>
      <c r="G377" s="59">
        <f t="shared" ref="G377" si="635">F377</f>
        <v>1</v>
      </c>
      <c r="H377" s="59">
        <f t="shared" ref="H377" si="636">G377</f>
        <v>1</v>
      </c>
      <c r="I377" s="59">
        <f t="shared" ref="I377" si="637">H377</f>
        <v>1</v>
      </c>
      <c r="J377" s="59">
        <f t="shared" ref="J377" si="638">I377</f>
        <v>1</v>
      </c>
      <c r="K377" s="59">
        <f t="shared" ref="K377" si="639">J377</f>
        <v>1</v>
      </c>
      <c r="L377" s="59">
        <f t="shared" ref="L377" si="640">K377</f>
        <v>1</v>
      </c>
    </row>
    <row r="378" spans="1:12" s="218" customFormat="1" x14ac:dyDescent="0.3">
      <c r="A378" s="216" t="s">
        <v>243</v>
      </c>
      <c r="B378" s="204" t="s">
        <v>167</v>
      </c>
      <c r="C378" s="205">
        <v>0.1</v>
      </c>
      <c r="D378" s="217"/>
    </row>
    <row r="379" spans="1:12" x14ac:dyDescent="0.3">
      <c r="A379" s="210" t="s">
        <v>238</v>
      </c>
      <c r="D379" s="201">
        <v>10800000</v>
      </c>
      <c r="E379" s="59">
        <f>D379</f>
        <v>10800000</v>
      </c>
      <c r="F379" s="59">
        <f t="shared" ref="F379:L379" si="641">E379</f>
        <v>10800000</v>
      </c>
      <c r="G379" s="59">
        <f t="shared" si="641"/>
        <v>10800000</v>
      </c>
      <c r="H379" s="59">
        <f t="shared" si="641"/>
        <v>10800000</v>
      </c>
      <c r="I379" s="59">
        <f t="shared" si="641"/>
        <v>10800000</v>
      </c>
      <c r="J379" s="59">
        <f t="shared" si="641"/>
        <v>10800000</v>
      </c>
      <c r="K379" s="59">
        <f t="shared" si="641"/>
        <v>10800000</v>
      </c>
      <c r="L379" s="59">
        <f t="shared" si="641"/>
        <v>10800000</v>
      </c>
    </row>
    <row r="380" spans="1:12" x14ac:dyDescent="0.3">
      <c r="A380" s="219" t="s">
        <v>255</v>
      </c>
    </row>
    <row r="381" spans="1:12" x14ac:dyDescent="0.3">
      <c r="A381" s="210" t="s">
        <v>244</v>
      </c>
      <c r="B381" s="1" t="s">
        <v>165</v>
      </c>
      <c r="D381" s="201"/>
    </row>
    <row r="382" spans="1:12" x14ac:dyDescent="0.3">
      <c r="A382" s="210" t="s">
        <v>240</v>
      </c>
      <c r="B382" s="1" t="s">
        <v>165</v>
      </c>
      <c r="D382" s="201">
        <v>25000</v>
      </c>
      <c r="E382" s="59">
        <f>D382*(1+$C385)</f>
        <v>27500.000000000004</v>
      </c>
      <c r="F382" s="59">
        <f t="shared" ref="F382" si="642">E382*(1+$C385)</f>
        <v>30250.000000000007</v>
      </c>
      <c r="G382" s="59">
        <f t="shared" ref="G382" si="643">F382*(1+$C385)</f>
        <v>33275.000000000007</v>
      </c>
      <c r="H382" s="59">
        <f t="shared" ref="H382" si="644">G382*(1+$C385)</f>
        <v>36602.500000000015</v>
      </c>
      <c r="I382" s="59">
        <f t="shared" ref="I382" si="645">H382*(1+$C385)</f>
        <v>40262.750000000022</v>
      </c>
      <c r="J382" s="59">
        <f t="shared" ref="J382" si="646">I382*(1+$C385)</f>
        <v>44289.025000000031</v>
      </c>
      <c r="K382" s="59">
        <f t="shared" ref="K382" si="647">J382*(1+$C385)</f>
        <v>48717.927500000034</v>
      </c>
      <c r="L382" s="59">
        <f t="shared" ref="L382" si="648">K382*(1+$C385)</f>
        <v>53589.720250000042</v>
      </c>
    </row>
    <row r="383" spans="1:12" x14ac:dyDescent="0.3">
      <c r="A383" s="210" t="s">
        <v>242</v>
      </c>
      <c r="B383" s="1" t="s">
        <v>165</v>
      </c>
      <c r="D383" s="59">
        <f>D382*$C$8</f>
        <v>300000</v>
      </c>
      <c r="E383" s="59">
        <f t="shared" ref="E383:L383" si="649">E382*$C$8</f>
        <v>330000.00000000006</v>
      </c>
      <c r="F383" s="59">
        <f t="shared" si="649"/>
        <v>363000.00000000012</v>
      </c>
      <c r="G383" s="59">
        <f t="shared" si="649"/>
        <v>399300.00000000012</v>
      </c>
      <c r="H383" s="59">
        <f t="shared" si="649"/>
        <v>439230.00000000017</v>
      </c>
      <c r="I383" s="59">
        <f t="shared" si="649"/>
        <v>483153.00000000023</v>
      </c>
      <c r="J383" s="59">
        <f t="shared" si="649"/>
        <v>531468.3000000004</v>
      </c>
      <c r="K383" s="59">
        <f t="shared" si="649"/>
        <v>584615.13000000035</v>
      </c>
      <c r="L383" s="59">
        <f t="shared" si="649"/>
        <v>643076.64300000051</v>
      </c>
    </row>
    <row r="384" spans="1:12" x14ac:dyDescent="0.3">
      <c r="A384" s="210" t="s">
        <v>241</v>
      </c>
      <c r="B384" s="1" t="s">
        <v>199</v>
      </c>
      <c r="D384" s="201">
        <v>1</v>
      </c>
      <c r="E384" s="59">
        <f>D384</f>
        <v>1</v>
      </c>
      <c r="F384" s="59">
        <f t="shared" ref="F384" si="650">E384</f>
        <v>1</v>
      </c>
      <c r="G384" s="59">
        <f t="shared" ref="G384" si="651">F384</f>
        <v>1</v>
      </c>
      <c r="H384" s="59">
        <f t="shared" ref="H384" si="652">G384</f>
        <v>1</v>
      </c>
      <c r="I384" s="59">
        <f t="shared" ref="I384" si="653">H384</f>
        <v>1</v>
      </c>
      <c r="J384" s="59">
        <f t="shared" ref="J384" si="654">I384</f>
        <v>1</v>
      </c>
      <c r="K384" s="59">
        <f t="shared" ref="K384" si="655">J384</f>
        <v>1</v>
      </c>
      <c r="L384" s="59">
        <f t="shared" ref="L384" si="656">K384</f>
        <v>1</v>
      </c>
    </row>
    <row r="385" spans="1:12" s="218" customFormat="1" x14ac:dyDescent="0.3">
      <c r="A385" s="216" t="s">
        <v>243</v>
      </c>
      <c r="B385" s="204" t="s">
        <v>167</v>
      </c>
      <c r="C385" s="205">
        <v>0.1</v>
      </c>
      <c r="D385" s="217"/>
    </row>
    <row r="386" spans="1:12" x14ac:dyDescent="0.3">
      <c r="A386" s="210" t="s">
        <v>238</v>
      </c>
      <c r="D386" s="201">
        <v>500000</v>
      </c>
      <c r="E386" s="59">
        <f>D386</f>
        <v>500000</v>
      </c>
      <c r="F386" s="59">
        <f t="shared" ref="F386:L386" si="657">E386</f>
        <v>500000</v>
      </c>
      <c r="G386" s="59">
        <f t="shared" si="657"/>
        <v>500000</v>
      </c>
      <c r="H386" s="59">
        <f t="shared" si="657"/>
        <v>500000</v>
      </c>
      <c r="I386" s="59">
        <f t="shared" si="657"/>
        <v>500000</v>
      </c>
      <c r="J386" s="59">
        <f t="shared" si="657"/>
        <v>500000</v>
      </c>
      <c r="K386" s="59">
        <f t="shared" si="657"/>
        <v>500000</v>
      </c>
      <c r="L386" s="59">
        <f t="shared" si="657"/>
        <v>500000</v>
      </c>
    </row>
    <row r="387" spans="1:12" x14ac:dyDescent="0.3">
      <c r="A387" s="219" t="s">
        <v>256</v>
      </c>
    </row>
    <row r="388" spans="1:12" x14ac:dyDescent="0.3">
      <c r="A388" s="210" t="s">
        <v>244</v>
      </c>
      <c r="B388" s="1" t="s">
        <v>165</v>
      </c>
      <c r="D388" s="201"/>
    </row>
    <row r="389" spans="1:12" x14ac:dyDescent="0.3">
      <c r="A389" s="210" t="s">
        <v>240</v>
      </c>
      <c r="B389" s="1" t="s">
        <v>165</v>
      </c>
      <c r="D389" s="201">
        <v>5000</v>
      </c>
      <c r="E389" s="59">
        <f>D389*(1+$C392)</f>
        <v>5500</v>
      </c>
      <c r="F389" s="59">
        <f t="shared" ref="F389" si="658">E389*(1+$C392)</f>
        <v>6050.0000000000009</v>
      </c>
      <c r="G389" s="59">
        <f t="shared" ref="G389" si="659">F389*(1+$C392)</f>
        <v>6655.0000000000018</v>
      </c>
      <c r="H389" s="59">
        <f t="shared" ref="H389" si="660">G389*(1+$C392)</f>
        <v>7320.5000000000027</v>
      </c>
      <c r="I389" s="59">
        <f t="shared" ref="I389" si="661">H389*(1+$C392)</f>
        <v>8052.5500000000038</v>
      </c>
      <c r="J389" s="59">
        <f t="shared" ref="J389" si="662">I389*(1+$C392)</f>
        <v>8857.8050000000057</v>
      </c>
      <c r="K389" s="59">
        <f t="shared" ref="K389" si="663">J389*(1+$C392)</f>
        <v>9743.5855000000065</v>
      </c>
      <c r="L389" s="59">
        <f t="shared" ref="L389" si="664">K389*(1+$C392)</f>
        <v>10717.944050000007</v>
      </c>
    </row>
    <row r="390" spans="1:12" x14ac:dyDescent="0.3">
      <c r="A390" s="210" t="s">
        <v>242</v>
      </c>
      <c r="B390" s="1" t="s">
        <v>165</v>
      </c>
      <c r="D390" s="59">
        <f>D389*$C$8</f>
        <v>60000</v>
      </c>
      <c r="E390" s="59">
        <f t="shared" ref="E390:L390" si="665">E389*$C$8</f>
        <v>66000</v>
      </c>
      <c r="F390" s="59">
        <f t="shared" si="665"/>
        <v>72600.000000000015</v>
      </c>
      <c r="G390" s="59">
        <f t="shared" si="665"/>
        <v>79860.000000000029</v>
      </c>
      <c r="H390" s="59">
        <f t="shared" si="665"/>
        <v>87846.000000000029</v>
      </c>
      <c r="I390" s="59">
        <f t="shared" si="665"/>
        <v>96630.600000000049</v>
      </c>
      <c r="J390" s="59">
        <f t="shared" si="665"/>
        <v>106293.66000000006</v>
      </c>
      <c r="K390" s="59">
        <f t="shared" si="665"/>
        <v>116923.02600000007</v>
      </c>
      <c r="L390" s="59">
        <f t="shared" si="665"/>
        <v>128615.3286000001</v>
      </c>
    </row>
    <row r="391" spans="1:12" x14ac:dyDescent="0.3">
      <c r="A391" s="210" t="s">
        <v>241</v>
      </c>
      <c r="B391" s="1" t="s">
        <v>199</v>
      </c>
      <c r="D391" s="201">
        <v>1</v>
      </c>
      <c r="E391" s="59">
        <f>D391</f>
        <v>1</v>
      </c>
      <c r="F391" s="59">
        <f t="shared" ref="F391" si="666">E391</f>
        <v>1</v>
      </c>
      <c r="G391" s="59">
        <f t="shared" ref="G391" si="667">F391</f>
        <v>1</v>
      </c>
      <c r="H391" s="59">
        <f t="shared" ref="H391" si="668">G391</f>
        <v>1</v>
      </c>
      <c r="I391" s="59">
        <f t="shared" ref="I391" si="669">H391</f>
        <v>1</v>
      </c>
      <c r="J391" s="59">
        <f t="shared" ref="J391" si="670">I391</f>
        <v>1</v>
      </c>
      <c r="K391" s="59">
        <f t="shared" ref="K391" si="671">J391</f>
        <v>1</v>
      </c>
      <c r="L391" s="59">
        <f t="shared" ref="L391" si="672">K391</f>
        <v>1</v>
      </c>
    </row>
    <row r="392" spans="1:12" s="218" customFormat="1" x14ac:dyDescent="0.3">
      <c r="A392" s="216" t="s">
        <v>243</v>
      </c>
      <c r="B392" s="204" t="s">
        <v>167</v>
      </c>
      <c r="C392" s="205">
        <v>0.1</v>
      </c>
      <c r="D392" s="217"/>
    </row>
    <row r="393" spans="1:12" x14ac:dyDescent="0.3">
      <c r="A393" s="210" t="s">
        <v>238</v>
      </c>
      <c r="D393" s="201"/>
      <c r="E393" s="59">
        <f>D393</f>
        <v>0</v>
      </c>
      <c r="F393" s="59">
        <f t="shared" ref="F393:L393" si="673">E393</f>
        <v>0</v>
      </c>
      <c r="G393" s="59">
        <f t="shared" si="673"/>
        <v>0</v>
      </c>
      <c r="H393" s="59">
        <f t="shared" si="673"/>
        <v>0</v>
      </c>
      <c r="I393" s="59">
        <f t="shared" si="673"/>
        <v>0</v>
      </c>
      <c r="J393" s="59">
        <f t="shared" si="673"/>
        <v>0</v>
      </c>
      <c r="K393" s="59">
        <f t="shared" si="673"/>
        <v>0</v>
      </c>
      <c r="L393" s="59">
        <f t="shared" si="673"/>
        <v>0</v>
      </c>
    </row>
    <row r="394" spans="1:12" x14ac:dyDescent="0.3">
      <c r="A394" s="219" t="s">
        <v>257</v>
      </c>
    </row>
    <row r="395" spans="1:12" x14ac:dyDescent="0.3">
      <c r="A395" s="210" t="s">
        <v>244</v>
      </c>
      <c r="B395" s="1" t="s">
        <v>165</v>
      </c>
      <c r="D395" s="201"/>
    </row>
    <row r="396" spans="1:12" x14ac:dyDescent="0.3">
      <c r="A396" s="210" t="s">
        <v>240</v>
      </c>
      <c r="B396" s="1" t="s">
        <v>165</v>
      </c>
      <c r="D396" s="201">
        <v>50000</v>
      </c>
      <c r="E396" s="59">
        <f>D396*(1+$C399)</f>
        <v>55000.000000000007</v>
      </c>
      <c r="F396" s="59">
        <f t="shared" ref="F396" si="674">E396*(1+$C399)</f>
        <v>60500.000000000015</v>
      </c>
      <c r="G396" s="59">
        <f t="shared" ref="G396" si="675">F396*(1+$C399)</f>
        <v>66550.000000000015</v>
      </c>
      <c r="H396" s="59">
        <f t="shared" ref="H396" si="676">G396*(1+$C399)</f>
        <v>73205.000000000029</v>
      </c>
      <c r="I396" s="59">
        <f t="shared" ref="I396" si="677">H396*(1+$C399)</f>
        <v>80525.500000000044</v>
      </c>
      <c r="J396" s="59">
        <f t="shared" ref="J396" si="678">I396*(1+$C399)</f>
        <v>88578.050000000061</v>
      </c>
      <c r="K396" s="59">
        <f t="shared" ref="K396" si="679">J396*(1+$C399)</f>
        <v>97435.855000000069</v>
      </c>
      <c r="L396" s="59">
        <f t="shared" ref="L396" si="680">K396*(1+$C399)</f>
        <v>107179.44050000008</v>
      </c>
    </row>
    <row r="397" spans="1:12" x14ac:dyDescent="0.3">
      <c r="A397" s="210" t="s">
        <v>242</v>
      </c>
      <c r="B397" s="1" t="s">
        <v>165</v>
      </c>
      <c r="D397" s="59">
        <f>D396*$C$8</f>
        <v>600000</v>
      </c>
      <c r="E397" s="59">
        <f t="shared" ref="E397:L397" si="681">E396*$C$8</f>
        <v>660000.00000000012</v>
      </c>
      <c r="F397" s="59">
        <f t="shared" si="681"/>
        <v>726000.00000000023</v>
      </c>
      <c r="G397" s="59">
        <f t="shared" si="681"/>
        <v>798600.00000000023</v>
      </c>
      <c r="H397" s="59">
        <f t="shared" si="681"/>
        <v>878460.00000000035</v>
      </c>
      <c r="I397" s="59">
        <f t="shared" si="681"/>
        <v>966306.00000000047</v>
      </c>
      <c r="J397" s="59">
        <f t="shared" si="681"/>
        <v>1062936.6000000008</v>
      </c>
      <c r="K397" s="59">
        <f t="shared" si="681"/>
        <v>1169230.2600000007</v>
      </c>
      <c r="L397" s="59">
        <f t="shared" si="681"/>
        <v>1286153.286000001</v>
      </c>
    </row>
    <row r="398" spans="1:12" x14ac:dyDescent="0.3">
      <c r="A398" s="210" t="s">
        <v>241</v>
      </c>
      <c r="B398" s="1" t="s">
        <v>199</v>
      </c>
      <c r="D398" s="201">
        <v>1</v>
      </c>
      <c r="E398" s="59">
        <f>D398</f>
        <v>1</v>
      </c>
      <c r="F398" s="59">
        <f t="shared" ref="F398" si="682">E398</f>
        <v>1</v>
      </c>
      <c r="G398" s="59">
        <f t="shared" ref="G398" si="683">F398</f>
        <v>1</v>
      </c>
      <c r="H398" s="59">
        <f t="shared" ref="H398" si="684">G398</f>
        <v>1</v>
      </c>
      <c r="I398" s="59">
        <f t="shared" ref="I398" si="685">H398</f>
        <v>1</v>
      </c>
      <c r="J398" s="59">
        <f t="shared" ref="J398" si="686">I398</f>
        <v>1</v>
      </c>
      <c r="K398" s="59">
        <f t="shared" ref="K398" si="687">J398</f>
        <v>1</v>
      </c>
      <c r="L398" s="59">
        <f t="shared" ref="L398" si="688">K398</f>
        <v>1</v>
      </c>
    </row>
    <row r="399" spans="1:12" s="218" customFormat="1" x14ac:dyDescent="0.3">
      <c r="A399" s="216" t="s">
        <v>243</v>
      </c>
      <c r="B399" s="204" t="s">
        <v>167</v>
      </c>
      <c r="C399" s="205">
        <v>0.1</v>
      </c>
      <c r="D399" s="217"/>
    </row>
    <row r="400" spans="1:12" x14ac:dyDescent="0.3">
      <c r="A400" s="210" t="s">
        <v>238</v>
      </c>
      <c r="D400" s="201">
        <v>10800000</v>
      </c>
      <c r="E400" s="59">
        <f>D400</f>
        <v>10800000</v>
      </c>
      <c r="F400" s="59">
        <f t="shared" ref="F400:L400" si="689">E400</f>
        <v>10800000</v>
      </c>
      <c r="G400" s="59">
        <f t="shared" si="689"/>
        <v>10800000</v>
      </c>
      <c r="H400" s="59">
        <f t="shared" si="689"/>
        <v>10800000</v>
      </c>
      <c r="I400" s="59">
        <f t="shared" si="689"/>
        <v>10800000</v>
      </c>
      <c r="J400" s="59">
        <f t="shared" si="689"/>
        <v>10800000</v>
      </c>
      <c r="K400" s="59">
        <f t="shared" si="689"/>
        <v>10800000</v>
      </c>
      <c r="L400" s="59">
        <f t="shared" si="689"/>
        <v>10800000</v>
      </c>
    </row>
    <row r="402" spans="1:12" x14ac:dyDescent="0.3">
      <c r="A402" s="184" t="str">
        <f>$A$45</f>
        <v>Hospital 4 - Le-crest</v>
      </c>
      <c r="B402" s="184"/>
      <c r="C402" s="184"/>
    </row>
    <row r="403" spans="1:12" x14ac:dyDescent="0.3">
      <c r="A403" s="219" t="s">
        <v>216</v>
      </c>
    </row>
    <row r="404" spans="1:12" x14ac:dyDescent="0.3">
      <c r="A404" s="210" t="s">
        <v>244</v>
      </c>
      <c r="B404" s="1" t="s">
        <v>165</v>
      </c>
      <c r="D404" s="201">
        <v>100000</v>
      </c>
    </row>
    <row r="405" spans="1:12" x14ac:dyDescent="0.3">
      <c r="A405" s="210" t="s">
        <v>240</v>
      </c>
      <c r="B405" s="1" t="s">
        <v>165</v>
      </c>
      <c r="D405" s="201"/>
      <c r="E405" s="59">
        <f>D405*(1+$C408)</f>
        <v>0</v>
      </c>
      <c r="F405" s="59">
        <f t="shared" ref="F405" si="690">E405*(1+$C408)</f>
        <v>0</v>
      </c>
      <c r="G405" s="59">
        <f t="shared" ref="G405" si="691">F405*(1+$C408)</f>
        <v>0</v>
      </c>
      <c r="H405" s="59">
        <f t="shared" ref="H405" si="692">G405*(1+$C408)</f>
        <v>0</v>
      </c>
      <c r="I405" s="59">
        <f t="shared" ref="I405" si="693">H405*(1+$C408)</f>
        <v>0</v>
      </c>
      <c r="J405" s="59">
        <f t="shared" ref="J405" si="694">I405*(1+$C408)</f>
        <v>0</v>
      </c>
      <c r="K405" s="59">
        <f t="shared" ref="K405" si="695">J405*(1+$C408)</f>
        <v>0</v>
      </c>
      <c r="L405" s="59">
        <f t="shared" ref="L405" si="696">K405*(1+$C408)</f>
        <v>0</v>
      </c>
    </row>
    <row r="406" spans="1:12" x14ac:dyDescent="0.3">
      <c r="A406" s="210" t="s">
        <v>242</v>
      </c>
      <c r="B406" s="1" t="s">
        <v>165</v>
      </c>
      <c r="D406" s="59">
        <f>D405*$C$8</f>
        <v>0</v>
      </c>
      <c r="E406" s="59">
        <f t="shared" ref="E406:L406" si="697">E405*$C$8</f>
        <v>0</v>
      </c>
      <c r="F406" s="59">
        <f t="shared" si="697"/>
        <v>0</v>
      </c>
      <c r="G406" s="59">
        <f t="shared" si="697"/>
        <v>0</v>
      </c>
      <c r="H406" s="59">
        <f t="shared" si="697"/>
        <v>0</v>
      </c>
      <c r="I406" s="59">
        <f t="shared" si="697"/>
        <v>0</v>
      </c>
      <c r="J406" s="59">
        <f t="shared" si="697"/>
        <v>0</v>
      </c>
      <c r="K406" s="59">
        <f t="shared" si="697"/>
        <v>0</v>
      </c>
      <c r="L406" s="59">
        <f t="shared" si="697"/>
        <v>0</v>
      </c>
    </row>
    <row r="407" spans="1:12" x14ac:dyDescent="0.3">
      <c r="A407" s="210" t="s">
        <v>241</v>
      </c>
      <c r="B407" s="1" t="s">
        <v>199</v>
      </c>
      <c r="D407" s="201"/>
      <c r="E407" s="59">
        <f>D407</f>
        <v>0</v>
      </c>
      <c r="F407" s="59">
        <f t="shared" ref="F407" si="698">E407</f>
        <v>0</v>
      </c>
      <c r="G407" s="59">
        <f t="shared" ref="G407" si="699">F407</f>
        <v>0</v>
      </c>
      <c r="H407" s="59">
        <f t="shared" ref="H407" si="700">G407</f>
        <v>0</v>
      </c>
      <c r="I407" s="59">
        <f t="shared" ref="I407" si="701">H407</f>
        <v>0</v>
      </c>
      <c r="J407" s="59">
        <f t="shared" ref="J407" si="702">I407</f>
        <v>0</v>
      </c>
      <c r="K407" s="59">
        <f t="shared" ref="K407" si="703">J407</f>
        <v>0</v>
      </c>
      <c r="L407" s="59">
        <f t="shared" ref="L407" si="704">K407</f>
        <v>0</v>
      </c>
    </row>
    <row r="408" spans="1:12" s="218" customFormat="1" x14ac:dyDescent="0.3">
      <c r="A408" s="216" t="s">
        <v>153</v>
      </c>
      <c r="B408" s="204" t="s">
        <v>167</v>
      </c>
      <c r="C408" s="205">
        <v>0.1</v>
      </c>
      <c r="D408" s="217"/>
    </row>
    <row r="409" spans="1:12" x14ac:dyDescent="0.3">
      <c r="A409" s="210" t="s">
        <v>238</v>
      </c>
      <c r="B409" s="1" t="s">
        <v>165</v>
      </c>
      <c r="D409" s="201">
        <v>500000</v>
      </c>
    </row>
    <row r="410" spans="1:12" x14ac:dyDescent="0.3">
      <c r="A410" s="219" t="s">
        <v>219</v>
      </c>
    </row>
    <row r="411" spans="1:12" x14ac:dyDescent="0.3">
      <c r="A411" s="210" t="s">
        <v>244</v>
      </c>
      <c r="B411" s="1" t="s">
        <v>165</v>
      </c>
      <c r="D411" s="201"/>
    </row>
    <row r="412" spans="1:12" x14ac:dyDescent="0.3">
      <c r="A412" s="210" t="s">
        <v>240</v>
      </c>
      <c r="B412" s="1" t="s">
        <v>165</v>
      </c>
      <c r="D412" s="201">
        <v>50000</v>
      </c>
      <c r="E412" s="59">
        <f>D412*(1+$C415)</f>
        <v>55000.000000000007</v>
      </c>
      <c r="F412" s="59">
        <f t="shared" ref="F412" si="705">E412*(1+$C415)</f>
        <v>60500.000000000015</v>
      </c>
      <c r="G412" s="59">
        <f t="shared" ref="G412" si="706">F412*(1+$C415)</f>
        <v>66550.000000000015</v>
      </c>
      <c r="H412" s="59">
        <f t="shared" ref="H412" si="707">G412*(1+$C415)</f>
        <v>73205.000000000029</v>
      </c>
      <c r="I412" s="59">
        <f t="shared" ref="I412" si="708">H412*(1+$C415)</f>
        <v>80525.500000000044</v>
      </c>
      <c r="J412" s="59">
        <f t="shared" ref="J412" si="709">I412*(1+$C415)</f>
        <v>88578.050000000061</v>
      </c>
      <c r="K412" s="59">
        <f t="shared" ref="K412" si="710">J412*(1+$C415)</f>
        <v>97435.855000000069</v>
      </c>
      <c r="L412" s="59">
        <f t="shared" ref="L412" si="711">K412*(1+$C415)</f>
        <v>107179.44050000008</v>
      </c>
    </row>
    <row r="413" spans="1:12" x14ac:dyDescent="0.3">
      <c r="A413" s="210" t="s">
        <v>242</v>
      </c>
      <c r="B413" s="1" t="s">
        <v>165</v>
      </c>
      <c r="D413" s="59">
        <f>D412*$C$8</f>
        <v>600000</v>
      </c>
      <c r="E413" s="59">
        <f t="shared" ref="E413:L413" si="712">E412*$C$8</f>
        <v>660000.00000000012</v>
      </c>
      <c r="F413" s="59">
        <f t="shared" si="712"/>
        <v>726000.00000000023</v>
      </c>
      <c r="G413" s="59">
        <f t="shared" si="712"/>
        <v>798600.00000000023</v>
      </c>
      <c r="H413" s="59">
        <f t="shared" si="712"/>
        <v>878460.00000000035</v>
      </c>
      <c r="I413" s="59">
        <f t="shared" si="712"/>
        <v>966306.00000000047</v>
      </c>
      <c r="J413" s="59">
        <f t="shared" si="712"/>
        <v>1062936.6000000008</v>
      </c>
      <c r="K413" s="59">
        <f t="shared" si="712"/>
        <v>1169230.2600000007</v>
      </c>
      <c r="L413" s="59">
        <f t="shared" si="712"/>
        <v>1286153.286000001</v>
      </c>
    </row>
    <row r="414" spans="1:12" x14ac:dyDescent="0.3">
      <c r="A414" s="210" t="s">
        <v>241</v>
      </c>
      <c r="B414" s="1" t="s">
        <v>199</v>
      </c>
      <c r="D414" s="201">
        <v>1</v>
      </c>
      <c r="E414" s="59">
        <f>D414</f>
        <v>1</v>
      </c>
      <c r="F414" s="59">
        <f t="shared" ref="F414" si="713">E414</f>
        <v>1</v>
      </c>
      <c r="G414" s="59">
        <f t="shared" ref="G414" si="714">F414</f>
        <v>1</v>
      </c>
      <c r="H414" s="59">
        <f t="shared" ref="H414" si="715">G414</f>
        <v>1</v>
      </c>
      <c r="I414" s="59">
        <f t="shared" ref="I414" si="716">H414</f>
        <v>1</v>
      </c>
      <c r="J414" s="59">
        <f t="shared" ref="J414" si="717">I414</f>
        <v>1</v>
      </c>
      <c r="K414" s="59">
        <f t="shared" ref="K414" si="718">J414</f>
        <v>1</v>
      </c>
      <c r="L414" s="59">
        <f t="shared" ref="L414" si="719">K414</f>
        <v>1</v>
      </c>
    </row>
    <row r="415" spans="1:12" s="218" customFormat="1" x14ac:dyDescent="0.3">
      <c r="A415" s="216" t="s">
        <v>153</v>
      </c>
      <c r="B415" s="204" t="s">
        <v>167</v>
      </c>
      <c r="C415" s="205">
        <v>0.1</v>
      </c>
      <c r="D415" s="217"/>
    </row>
    <row r="416" spans="1:12" x14ac:dyDescent="0.3">
      <c r="A416" s="210" t="s">
        <v>238</v>
      </c>
      <c r="B416" s="1" t="s">
        <v>165</v>
      </c>
      <c r="D416" s="201"/>
    </row>
    <row r="417" spans="1:12" x14ac:dyDescent="0.3">
      <c r="A417" s="219" t="s">
        <v>220</v>
      </c>
    </row>
    <row r="418" spans="1:12" x14ac:dyDescent="0.3">
      <c r="A418" s="210" t="s">
        <v>244</v>
      </c>
      <c r="B418" s="1" t="s">
        <v>165</v>
      </c>
      <c r="D418" s="201">
        <v>15000000</v>
      </c>
    </row>
    <row r="419" spans="1:12" x14ac:dyDescent="0.3">
      <c r="A419" s="210" t="s">
        <v>240</v>
      </c>
      <c r="B419" s="1" t="s">
        <v>165</v>
      </c>
      <c r="D419" s="201"/>
      <c r="E419" s="59">
        <f>D419*(1+$C422)</f>
        <v>0</v>
      </c>
      <c r="F419" s="59">
        <f t="shared" ref="F419" si="720">E419*(1+$C422)</f>
        <v>0</v>
      </c>
      <c r="G419" s="59">
        <f t="shared" ref="G419" si="721">F419*(1+$C422)</f>
        <v>0</v>
      </c>
      <c r="H419" s="59">
        <f t="shared" ref="H419" si="722">G419*(1+$C422)</f>
        <v>0</v>
      </c>
      <c r="I419" s="59">
        <f t="shared" ref="I419" si="723">H419*(1+$C422)</f>
        <v>0</v>
      </c>
      <c r="J419" s="59">
        <f t="shared" ref="J419" si="724">I419*(1+$C422)</f>
        <v>0</v>
      </c>
      <c r="K419" s="59">
        <f t="shared" ref="K419" si="725">J419*(1+$C422)</f>
        <v>0</v>
      </c>
      <c r="L419" s="59">
        <f t="shared" ref="L419" si="726">K419*(1+$C422)</f>
        <v>0</v>
      </c>
    </row>
    <row r="420" spans="1:12" x14ac:dyDescent="0.3">
      <c r="A420" s="210" t="s">
        <v>242</v>
      </c>
      <c r="B420" s="1" t="s">
        <v>165</v>
      </c>
      <c r="D420" s="59">
        <f>D419*$C$8</f>
        <v>0</v>
      </c>
      <c r="E420" s="59">
        <f t="shared" ref="E420:L420" si="727">E419*$C$8</f>
        <v>0</v>
      </c>
      <c r="F420" s="59">
        <f t="shared" si="727"/>
        <v>0</v>
      </c>
      <c r="G420" s="59">
        <f t="shared" si="727"/>
        <v>0</v>
      </c>
      <c r="H420" s="59">
        <f t="shared" si="727"/>
        <v>0</v>
      </c>
      <c r="I420" s="59">
        <f t="shared" si="727"/>
        <v>0</v>
      </c>
      <c r="J420" s="59">
        <f t="shared" si="727"/>
        <v>0</v>
      </c>
      <c r="K420" s="59">
        <f t="shared" si="727"/>
        <v>0</v>
      </c>
      <c r="L420" s="59">
        <f t="shared" si="727"/>
        <v>0</v>
      </c>
    </row>
    <row r="421" spans="1:12" x14ac:dyDescent="0.3">
      <c r="A421" s="210" t="s">
        <v>241</v>
      </c>
      <c r="B421" s="1" t="s">
        <v>199</v>
      </c>
      <c r="D421" s="201"/>
      <c r="E421" s="59">
        <f>D421</f>
        <v>0</v>
      </c>
      <c r="F421" s="59">
        <f t="shared" ref="F421" si="728">E421</f>
        <v>0</v>
      </c>
      <c r="G421" s="59">
        <f t="shared" ref="G421" si="729">F421</f>
        <v>0</v>
      </c>
      <c r="H421" s="59">
        <f t="shared" ref="H421" si="730">G421</f>
        <v>0</v>
      </c>
      <c r="I421" s="59">
        <f t="shared" ref="I421" si="731">H421</f>
        <v>0</v>
      </c>
      <c r="J421" s="59">
        <f t="shared" ref="J421" si="732">I421</f>
        <v>0</v>
      </c>
      <c r="K421" s="59">
        <f t="shared" ref="K421" si="733">J421</f>
        <v>0</v>
      </c>
      <c r="L421" s="59">
        <f t="shared" ref="L421" si="734">K421</f>
        <v>0</v>
      </c>
    </row>
    <row r="422" spans="1:12" s="218" customFormat="1" x14ac:dyDescent="0.3">
      <c r="A422" s="216" t="s">
        <v>153</v>
      </c>
      <c r="B422" s="204" t="s">
        <v>167</v>
      </c>
      <c r="C422" s="205">
        <v>0.1</v>
      </c>
      <c r="D422" s="217"/>
    </row>
    <row r="423" spans="1:12" x14ac:dyDescent="0.3">
      <c r="A423" s="210" t="s">
        <v>238</v>
      </c>
      <c r="B423" s="1" t="s">
        <v>165</v>
      </c>
      <c r="D423" s="201">
        <v>15000000</v>
      </c>
      <c r="E423" s="59">
        <f>D423</f>
        <v>15000000</v>
      </c>
      <c r="F423" s="59">
        <f t="shared" ref="F423" si="735">E423</f>
        <v>15000000</v>
      </c>
      <c r="G423" s="59">
        <f t="shared" ref="G423" si="736">F423</f>
        <v>15000000</v>
      </c>
      <c r="H423" s="59">
        <f t="shared" ref="H423" si="737">G423</f>
        <v>15000000</v>
      </c>
      <c r="I423" s="59">
        <f t="shared" ref="I423" si="738">H423</f>
        <v>15000000</v>
      </c>
      <c r="J423" s="59">
        <f t="shared" ref="J423" si="739">I423</f>
        <v>15000000</v>
      </c>
      <c r="K423" s="59">
        <f t="shared" ref="K423" si="740">J423</f>
        <v>15000000</v>
      </c>
      <c r="L423" s="59">
        <f t="shared" ref="L423" si="741">K423</f>
        <v>15000000</v>
      </c>
    </row>
    <row r="424" spans="1:12" x14ac:dyDescent="0.3">
      <c r="A424" s="219" t="s">
        <v>246</v>
      </c>
    </row>
    <row r="425" spans="1:12" x14ac:dyDescent="0.3">
      <c r="A425" s="210" t="s">
        <v>244</v>
      </c>
      <c r="B425" s="1" t="s">
        <v>165</v>
      </c>
      <c r="D425" s="201"/>
    </row>
    <row r="426" spans="1:12" x14ac:dyDescent="0.3">
      <c r="A426" s="210" t="s">
        <v>240</v>
      </c>
      <c r="B426" s="1" t="s">
        <v>165</v>
      </c>
      <c r="D426" s="201"/>
      <c r="E426" s="59">
        <f>D426*(1+$C429)</f>
        <v>0</v>
      </c>
      <c r="F426" s="59">
        <f t="shared" ref="F426" si="742">E426*(1+$C429)</f>
        <v>0</v>
      </c>
      <c r="G426" s="59">
        <f t="shared" ref="G426" si="743">F426*(1+$C429)</f>
        <v>0</v>
      </c>
      <c r="H426" s="59">
        <f t="shared" ref="H426" si="744">G426*(1+$C429)</f>
        <v>0</v>
      </c>
      <c r="I426" s="59">
        <f t="shared" ref="I426" si="745">H426*(1+$C429)</f>
        <v>0</v>
      </c>
      <c r="J426" s="59">
        <f t="shared" ref="J426" si="746">I426*(1+$C429)</f>
        <v>0</v>
      </c>
      <c r="K426" s="59">
        <f t="shared" ref="K426" si="747">J426*(1+$C429)</f>
        <v>0</v>
      </c>
      <c r="L426" s="59">
        <f t="shared" ref="L426" si="748">K426*(1+$C429)</f>
        <v>0</v>
      </c>
    </row>
    <row r="427" spans="1:12" x14ac:dyDescent="0.3">
      <c r="A427" s="210" t="s">
        <v>242</v>
      </c>
      <c r="B427" s="1" t="s">
        <v>165</v>
      </c>
      <c r="D427" s="201">
        <v>2500000</v>
      </c>
      <c r="E427" s="59">
        <f>D427*(1+$C429)</f>
        <v>2750000</v>
      </c>
      <c r="F427" s="59">
        <f t="shared" ref="F427:L427" si="749">E427*(1+$C429)</f>
        <v>3025000.0000000005</v>
      </c>
      <c r="G427" s="59">
        <f t="shared" si="749"/>
        <v>3327500.0000000009</v>
      </c>
      <c r="H427" s="59">
        <f t="shared" si="749"/>
        <v>3660250.0000000014</v>
      </c>
      <c r="I427" s="59">
        <f t="shared" si="749"/>
        <v>4026275.0000000019</v>
      </c>
      <c r="J427" s="59">
        <f t="shared" si="749"/>
        <v>4428902.5000000028</v>
      </c>
      <c r="K427" s="59">
        <f t="shared" si="749"/>
        <v>4871792.7500000037</v>
      </c>
      <c r="L427" s="59">
        <f t="shared" si="749"/>
        <v>5358972.0250000041</v>
      </c>
    </row>
    <row r="428" spans="1:12" x14ac:dyDescent="0.3">
      <c r="A428" s="210" t="s">
        <v>241</v>
      </c>
      <c r="B428" s="1" t="s">
        <v>199</v>
      </c>
      <c r="D428" s="201">
        <v>1</v>
      </c>
      <c r="E428" s="59">
        <f>D428</f>
        <v>1</v>
      </c>
      <c r="F428" s="59">
        <f t="shared" ref="F428" si="750">E428</f>
        <v>1</v>
      </c>
      <c r="G428" s="59">
        <f t="shared" ref="G428" si="751">F428</f>
        <v>1</v>
      </c>
      <c r="H428" s="59">
        <f t="shared" ref="H428" si="752">G428</f>
        <v>1</v>
      </c>
      <c r="I428" s="59">
        <f t="shared" ref="I428" si="753">H428</f>
        <v>1</v>
      </c>
      <c r="J428" s="59">
        <f t="shared" ref="J428" si="754">I428</f>
        <v>1</v>
      </c>
      <c r="K428" s="59">
        <f t="shared" ref="K428" si="755">J428</f>
        <v>1</v>
      </c>
      <c r="L428" s="59">
        <f t="shared" ref="L428" si="756">K428</f>
        <v>1</v>
      </c>
    </row>
    <row r="429" spans="1:12" s="218" customFormat="1" x14ac:dyDescent="0.3">
      <c r="A429" s="216" t="s">
        <v>153</v>
      </c>
      <c r="B429" s="204" t="s">
        <v>167</v>
      </c>
      <c r="C429" s="205">
        <v>0.1</v>
      </c>
      <c r="D429" s="217"/>
    </row>
    <row r="430" spans="1:12" x14ac:dyDescent="0.3">
      <c r="A430" s="210" t="s">
        <v>238</v>
      </c>
      <c r="B430" s="1" t="s">
        <v>165</v>
      </c>
      <c r="D430" s="201"/>
    </row>
    <row r="431" spans="1:12" x14ac:dyDescent="0.3">
      <c r="A431" s="219" t="s">
        <v>231</v>
      </c>
    </row>
    <row r="432" spans="1:12" x14ac:dyDescent="0.3">
      <c r="A432" s="210" t="s">
        <v>244</v>
      </c>
      <c r="B432" s="1" t="s">
        <v>165</v>
      </c>
      <c r="D432" s="201"/>
    </row>
    <row r="433" spans="1:12" x14ac:dyDescent="0.3">
      <c r="A433" s="210" t="s">
        <v>240</v>
      </c>
      <c r="B433" s="1" t="s">
        <v>165</v>
      </c>
      <c r="D433" s="201"/>
      <c r="E433" s="59">
        <f>D433*(1+$C436)</f>
        <v>0</v>
      </c>
      <c r="F433" s="59">
        <f t="shared" ref="F433" si="757">E433*(1+$C436)</f>
        <v>0</v>
      </c>
      <c r="G433" s="59">
        <f t="shared" ref="G433" si="758">F433*(1+$C436)</f>
        <v>0</v>
      </c>
      <c r="H433" s="59">
        <f t="shared" ref="H433" si="759">G433*(1+$C436)</f>
        <v>0</v>
      </c>
      <c r="I433" s="59">
        <f t="shared" ref="I433" si="760">H433*(1+$C436)</f>
        <v>0</v>
      </c>
      <c r="J433" s="59">
        <f t="shared" ref="J433" si="761">I433*(1+$C436)</f>
        <v>0</v>
      </c>
      <c r="K433" s="59">
        <f t="shared" ref="K433" si="762">J433*(1+$C436)</f>
        <v>0</v>
      </c>
      <c r="L433" s="59">
        <f t="shared" ref="L433" si="763">K433*(1+$C436)</f>
        <v>0</v>
      </c>
    </row>
    <row r="434" spans="1:12" x14ac:dyDescent="0.3">
      <c r="A434" s="210" t="s">
        <v>242</v>
      </c>
      <c r="B434" s="1" t="s">
        <v>165</v>
      </c>
      <c r="D434" s="201">
        <v>1500000</v>
      </c>
      <c r="E434" s="59">
        <f>D434*(1+$C436)</f>
        <v>1650000.0000000002</v>
      </c>
      <c r="F434" s="59">
        <f t="shared" ref="F434:L434" si="764">E434*(1+$C436)</f>
        <v>1815000.0000000005</v>
      </c>
      <c r="G434" s="59">
        <f t="shared" si="764"/>
        <v>1996500.0000000007</v>
      </c>
      <c r="H434" s="59">
        <f t="shared" si="764"/>
        <v>2196150.0000000009</v>
      </c>
      <c r="I434" s="59">
        <f t="shared" si="764"/>
        <v>2415765.0000000014</v>
      </c>
      <c r="J434" s="59">
        <f t="shared" si="764"/>
        <v>2657341.5000000019</v>
      </c>
      <c r="K434" s="59">
        <f t="shared" si="764"/>
        <v>2923075.6500000022</v>
      </c>
      <c r="L434" s="59">
        <f t="shared" si="764"/>
        <v>3215383.2150000026</v>
      </c>
    </row>
    <row r="435" spans="1:12" x14ac:dyDescent="0.3">
      <c r="A435" s="210" t="s">
        <v>241</v>
      </c>
      <c r="B435" s="1" t="s">
        <v>199</v>
      </c>
      <c r="D435" s="201">
        <v>1</v>
      </c>
      <c r="E435" s="59">
        <f>D435</f>
        <v>1</v>
      </c>
      <c r="F435" s="59">
        <f t="shared" ref="F435" si="765">E435</f>
        <v>1</v>
      </c>
      <c r="G435" s="59">
        <f t="shared" ref="G435" si="766">F435</f>
        <v>1</v>
      </c>
      <c r="H435" s="59">
        <f t="shared" ref="H435" si="767">G435</f>
        <v>1</v>
      </c>
      <c r="I435" s="59">
        <f t="shared" ref="I435" si="768">H435</f>
        <v>1</v>
      </c>
      <c r="J435" s="59">
        <f t="shared" ref="J435" si="769">I435</f>
        <v>1</v>
      </c>
      <c r="K435" s="59">
        <f t="shared" ref="K435" si="770">J435</f>
        <v>1</v>
      </c>
      <c r="L435" s="59">
        <f t="shared" ref="L435" si="771">K435</f>
        <v>1</v>
      </c>
    </row>
    <row r="436" spans="1:12" s="218" customFormat="1" x14ac:dyDescent="0.3">
      <c r="A436" s="216" t="s">
        <v>153</v>
      </c>
      <c r="B436" s="204" t="s">
        <v>167</v>
      </c>
      <c r="C436" s="205">
        <v>0.1</v>
      </c>
      <c r="D436" s="217"/>
    </row>
    <row r="437" spans="1:12" x14ac:dyDescent="0.3">
      <c r="A437" s="210" t="s">
        <v>238</v>
      </c>
      <c r="B437" s="1" t="s">
        <v>165</v>
      </c>
      <c r="D437" s="201">
        <v>36000000</v>
      </c>
      <c r="E437" s="59">
        <f>D437</f>
        <v>36000000</v>
      </c>
      <c r="F437" s="59">
        <f t="shared" ref="F437:L437" si="772">E437</f>
        <v>36000000</v>
      </c>
      <c r="G437" s="59">
        <f t="shared" si="772"/>
        <v>36000000</v>
      </c>
      <c r="H437" s="59">
        <f t="shared" si="772"/>
        <v>36000000</v>
      </c>
      <c r="I437" s="59">
        <f t="shared" si="772"/>
        <v>36000000</v>
      </c>
      <c r="J437" s="59">
        <f t="shared" si="772"/>
        <v>36000000</v>
      </c>
      <c r="K437" s="59">
        <f t="shared" si="772"/>
        <v>36000000</v>
      </c>
      <c r="L437" s="59">
        <f t="shared" si="772"/>
        <v>36000000</v>
      </c>
    </row>
    <row r="438" spans="1:12" x14ac:dyDescent="0.3">
      <c r="A438" s="219" t="s">
        <v>232</v>
      </c>
    </row>
    <row r="439" spans="1:12" x14ac:dyDescent="0.3">
      <c r="A439" s="210" t="s">
        <v>244</v>
      </c>
      <c r="B439" s="1" t="s">
        <v>165</v>
      </c>
      <c r="D439" s="201"/>
    </row>
    <row r="440" spans="1:12" x14ac:dyDescent="0.3">
      <c r="A440" s="210" t="s">
        <v>240</v>
      </c>
      <c r="B440" s="1" t="s">
        <v>165</v>
      </c>
      <c r="D440" s="201">
        <v>50000</v>
      </c>
      <c r="E440" s="59">
        <f>D440*(1+$C443)</f>
        <v>55000.000000000007</v>
      </c>
      <c r="F440" s="59">
        <f t="shared" ref="F440" si="773">E440*(1+$C443)</f>
        <v>60500.000000000015</v>
      </c>
      <c r="G440" s="59">
        <f t="shared" ref="G440" si="774">F440*(1+$C443)</f>
        <v>66550.000000000015</v>
      </c>
      <c r="H440" s="59">
        <f t="shared" ref="H440" si="775">G440*(1+$C443)</f>
        <v>73205.000000000029</v>
      </c>
      <c r="I440" s="59">
        <f t="shared" ref="I440" si="776">H440*(1+$C443)</f>
        <v>80525.500000000044</v>
      </c>
      <c r="J440" s="59">
        <f t="shared" ref="J440" si="777">I440*(1+$C443)</f>
        <v>88578.050000000061</v>
      </c>
      <c r="K440" s="59">
        <f t="shared" ref="K440" si="778">J440*(1+$C443)</f>
        <v>97435.855000000069</v>
      </c>
      <c r="L440" s="59">
        <f t="shared" ref="L440" si="779">K440*(1+$C443)</f>
        <v>107179.44050000008</v>
      </c>
    </row>
    <row r="441" spans="1:12" x14ac:dyDescent="0.3">
      <c r="A441" s="210" t="s">
        <v>242</v>
      </c>
      <c r="B441" s="1" t="s">
        <v>165</v>
      </c>
      <c r="D441" s="59">
        <f>D440*$C$8</f>
        <v>600000</v>
      </c>
      <c r="E441" s="59">
        <f t="shared" ref="E441:L441" si="780">E440*$C$8</f>
        <v>660000.00000000012</v>
      </c>
      <c r="F441" s="59">
        <f t="shared" si="780"/>
        <v>726000.00000000023</v>
      </c>
      <c r="G441" s="59">
        <f t="shared" si="780"/>
        <v>798600.00000000023</v>
      </c>
      <c r="H441" s="59">
        <f t="shared" si="780"/>
        <v>878460.00000000035</v>
      </c>
      <c r="I441" s="59">
        <f t="shared" si="780"/>
        <v>966306.00000000047</v>
      </c>
      <c r="J441" s="59">
        <f t="shared" si="780"/>
        <v>1062936.6000000008</v>
      </c>
      <c r="K441" s="59">
        <f t="shared" si="780"/>
        <v>1169230.2600000007</v>
      </c>
      <c r="L441" s="59">
        <f t="shared" si="780"/>
        <v>1286153.286000001</v>
      </c>
    </row>
    <row r="442" spans="1:12" x14ac:dyDescent="0.3">
      <c r="A442" s="210" t="s">
        <v>241</v>
      </c>
      <c r="B442" s="1" t="s">
        <v>199</v>
      </c>
      <c r="D442" s="201">
        <v>1</v>
      </c>
      <c r="E442" s="59">
        <f>D442</f>
        <v>1</v>
      </c>
      <c r="F442" s="59">
        <f t="shared" ref="F442" si="781">E442</f>
        <v>1</v>
      </c>
      <c r="G442" s="59">
        <f t="shared" ref="G442" si="782">F442</f>
        <v>1</v>
      </c>
      <c r="H442" s="59">
        <f t="shared" ref="H442" si="783">G442</f>
        <v>1</v>
      </c>
      <c r="I442" s="59">
        <f t="shared" ref="I442" si="784">H442</f>
        <v>1</v>
      </c>
      <c r="J442" s="59">
        <f t="shared" ref="J442" si="785">I442</f>
        <v>1</v>
      </c>
      <c r="K442" s="59">
        <f t="shared" ref="K442" si="786">J442</f>
        <v>1</v>
      </c>
      <c r="L442" s="59">
        <f t="shared" ref="L442" si="787">K442</f>
        <v>1</v>
      </c>
    </row>
    <row r="443" spans="1:12" s="218" customFormat="1" x14ac:dyDescent="0.3">
      <c r="A443" s="216" t="s">
        <v>243</v>
      </c>
      <c r="B443" s="204" t="s">
        <v>167</v>
      </c>
      <c r="C443" s="205">
        <v>0.1</v>
      </c>
      <c r="D443" s="217"/>
    </row>
    <row r="444" spans="1:12" x14ac:dyDescent="0.3">
      <c r="A444" s="210" t="s">
        <v>238</v>
      </c>
      <c r="D444" s="201">
        <v>5400000</v>
      </c>
      <c r="E444" s="59">
        <f>D444</f>
        <v>5400000</v>
      </c>
      <c r="F444" s="59">
        <f t="shared" ref="F444:L444" si="788">E444</f>
        <v>5400000</v>
      </c>
      <c r="G444" s="59">
        <f t="shared" si="788"/>
        <v>5400000</v>
      </c>
      <c r="H444" s="59">
        <f t="shared" si="788"/>
        <v>5400000</v>
      </c>
      <c r="I444" s="59">
        <f t="shared" si="788"/>
        <v>5400000</v>
      </c>
      <c r="J444" s="59">
        <f t="shared" si="788"/>
        <v>5400000</v>
      </c>
      <c r="K444" s="59">
        <f t="shared" si="788"/>
        <v>5400000</v>
      </c>
      <c r="L444" s="59">
        <f t="shared" si="788"/>
        <v>5400000</v>
      </c>
    </row>
    <row r="445" spans="1:12" x14ac:dyDescent="0.3">
      <c r="A445" s="219" t="s">
        <v>233</v>
      </c>
    </row>
    <row r="446" spans="1:12" x14ac:dyDescent="0.3">
      <c r="A446" s="210" t="s">
        <v>244</v>
      </c>
      <c r="B446" s="1" t="s">
        <v>165</v>
      </c>
      <c r="D446" s="201"/>
    </row>
    <row r="447" spans="1:12" x14ac:dyDescent="0.3">
      <c r="A447" s="210" t="s">
        <v>240</v>
      </c>
      <c r="B447" s="1" t="s">
        <v>165</v>
      </c>
      <c r="D447" s="201">
        <v>250000</v>
      </c>
      <c r="E447" s="59">
        <f>D447*(1+$C450)</f>
        <v>275000</v>
      </c>
      <c r="F447" s="59">
        <f t="shared" ref="F447" si="789">E447*(1+$C450)</f>
        <v>302500</v>
      </c>
      <c r="G447" s="59">
        <f t="shared" ref="G447" si="790">F447*(1+$C450)</f>
        <v>332750</v>
      </c>
      <c r="H447" s="59">
        <f t="shared" ref="H447" si="791">G447*(1+$C450)</f>
        <v>366025.00000000006</v>
      </c>
      <c r="I447" s="59">
        <f t="shared" ref="I447" si="792">H447*(1+$C450)</f>
        <v>402627.50000000012</v>
      </c>
      <c r="J447" s="59">
        <f t="shared" ref="J447" si="793">I447*(1+$C450)</f>
        <v>442890.25000000017</v>
      </c>
      <c r="K447" s="59">
        <f t="shared" ref="K447" si="794">J447*(1+$C450)</f>
        <v>487179.27500000026</v>
      </c>
      <c r="L447" s="59">
        <f t="shared" ref="L447" si="795">K447*(1+$C450)</f>
        <v>535897.20250000036</v>
      </c>
    </row>
    <row r="448" spans="1:12" x14ac:dyDescent="0.3">
      <c r="A448" s="210" t="s">
        <v>242</v>
      </c>
      <c r="B448" s="1" t="s">
        <v>165</v>
      </c>
      <c r="D448" s="59">
        <f>D447*$C$8</f>
        <v>3000000</v>
      </c>
      <c r="E448" s="59">
        <f t="shared" ref="E448:L448" si="796">E447*$C$8</f>
        <v>3300000</v>
      </c>
      <c r="F448" s="59">
        <f t="shared" si="796"/>
        <v>3630000</v>
      </c>
      <c r="G448" s="59">
        <f t="shared" si="796"/>
        <v>3993000</v>
      </c>
      <c r="H448" s="59">
        <f t="shared" si="796"/>
        <v>4392300.0000000009</v>
      </c>
      <c r="I448" s="59">
        <f t="shared" si="796"/>
        <v>4831530.0000000019</v>
      </c>
      <c r="J448" s="59">
        <f t="shared" si="796"/>
        <v>5314683.0000000019</v>
      </c>
      <c r="K448" s="59">
        <f t="shared" si="796"/>
        <v>5846151.3000000026</v>
      </c>
      <c r="L448" s="59">
        <f t="shared" si="796"/>
        <v>6430766.4300000044</v>
      </c>
    </row>
    <row r="449" spans="1:12" x14ac:dyDescent="0.3">
      <c r="A449" s="210" t="s">
        <v>241</v>
      </c>
      <c r="B449" s="1" t="s">
        <v>199</v>
      </c>
      <c r="D449" s="201">
        <v>1</v>
      </c>
      <c r="E449" s="59">
        <f>D449</f>
        <v>1</v>
      </c>
      <c r="F449" s="59">
        <f t="shared" ref="F449" si="797">E449</f>
        <v>1</v>
      </c>
      <c r="G449" s="59">
        <f t="shared" ref="G449" si="798">F449</f>
        <v>1</v>
      </c>
      <c r="H449" s="59">
        <f t="shared" ref="H449" si="799">G449</f>
        <v>1</v>
      </c>
      <c r="I449" s="59">
        <f t="shared" ref="I449" si="800">H449</f>
        <v>1</v>
      </c>
      <c r="J449" s="59">
        <f t="shared" ref="J449" si="801">I449</f>
        <v>1</v>
      </c>
      <c r="K449" s="59">
        <f t="shared" ref="K449" si="802">J449</f>
        <v>1</v>
      </c>
      <c r="L449" s="59">
        <f t="shared" ref="L449" si="803">K449</f>
        <v>1</v>
      </c>
    </row>
    <row r="450" spans="1:12" s="218" customFormat="1" x14ac:dyDescent="0.3">
      <c r="A450" s="216" t="s">
        <v>243</v>
      </c>
      <c r="B450" s="204" t="s">
        <v>167</v>
      </c>
      <c r="C450" s="205">
        <v>0.1</v>
      </c>
      <c r="D450" s="217"/>
    </row>
    <row r="451" spans="1:12" x14ac:dyDescent="0.3">
      <c r="A451" s="210" t="s">
        <v>238</v>
      </c>
      <c r="D451" s="201">
        <v>30000000</v>
      </c>
      <c r="E451" s="59">
        <f>D451</f>
        <v>30000000</v>
      </c>
      <c r="F451" s="59">
        <f t="shared" ref="F451" si="804">E451</f>
        <v>30000000</v>
      </c>
      <c r="G451" s="59">
        <f t="shared" ref="G451" si="805">F451</f>
        <v>30000000</v>
      </c>
      <c r="H451" s="59">
        <f t="shared" ref="H451" si="806">G451</f>
        <v>30000000</v>
      </c>
      <c r="I451" s="59">
        <f t="shared" ref="I451" si="807">H451</f>
        <v>30000000</v>
      </c>
      <c r="J451" s="59">
        <f t="shared" ref="J451" si="808">I451</f>
        <v>30000000</v>
      </c>
      <c r="K451" s="59">
        <f t="shared" ref="K451" si="809">J451</f>
        <v>30000000</v>
      </c>
      <c r="L451" s="59">
        <f t="shared" ref="L451" si="810">K451</f>
        <v>30000000</v>
      </c>
    </row>
    <row r="452" spans="1:12" x14ac:dyDescent="0.3">
      <c r="A452" s="219" t="s">
        <v>251</v>
      </c>
    </row>
    <row r="453" spans="1:12" x14ac:dyDescent="0.3">
      <c r="A453" s="210" t="s">
        <v>244</v>
      </c>
      <c r="B453" s="1" t="s">
        <v>165</v>
      </c>
      <c r="D453" s="201"/>
    </row>
    <row r="454" spans="1:12" x14ac:dyDescent="0.3">
      <c r="A454" s="210" t="s">
        <v>240</v>
      </c>
      <c r="B454" s="1" t="s">
        <v>165</v>
      </c>
      <c r="D454" s="201">
        <v>5000</v>
      </c>
      <c r="E454" s="59">
        <f>D454*(1+$C457)</f>
        <v>5500</v>
      </c>
      <c r="F454" s="59">
        <f t="shared" ref="F454" si="811">E454*(1+$C457)</f>
        <v>6050.0000000000009</v>
      </c>
      <c r="G454" s="59">
        <f t="shared" ref="G454" si="812">F454*(1+$C457)</f>
        <v>6655.0000000000018</v>
      </c>
      <c r="H454" s="59">
        <f t="shared" ref="H454" si="813">G454*(1+$C457)</f>
        <v>7320.5000000000027</v>
      </c>
      <c r="I454" s="59">
        <f t="shared" ref="I454" si="814">H454*(1+$C457)</f>
        <v>8052.5500000000038</v>
      </c>
      <c r="J454" s="59">
        <f t="shared" ref="J454" si="815">I454*(1+$C457)</f>
        <v>8857.8050000000057</v>
      </c>
      <c r="K454" s="59">
        <f t="shared" ref="K454" si="816">J454*(1+$C457)</f>
        <v>9743.5855000000065</v>
      </c>
      <c r="L454" s="59">
        <f t="shared" ref="L454" si="817">K454*(1+$C457)</f>
        <v>10717.944050000007</v>
      </c>
    </row>
    <row r="455" spans="1:12" x14ac:dyDescent="0.3">
      <c r="A455" s="210" t="s">
        <v>242</v>
      </c>
      <c r="B455" s="1" t="s">
        <v>165</v>
      </c>
      <c r="D455" s="59">
        <f>D454*$C$8</f>
        <v>60000</v>
      </c>
      <c r="E455" s="59">
        <f t="shared" ref="E455:L455" si="818">E454*$C$8</f>
        <v>66000</v>
      </c>
      <c r="F455" s="59">
        <f t="shared" si="818"/>
        <v>72600.000000000015</v>
      </c>
      <c r="G455" s="59">
        <f t="shared" si="818"/>
        <v>79860.000000000029</v>
      </c>
      <c r="H455" s="59">
        <f t="shared" si="818"/>
        <v>87846.000000000029</v>
      </c>
      <c r="I455" s="59">
        <f t="shared" si="818"/>
        <v>96630.600000000049</v>
      </c>
      <c r="J455" s="59">
        <f t="shared" si="818"/>
        <v>106293.66000000006</v>
      </c>
      <c r="K455" s="59">
        <f t="shared" si="818"/>
        <v>116923.02600000007</v>
      </c>
      <c r="L455" s="59">
        <f t="shared" si="818"/>
        <v>128615.3286000001</v>
      </c>
    </row>
    <row r="456" spans="1:12" x14ac:dyDescent="0.3">
      <c r="A456" s="210" t="s">
        <v>241</v>
      </c>
      <c r="B456" s="1" t="s">
        <v>199</v>
      </c>
      <c r="D456" s="201">
        <v>3</v>
      </c>
      <c r="E456" s="59">
        <f>D456</f>
        <v>3</v>
      </c>
      <c r="F456" s="59">
        <f t="shared" ref="F456" si="819">E456</f>
        <v>3</v>
      </c>
      <c r="G456" s="59">
        <f t="shared" ref="G456" si="820">F456</f>
        <v>3</v>
      </c>
      <c r="H456" s="59">
        <f t="shared" ref="H456" si="821">G456</f>
        <v>3</v>
      </c>
      <c r="I456" s="59">
        <f t="shared" ref="I456" si="822">H456</f>
        <v>3</v>
      </c>
      <c r="J456" s="59">
        <f t="shared" ref="J456" si="823">I456</f>
        <v>3</v>
      </c>
      <c r="K456" s="59">
        <f t="shared" ref="K456" si="824">J456</f>
        <v>3</v>
      </c>
      <c r="L456" s="59">
        <f t="shared" ref="L456" si="825">K456</f>
        <v>3</v>
      </c>
    </row>
    <row r="457" spans="1:12" s="218" customFormat="1" x14ac:dyDescent="0.3">
      <c r="A457" s="216" t="s">
        <v>243</v>
      </c>
      <c r="B457" s="204" t="s">
        <v>167</v>
      </c>
      <c r="C457" s="205">
        <v>0.1</v>
      </c>
      <c r="D457" s="217"/>
    </row>
    <row r="458" spans="1:12" x14ac:dyDescent="0.3">
      <c r="A458" s="210" t="s">
        <v>238</v>
      </c>
      <c r="D458" s="201">
        <v>600000</v>
      </c>
      <c r="E458" s="59">
        <f>D458</f>
        <v>600000</v>
      </c>
      <c r="F458" s="59">
        <f t="shared" ref="F458:L458" si="826">E458</f>
        <v>600000</v>
      </c>
      <c r="G458" s="59">
        <f t="shared" si="826"/>
        <v>600000</v>
      </c>
      <c r="H458" s="59">
        <f t="shared" si="826"/>
        <v>600000</v>
      </c>
      <c r="I458" s="59">
        <f t="shared" si="826"/>
        <v>600000</v>
      </c>
      <c r="J458" s="59">
        <f t="shared" si="826"/>
        <v>600000</v>
      </c>
      <c r="K458" s="59">
        <f t="shared" si="826"/>
        <v>600000</v>
      </c>
      <c r="L458" s="59">
        <f t="shared" si="826"/>
        <v>600000</v>
      </c>
    </row>
    <row r="459" spans="1:12" x14ac:dyDescent="0.3">
      <c r="A459" s="219" t="s">
        <v>250</v>
      </c>
    </row>
    <row r="460" spans="1:12" x14ac:dyDescent="0.3">
      <c r="A460" s="210" t="s">
        <v>244</v>
      </c>
      <c r="B460" s="1" t="s">
        <v>165</v>
      </c>
      <c r="D460" s="201"/>
    </row>
    <row r="461" spans="1:12" x14ac:dyDescent="0.3">
      <c r="A461" s="210" t="s">
        <v>240</v>
      </c>
      <c r="B461" s="1" t="s">
        <v>165</v>
      </c>
      <c r="D461" s="201">
        <v>15000</v>
      </c>
      <c r="E461" s="59">
        <f>D461*(1+$C464)</f>
        <v>16500</v>
      </c>
      <c r="F461" s="59">
        <f t="shared" ref="F461" si="827">E461*(1+$C464)</f>
        <v>18150</v>
      </c>
      <c r="G461" s="59">
        <f t="shared" ref="G461" si="828">F461*(1+$C464)</f>
        <v>19965</v>
      </c>
      <c r="H461" s="59">
        <f t="shared" ref="H461" si="829">G461*(1+$C464)</f>
        <v>21961.5</v>
      </c>
      <c r="I461" s="59">
        <f t="shared" ref="I461" si="830">H461*(1+$C464)</f>
        <v>24157.65</v>
      </c>
      <c r="J461" s="59">
        <f t="shared" ref="J461" si="831">I461*(1+$C464)</f>
        <v>26573.415000000005</v>
      </c>
      <c r="K461" s="59">
        <f t="shared" ref="K461" si="832">J461*(1+$C464)</f>
        <v>29230.756500000007</v>
      </c>
      <c r="L461" s="59">
        <f t="shared" ref="L461" si="833">K461*(1+$C464)</f>
        <v>32153.832150000009</v>
      </c>
    </row>
    <row r="462" spans="1:12" x14ac:dyDescent="0.3">
      <c r="A462" s="210" t="s">
        <v>242</v>
      </c>
      <c r="B462" s="1" t="s">
        <v>165</v>
      </c>
      <c r="D462" s="59">
        <f>D461*$C$8</f>
        <v>180000</v>
      </c>
      <c r="E462" s="59">
        <f t="shared" ref="E462:L462" si="834">E461*$C$8</f>
        <v>198000</v>
      </c>
      <c r="F462" s="59">
        <f t="shared" si="834"/>
        <v>217800</v>
      </c>
      <c r="G462" s="59">
        <f t="shared" si="834"/>
        <v>239580</v>
      </c>
      <c r="H462" s="59">
        <f t="shared" si="834"/>
        <v>263538</v>
      </c>
      <c r="I462" s="59">
        <f t="shared" si="834"/>
        <v>289891.80000000005</v>
      </c>
      <c r="J462" s="59">
        <f t="shared" si="834"/>
        <v>318880.98000000004</v>
      </c>
      <c r="K462" s="59">
        <f t="shared" si="834"/>
        <v>350769.0780000001</v>
      </c>
      <c r="L462" s="59">
        <f t="shared" si="834"/>
        <v>385845.98580000014</v>
      </c>
    </row>
    <row r="463" spans="1:12" x14ac:dyDescent="0.3">
      <c r="A463" s="210" t="s">
        <v>241</v>
      </c>
      <c r="B463" s="1" t="s">
        <v>199</v>
      </c>
      <c r="D463" s="201">
        <v>1</v>
      </c>
      <c r="E463" s="59">
        <f>D463</f>
        <v>1</v>
      </c>
      <c r="F463" s="59">
        <f t="shared" ref="F463" si="835">E463</f>
        <v>1</v>
      </c>
      <c r="G463" s="59">
        <f t="shared" ref="G463" si="836">F463</f>
        <v>1</v>
      </c>
      <c r="H463" s="59">
        <f t="shared" ref="H463" si="837">G463</f>
        <v>1</v>
      </c>
      <c r="I463" s="59">
        <f t="shared" ref="I463" si="838">H463</f>
        <v>1</v>
      </c>
      <c r="J463" s="59">
        <f t="shared" ref="J463" si="839">I463</f>
        <v>1</v>
      </c>
      <c r="K463" s="59">
        <f t="shared" ref="K463" si="840">J463</f>
        <v>1</v>
      </c>
      <c r="L463" s="59">
        <f t="shared" ref="L463" si="841">K463</f>
        <v>1</v>
      </c>
    </row>
    <row r="464" spans="1:12" s="218" customFormat="1" x14ac:dyDescent="0.3">
      <c r="A464" s="216" t="s">
        <v>243</v>
      </c>
      <c r="B464" s="204" t="s">
        <v>167</v>
      </c>
      <c r="C464" s="205">
        <v>0.1</v>
      </c>
      <c r="D464" s="217"/>
    </row>
    <row r="465" spans="1:12" x14ac:dyDescent="0.3">
      <c r="A465" s="210" t="s">
        <v>238</v>
      </c>
      <c r="D465" s="201">
        <v>300000</v>
      </c>
      <c r="E465" s="59">
        <f>D465</f>
        <v>300000</v>
      </c>
      <c r="F465" s="59">
        <f t="shared" ref="F465:L465" si="842">E465</f>
        <v>300000</v>
      </c>
      <c r="G465" s="59">
        <f t="shared" si="842"/>
        <v>300000</v>
      </c>
      <c r="H465" s="59">
        <f t="shared" si="842"/>
        <v>300000</v>
      </c>
      <c r="I465" s="59">
        <f t="shared" si="842"/>
        <v>300000</v>
      </c>
      <c r="J465" s="59">
        <f t="shared" si="842"/>
        <v>300000</v>
      </c>
      <c r="K465" s="59">
        <f t="shared" si="842"/>
        <v>300000</v>
      </c>
      <c r="L465" s="59">
        <f t="shared" si="842"/>
        <v>300000</v>
      </c>
    </row>
    <row r="466" spans="1:12" x14ac:dyDescent="0.3">
      <c r="A466" s="219" t="s">
        <v>247</v>
      </c>
    </row>
    <row r="467" spans="1:12" x14ac:dyDescent="0.3">
      <c r="A467" s="210" t="s">
        <v>244</v>
      </c>
      <c r="B467" s="1" t="s">
        <v>165</v>
      </c>
      <c r="D467" s="201"/>
    </row>
    <row r="468" spans="1:12" x14ac:dyDescent="0.3">
      <c r="A468" s="210" t="s">
        <v>240</v>
      </c>
      <c r="B468" s="1" t="s">
        <v>165</v>
      </c>
      <c r="D468" s="201">
        <v>4500</v>
      </c>
      <c r="E468" s="59">
        <f>D468*(1+$C471)</f>
        <v>4950</v>
      </c>
      <c r="F468" s="59">
        <f t="shared" ref="F468" si="843">E468*(1+$C471)</f>
        <v>5445</v>
      </c>
      <c r="G468" s="59">
        <f t="shared" ref="G468" si="844">F468*(1+$C471)</f>
        <v>5989.5000000000009</v>
      </c>
      <c r="H468" s="59">
        <f t="shared" ref="H468" si="845">G468*(1+$C471)</f>
        <v>6588.4500000000016</v>
      </c>
      <c r="I468" s="59">
        <f t="shared" ref="I468" si="846">H468*(1+$C471)</f>
        <v>7247.2950000000028</v>
      </c>
      <c r="J468" s="59">
        <f t="shared" ref="J468" si="847">I468*(1+$C471)</f>
        <v>7972.0245000000041</v>
      </c>
      <c r="K468" s="59">
        <f t="shared" ref="K468" si="848">J468*(1+$C471)</f>
        <v>8769.2269500000057</v>
      </c>
      <c r="L468" s="59">
        <f t="shared" ref="L468" si="849">K468*(1+$C471)</f>
        <v>9646.1496450000068</v>
      </c>
    </row>
    <row r="469" spans="1:12" x14ac:dyDescent="0.3">
      <c r="A469" s="210" t="s">
        <v>242</v>
      </c>
      <c r="B469" s="1" t="s">
        <v>165</v>
      </c>
      <c r="D469" s="59">
        <f>D468*$C$8</f>
        <v>54000</v>
      </c>
      <c r="E469" s="59">
        <f t="shared" ref="E469:L469" si="850">E468*$C$8</f>
        <v>59400</v>
      </c>
      <c r="F469" s="59">
        <f t="shared" si="850"/>
        <v>65340</v>
      </c>
      <c r="G469" s="59">
        <f t="shared" si="850"/>
        <v>71874.000000000015</v>
      </c>
      <c r="H469" s="59">
        <f t="shared" si="850"/>
        <v>79061.400000000023</v>
      </c>
      <c r="I469" s="59">
        <f t="shared" si="850"/>
        <v>86967.540000000037</v>
      </c>
      <c r="J469" s="59">
        <f t="shared" si="850"/>
        <v>95664.294000000053</v>
      </c>
      <c r="K469" s="59">
        <f t="shared" si="850"/>
        <v>105230.72340000008</v>
      </c>
      <c r="L469" s="59">
        <f t="shared" si="850"/>
        <v>115753.79574000009</v>
      </c>
    </row>
    <row r="470" spans="1:12" x14ac:dyDescent="0.3">
      <c r="A470" s="210" t="s">
        <v>241</v>
      </c>
      <c r="B470" s="1" t="s">
        <v>199</v>
      </c>
      <c r="D470" s="201">
        <v>4</v>
      </c>
      <c r="E470" s="59">
        <f>D470</f>
        <v>4</v>
      </c>
      <c r="F470" s="59">
        <f t="shared" ref="F470" si="851">E470</f>
        <v>4</v>
      </c>
      <c r="G470" s="59">
        <f t="shared" ref="G470" si="852">F470</f>
        <v>4</v>
      </c>
      <c r="H470" s="59">
        <f t="shared" ref="H470" si="853">G470</f>
        <v>4</v>
      </c>
      <c r="I470" s="59">
        <f t="shared" ref="I470" si="854">H470</f>
        <v>4</v>
      </c>
      <c r="J470" s="59">
        <f t="shared" ref="J470" si="855">I470</f>
        <v>4</v>
      </c>
      <c r="K470" s="59">
        <f t="shared" ref="K470" si="856">J470</f>
        <v>4</v>
      </c>
      <c r="L470" s="59">
        <f t="shared" ref="L470" si="857">K470</f>
        <v>4</v>
      </c>
    </row>
    <row r="471" spans="1:12" s="218" customFormat="1" x14ac:dyDescent="0.3">
      <c r="A471" s="216" t="s">
        <v>243</v>
      </c>
      <c r="B471" s="204" t="s">
        <v>167</v>
      </c>
      <c r="C471" s="205">
        <v>0.1</v>
      </c>
      <c r="D471" s="217"/>
    </row>
    <row r="472" spans="1:12" x14ac:dyDescent="0.3">
      <c r="A472" s="210" t="s">
        <v>238</v>
      </c>
      <c r="D472" s="201">
        <v>500000</v>
      </c>
      <c r="E472" s="59">
        <f>D472</f>
        <v>500000</v>
      </c>
      <c r="F472" s="59">
        <f t="shared" ref="F472:L472" si="858">E472</f>
        <v>500000</v>
      </c>
      <c r="G472" s="59">
        <f t="shared" si="858"/>
        <v>500000</v>
      </c>
      <c r="H472" s="59">
        <f t="shared" si="858"/>
        <v>500000</v>
      </c>
      <c r="I472" s="59">
        <f t="shared" si="858"/>
        <v>500000</v>
      </c>
      <c r="J472" s="59">
        <f t="shared" si="858"/>
        <v>500000</v>
      </c>
      <c r="K472" s="59">
        <f t="shared" si="858"/>
        <v>500000</v>
      </c>
      <c r="L472" s="59">
        <f t="shared" si="858"/>
        <v>500000</v>
      </c>
    </row>
    <row r="473" spans="1:12" x14ac:dyDescent="0.3">
      <c r="A473" s="219" t="s">
        <v>252</v>
      </c>
    </row>
    <row r="474" spans="1:12" x14ac:dyDescent="0.3">
      <c r="A474" s="210" t="s">
        <v>244</v>
      </c>
      <c r="B474" s="1" t="s">
        <v>165</v>
      </c>
      <c r="D474" s="201"/>
    </row>
    <row r="475" spans="1:12" x14ac:dyDescent="0.3">
      <c r="A475" s="210" t="s">
        <v>240</v>
      </c>
      <c r="B475" s="1" t="s">
        <v>165</v>
      </c>
      <c r="D475" s="201"/>
      <c r="E475" s="59">
        <f>D475*(1+$C478)</f>
        <v>0</v>
      </c>
      <c r="F475" s="59">
        <f t="shared" ref="F475" si="859">E475*(1+$C478)</f>
        <v>0</v>
      </c>
      <c r="G475" s="59">
        <f t="shared" ref="G475" si="860">F475*(1+$C478)</f>
        <v>0</v>
      </c>
      <c r="H475" s="59">
        <f t="shared" ref="H475" si="861">G475*(1+$C478)</f>
        <v>0</v>
      </c>
      <c r="I475" s="59">
        <f t="shared" ref="I475" si="862">H475*(1+$C478)</f>
        <v>0</v>
      </c>
      <c r="J475" s="59">
        <f t="shared" ref="J475" si="863">I475*(1+$C478)</f>
        <v>0</v>
      </c>
      <c r="K475" s="59">
        <f t="shared" ref="K475" si="864">J475*(1+$C478)</f>
        <v>0</v>
      </c>
      <c r="L475" s="59">
        <f t="shared" ref="L475" si="865">K475*(1+$C478)</f>
        <v>0</v>
      </c>
    </row>
    <row r="476" spans="1:12" x14ac:dyDescent="0.3">
      <c r="A476" s="210" t="s">
        <v>242</v>
      </c>
      <c r="B476" s="1" t="s">
        <v>165</v>
      </c>
      <c r="D476" s="201">
        <v>1500000</v>
      </c>
      <c r="E476" s="59">
        <f>D476*(1+$C478)</f>
        <v>1650000.0000000002</v>
      </c>
      <c r="F476" s="59">
        <f t="shared" ref="F476:L476" si="866">E476*(1+$C478)</f>
        <v>1815000.0000000005</v>
      </c>
      <c r="G476" s="59">
        <f t="shared" si="866"/>
        <v>1996500.0000000007</v>
      </c>
      <c r="H476" s="59">
        <f t="shared" si="866"/>
        <v>2196150.0000000009</v>
      </c>
      <c r="I476" s="59">
        <f t="shared" si="866"/>
        <v>2415765.0000000014</v>
      </c>
      <c r="J476" s="59">
        <f t="shared" si="866"/>
        <v>2657341.5000000019</v>
      </c>
      <c r="K476" s="59">
        <f t="shared" si="866"/>
        <v>2923075.6500000022</v>
      </c>
      <c r="L476" s="59">
        <f t="shared" si="866"/>
        <v>3215383.2150000026</v>
      </c>
    </row>
    <row r="477" spans="1:12" x14ac:dyDescent="0.3">
      <c r="A477" s="210" t="s">
        <v>241</v>
      </c>
      <c r="B477" s="1" t="s">
        <v>199</v>
      </c>
      <c r="D477" s="201">
        <v>1</v>
      </c>
      <c r="E477" s="59">
        <f>D477</f>
        <v>1</v>
      </c>
      <c r="F477" s="59">
        <f t="shared" ref="F477" si="867">E477</f>
        <v>1</v>
      </c>
      <c r="G477" s="59">
        <f t="shared" ref="G477" si="868">F477</f>
        <v>1</v>
      </c>
      <c r="H477" s="59">
        <f t="shared" ref="H477" si="869">G477</f>
        <v>1</v>
      </c>
      <c r="I477" s="59">
        <f t="shared" ref="I477" si="870">H477</f>
        <v>1</v>
      </c>
      <c r="J477" s="59">
        <f t="shared" ref="J477" si="871">I477</f>
        <v>1</v>
      </c>
      <c r="K477" s="59">
        <f t="shared" ref="K477" si="872">J477</f>
        <v>1</v>
      </c>
      <c r="L477" s="59">
        <f t="shared" ref="L477" si="873">K477</f>
        <v>1</v>
      </c>
    </row>
    <row r="478" spans="1:12" s="218" customFormat="1" x14ac:dyDescent="0.3">
      <c r="A478" s="216" t="s">
        <v>243</v>
      </c>
      <c r="B478" s="204" t="s">
        <v>167</v>
      </c>
      <c r="C478" s="205">
        <v>0.1</v>
      </c>
      <c r="D478" s="217"/>
    </row>
    <row r="479" spans="1:12" x14ac:dyDescent="0.3">
      <c r="A479" s="210" t="s">
        <v>238</v>
      </c>
      <c r="D479" s="201"/>
      <c r="E479" s="59">
        <f>D479</f>
        <v>0</v>
      </c>
      <c r="F479" s="59">
        <f t="shared" ref="F479:L479" si="874">E479</f>
        <v>0</v>
      </c>
      <c r="G479" s="59">
        <f t="shared" si="874"/>
        <v>0</v>
      </c>
      <c r="H479" s="59">
        <f t="shared" si="874"/>
        <v>0</v>
      </c>
      <c r="I479" s="59">
        <f t="shared" si="874"/>
        <v>0</v>
      </c>
      <c r="J479" s="59">
        <f t="shared" si="874"/>
        <v>0</v>
      </c>
      <c r="K479" s="59">
        <f t="shared" si="874"/>
        <v>0</v>
      </c>
      <c r="L479" s="59">
        <f t="shared" si="874"/>
        <v>0</v>
      </c>
    </row>
    <row r="480" spans="1:12" x14ac:dyDescent="0.3">
      <c r="A480" s="219" t="s">
        <v>253</v>
      </c>
    </row>
    <row r="481" spans="1:12" x14ac:dyDescent="0.3">
      <c r="A481" s="210" t="s">
        <v>244</v>
      </c>
      <c r="B481" s="1" t="s">
        <v>165</v>
      </c>
      <c r="D481" s="201"/>
    </row>
    <row r="482" spans="1:12" x14ac:dyDescent="0.3">
      <c r="A482" s="210" t="s">
        <v>240</v>
      </c>
      <c r="B482" s="1" t="s">
        <v>165</v>
      </c>
      <c r="D482" s="201">
        <v>50000</v>
      </c>
      <c r="E482" s="59">
        <f>D482*(1+$C485)</f>
        <v>55000.000000000007</v>
      </c>
      <c r="F482" s="59">
        <f t="shared" ref="F482" si="875">E482*(1+$C485)</f>
        <v>60500.000000000015</v>
      </c>
      <c r="G482" s="59">
        <f t="shared" ref="G482" si="876">F482*(1+$C485)</f>
        <v>66550.000000000015</v>
      </c>
      <c r="H482" s="59">
        <f t="shared" ref="H482" si="877">G482*(1+$C485)</f>
        <v>73205.000000000029</v>
      </c>
      <c r="I482" s="59">
        <f t="shared" ref="I482" si="878">H482*(1+$C485)</f>
        <v>80525.500000000044</v>
      </c>
      <c r="J482" s="59">
        <f t="shared" ref="J482" si="879">I482*(1+$C485)</f>
        <v>88578.050000000061</v>
      </c>
      <c r="K482" s="59">
        <f t="shared" ref="K482" si="880">J482*(1+$C485)</f>
        <v>97435.855000000069</v>
      </c>
      <c r="L482" s="59">
        <f t="shared" ref="L482" si="881">K482*(1+$C485)</f>
        <v>107179.44050000008</v>
      </c>
    </row>
    <row r="483" spans="1:12" x14ac:dyDescent="0.3">
      <c r="A483" s="210" t="s">
        <v>242</v>
      </c>
      <c r="B483" s="1" t="s">
        <v>165</v>
      </c>
      <c r="D483" s="59">
        <f>D482*$C$8</f>
        <v>600000</v>
      </c>
      <c r="E483" s="59">
        <f t="shared" ref="E483:L483" si="882">E482*$C$8</f>
        <v>660000.00000000012</v>
      </c>
      <c r="F483" s="59">
        <f t="shared" si="882"/>
        <v>726000.00000000023</v>
      </c>
      <c r="G483" s="59">
        <f t="shared" si="882"/>
        <v>798600.00000000023</v>
      </c>
      <c r="H483" s="59">
        <f t="shared" si="882"/>
        <v>878460.00000000035</v>
      </c>
      <c r="I483" s="59">
        <f t="shared" si="882"/>
        <v>966306.00000000047</v>
      </c>
      <c r="J483" s="59">
        <f t="shared" si="882"/>
        <v>1062936.6000000008</v>
      </c>
      <c r="K483" s="59">
        <f t="shared" si="882"/>
        <v>1169230.2600000007</v>
      </c>
      <c r="L483" s="59">
        <f t="shared" si="882"/>
        <v>1286153.286000001</v>
      </c>
    </row>
    <row r="484" spans="1:12" x14ac:dyDescent="0.3">
      <c r="A484" s="210" t="s">
        <v>241</v>
      </c>
      <c r="B484" s="1" t="s">
        <v>199</v>
      </c>
      <c r="D484" s="201">
        <v>4</v>
      </c>
      <c r="E484" s="59">
        <f>D484</f>
        <v>4</v>
      </c>
      <c r="F484" s="59">
        <f t="shared" ref="F484" si="883">E484</f>
        <v>4</v>
      </c>
      <c r="G484" s="59">
        <f t="shared" ref="G484" si="884">F484</f>
        <v>4</v>
      </c>
      <c r="H484" s="59">
        <f t="shared" ref="H484" si="885">G484</f>
        <v>4</v>
      </c>
      <c r="I484" s="59">
        <f t="shared" ref="I484" si="886">H484</f>
        <v>4</v>
      </c>
      <c r="J484" s="59">
        <f t="shared" ref="J484" si="887">I484</f>
        <v>4</v>
      </c>
      <c r="K484" s="59">
        <f t="shared" ref="K484" si="888">J484</f>
        <v>4</v>
      </c>
      <c r="L484" s="59">
        <f t="shared" ref="L484" si="889">K484</f>
        <v>4</v>
      </c>
    </row>
    <row r="485" spans="1:12" s="218" customFormat="1" x14ac:dyDescent="0.3">
      <c r="A485" s="216" t="s">
        <v>243</v>
      </c>
      <c r="B485" s="204" t="s">
        <v>167</v>
      </c>
      <c r="C485" s="205">
        <v>0.1</v>
      </c>
      <c r="D485" s="217"/>
    </row>
    <row r="486" spans="1:12" x14ac:dyDescent="0.3">
      <c r="A486" s="210" t="s">
        <v>238</v>
      </c>
      <c r="D486" s="201"/>
      <c r="E486" s="59">
        <f>D486</f>
        <v>0</v>
      </c>
      <c r="F486" s="59">
        <f t="shared" ref="F486:L486" si="890">E486</f>
        <v>0</v>
      </c>
      <c r="G486" s="59">
        <f t="shared" si="890"/>
        <v>0</v>
      </c>
      <c r="H486" s="59">
        <f t="shared" si="890"/>
        <v>0</v>
      </c>
      <c r="I486" s="59">
        <f t="shared" si="890"/>
        <v>0</v>
      </c>
      <c r="J486" s="59">
        <f t="shared" si="890"/>
        <v>0</v>
      </c>
      <c r="K486" s="59">
        <f t="shared" si="890"/>
        <v>0</v>
      </c>
      <c r="L486" s="59">
        <f t="shared" si="890"/>
        <v>0</v>
      </c>
    </row>
    <row r="487" spans="1:12" x14ac:dyDescent="0.3">
      <c r="A487" s="219" t="s">
        <v>254</v>
      </c>
    </row>
    <row r="488" spans="1:12" x14ac:dyDescent="0.3">
      <c r="A488" s="210" t="s">
        <v>244</v>
      </c>
      <c r="B488" s="1" t="s">
        <v>165</v>
      </c>
      <c r="D488" s="201"/>
    </row>
    <row r="489" spans="1:12" x14ac:dyDescent="0.3">
      <c r="A489" s="210" t="s">
        <v>240</v>
      </c>
      <c r="B489" s="1" t="s">
        <v>165</v>
      </c>
      <c r="D489" s="201">
        <v>25000</v>
      </c>
      <c r="E489" s="59">
        <f>D489*(1+$C492)</f>
        <v>27500.000000000004</v>
      </c>
      <c r="F489" s="59">
        <f t="shared" ref="F489" si="891">E489*(1+$C492)</f>
        <v>30250.000000000007</v>
      </c>
      <c r="G489" s="59">
        <f t="shared" ref="G489" si="892">F489*(1+$C492)</f>
        <v>33275.000000000007</v>
      </c>
      <c r="H489" s="59">
        <f t="shared" ref="H489" si="893">G489*(1+$C492)</f>
        <v>36602.500000000015</v>
      </c>
      <c r="I489" s="59">
        <f t="shared" ref="I489" si="894">H489*(1+$C492)</f>
        <v>40262.750000000022</v>
      </c>
      <c r="J489" s="59">
        <f t="shared" ref="J489" si="895">I489*(1+$C492)</f>
        <v>44289.025000000031</v>
      </c>
      <c r="K489" s="59">
        <f t="shared" ref="K489" si="896">J489*(1+$C492)</f>
        <v>48717.927500000034</v>
      </c>
      <c r="L489" s="59">
        <f t="shared" ref="L489" si="897">K489*(1+$C492)</f>
        <v>53589.720250000042</v>
      </c>
    </row>
    <row r="490" spans="1:12" x14ac:dyDescent="0.3">
      <c r="A490" s="210" t="s">
        <v>242</v>
      </c>
      <c r="B490" s="1" t="s">
        <v>165</v>
      </c>
      <c r="D490" s="59">
        <f>D489*$C$8</f>
        <v>300000</v>
      </c>
      <c r="E490" s="59">
        <f t="shared" ref="E490:L490" si="898">E489*$C$8</f>
        <v>330000.00000000006</v>
      </c>
      <c r="F490" s="59">
        <f t="shared" si="898"/>
        <v>363000.00000000012</v>
      </c>
      <c r="G490" s="59">
        <f t="shared" si="898"/>
        <v>399300.00000000012</v>
      </c>
      <c r="H490" s="59">
        <f t="shared" si="898"/>
        <v>439230.00000000017</v>
      </c>
      <c r="I490" s="59">
        <f t="shared" si="898"/>
        <v>483153.00000000023</v>
      </c>
      <c r="J490" s="59">
        <f t="shared" si="898"/>
        <v>531468.3000000004</v>
      </c>
      <c r="K490" s="59">
        <f t="shared" si="898"/>
        <v>584615.13000000035</v>
      </c>
      <c r="L490" s="59">
        <f t="shared" si="898"/>
        <v>643076.64300000051</v>
      </c>
    </row>
    <row r="491" spans="1:12" x14ac:dyDescent="0.3">
      <c r="A491" s="210" t="s">
        <v>241</v>
      </c>
      <c r="B491" s="1" t="s">
        <v>199</v>
      </c>
      <c r="D491" s="201">
        <v>1</v>
      </c>
      <c r="E491" s="59">
        <f>D491</f>
        <v>1</v>
      </c>
      <c r="F491" s="59">
        <f t="shared" ref="F491" si="899">E491</f>
        <v>1</v>
      </c>
      <c r="G491" s="59">
        <f t="shared" ref="G491" si="900">F491</f>
        <v>1</v>
      </c>
      <c r="H491" s="59">
        <f t="shared" ref="H491" si="901">G491</f>
        <v>1</v>
      </c>
      <c r="I491" s="59">
        <f t="shared" ref="I491" si="902">H491</f>
        <v>1</v>
      </c>
      <c r="J491" s="59">
        <f t="shared" ref="J491" si="903">I491</f>
        <v>1</v>
      </c>
      <c r="K491" s="59">
        <f t="shared" ref="K491" si="904">J491</f>
        <v>1</v>
      </c>
      <c r="L491" s="59">
        <f t="shared" ref="L491" si="905">K491</f>
        <v>1</v>
      </c>
    </row>
    <row r="492" spans="1:12" s="218" customFormat="1" x14ac:dyDescent="0.3">
      <c r="A492" s="216" t="s">
        <v>243</v>
      </c>
      <c r="B492" s="204" t="s">
        <v>167</v>
      </c>
      <c r="C492" s="205">
        <v>0.1</v>
      </c>
      <c r="D492" s="217"/>
    </row>
    <row r="493" spans="1:12" x14ac:dyDescent="0.3">
      <c r="A493" s="210" t="s">
        <v>238</v>
      </c>
      <c r="D493" s="201">
        <v>10800000</v>
      </c>
      <c r="E493" s="59">
        <f>D493</f>
        <v>10800000</v>
      </c>
      <c r="F493" s="59">
        <f t="shared" ref="F493:L493" si="906">E493</f>
        <v>10800000</v>
      </c>
      <c r="G493" s="59">
        <f t="shared" si="906"/>
        <v>10800000</v>
      </c>
      <c r="H493" s="59">
        <f t="shared" si="906"/>
        <v>10800000</v>
      </c>
      <c r="I493" s="59">
        <f t="shared" si="906"/>
        <v>10800000</v>
      </c>
      <c r="J493" s="59">
        <f t="shared" si="906"/>
        <v>10800000</v>
      </c>
      <c r="K493" s="59">
        <f t="shared" si="906"/>
        <v>10800000</v>
      </c>
      <c r="L493" s="59">
        <f t="shared" si="906"/>
        <v>10800000</v>
      </c>
    </row>
    <row r="494" spans="1:12" x14ac:dyDescent="0.3">
      <c r="A494" s="219" t="s">
        <v>255</v>
      </c>
    </row>
    <row r="495" spans="1:12" x14ac:dyDescent="0.3">
      <c r="A495" s="210" t="s">
        <v>244</v>
      </c>
      <c r="B495" s="1" t="s">
        <v>165</v>
      </c>
      <c r="D495" s="201"/>
    </row>
    <row r="496" spans="1:12" x14ac:dyDescent="0.3">
      <c r="A496" s="210" t="s">
        <v>240</v>
      </c>
      <c r="B496" s="1" t="s">
        <v>165</v>
      </c>
      <c r="D496" s="201">
        <v>25000</v>
      </c>
      <c r="E496" s="59">
        <f>D496*(1+$C499)</f>
        <v>27500.000000000004</v>
      </c>
      <c r="F496" s="59">
        <f t="shared" ref="F496" si="907">E496*(1+$C499)</f>
        <v>30250.000000000007</v>
      </c>
      <c r="G496" s="59">
        <f t="shared" ref="G496" si="908">F496*(1+$C499)</f>
        <v>33275.000000000007</v>
      </c>
      <c r="H496" s="59">
        <f t="shared" ref="H496" si="909">G496*(1+$C499)</f>
        <v>36602.500000000015</v>
      </c>
      <c r="I496" s="59">
        <f t="shared" ref="I496" si="910">H496*(1+$C499)</f>
        <v>40262.750000000022</v>
      </c>
      <c r="J496" s="59">
        <f t="shared" ref="J496" si="911">I496*(1+$C499)</f>
        <v>44289.025000000031</v>
      </c>
      <c r="K496" s="59">
        <f t="shared" ref="K496" si="912">J496*(1+$C499)</f>
        <v>48717.927500000034</v>
      </c>
      <c r="L496" s="59">
        <f t="shared" ref="L496" si="913">K496*(1+$C499)</f>
        <v>53589.720250000042</v>
      </c>
    </row>
    <row r="497" spans="1:12" x14ac:dyDescent="0.3">
      <c r="A497" s="210" t="s">
        <v>242</v>
      </c>
      <c r="B497" s="1" t="s">
        <v>165</v>
      </c>
      <c r="D497" s="59">
        <f>D496*$C$8</f>
        <v>300000</v>
      </c>
      <c r="E497" s="59">
        <f t="shared" ref="E497:L497" si="914">E496*$C$8</f>
        <v>330000.00000000006</v>
      </c>
      <c r="F497" s="59">
        <f t="shared" si="914"/>
        <v>363000.00000000012</v>
      </c>
      <c r="G497" s="59">
        <f t="shared" si="914"/>
        <v>399300.00000000012</v>
      </c>
      <c r="H497" s="59">
        <f t="shared" si="914"/>
        <v>439230.00000000017</v>
      </c>
      <c r="I497" s="59">
        <f t="shared" si="914"/>
        <v>483153.00000000023</v>
      </c>
      <c r="J497" s="59">
        <f t="shared" si="914"/>
        <v>531468.3000000004</v>
      </c>
      <c r="K497" s="59">
        <f t="shared" si="914"/>
        <v>584615.13000000035</v>
      </c>
      <c r="L497" s="59">
        <f t="shared" si="914"/>
        <v>643076.64300000051</v>
      </c>
    </row>
    <row r="498" spans="1:12" x14ac:dyDescent="0.3">
      <c r="A498" s="210" t="s">
        <v>241</v>
      </c>
      <c r="B498" s="1" t="s">
        <v>199</v>
      </c>
      <c r="D498" s="201">
        <v>1</v>
      </c>
      <c r="E498" s="59">
        <f>D498</f>
        <v>1</v>
      </c>
      <c r="F498" s="59">
        <f t="shared" ref="F498" si="915">E498</f>
        <v>1</v>
      </c>
      <c r="G498" s="59">
        <f t="shared" ref="G498" si="916">F498</f>
        <v>1</v>
      </c>
      <c r="H498" s="59">
        <f t="shared" ref="H498" si="917">G498</f>
        <v>1</v>
      </c>
      <c r="I498" s="59">
        <f t="shared" ref="I498" si="918">H498</f>
        <v>1</v>
      </c>
      <c r="J498" s="59">
        <f t="shared" ref="J498" si="919">I498</f>
        <v>1</v>
      </c>
      <c r="K498" s="59">
        <f t="shared" ref="K498" si="920">J498</f>
        <v>1</v>
      </c>
      <c r="L498" s="59">
        <f t="shared" ref="L498" si="921">K498</f>
        <v>1</v>
      </c>
    </row>
    <row r="499" spans="1:12" s="218" customFormat="1" x14ac:dyDescent="0.3">
      <c r="A499" s="216" t="s">
        <v>243</v>
      </c>
      <c r="B499" s="204" t="s">
        <v>167</v>
      </c>
      <c r="C499" s="205">
        <v>0.1</v>
      </c>
      <c r="D499" s="217"/>
    </row>
    <row r="500" spans="1:12" x14ac:dyDescent="0.3">
      <c r="A500" s="210" t="s">
        <v>238</v>
      </c>
      <c r="D500" s="201">
        <v>500000</v>
      </c>
      <c r="E500" s="59">
        <f>D500</f>
        <v>500000</v>
      </c>
      <c r="F500" s="59">
        <f t="shared" ref="F500:L500" si="922">E500</f>
        <v>500000</v>
      </c>
      <c r="G500" s="59">
        <f t="shared" si="922"/>
        <v>500000</v>
      </c>
      <c r="H500" s="59">
        <f t="shared" si="922"/>
        <v>500000</v>
      </c>
      <c r="I500" s="59">
        <f t="shared" si="922"/>
        <v>500000</v>
      </c>
      <c r="J500" s="59">
        <f t="shared" si="922"/>
        <v>500000</v>
      </c>
      <c r="K500" s="59">
        <f t="shared" si="922"/>
        <v>500000</v>
      </c>
      <c r="L500" s="59">
        <f t="shared" si="922"/>
        <v>500000</v>
      </c>
    </row>
    <row r="501" spans="1:12" x14ac:dyDescent="0.3">
      <c r="A501" s="219" t="s">
        <v>256</v>
      </c>
    </row>
    <row r="502" spans="1:12" x14ac:dyDescent="0.3">
      <c r="A502" s="210" t="s">
        <v>244</v>
      </c>
      <c r="B502" s="1" t="s">
        <v>165</v>
      </c>
      <c r="D502" s="201"/>
    </row>
    <row r="503" spans="1:12" x14ac:dyDescent="0.3">
      <c r="A503" s="210" t="s">
        <v>240</v>
      </c>
      <c r="B503" s="1" t="s">
        <v>165</v>
      </c>
      <c r="D503" s="201">
        <v>5000</v>
      </c>
      <c r="E503" s="59">
        <f>D503*(1+$C506)</f>
        <v>5500</v>
      </c>
      <c r="F503" s="59">
        <f t="shared" ref="F503" si="923">E503*(1+$C506)</f>
        <v>6050.0000000000009</v>
      </c>
      <c r="G503" s="59">
        <f t="shared" ref="G503" si="924">F503*(1+$C506)</f>
        <v>6655.0000000000018</v>
      </c>
      <c r="H503" s="59">
        <f t="shared" ref="H503" si="925">G503*(1+$C506)</f>
        <v>7320.5000000000027</v>
      </c>
      <c r="I503" s="59">
        <f t="shared" ref="I503" si="926">H503*(1+$C506)</f>
        <v>8052.5500000000038</v>
      </c>
      <c r="J503" s="59">
        <f t="shared" ref="J503" si="927">I503*(1+$C506)</f>
        <v>8857.8050000000057</v>
      </c>
      <c r="K503" s="59">
        <f t="shared" ref="K503" si="928">J503*(1+$C506)</f>
        <v>9743.5855000000065</v>
      </c>
      <c r="L503" s="59">
        <f t="shared" ref="L503" si="929">K503*(1+$C506)</f>
        <v>10717.944050000007</v>
      </c>
    </row>
    <row r="504" spans="1:12" x14ac:dyDescent="0.3">
      <c r="A504" s="210" t="s">
        <v>242</v>
      </c>
      <c r="B504" s="1" t="s">
        <v>165</v>
      </c>
      <c r="D504" s="59">
        <f>D503*$C$8</f>
        <v>60000</v>
      </c>
      <c r="E504" s="59">
        <f t="shared" ref="E504:L504" si="930">E503*$C$8</f>
        <v>66000</v>
      </c>
      <c r="F504" s="59">
        <f t="shared" si="930"/>
        <v>72600.000000000015</v>
      </c>
      <c r="G504" s="59">
        <f t="shared" si="930"/>
        <v>79860.000000000029</v>
      </c>
      <c r="H504" s="59">
        <f t="shared" si="930"/>
        <v>87846.000000000029</v>
      </c>
      <c r="I504" s="59">
        <f t="shared" si="930"/>
        <v>96630.600000000049</v>
      </c>
      <c r="J504" s="59">
        <f t="shared" si="930"/>
        <v>106293.66000000006</v>
      </c>
      <c r="K504" s="59">
        <f t="shared" si="930"/>
        <v>116923.02600000007</v>
      </c>
      <c r="L504" s="59">
        <f t="shared" si="930"/>
        <v>128615.3286000001</v>
      </c>
    </row>
    <row r="505" spans="1:12" x14ac:dyDescent="0.3">
      <c r="A505" s="210" t="s">
        <v>241</v>
      </c>
      <c r="B505" s="1" t="s">
        <v>199</v>
      </c>
      <c r="D505" s="201">
        <v>1</v>
      </c>
      <c r="E505" s="59">
        <f>D505</f>
        <v>1</v>
      </c>
      <c r="F505" s="59">
        <f t="shared" ref="F505" si="931">E505</f>
        <v>1</v>
      </c>
      <c r="G505" s="59">
        <f t="shared" ref="G505" si="932">F505</f>
        <v>1</v>
      </c>
      <c r="H505" s="59">
        <f t="shared" ref="H505" si="933">G505</f>
        <v>1</v>
      </c>
      <c r="I505" s="59">
        <f t="shared" ref="I505" si="934">H505</f>
        <v>1</v>
      </c>
      <c r="J505" s="59">
        <f t="shared" ref="J505" si="935">I505</f>
        <v>1</v>
      </c>
      <c r="K505" s="59">
        <f t="shared" ref="K505" si="936">J505</f>
        <v>1</v>
      </c>
      <c r="L505" s="59">
        <f t="shared" ref="L505" si="937">K505</f>
        <v>1</v>
      </c>
    </row>
    <row r="506" spans="1:12" s="218" customFormat="1" x14ac:dyDescent="0.3">
      <c r="A506" s="216" t="s">
        <v>243</v>
      </c>
      <c r="B506" s="204" t="s">
        <v>167</v>
      </c>
      <c r="C506" s="205">
        <v>0.1</v>
      </c>
      <c r="D506" s="217"/>
    </row>
    <row r="507" spans="1:12" x14ac:dyDescent="0.3">
      <c r="A507" s="210" t="s">
        <v>238</v>
      </c>
      <c r="D507" s="201"/>
      <c r="E507" s="59">
        <f>D507</f>
        <v>0</v>
      </c>
      <c r="F507" s="59">
        <f t="shared" ref="F507:L507" si="938">E507</f>
        <v>0</v>
      </c>
      <c r="G507" s="59">
        <f t="shared" si="938"/>
        <v>0</v>
      </c>
      <c r="H507" s="59">
        <f t="shared" si="938"/>
        <v>0</v>
      </c>
      <c r="I507" s="59">
        <f t="shared" si="938"/>
        <v>0</v>
      </c>
      <c r="J507" s="59">
        <f t="shared" si="938"/>
        <v>0</v>
      </c>
      <c r="K507" s="59">
        <f t="shared" si="938"/>
        <v>0</v>
      </c>
      <c r="L507" s="59">
        <f t="shared" si="938"/>
        <v>0</v>
      </c>
    </row>
    <row r="508" spans="1:12" x14ac:dyDescent="0.3">
      <c r="A508" s="219" t="s">
        <v>257</v>
      </c>
    </row>
    <row r="509" spans="1:12" x14ac:dyDescent="0.3">
      <c r="A509" s="210" t="s">
        <v>244</v>
      </c>
      <c r="B509" s="1" t="s">
        <v>165</v>
      </c>
      <c r="D509" s="201"/>
    </row>
    <row r="510" spans="1:12" x14ac:dyDescent="0.3">
      <c r="A510" s="210" t="s">
        <v>240</v>
      </c>
      <c r="B510" s="1" t="s">
        <v>165</v>
      </c>
      <c r="D510" s="201">
        <v>50000</v>
      </c>
      <c r="E510" s="59">
        <f>D510*(1+$C513)</f>
        <v>55000.000000000007</v>
      </c>
      <c r="F510" s="59">
        <f t="shared" ref="F510" si="939">E510*(1+$C513)</f>
        <v>60500.000000000015</v>
      </c>
      <c r="G510" s="59">
        <f t="shared" ref="G510" si="940">F510*(1+$C513)</f>
        <v>66550.000000000015</v>
      </c>
      <c r="H510" s="59">
        <f t="shared" ref="H510" si="941">G510*(1+$C513)</f>
        <v>73205.000000000029</v>
      </c>
      <c r="I510" s="59">
        <f t="shared" ref="I510" si="942">H510*(1+$C513)</f>
        <v>80525.500000000044</v>
      </c>
      <c r="J510" s="59">
        <f t="shared" ref="J510" si="943">I510*(1+$C513)</f>
        <v>88578.050000000061</v>
      </c>
      <c r="K510" s="59">
        <f t="shared" ref="K510" si="944">J510*(1+$C513)</f>
        <v>97435.855000000069</v>
      </c>
      <c r="L510" s="59">
        <f t="shared" ref="L510" si="945">K510*(1+$C513)</f>
        <v>107179.44050000008</v>
      </c>
    </row>
    <row r="511" spans="1:12" x14ac:dyDescent="0.3">
      <c r="A511" s="210" t="s">
        <v>242</v>
      </c>
      <c r="B511" s="1" t="s">
        <v>165</v>
      </c>
      <c r="D511" s="59">
        <f>D510*$C$8</f>
        <v>600000</v>
      </c>
      <c r="E511" s="59">
        <f t="shared" ref="E511:L511" si="946">E510*$C$8</f>
        <v>660000.00000000012</v>
      </c>
      <c r="F511" s="59">
        <f t="shared" si="946"/>
        <v>726000.00000000023</v>
      </c>
      <c r="G511" s="59">
        <f t="shared" si="946"/>
        <v>798600.00000000023</v>
      </c>
      <c r="H511" s="59">
        <f t="shared" si="946"/>
        <v>878460.00000000035</v>
      </c>
      <c r="I511" s="59">
        <f t="shared" si="946"/>
        <v>966306.00000000047</v>
      </c>
      <c r="J511" s="59">
        <f t="shared" si="946"/>
        <v>1062936.6000000008</v>
      </c>
      <c r="K511" s="59">
        <f t="shared" si="946"/>
        <v>1169230.2600000007</v>
      </c>
      <c r="L511" s="59">
        <f t="shared" si="946"/>
        <v>1286153.286000001</v>
      </c>
    </row>
    <row r="512" spans="1:12" x14ac:dyDescent="0.3">
      <c r="A512" s="210" t="s">
        <v>241</v>
      </c>
      <c r="B512" s="1" t="s">
        <v>199</v>
      </c>
      <c r="D512" s="201">
        <v>1</v>
      </c>
      <c r="E512" s="59">
        <f>D512</f>
        <v>1</v>
      </c>
      <c r="F512" s="59">
        <f t="shared" ref="F512" si="947">E512</f>
        <v>1</v>
      </c>
      <c r="G512" s="59">
        <f t="shared" ref="G512" si="948">F512</f>
        <v>1</v>
      </c>
      <c r="H512" s="59">
        <f t="shared" ref="H512" si="949">G512</f>
        <v>1</v>
      </c>
      <c r="I512" s="59">
        <f t="shared" ref="I512" si="950">H512</f>
        <v>1</v>
      </c>
      <c r="J512" s="59">
        <f t="shared" ref="J512" si="951">I512</f>
        <v>1</v>
      </c>
      <c r="K512" s="59">
        <f t="shared" ref="K512" si="952">J512</f>
        <v>1</v>
      </c>
      <c r="L512" s="59">
        <f t="shared" ref="L512" si="953">K512</f>
        <v>1</v>
      </c>
    </row>
    <row r="513" spans="1:12" s="218" customFormat="1" x14ac:dyDescent="0.3">
      <c r="A513" s="216" t="s">
        <v>243</v>
      </c>
      <c r="B513" s="204" t="s">
        <v>167</v>
      </c>
      <c r="C513" s="205">
        <v>0.1</v>
      </c>
      <c r="D513" s="217"/>
    </row>
    <row r="514" spans="1:12" x14ac:dyDescent="0.3">
      <c r="A514" s="210" t="s">
        <v>238</v>
      </c>
      <c r="D514" s="201">
        <v>10800000</v>
      </c>
      <c r="E514" s="59">
        <f>D514</f>
        <v>10800000</v>
      </c>
      <c r="F514" s="59">
        <f t="shared" ref="F514:L514" si="954">E514</f>
        <v>10800000</v>
      </c>
      <c r="G514" s="59">
        <f t="shared" si="954"/>
        <v>10800000</v>
      </c>
      <c r="H514" s="59">
        <f t="shared" si="954"/>
        <v>10800000</v>
      </c>
      <c r="I514" s="59">
        <f t="shared" si="954"/>
        <v>10800000</v>
      </c>
      <c r="J514" s="59">
        <f t="shared" si="954"/>
        <v>10800000</v>
      </c>
      <c r="K514" s="59">
        <f t="shared" si="954"/>
        <v>10800000</v>
      </c>
      <c r="L514" s="59">
        <f t="shared" si="954"/>
        <v>10800000</v>
      </c>
    </row>
    <row r="516" spans="1:12" x14ac:dyDescent="0.3">
      <c r="A516" s="184" t="str">
        <f>$A$56</f>
        <v>Hospital 5 - Royal</v>
      </c>
      <c r="B516" s="184"/>
      <c r="C516" s="184"/>
    </row>
    <row r="517" spans="1:12" x14ac:dyDescent="0.3">
      <c r="A517" s="219" t="s">
        <v>236</v>
      </c>
    </row>
    <row r="518" spans="1:12" x14ac:dyDescent="0.3">
      <c r="A518" s="210" t="s">
        <v>244</v>
      </c>
      <c r="B518" s="1" t="s">
        <v>165</v>
      </c>
    </row>
    <row r="519" spans="1:12" x14ac:dyDescent="0.3">
      <c r="A519" s="210" t="s">
        <v>240</v>
      </c>
      <c r="B519" s="1" t="s">
        <v>165</v>
      </c>
      <c r="D519" s="201">
        <v>100000</v>
      </c>
      <c r="E519" s="59">
        <f t="shared" ref="E519:L519" si="955">D519*(1+$C522)</f>
        <v>110000.00000000001</v>
      </c>
      <c r="F519" s="59">
        <f t="shared" si="955"/>
        <v>121000.00000000003</v>
      </c>
      <c r="G519" s="59">
        <f t="shared" si="955"/>
        <v>133100.00000000003</v>
      </c>
      <c r="H519" s="59">
        <f t="shared" si="955"/>
        <v>146410.00000000006</v>
      </c>
      <c r="I519" s="59">
        <f t="shared" si="955"/>
        <v>161051.00000000009</v>
      </c>
      <c r="J519" s="59">
        <f t="shared" si="955"/>
        <v>177156.10000000012</v>
      </c>
      <c r="K519" s="59">
        <f t="shared" si="955"/>
        <v>194871.71000000014</v>
      </c>
      <c r="L519" s="59">
        <f t="shared" si="955"/>
        <v>214358.88100000017</v>
      </c>
    </row>
    <row r="520" spans="1:12" x14ac:dyDescent="0.3">
      <c r="A520" s="210" t="s">
        <v>242</v>
      </c>
      <c r="B520" s="1" t="s">
        <v>165</v>
      </c>
      <c r="D520" s="59">
        <f>D519*Capex!$C$15</f>
        <v>1200000</v>
      </c>
      <c r="E520" s="59">
        <f>E519*Capex!$C$15</f>
        <v>1320000.0000000002</v>
      </c>
      <c r="F520" s="59">
        <f>F519*Capex!$C$15</f>
        <v>1452000.0000000005</v>
      </c>
      <c r="G520" s="59">
        <f>G519*Capex!$C$15</f>
        <v>1597200.0000000005</v>
      </c>
      <c r="H520" s="59">
        <f>H519*Capex!$C$15</f>
        <v>1756920.0000000007</v>
      </c>
      <c r="I520" s="59">
        <f>I519*Capex!$C$15</f>
        <v>1932612.0000000009</v>
      </c>
      <c r="J520" s="59">
        <f>J519*Capex!$C$15</f>
        <v>2125873.2000000016</v>
      </c>
      <c r="K520" s="59">
        <f>K519*Capex!$C$15</f>
        <v>2338460.5200000014</v>
      </c>
      <c r="L520" s="59">
        <f>L519*Capex!$C$15</f>
        <v>2572306.572000002</v>
      </c>
    </row>
    <row r="521" spans="1:12" x14ac:dyDescent="0.3">
      <c r="A521" s="210" t="s">
        <v>241</v>
      </c>
      <c r="B521" s="1" t="s">
        <v>199</v>
      </c>
      <c r="D521" s="201">
        <v>1</v>
      </c>
      <c r="E521" s="59">
        <f t="shared" ref="E521:L521" si="956">D521</f>
        <v>1</v>
      </c>
      <c r="F521" s="59">
        <f t="shared" si="956"/>
        <v>1</v>
      </c>
      <c r="G521" s="59">
        <f t="shared" si="956"/>
        <v>1</v>
      </c>
      <c r="H521" s="59">
        <f t="shared" si="956"/>
        <v>1</v>
      </c>
      <c r="I521" s="59">
        <f t="shared" si="956"/>
        <v>1</v>
      </c>
      <c r="J521" s="59">
        <f t="shared" si="956"/>
        <v>1</v>
      </c>
      <c r="K521" s="59">
        <f t="shared" si="956"/>
        <v>1</v>
      </c>
      <c r="L521" s="59">
        <f t="shared" si="956"/>
        <v>1</v>
      </c>
    </row>
    <row r="522" spans="1:12" s="218" customFormat="1" x14ac:dyDescent="0.3">
      <c r="A522" s="216" t="s">
        <v>153</v>
      </c>
      <c r="B522" s="204" t="s">
        <v>167</v>
      </c>
      <c r="C522" s="205">
        <v>0.1</v>
      </c>
      <c r="D522" s="217"/>
    </row>
    <row r="523" spans="1:12" x14ac:dyDescent="0.3">
      <c r="A523" s="210" t="s">
        <v>238</v>
      </c>
      <c r="B523" s="1" t="s">
        <v>165</v>
      </c>
      <c r="D523" s="201"/>
    </row>
    <row r="524" spans="1:12" x14ac:dyDescent="0.3">
      <c r="A524" s="219" t="s">
        <v>214</v>
      </c>
    </row>
    <row r="525" spans="1:12" x14ac:dyDescent="0.3">
      <c r="A525" s="210" t="s">
        <v>244</v>
      </c>
      <c r="B525" s="1" t="s">
        <v>165</v>
      </c>
    </row>
    <row r="526" spans="1:12" x14ac:dyDescent="0.3">
      <c r="A526" s="210" t="s">
        <v>240</v>
      </c>
      <c r="B526" s="1" t="s">
        <v>165</v>
      </c>
      <c r="D526" s="201">
        <v>400000</v>
      </c>
      <c r="E526" s="59">
        <f t="shared" ref="E526:L526" si="957">D526*(1+$C529)</f>
        <v>440000.00000000006</v>
      </c>
      <c r="F526" s="59">
        <f t="shared" si="957"/>
        <v>484000.00000000012</v>
      </c>
      <c r="G526" s="59">
        <f t="shared" si="957"/>
        <v>532400.00000000012</v>
      </c>
      <c r="H526" s="59">
        <f t="shared" si="957"/>
        <v>585640.00000000023</v>
      </c>
      <c r="I526" s="59">
        <f t="shared" si="957"/>
        <v>644204.00000000035</v>
      </c>
      <c r="J526" s="59">
        <f t="shared" si="957"/>
        <v>708624.40000000049</v>
      </c>
      <c r="K526" s="59">
        <f t="shared" si="957"/>
        <v>779486.84000000055</v>
      </c>
      <c r="L526" s="59">
        <f t="shared" si="957"/>
        <v>857435.52400000067</v>
      </c>
    </row>
    <row r="527" spans="1:12" x14ac:dyDescent="0.3">
      <c r="A527" s="210" t="s">
        <v>242</v>
      </c>
      <c r="B527" s="1" t="s">
        <v>165</v>
      </c>
      <c r="D527" s="59">
        <f>D526*Capex!$C$15</f>
        <v>4800000</v>
      </c>
      <c r="E527" s="59">
        <f>E526*Capex!$C$15</f>
        <v>5280000.0000000009</v>
      </c>
      <c r="F527" s="59">
        <f>F526*Capex!$C$15</f>
        <v>5808000.0000000019</v>
      </c>
      <c r="G527" s="59">
        <f>G526*Capex!$C$15</f>
        <v>6388800.0000000019</v>
      </c>
      <c r="H527" s="59">
        <f>H526*Capex!$C$15</f>
        <v>7027680.0000000028</v>
      </c>
      <c r="I527" s="59">
        <f>I526*Capex!$C$15</f>
        <v>7730448.0000000037</v>
      </c>
      <c r="J527" s="59">
        <f>J526*Capex!$C$15</f>
        <v>8503492.8000000063</v>
      </c>
      <c r="K527" s="59">
        <f>K526*Capex!$C$15</f>
        <v>9353842.0800000057</v>
      </c>
      <c r="L527" s="59">
        <f>L526*Capex!$C$15</f>
        <v>10289226.288000008</v>
      </c>
    </row>
    <row r="528" spans="1:12" x14ac:dyDescent="0.3">
      <c r="A528" s="210" t="s">
        <v>241</v>
      </c>
      <c r="B528" s="1" t="s">
        <v>199</v>
      </c>
      <c r="D528" s="201">
        <v>2</v>
      </c>
      <c r="E528" s="59">
        <f t="shared" ref="E528:L528" si="958">D528</f>
        <v>2</v>
      </c>
      <c r="F528" s="59">
        <f t="shared" si="958"/>
        <v>2</v>
      </c>
      <c r="G528" s="59">
        <f t="shared" si="958"/>
        <v>2</v>
      </c>
      <c r="H528" s="59">
        <f t="shared" si="958"/>
        <v>2</v>
      </c>
      <c r="I528" s="59">
        <f t="shared" si="958"/>
        <v>2</v>
      </c>
      <c r="J528" s="59">
        <f t="shared" si="958"/>
        <v>2</v>
      </c>
      <c r="K528" s="59">
        <f t="shared" si="958"/>
        <v>2</v>
      </c>
      <c r="L528" s="59">
        <f t="shared" si="958"/>
        <v>2</v>
      </c>
    </row>
    <row r="529" spans="1:12" s="218" customFormat="1" x14ac:dyDescent="0.3">
      <c r="A529" s="216" t="s">
        <v>153</v>
      </c>
      <c r="B529" s="204" t="s">
        <v>167</v>
      </c>
      <c r="C529" s="205">
        <v>0.1</v>
      </c>
      <c r="D529" s="217"/>
    </row>
    <row r="530" spans="1:12" x14ac:dyDescent="0.3">
      <c r="A530" s="210" t="s">
        <v>238</v>
      </c>
      <c r="B530" s="1" t="s">
        <v>165</v>
      </c>
      <c r="D530" s="201"/>
      <c r="E530" s="59">
        <f t="shared" ref="E530:L530" si="959">D530</f>
        <v>0</v>
      </c>
      <c r="F530" s="59">
        <f t="shared" si="959"/>
        <v>0</v>
      </c>
      <c r="G530" s="59">
        <f t="shared" si="959"/>
        <v>0</v>
      </c>
      <c r="H530" s="59">
        <f t="shared" si="959"/>
        <v>0</v>
      </c>
      <c r="I530" s="59">
        <f t="shared" si="959"/>
        <v>0</v>
      </c>
      <c r="J530" s="59">
        <f t="shared" si="959"/>
        <v>0</v>
      </c>
      <c r="K530" s="59">
        <f t="shared" si="959"/>
        <v>0</v>
      </c>
      <c r="L530" s="59">
        <f t="shared" si="959"/>
        <v>0</v>
      </c>
    </row>
    <row r="531" spans="1:12" x14ac:dyDescent="0.3">
      <c r="A531" s="219" t="s">
        <v>219</v>
      </c>
    </row>
    <row r="532" spans="1:12" x14ac:dyDescent="0.3">
      <c r="A532" s="210" t="s">
        <v>244</v>
      </c>
      <c r="B532" s="1" t="s">
        <v>165</v>
      </c>
      <c r="D532" s="201"/>
    </row>
    <row r="533" spans="1:12" x14ac:dyDescent="0.3">
      <c r="A533" s="210" t="s">
        <v>240</v>
      </c>
      <c r="B533" s="1" t="s">
        <v>165</v>
      </c>
      <c r="D533" s="201">
        <v>50000</v>
      </c>
      <c r="E533" s="59">
        <f t="shared" ref="E533:L533" si="960">D533*(1+$C536)</f>
        <v>55000.000000000007</v>
      </c>
      <c r="F533" s="59">
        <f t="shared" si="960"/>
        <v>60500.000000000015</v>
      </c>
      <c r="G533" s="59">
        <f t="shared" si="960"/>
        <v>66550.000000000015</v>
      </c>
      <c r="H533" s="59">
        <f t="shared" si="960"/>
        <v>73205.000000000029</v>
      </c>
      <c r="I533" s="59">
        <f t="shared" si="960"/>
        <v>80525.500000000044</v>
      </c>
      <c r="J533" s="59">
        <f t="shared" si="960"/>
        <v>88578.050000000061</v>
      </c>
      <c r="K533" s="59">
        <f t="shared" si="960"/>
        <v>97435.855000000069</v>
      </c>
      <c r="L533" s="59">
        <f t="shared" si="960"/>
        <v>107179.44050000008</v>
      </c>
    </row>
    <row r="534" spans="1:12" x14ac:dyDescent="0.3">
      <c r="A534" s="210" t="s">
        <v>242</v>
      </c>
      <c r="B534" s="1" t="s">
        <v>165</v>
      </c>
      <c r="D534" s="59">
        <f>D533*Capex!$C$15</f>
        <v>600000</v>
      </c>
      <c r="E534" s="59">
        <f>E533*Capex!$C$15</f>
        <v>660000.00000000012</v>
      </c>
      <c r="F534" s="59">
        <f>F533*Capex!$C$15</f>
        <v>726000.00000000023</v>
      </c>
      <c r="G534" s="59">
        <f>G533*Capex!$C$15</f>
        <v>798600.00000000023</v>
      </c>
      <c r="H534" s="59">
        <f>H533*Capex!$C$15</f>
        <v>878460.00000000035</v>
      </c>
      <c r="I534" s="59">
        <f>I533*Capex!$C$15</f>
        <v>966306.00000000047</v>
      </c>
      <c r="J534" s="59">
        <f>J533*Capex!$C$15</f>
        <v>1062936.6000000008</v>
      </c>
      <c r="K534" s="59">
        <f>K533*Capex!$C$15</f>
        <v>1169230.2600000007</v>
      </c>
      <c r="L534" s="59">
        <f>L533*Capex!$C$15</f>
        <v>1286153.286000001</v>
      </c>
    </row>
    <row r="535" spans="1:12" x14ac:dyDescent="0.3">
      <c r="A535" s="210" t="s">
        <v>241</v>
      </c>
      <c r="B535" s="1" t="s">
        <v>199</v>
      </c>
      <c r="D535" s="201">
        <v>1</v>
      </c>
      <c r="E535" s="59">
        <f t="shared" ref="E535:L535" si="961">D535</f>
        <v>1</v>
      </c>
      <c r="F535" s="59">
        <f t="shared" si="961"/>
        <v>1</v>
      </c>
      <c r="G535" s="59">
        <f t="shared" si="961"/>
        <v>1</v>
      </c>
      <c r="H535" s="59">
        <f t="shared" si="961"/>
        <v>1</v>
      </c>
      <c r="I535" s="59">
        <f t="shared" si="961"/>
        <v>1</v>
      </c>
      <c r="J535" s="59">
        <f t="shared" si="961"/>
        <v>1</v>
      </c>
      <c r="K535" s="59">
        <f t="shared" si="961"/>
        <v>1</v>
      </c>
      <c r="L535" s="59">
        <f t="shared" si="961"/>
        <v>1</v>
      </c>
    </row>
    <row r="536" spans="1:12" s="218" customFormat="1" x14ac:dyDescent="0.3">
      <c r="A536" s="216" t="s">
        <v>153</v>
      </c>
      <c r="B536" s="204" t="s">
        <v>167</v>
      </c>
      <c r="C536" s="205">
        <v>0.1</v>
      </c>
      <c r="D536" s="217"/>
    </row>
    <row r="537" spans="1:12" x14ac:dyDescent="0.3">
      <c r="A537" s="210" t="s">
        <v>238</v>
      </c>
      <c r="B537" s="1" t="s">
        <v>165</v>
      </c>
      <c r="D537" s="201"/>
    </row>
    <row r="538" spans="1:12" x14ac:dyDescent="0.3">
      <c r="A538" s="219" t="s">
        <v>251</v>
      </c>
    </row>
    <row r="539" spans="1:12" x14ac:dyDescent="0.3">
      <c r="A539" s="210" t="s">
        <v>244</v>
      </c>
      <c r="B539" s="1" t="s">
        <v>165</v>
      </c>
      <c r="D539" s="201"/>
    </row>
    <row r="540" spans="1:12" x14ac:dyDescent="0.3">
      <c r="A540" s="210" t="s">
        <v>240</v>
      </c>
      <c r="B540" s="1" t="s">
        <v>165</v>
      </c>
      <c r="D540" s="201">
        <v>5000</v>
      </c>
      <c r="E540" s="59">
        <f>D540*(1+$C543)</f>
        <v>5500</v>
      </c>
      <c r="F540" s="59">
        <f t="shared" ref="F540" si="962">E540*(1+$C543)</f>
        <v>6050.0000000000009</v>
      </c>
      <c r="G540" s="59">
        <f t="shared" ref="G540" si="963">F540*(1+$C543)</f>
        <v>6655.0000000000018</v>
      </c>
      <c r="H540" s="59">
        <f t="shared" ref="H540" si="964">G540*(1+$C543)</f>
        <v>7320.5000000000027</v>
      </c>
      <c r="I540" s="59">
        <f t="shared" ref="I540" si="965">H540*(1+$C543)</f>
        <v>8052.5500000000038</v>
      </c>
      <c r="J540" s="59">
        <f t="shared" ref="J540" si="966">I540*(1+$C543)</f>
        <v>8857.8050000000057</v>
      </c>
      <c r="K540" s="59">
        <f t="shared" ref="K540" si="967">J540*(1+$C543)</f>
        <v>9743.5855000000065</v>
      </c>
      <c r="L540" s="59">
        <f t="shared" ref="L540" si="968">K540*(1+$C543)</f>
        <v>10717.944050000007</v>
      </c>
    </row>
    <row r="541" spans="1:12" x14ac:dyDescent="0.3">
      <c r="A541" s="210" t="s">
        <v>242</v>
      </c>
      <c r="B541" s="1" t="s">
        <v>165</v>
      </c>
      <c r="D541" s="59">
        <f>D540*$C$8</f>
        <v>60000</v>
      </c>
      <c r="E541" s="59">
        <f t="shared" ref="E541:L541" si="969">E540*$C$8</f>
        <v>66000</v>
      </c>
      <c r="F541" s="59">
        <f t="shared" si="969"/>
        <v>72600.000000000015</v>
      </c>
      <c r="G541" s="59">
        <f t="shared" si="969"/>
        <v>79860.000000000029</v>
      </c>
      <c r="H541" s="59">
        <f t="shared" si="969"/>
        <v>87846.000000000029</v>
      </c>
      <c r="I541" s="59">
        <f t="shared" si="969"/>
        <v>96630.600000000049</v>
      </c>
      <c r="J541" s="59">
        <f t="shared" si="969"/>
        <v>106293.66000000006</v>
      </c>
      <c r="K541" s="59">
        <f t="shared" si="969"/>
        <v>116923.02600000007</v>
      </c>
      <c r="L541" s="59">
        <f t="shared" si="969"/>
        <v>128615.3286000001</v>
      </c>
    </row>
    <row r="542" spans="1:12" x14ac:dyDescent="0.3">
      <c r="A542" s="210" t="s">
        <v>241</v>
      </c>
      <c r="B542" s="1" t="s">
        <v>199</v>
      </c>
      <c r="D542" s="201">
        <v>3</v>
      </c>
      <c r="E542" s="59">
        <f>D542</f>
        <v>3</v>
      </c>
      <c r="F542" s="59">
        <f t="shared" ref="F542" si="970">E542</f>
        <v>3</v>
      </c>
      <c r="G542" s="59">
        <f t="shared" ref="G542" si="971">F542</f>
        <v>3</v>
      </c>
      <c r="H542" s="59">
        <f t="shared" ref="H542" si="972">G542</f>
        <v>3</v>
      </c>
      <c r="I542" s="59">
        <f t="shared" ref="I542" si="973">H542</f>
        <v>3</v>
      </c>
      <c r="J542" s="59">
        <f t="shared" ref="J542" si="974">I542</f>
        <v>3</v>
      </c>
      <c r="K542" s="59">
        <f t="shared" ref="K542" si="975">J542</f>
        <v>3</v>
      </c>
      <c r="L542" s="59">
        <f t="shared" ref="L542" si="976">K542</f>
        <v>3</v>
      </c>
    </row>
    <row r="543" spans="1:12" s="218" customFormat="1" x14ac:dyDescent="0.3">
      <c r="A543" s="216" t="s">
        <v>243</v>
      </c>
      <c r="B543" s="204" t="s">
        <v>167</v>
      </c>
      <c r="C543" s="205">
        <v>0.1</v>
      </c>
      <c r="D543" s="217"/>
    </row>
    <row r="544" spans="1:12" x14ac:dyDescent="0.3">
      <c r="A544" s="210" t="s">
        <v>238</v>
      </c>
      <c r="D544" s="201"/>
      <c r="E544" s="59">
        <f>D544</f>
        <v>0</v>
      </c>
      <c r="F544" s="59">
        <f t="shared" ref="F544" si="977">E544</f>
        <v>0</v>
      </c>
      <c r="G544" s="59">
        <f t="shared" ref="G544" si="978">F544</f>
        <v>0</v>
      </c>
      <c r="H544" s="59">
        <f t="shared" ref="H544" si="979">G544</f>
        <v>0</v>
      </c>
      <c r="I544" s="59">
        <f t="shared" ref="I544" si="980">H544</f>
        <v>0</v>
      </c>
      <c r="J544" s="59">
        <f t="shared" ref="J544" si="981">I544</f>
        <v>0</v>
      </c>
      <c r="K544" s="59">
        <f t="shared" ref="K544" si="982">J544</f>
        <v>0</v>
      </c>
      <c r="L544" s="59">
        <f t="shared" ref="L544" si="983">K544</f>
        <v>0</v>
      </c>
    </row>
    <row r="545" spans="1:12" x14ac:dyDescent="0.3">
      <c r="A545" s="219" t="s">
        <v>250</v>
      </c>
    </row>
    <row r="546" spans="1:12" x14ac:dyDescent="0.3">
      <c r="A546" s="210" t="s">
        <v>244</v>
      </c>
      <c r="B546" s="1" t="s">
        <v>165</v>
      </c>
      <c r="D546" s="201"/>
    </row>
    <row r="547" spans="1:12" x14ac:dyDescent="0.3">
      <c r="A547" s="210" t="s">
        <v>240</v>
      </c>
      <c r="B547" s="1" t="s">
        <v>165</v>
      </c>
      <c r="D547" s="201">
        <v>15000</v>
      </c>
      <c r="E547" s="59">
        <f>D547*(1+$C550)</f>
        <v>16500</v>
      </c>
      <c r="F547" s="59">
        <f t="shared" ref="F547" si="984">E547*(1+$C550)</f>
        <v>18150</v>
      </c>
      <c r="G547" s="59">
        <f t="shared" ref="G547" si="985">F547*(1+$C550)</f>
        <v>19965</v>
      </c>
      <c r="H547" s="59">
        <f t="shared" ref="H547" si="986">G547*(1+$C550)</f>
        <v>21961.5</v>
      </c>
      <c r="I547" s="59">
        <f t="shared" ref="I547" si="987">H547*(1+$C550)</f>
        <v>24157.65</v>
      </c>
      <c r="J547" s="59">
        <f t="shared" ref="J547" si="988">I547*(1+$C550)</f>
        <v>26573.415000000005</v>
      </c>
      <c r="K547" s="59">
        <f t="shared" ref="K547" si="989">J547*(1+$C550)</f>
        <v>29230.756500000007</v>
      </c>
      <c r="L547" s="59">
        <f t="shared" ref="L547" si="990">K547*(1+$C550)</f>
        <v>32153.832150000009</v>
      </c>
    </row>
    <row r="548" spans="1:12" x14ac:dyDescent="0.3">
      <c r="A548" s="210" t="s">
        <v>242</v>
      </c>
      <c r="B548" s="1" t="s">
        <v>165</v>
      </c>
      <c r="D548" s="59">
        <f>D547*$C$8</f>
        <v>180000</v>
      </c>
      <c r="E548" s="59">
        <f t="shared" ref="E548:L548" si="991">E547*$C$8</f>
        <v>198000</v>
      </c>
      <c r="F548" s="59">
        <f t="shared" si="991"/>
        <v>217800</v>
      </c>
      <c r="G548" s="59">
        <f t="shared" si="991"/>
        <v>239580</v>
      </c>
      <c r="H548" s="59">
        <f t="shared" si="991"/>
        <v>263538</v>
      </c>
      <c r="I548" s="59">
        <f t="shared" si="991"/>
        <v>289891.80000000005</v>
      </c>
      <c r="J548" s="59">
        <f t="shared" si="991"/>
        <v>318880.98000000004</v>
      </c>
      <c r="K548" s="59">
        <f t="shared" si="991"/>
        <v>350769.0780000001</v>
      </c>
      <c r="L548" s="59">
        <f t="shared" si="991"/>
        <v>385845.98580000014</v>
      </c>
    </row>
    <row r="549" spans="1:12" x14ac:dyDescent="0.3">
      <c r="A549" s="210" t="s">
        <v>241</v>
      </c>
      <c r="B549" s="1" t="s">
        <v>199</v>
      </c>
      <c r="D549" s="201">
        <v>1</v>
      </c>
      <c r="E549" s="59">
        <f>D549</f>
        <v>1</v>
      </c>
      <c r="F549" s="59">
        <f t="shared" ref="F549" si="992">E549</f>
        <v>1</v>
      </c>
      <c r="G549" s="59">
        <f t="shared" ref="G549" si="993">F549</f>
        <v>1</v>
      </c>
      <c r="H549" s="59">
        <f t="shared" ref="H549" si="994">G549</f>
        <v>1</v>
      </c>
      <c r="I549" s="59">
        <f t="shared" ref="I549" si="995">H549</f>
        <v>1</v>
      </c>
      <c r="J549" s="59">
        <f t="shared" ref="J549" si="996">I549</f>
        <v>1</v>
      </c>
      <c r="K549" s="59">
        <f t="shared" ref="K549" si="997">J549</f>
        <v>1</v>
      </c>
      <c r="L549" s="59">
        <f t="shared" ref="L549" si="998">K549</f>
        <v>1</v>
      </c>
    </row>
    <row r="550" spans="1:12" s="218" customFormat="1" x14ac:dyDescent="0.3">
      <c r="A550" s="216" t="s">
        <v>243</v>
      </c>
      <c r="B550" s="204" t="s">
        <v>167</v>
      </c>
      <c r="C550" s="205">
        <v>0.1</v>
      </c>
      <c r="D550" s="217"/>
    </row>
    <row r="551" spans="1:12" x14ac:dyDescent="0.3">
      <c r="A551" s="210" t="s">
        <v>238</v>
      </c>
      <c r="D551" s="201">
        <v>300000</v>
      </c>
      <c r="E551" s="59">
        <f>D551</f>
        <v>300000</v>
      </c>
      <c r="F551" s="59">
        <f t="shared" ref="F551" si="999">E551</f>
        <v>300000</v>
      </c>
      <c r="G551" s="59">
        <f t="shared" ref="G551" si="1000">F551</f>
        <v>300000</v>
      </c>
      <c r="H551" s="59">
        <f t="shared" ref="H551" si="1001">G551</f>
        <v>300000</v>
      </c>
      <c r="I551" s="59">
        <f t="shared" ref="I551" si="1002">H551</f>
        <v>300000</v>
      </c>
      <c r="J551" s="59">
        <f t="shared" ref="J551" si="1003">I551</f>
        <v>300000</v>
      </c>
      <c r="K551" s="59">
        <f t="shared" ref="K551" si="1004">J551</f>
        <v>300000</v>
      </c>
      <c r="L551" s="59">
        <f t="shared" ref="L551" si="1005">K551</f>
        <v>300000</v>
      </c>
    </row>
    <row r="552" spans="1:12" x14ac:dyDescent="0.3">
      <c r="A552" s="219" t="s">
        <v>247</v>
      </c>
    </row>
    <row r="553" spans="1:12" x14ac:dyDescent="0.3">
      <c r="A553" s="210" t="s">
        <v>244</v>
      </c>
      <c r="B553" s="1" t="s">
        <v>165</v>
      </c>
      <c r="D553" s="201"/>
    </row>
    <row r="554" spans="1:12" x14ac:dyDescent="0.3">
      <c r="A554" s="210" t="s">
        <v>240</v>
      </c>
      <c r="B554" s="1" t="s">
        <v>165</v>
      </c>
      <c r="D554" s="201">
        <v>4500</v>
      </c>
      <c r="E554" s="59">
        <f>D554*(1+$C557)</f>
        <v>4950</v>
      </c>
      <c r="F554" s="59">
        <f t="shared" ref="F554" si="1006">E554*(1+$C557)</f>
        <v>5445</v>
      </c>
      <c r="G554" s="59">
        <f t="shared" ref="G554" si="1007">F554*(1+$C557)</f>
        <v>5989.5000000000009</v>
      </c>
      <c r="H554" s="59">
        <f t="shared" ref="H554" si="1008">G554*(1+$C557)</f>
        <v>6588.4500000000016</v>
      </c>
      <c r="I554" s="59">
        <f t="shared" ref="I554" si="1009">H554*(1+$C557)</f>
        <v>7247.2950000000028</v>
      </c>
      <c r="J554" s="59">
        <f t="shared" ref="J554" si="1010">I554*(1+$C557)</f>
        <v>7972.0245000000041</v>
      </c>
      <c r="K554" s="59">
        <f t="shared" ref="K554" si="1011">J554*(1+$C557)</f>
        <v>8769.2269500000057</v>
      </c>
      <c r="L554" s="59">
        <f t="shared" ref="L554" si="1012">K554*(1+$C557)</f>
        <v>9646.1496450000068</v>
      </c>
    </row>
    <row r="555" spans="1:12" x14ac:dyDescent="0.3">
      <c r="A555" s="210" t="s">
        <v>242</v>
      </c>
      <c r="B555" s="1" t="s">
        <v>165</v>
      </c>
      <c r="D555" s="59">
        <f>D554*$C$8</f>
        <v>54000</v>
      </c>
      <c r="E555" s="59">
        <f t="shared" ref="E555:L555" si="1013">E554*$C$8</f>
        <v>59400</v>
      </c>
      <c r="F555" s="59">
        <f t="shared" si="1013"/>
        <v>65340</v>
      </c>
      <c r="G555" s="59">
        <f t="shared" si="1013"/>
        <v>71874.000000000015</v>
      </c>
      <c r="H555" s="59">
        <f t="shared" si="1013"/>
        <v>79061.400000000023</v>
      </c>
      <c r="I555" s="59">
        <f t="shared" si="1013"/>
        <v>86967.540000000037</v>
      </c>
      <c r="J555" s="59">
        <f t="shared" si="1013"/>
        <v>95664.294000000053</v>
      </c>
      <c r="K555" s="59">
        <f t="shared" si="1013"/>
        <v>105230.72340000008</v>
      </c>
      <c r="L555" s="59">
        <f t="shared" si="1013"/>
        <v>115753.79574000009</v>
      </c>
    </row>
    <row r="556" spans="1:12" x14ac:dyDescent="0.3">
      <c r="A556" s="210" t="s">
        <v>241</v>
      </c>
      <c r="B556" s="1" t="s">
        <v>199</v>
      </c>
      <c r="D556" s="201">
        <v>4</v>
      </c>
      <c r="E556" s="59">
        <f>D556</f>
        <v>4</v>
      </c>
      <c r="F556" s="59">
        <f t="shared" ref="F556" si="1014">E556</f>
        <v>4</v>
      </c>
      <c r="G556" s="59">
        <f t="shared" ref="G556" si="1015">F556</f>
        <v>4</v>
      </c>
      <c r="H556" s="59">
        <f t="shared" ref="H556" si="1016">G556</f>
        <v>4</v>
      </c>
      <c r="I556" s="59">
        <f t="shared" ref="I556" si="1017">H556</f>
        <v>4</v>
      </c>
      <c r="J556" s="59">
        <f t="shared" ref="J556" si="1018">I556</f>
        <v>4</v>
      </c>
      <c r="K556" s="59">
        <f t="shared" ref="K556" si="1019">J556</f>
        <v>4</v>
      </c>
      <c r="L556" s="59">
        <f t="shared" ref="L556" si="1020">K556</f>
        <v>4</v>
      </c>
    </row>
    <row r="557" spans="1:12" s="218" customFormat="1" x14ac:dyDescent="0.3">
      <c r="A557" s="216" t="s">
        <v>243</v>
      </c>
      <c r="B557" s="204" t="s">
        <v>167</v>
      </c>
      <c r="C557" s="205">
        <v>0.1</v>
      </c>
      <c r="D557" s="217"/>
    </row>
    <row r="558" spans="1:12" x14ac:dyDescent="0.3">
      <c r="A558" s="210" t="s">
        <v>238</v>
      </c>
      <c r="D558" s="201"/>
      <c r="E558" s="59">
        <f>D558</f>
        <v>0</v>
      </c>
      <c r="F558" s="59">
        <f t="shared" ref="F558" si="1021">E558</f>
        <v>0</v>
      </c>
      <c r="G558" s="59">
        <f t="shared" ref="G558" si="1022">F558</f>
        <v>0</v>
      </c>
      <c r="H558" s="59">
        <f t="shared" ref="H558" si="1023">G558</f>
        <v>0</v>
      </c>
      <c r="I558" s="59">
        <f t="shared" ref="I558" si="1024">H558</f>
        <v>0</v>
      </c>
      <c r="J558" s="59">
        <f t="shared" ref="J558" si="1025">I558</f>
        <v>0</v>
      </c>
      <c r="K558" s="59">
        <f t="shared" ref="K558" si="1026">J558</f>
        <v>0</v>
      </c>
      <c r="L558" s="59">
        <f t="shared" ref="L558" si="1027">K558</f>
        <v>0</v>
      </c>
    </row>
    <row r="559" spans="1:12" x14ac:dyDescent="0.3">
      <c r="A559" s="219" t="s">
        <v>254</v>
      </c>
    </row>
    <row r="560" spans="1:12" x14ac:dyDescent="0.3">
      <c r="A560" s="210" t="s">
        <v>244</v>
      </c>
      <c r="B560" s="1" t="s">
        <v>165</v>
      </c>
      <c r="D560" s="201"/>
    </row>
    <row r="561" spans="1:12" x14ac:dyDescent="0.3">
      <c r="A561" s="210" t="s">
        <v>240</v>
      </c>
      <c r="B561" s="1" t="s">
        <v>165</v>
      </c>
      <c r="D561" s="201">
        <v>25000</v>
      </c>
      <c r="E561" s="59">
        <f>D561*(1+$C564)</f>
        <v>27500.000000000004</v>
      </c>
      <c r="F561" s="59">
        <f t="shared" ref="F561" si="1028">E561*(1+$C564)</f>
        <v>30250.000000000007</v>
      </c>
      <c r="G561" s="59">
        <f t="shared" ref="G561" si="1029">F561*(1+$C564)</f>
        <v>33275.000000000007</v>
      </c>
      <c r="H561" s="59">
        <f t="shared" ref="H561" si="1030">G561*(1+$C564)</f>
        <v>36602.500000000015</v>
      </c>
      <c r="I561" s="59">
        <f t="shared" ref="I561" si="1031">H561*(1+$C564)</f>
        <v>40262.750000000022</v>
      </c>
      <c r="J561" s="59">
        <f t="shared" ref="J561" si="1032">I561*(1+$C564)</f>
        <v>44289.025000000031</v>
      </c>
      <c r="K561" s="59">
        <f t="shared" ref="K561" si="1033">J561*(1+$C564)</f>
        <v>48717.927500000034</v>
      </c>
      <c r="L561" s="59">
        <f t="shared" ref="L561" si="1034">K561*(1+$C564)</f>
        <v>53589.720250000042</v>
      </c>
    </row>
    <row r="562" spans="1:12" x14ac:dyDescent="0.3">
      <c r="A562" s="210" t="s">
        <v>242</v>
      </c>
      <c r="B562" s="1" t="s">
        <v>165</v>
      </c>
      <c r="D562" s="59">
        <f>D561*$C$8</f>
        <v>300000</v>
      </c>
      <c r="E562" s="59">
        <f t="shared" ref="E562:L562" si="1035">E561*$C$8</f>
        <v>330000.00000000006</v>
      </c>
      <c r="F562" s="59">
        <f t="shared" si="1035"/>
        <v>363000.00000000012</v>
      </c>
      <c r="G562" s="59">
        <f t="shared" si="1035"/>
        <v>399300.00000000012</v>
      </c>
      <c r="H562" s="59">
        <f t="shared" si="1035"/>
        <v>439230.00000000017</v>
      </c>
      <c r="I562" s="59">
        <f t="shared" si="1035"/>
        <v>483153.00000000023</v>
      </c>
      <c r="J562" s="59">
        <f t="shared" si="1035"/>
        <v>531468.3000000004</v>
      </c>
      <c r="K562" s="59">
        <f t="shared" si="1035"/>
        <v>584615.13000000035</v>
      </c>
      <c r="L562" s="59">
        <f t="shared" si="1035"/>
        <v>643076.64300000051</v>
      </c>
    </row>
    <row r="563" spans="1:12" x14ac:dyDescent="0.3">
      <c r="A563" s="210" t="s">
        <v>241</v>
      </c>
      <c r="B563" s="1" t="s">
        <v>199</v>
      </c>
      <c r="D563" s="201">
        <v>1</v>
      </c>
      <c r="E563" s="59">
        <f>D563</f>
        <v>1</v>
      </c>
      <c r="F563" s="59">
        <f t="shared" ref="F563" si="1036">E563</f>
        <v>1</v>
      </c>
      <c r="G563" s="59">
        <f t="shared" ref="G563" si="1037">F563</f>
        <v>1</v>
      </c>
      <c r="H563" s="59">
        <f t="shared" ref="H563" si="1038">G563</f>
        <v>1</v>
      </c>
      <c r="I563" s="59">
        <f t="shared" ref="I563" si="1039">H563</f>
        <v>1</v>
      </c>
      <c r="J563" s="59">
        <f t="shared" ref="J563" si="1040">I563</f>
        <v>1</v>
      </c>
      <c r="K563" s="59">
        <f t="shared" ref="K563" si="1041">J563</f>
        <v>1</v>
      </c>
      <c r="L563" s="59">
        <f t="shared" ref="L563" si="1042">K563</f>
        <v>1</v>
      </c>
    </row>
    <row r="564" spans="1:12" s="218" customFormat="1" x14ac:dyDescent="0.3">
      <c r="A564" s="216" t="s">
        <v>243</v>
      </c>
      <c r="B564" s="204" t="s">
        <v>167</v>
      </c>
      <c r="C564" s="205">
        <v>0.1</v>
      </c>
      <c r="D564" s="217"/>
    </row>
    <row r="565" spans="1:12" x14ac:dyDescent="0.3">
      <c r="A565" s="210" t="s">
        <v>238</v>
      </c>
      <c r="D565" s="201"/>
      <c r="E565" s="59">
        <f>D565</f>
        <v>0</v>
      </c>
      <c r="F565" s="59">
        <f t="shared" ref="F565" si="1043">E565</f>
        <v>0</v>
      </c>
      <c r="G565" s="59">
        <f t="shared" ref="G565" si="1044">F565</f>
        <v>0</v>
      </c>
      <c r="H565" s="59">
        <f t="shared" ref="H565" si="1045">G565</f>
        <v>0</v>
      </c>
      <c r="I565" s="59">
        <f t="shared" ref="I565" si="1046">H565</f>
        <v>0</v>
      </c>
      <c r="J565" s="59">
        <f t="shared" ref="J565" si="1047">I565</f>
        <v>0</v>
      </c>
      <c r="K565" s="59">
        <f t="shared" ref="K565" si="1048">J565</f>
        <v>0</v>
      </c>
      <c r="L565" s="59">
        <f t="shared" ref="L565" si="1049">K565</f>
        <v>0</v>
      </c>
    </row>
    <row r="566" spans="1:12" x14ac:dyDescent="0.3">
      <c r="A566" s="219" t="s">
        <v>255</v>
      </c>
    </row>
    <row r="567" spans="1:12" x14ac:dyDescent="0.3">
      <c r="A567" s="210" t="s">
        <v>244</v>
      </c>
      <c r="B567" s="1" t="s">
        <v>165</v>
      </c>
      <c r="D567" s="201"/>
    </row>
    <row r="568" spans="1:12" x14ac:dyDescent="0.3">
      <c r="A568" s="210" t="s">
        <v>240</v>
      </c>
      <c r="B568" s="1" t="s">
        <v>165</v>
      </c>
      <c r="D568" s="201">
        <v>25000</v>
      </c>
      <c r="E568" s="59">
        <f>D568*(1+$C571)</f>
        <v>27500.000000000004</v>
      </c>
      <c r="F568" s="59">
        <f t="shared" ref="F568" si="1050">E568*(1+$C571)</f>
        <v>30250.000000000007</v>
      </c>
      <c r="G568" s="59">
        <f t="shared" ref="G568" si="1051">F568*(1+$C571)</f>
        <v>33275.000000000007</v>
      </c>
      <c r="H568" s="59">
        <f t="shared" ref="H568" si="1052">G568*(1+$C571)</f>
        <v>36602.500000000015</v>
      </c>
      <c r="I568" s="59">
        <f t="shared" ref="I568" si="1053">H568*(1+$C571)</f>
        <v>40262.750000000022</v>
      </c>
      <c r="J568" s="59">
        <f t="shared" ref="J568" si="1054">I568*(1+$C571)</f>
        <v>44289.025000000031</v>
      </c>
      <c r="K568" s="59">
        <f t="shared" ref="K568" si="1055">J568*(1+$C571)</f>
        <v>48717.927500000034</v>
      </c>
      <c r="L568" s="59">
        <f t="shared" ref="L568" si="1056">K568*(1+$C571)</f>
        <v>53589.720250000042</v>
      </c>
    </row>
    <row r="569" spans="1:12" x14ac:dyDescent="0.3">
      <c r="A569" s="210" t="s">
        <v>242</v>
      </c>
      <c r="B569" s="1" t="s">
        <v>165</v>
      </c>
      <c r="D569" s="59">
        <f>D568*$C$8</f>
        <v>300000</v>
      </c>
      <c r="E569" s="59">
        <f t="shared" ref="E569:L569" si="1057">E568*$C$8</f>
        <v>330000.00000000006</v>
      </c>
      <c r="F569" s="59">
        <f t="shared" si="1057"/>
        <v>363000.00000000012</v>
      </c>
      <c r="G569" s="59">
        <f t="shared" si="1057"/>
        <v>399300.00000000012</v>
      </c>
      <c r="H569" s="59">
        <f t="shared" si="1057"/>
        <v>439230.00000000017</v>
      </c>
      <c r="I569" s="59">
        <f t="shared" si="1057"/>
        <v>483153.00000000023</v>
      </c>
      <c r="J569" s="59">
        <f t="shared" si="1057"/>
        <v>531468.3000000004</v>
      </c>
      <c r="K569" s="59">
        <f t="shared" si="1057"/>
        <v>584615.13000000035</v>
      </c>
      <c r="L569" s="59">
        <f t="shared" si="1057"/>
        <v>643076.64300000051</v>
      </c>
    </row>
    <row r="570" spans="1:12" x14ac:dyDescent="0.3">
      <c r="A570" s="210" t="s">
        <v>241</v>
      </c>
      <c r="B570" s="1" t="s">
        <v>199</v>
      </c>
      <c r="D570" s="201">
        <v>1</v>
      </c>
      <c r="E570" s="59">
        <f>D570</f>
        <v>1</v>
      </c>
      <c r="F570" s="59">
        <f t="shared" ref="F570" si="1058">E570</f>
        <v>1</v>
      </c>
      <c r="G570" s="59">
        <f t="shared" ref="G570" si="1059">F570</f>
        <v>1</v>
      </c>
      <c r="H570" s="59">
        <f t="shared" ref="H570" si="1060">G570</f>
        <v>1</v>
      </c>
      <c r="I570" s="59">
        <f t="shared" ref="I570" si="1061">H570</f>
        <v>1</v>
      </c>
      <c r="J570" s="59">
        <f t="shared" ref="J570" si="1062">I570</f>
        <v>1</v>
      </c>
      <c r="K570" s="59">
        <f t="shared" ref="K570" si="1063">J570</f>
        <v>1</v>
      </c>
      <c r="L570" s="59">
        <f t="shared" ref="L570" si="1064">K570</f>
        <v>1</v>
      </c>
    </row>
    <row r="571" spans="1:12" s="218" customFormat="1" x14ac:dyDescent="0.3">
      <c r="A571" s="216" t="s">
        <v>243</v>
      </c>
      <c r="B571" s="204" t="s">
        <v>167</v>
      </c>
      <c r="C571" s="205">
        <v>0.1</v>
      </c>
      <c r="D571" s="217"/>
    </row>
    <row r="572" spans="1:12" x14ac:dyDescent="0.3">
      <c r="A572" s="210" t="s">
        <v>238</v>
      </c>
      <c r="D572" s="201"/>
      <c r="E572" s="59">
        <f>D572</f>
        <v>0</v>
      </c>
      <c r="F572" s="59">
        <f t="shared" ref="F572" si="1065">E572</f>
        <v>0</v>
      </c>
      <c r="G572" s="59">
        <f t="shared" ref="G572" si="1066">F572</f>
        <v>0</v>
      </c>
      <c r="H572" s="59">
        <f t="shared" ref="H572" si="1067">G572</f>
        <v>0</v>
      </c>
      <c r="I572" s="59">
        <f t="shared" ref="I572" si="1068">H572</f>
        <v>0</v>
      </c>
      <c r="J572" s="59">
        <f t="shared" ref="J572" si="1069">I572</f>
        <v>0</v>
      </c>
      <c r="K572" s="59">
        <f t="shared" ref="K572" si="1070">J572</f>
        <v>0</v>
      </c>
      <c r="L572" s="59">
        <f t="shared" ref="L572" si="1071">K572</f>
        <v>0</v>
      </c>
    </row>
    <row r="573" spans="1:12" x14ac:dyDescent="0.3">
      <c r="A573" s="219" t="s">
        <v>256</v>
      </c>
    </row>
    <row r="574" spans="1:12" x14ac:dyDescent="0.3">
      <c r="A574" s="210" t="s">
        <v>244</v>
      </c>
      <c r="B574" s="1" t="s">
        <v>165</v>
      </c>
      <c r="D574" s="201"/>
    </row>
    <row r="575" spans="1:12" x14ac:dyDescent="0.3">
      <c r="A575" s="210" t="s">
        <v>240</v>
      </c>
      <c r="B575" s="1" t="s">
        <v>165</v>
      </c>
      <c r="D575" s="201">
        <v>5000</v>
      </c>
      <c r="E575" s="59">
        <f>D575*(1+$C578)</f>
        <v>5500</v>
      </c>
      <c r="F575" s="59">
        <f t="shared" ref="F575" si="1072">E575*(1+$C578)</f>
        <v>6050.0000000000009</v>
      </c>
      <c r="G575" s="59">
        <f t="shared" ref="G575" si="1073">F575*(1+$C578)</f>
        <v>6655.0000000000018</v>
      </c>
      <c r="H575" s="59">
        <f t="shared" ref="H575" si="1074">G575*(1+$C578)</f>
        <v>7320.5000000000027</v>
      </c>
      <c r="I575" s="59">
        <f t="shared" ref="I575" si="1075">H575*(1+$C578)</f>
        <v>8052.5500000000038</v>
      </c>
      <c r="J575" s="59">
        <f t="shared" ref="J575" si="1076">I575*(1+$C578)</f>
        <v>8857.8050000000057</v>
      </c>
      <c r="K575" s="59">
        <f t="shared" ref="K575" si="1077">J575*(1+$C578)</f>
        <v>9743.5855000000065</v>
      </c>
      <c r="L575" s="59">
        <f t="shared" ref="L575" si="1078">K575*(1+$C578)</f>
        <v>10717.944050000007</v>
      </c>
    </row>
    <row r="576" spans="1:12" x14ac:dyDescent="0.3">
      <c r="A576" s="210" t="s">
        <v>242</v>
      </c>
      <c r="B576" s="1" t="s">
        <v>165</v>
      </c>
      <c r="D576" s="59">
        <f>D575*$C$8</f>
        <v>60000</v>
      </c>
      <c r="E576" s="59">
        <f t="shared" ref="E576:L576" si="1079">E575*$C$8</f>
        <v>66000</v>
      </c>
      <c r="F576" s="59">
        <f t="shared" si="1079"/>
        <v>72600.000000000015</v>
      </c>
      <c r="G576" s="59">
        <f t="shared" si="1079"/>
        <v>79860.000000000029</v>
      </c>
      <c r="H576" s="59">
        <f t="shared" si="1079"/>
        <v>87846.000000000029</v>
      </c>
      <c r="I576" s="59">
        <f t="shared" si="1079"/>
        <v>96630.600000000049</v>
      </c>
      <c r="J576" s="59">
        <f t="shared" si="1079"/>
        <v>106293.66000000006</v>
      </c>
      <c r="K576" s="59">
        <f t="shared" si="1079"/>
        <v>116923.02600000007</v>
      </c>
      <c r="L576" s="59">
        <f t="shared" si="1079"/>
        <v>128615.3286000001</v>
      </c>
    </row>
    <row r="577" spans="1:12" x14ac:dyDescent="0.3">
      <c r="A577" s="210" t="s">
        <v>241</v>
      </c>
      <c r="B577" s="1" t="s">
        <v>199</v>
      </c>
      <c r="D577" s="201">
        <v>1</v>
      </c>
      <c r="E577" s="59">
        <f>D577</f>
        <v>1</v>
      </c>
      <c r="F577" s="59">
        <f t="shared" ref="F577" si="1080">E577</f>
        <v>1</v>
      </c>
      <c r="G577" s="59">
        <f t="shared" ref="G577" si="1081">F577</f>
        <v>1</v>
      </c>
      <c r="H577" s="59">
        <f t="shared" ref="H577" si="1082">G577</f>
        <v>1</v>
      </c>
      <c r="I577" s="59">
        <f t="shared" ref="I577" si="1083">H577</f>
        <v>1</v>
      </c>
      <c r="J577" s="59">
        <f t="shared" ref="J577" si="1084">I577</f>
        <v>1</v>
      </c>
      <c r="K577" s="59">
        <f t="shared" ref="K577" si="1085">J577</f>
        <v>1</v>
      </c>
      <c r="L577" s="59">
        <f t="shared" ref="L577" si="1086">K577</f>
        <v>1</v>
      </c>
    </row>
    <row r="578" spans="1:12" s="218" customFormat="1" x14ac:dyDescent="0.3">
      <c r="A578" s="216" t="s">
        <v>243</v>
      </c>
      <c r="B578" s="204" t="s">
        <v>167</v>
      </c>
      <c r="C578" s="205">
        <v>0.1</v>
      </c>
      <c r="D578" s="217"/>
    </row>
    <row r="579" spans="1:12" x14ac:dyDescent="0.3">
      <c r="A579" s="210" t="s">
        <v>238</v>
      </c>
      <c r="D579" s="201"/>
      <c r="E579" s="59">
        <f>D579</f>
        <v>0</v>
      </c>
      <c r="F579" s="59">
        <f t="shared" ref="F579" si="1087">E579</f>
        <v>0</v>
      </c>
      <c r="G579" s="59">
        <f t="shared" ref="G579" si="1088">F579</f>
        <v>0</v>
      </c>
      <c r="H579" s="59">
        <f t="shared" ref="H579" si="1089">G579</f>
        <v>0</v>
      </c>
      <c r="I579" s="59">
        <f t="shared" ref="I579" si="1090">H579</f>
        <v>0</v>
      </c>
      <c r="J579" s="59">
        <f t="shared" ref="J579" si="1091">I579</f>
        <v>0</v>
      </c>
      <c r="K579" s="59">
        <f t="shared" ref="K579" si="1092">J579</f>
        <v>0</v>
      </c>
      <c r="L579" s="59">
        <f t="shared" ref="L579" si="1093">K579</f>
        <v>0</v>
      </c>
    </row>
    <row r="580" spans="1:12" x14ac:dyDescent="0.3">
      <c r="A580" s="219" t="s">
        <v>257</v>
      </c>
    </row>
    <row r="581" spans="1:12" x14ac:dyDescent="0.3">
      <c r="A581" s="210" t="s">
        <v>244</v>
      </c>
      <c r="B581" s="1" t="s">
        <v>165</v>
      </c>
      <c r="D581" s="201"/>
    </row>
    <row r="582" spans="1:12" x14ac:dyDescent="0.3">
      <c r="A582" s="210" t="s">
        <v>240</v>
      </c>
      <c r="B582" s="1" t="s">
        <v>165</v>
      </c>
      <c r="D582" s="201">
        <v>50000</v>
      </c>
      <c r="E582" s="59">
        <f>D582*(1+$C585)</f>
        <v>55000.000000000007</v>
      </c>
      <c r="F582" s="59">
        <f t="shared" ref="F582" si="1094">E582*(1+$C585)</f>
        <v>60500.000000000015</v>
      </c>
      <c r="G582" s="59">
        <f t="shared" ref="G582" si="1095">F582*(1+$C585)</f>
        <v>66550.000000000015</v>
      </c>
      <c r="H582" s="59">
        <f t="shared" ref="H582" si="1096">G582*(1+$C585)</f>
        <v>73205.000000000029</v>
      </c>
      <c r="I582" s="59">
        <f t="shared" ref="I582" si="1097">H582*(1+$C585)</f>
        <v>80525.500000000044</v>
      </c>
      <c r="J582" s="59">
        <f t="shared" ref="J582" si="1098">I582*(1+$C585)</f>
        <v>88578.050000000061</v>
      </c>
      <c r="K582" s="59">
        <f t="shared" ref="K582" si="1099">J582*(1+$C585)</f>
        <v>97435.855000000069</v>
      </c>
      <c r="L582" s="59">
        <f t="shared" ref="L582" si="1100">K582*(1+$C585)</f>
        <v>107179.44050000008</v>
      </c>
    </row>
    <row r="583" spans="1:12" x14ac:dyDescent="0.3">
      <c r="A583" s="210" t="s">
        <v>242</v>
      </c>
      <c r="B583" s="1" t="s">
        <v>165</v>
      </c>
      <c r="D583" s="59">
        <f>D582*$C$8</f>
        <v>600000</v>
      </c>
      <c r="E583" s="59">
        <f t="shared" ref="E583:L583" si="1101">E582*$C$8</f>
        <v>660000.00000000012</v>
      </c>
      <c r="F583" s="59">
        <f t="shared" si="1101"/>
        <v>726000.00000000023</v>
      </c>
      <c r="G583" s="59">
        <f t="shared" si="1101"/>
        <v>798600.00000000023</v>
      </c>
      <c r="H583" s="59">
        <f t="shared" si="1101"/>
        <v>878460.00000000035</v>
      </c>
      <c r="I583" s="59">
        <f t="shared" si="1101"/>
        <v>966306.00000000047</v>
      </c>
      <c r="J583" s="59">
        <f t="shared" si="1101"/>
        <v>1062936.6000000008</v>
      </c>
      <c r="K583" s="59">
        <f t="shared" si="1101"/>
        <v>1169230.2600000007</v>
      </c>
      <c r="L583" s="59">
        <f t="shared" si="1101"/>
        <v>1286153.286000001</v>
      </c>
    </row>
    <row r="584" spans="1:12" x14ac:dyDescent="0.3">
      <c r="A584" s="210" t="s">
        <v>241</v>
      </c>
      <c r="B584" s="1" t="s">
        <v>199</v>
      </c>
      <c r="D584" s="201">
        <v>1</v>
      </c>
      <c r="E584" s="59">
        <f>D584</f>
        <v>1</v>
      </c>
      <c r="F584" s="59">
        <f t="shared" ref="F584" si="1102">E584</f>
        <v>1</v>
      </c>
      <c r="G584" s="59">
        <f t="shared" ref="G584" si="1103">F584</f>
        <v>1</v>
      </c>
      <c r="H584" s="59">
        <f t="shared" ref="H584" si="1104">G584</f>
        <v>1</v>
      </c>
      <c r="I584" s="59">
        <f t="shared" ref="I584" si="1105">H584</f>
        <v>1</v>
      </c>
      <c r="J584" s="59">
        <f t="shared" ref="J584" si="1106">I584</f>
        <v>1</v>
      </c>
      <c r="K584" s="59">
        <f t="shared" ref="K584" si="1107">J584</f>
        <v>1</v>
      </c>
      <c r="L584" s="59">
        <f t="shared" ref="L584" si="1108">K584</f>
        <v>1</v>
      </c>
    </row>
    <row r="585" spans="1:12" s="218" customFormat="1" x14ac:dyDescent="0.3">
      <c r="A585" s="216" t="s">
        <v>243</v>
      </c>
      <c r="B585" s="204" t="s">
        <v>167</v>
      </c>
      <c r="C585" s="205">
        <v>0.1</v>
      </c>
      <c r="D585" s="217"/>
    </row>
    <row r="586" spans="1:12" x14ac:dyDescent="0.3">
      <c r="A586" s="210" t="s">
        <v>238</v>
      </c>
      <c r="D586" s="201"/>
      <c r="E586" s="59">
        <f>D586</f>
        <v>0</v>
      </c>
      <c r="F586" s="59">
        <f t="shared" ref="F586" si="1109">E586</f>
        <v>0</v>
      </c>
      <c r="G586" s="59">
        <f t="shared" ref="G586" si="1110">F586</f>
        <v>0</v>
      </c>
      <c r="H586" s="59">
        <f t="shared" ref="H586" si="1111">G586</f>
        <v>0</v>
      </c>
      <c r="I586" s="59">
        <f t="shared" ref="I586" si="1112">H586</f>
        <v>0</v>
      </c>
      <c r="J586" s="59">
        <f t="shared" ref="J586" si="1113">I586</f>
        <v>0</v>
      </c>
      <c r="K586" s="59">
        <f t="shared" ref="K586" si="1114">J586</f>
        <v>0</v>
      </c>
      <c r="L586" s="59">
        <f t="shared" ref="L586" si="1115">K586</f>
        <v>0</v>
      </c>
    </row>
    <row r="588" spans="1:12" x14ac:dyDescent="0.3">
      <c r="A588" s="184" t="str">
        <f>$A$67</f>
        <v>Hospital 6 - Pancham</v>
      </c>
      <c r="B588" s="184"/>
      <c r="C588" s="184"/>
    </row>
    <row r="589" spans="1:12" x14ac:dyDescent="0.3">
      <c r="A589" s="219" t="s">
        <v>239</v>
      </c>
    </row>
    <row r="590" spans="1:12" x14ac:dyDescent="0.3">
      <c r="A590" s="210" t="s">
        <v>244</v>
      </c>
      <c r="B590" s="1" t="s">
        <v>165</v>
      </c>
    </row>
    <row r="591" spans="1:12" x14ac:dyDescent="0.3">
      <c r="A591" s="210" t="s">
        <v>240</v>
      </c>
      <c r="B591" s="1" t="s">
        <v>165</v>
      </c>
      <c r="D591" s="201">
        <v>12000000</v>
      </c>
      <c r="E591" s="59">
        <f>D591*(1+$C594)</f>
        <v>13200000.000000002</v>
      </c>
      <c r="F591" s="59">
        <f t="shared" ref="F591" si="1116">E591*(1+$C594)</f>
        <v>14520000.000000004</v>
      </c>
      <c r="G591" s="59">
        <f t="shared" ref="G591" si="1117">F591*(1+$C594)</f>
        <v>15972000.000000006</v>
      </c>
      <c r="H591" s="59">
        <f t="shared" ref="H591" si="1118">G591*(1+$C594)</f>
        <v>17569200.000000007</v>
      </c>
      <c r="I591" s="59">
        <f t="shared" ref="I591" si="1119">H591*(1+$C594)</f>
        <v>19326120.000000011</v>
      </c>
      <c r="J591" s="59">
        <f t="shared" ref="J591" si="1120">I591*(1+$C594)</f>
        <v>21258732.000000015</v>
      </c>
      <c r="K591" s="59">
        <f t="shared" ref="K591" si="1121">J591*(1+$C594)</f>
        <v>23384605.200000018</v>
      </c>
      <c r="L591" s="59">
        <f t="shared" ref="L591" si="1122">K591*(1+$C594)</f>
        <v>25723065.720000021</v>
      </c>
    </row>
    <row r="592" spans="1:12" x14ac:dyDescent="0.3">
      <c r="A592" s="210" t="s">
        <v>242</v>
      </c>
      <c r="B592" s="1" t="s">
        <v>165</v>
      </c>
      <c r="D592" s="59">
        <f>D591*$C$8</f>
        <v>144000000</v>
      </c>
      <c r="E592" s="59">
        <f t="shared" ref="E592:L592" si="1123">E591*$C$8</f>
        <v>158400000.00000003</v>
      </c>
      <c r="F592" s="59">
        <f t="shared" si="1123"/>
        <v>174240000.00000006</v>
      </c>
      <c r="G592" s="59">
        <f t="shared" si="1123"/>
        <v>191664000.00000006</v>
      </c>
      <c r="H592" s="59">
        <f t="shared" si="1123"/>
        <v>210830400.00000009</v>
      </c>
      <c r="I592" s="59">
        <f t="shared" si="1123"/>
        <v>231913440.00000012</v>
      </c>
      <c r="J592" s="59">
        <f t="shared" si="1123"/>
        <v>255104784.00000018</v>
      </c>
      <c r="K592" s="59">
        <f t="shared" si="1123"/>
        <v>280615262.40000021</v>
      </c>
      <c r="L592" s="59">
        <f t="shared" si="1123"/>
        <v>308676788.64000022</v>
      </c>
    </row>
    <row r="593" spans="1:12" x14ac:dyDescent="0.3">
      <c r="A593" s="210" t="s">
        <v>241</v>
      </c>
      <c r="B593" s="1" t="s">
        <v>199</v>
      </c>
      <c r="D593" s="201">
        <v>4</v>
      </c>
      <c r="E593" s="59">
        <f>D593</f>
        <v>4</v>
      </c>
      <c r="F593" s="59">
        <f t="shared" ref="F593" si="1124">E593</f>
        <v>4</v>
      </c>
      <c r="G593" s="59">
        <f t="shared" ref="G593" si="1125">F593</f>
        <v>4</v>
      </c>
      <c r="H593" s="59">
        <f t="shared" ref="H593" si="1126">G593</f>
        <v>4</v>
      </c>
      <c r="I593" s="59">
        <f t="shared" ref="I593" si="1127">H593</f>
        <v>4</v>
      </c>
      <c r="J593" s="59">
        <f t="shared" ref="J593" si="1128">I593</f>
        <v>4</v>
      </c>
      <c r="K593" s="59">
        <f t="shared" ref="K593" si="1129">J593</f>
        <v>4</v>
      </c>
      <c r="L593" s="59">
        <f t="shared" ref="L593" si="1130">K593</f>
        <v>4</v>
      </c>
    </row>
    <row r="594" spans="1:12" s="218" customFormat="1" x14ac:dyDescent="0.3">
      <c r="A594" s="216" t="s">
        <v>153</v>
      </c>
      <c r="B594" s="204" t="s">
        <v>167</v>
      </c>
      <c r="C594" s="205">
        <v>0.1</v>
      </c>
      <c r="D594" s="217"/>
    </row>
    <row r="595" spans="1:12" x14ac:dyDescent="0.3">
      <c r="A595" s="210" t="s">
        <v>238</v>
      </c>
      <c r="B595" s="1" t="s">
        <v>165</v>
      </c>
      <c r="D595" s="201">
        <v>48000000</v>
      </c>
      <c r="E595" s="59">
        <f>D595</f>
        <v>48000000</v>
      </c>
      <c r="F595" s="59">
        <f t="shared" ref="F595:L595" si="1131">E595</f>
        <v>48000000</v>
      </c>
      <c r="G595" s="59">
        <f t="shared" si="1131"/>
        <v>48000000</v>
      </c>
      <c r="H595" s="59">
        <f t="shared" si="1131"/>
        <v>48000000</v>
      </c>
      <c r="I595" s="59">
        <f t="shared" si="1131"/>
        <v>48000000</v>
      </c>
      <c r="J595" s="59">
        <f t="shared" si="1131"/>
        <v>48000000</v>
      </c>
      <c r="K595" s="59">
        <f t="shared" si="1131"/>
        <v>48000000</v>
      </c>
      <c r="L595" s="59">
        <f t="shared" si="1131"/>
        <v>48000000</v>
      </c>
    </row>
    <row r="596" spans="1:12" x14ac:dyDescent="0.3">
      <c r="A596" s="219" t="s">
        <v>216</v>
      </c>
    </row>
    <row r="597" spans="1:12" x14ac:dyDescent="0.3">
      <c r="A597" s="210" t="s">
        <v>244</v>
      </c>
      <c r="B597" s="1" t="s">
        <v>165</v>
      </c>
      <c r="D597" s="201">
        <v>100000</v>
      </c>
    </row>
    <row r="598" spans="1:12" x14ac:dyDescent="0.3">
      <c r="A598" s="210" t="s">
        <v>240</v>
      </c>
      <c r="B598" s="1" t="s">
        <v>165</v>
      </c>
      <c r="D598" s="201"/>
      <c r="E598" s="59">
        <f>D598*(1+$C601)</f>
        <v>0</v>
      </c>
      <c r="F598" s="59">
        <f t="shared" ref="F598" si="1132">E598*(1+$C601)</f>
        <v>0</v>
      </c>
      <c r="G598" s="59">
        <f t="shared" ref="G598" si="1133">F598*(1+$C601)</f>
        <v>0</v>
      </c>
      <c r="H598" s="59">
        <f t="shared" ref="H598" si="1134">G598*(1+$C601)</f>
        <v>0</v>
      </c>
      <c r="I598" s="59">
        <f t="shared" ref="I598" si="1135">H598*(1+$C601)</f>
        <v>0</v>
      </c>
      <c r="J598" s="59">
        <f t="shared" ref="J598" si="1136">I598*(1+$C601)</f>
        <v>0</v>
      </c>
      <c r="K598" s="59">
        <f t="shared" ref="K598" si="1137">J598*(1+$C601)</f>
        <v>0</v>
      </c>
      <c r="L598" s="59">
        <f t="shared" ref="L598" si="1138">K598*(1+$C601)</f>
        <v>0</v>
      </c>
    </row>
    <row r="599" spans="1:12" x14ac:dyDescent="0.3">
      <c r="A599" s="210" t="s">
        <v>242</v>
      </c>
      <c r="B599" s="1" t="s">
        <v>165</v>
      </c>
      <c r="D599" s="59">
        <f>D598*$C$8</f>
        <v>0</v>
      </c>
      <c r="E599" s="59">
        <f t="shared" ref="E599:L599" si="1139">E598*$C$8</f>
        <v>0</v>
      </c>
      <c r="F599" s="59">
        <f t="shared" si="1139"/>
        <v>0</v>
      </c>
      <c r="G599" s="59">
        <f t="shared" si="1139"/>
        <v>0</v>
      </c>
      <c r="H599" s="59">
        <f t="shared" si="1139"/>
        <v>0</v>
      </c>
      <c r="I599" s="59">
        <f t="shared" si="1139"/>
        <v>0</v>
      </c>
      <c r="J599" s="59">
        <f t="shared" si="1139"/>
        <v>0</v>
      </c>
      <c r="K599" s="59">
        <f t="shared" si="1139"/>
        <v>0</v>
      </c>
      <c r="L599" s="59">
        <f t="shared" si="1139"/>
        <v>0</v>
      </c>
    </row>
    <row r="600" spans="1:12" x14ac:dyDescent="0.3">
      <c r="A600" s="210" t="s">
        <v>241</v>
      </c>
      <c r="B600" s="1" t="s">
        <v>199</v>
      </c>
      <c r="D600" s="201"/>
      <c r="E600" s="59">
        <f>D600</f>
        <v>0</v>
      </c>
      <c r="F600" s="59">
        <f t="shared" ref="F600" si="1140">E600</f>
        <v>0</v>
      </c>
      <c r="G600" s="59">
        <f t="shared" ref="G600" si="1141">F600</f>
        <v>0</v>
      </c>
      <c r="H600" s="59">
        <f t="shared" ref="H600" si="1142">G600</f>
        <v>0</v>
      </c>
      <c r="I600" s="59">
        <f t="shared" ref="I600" si="1143">H600</f>
        <v>0</v>
      </c>
      <c r="J600" s="59">
        <f t="shared" ref="J600" si="1144">I600</f>
        <v>0</v>
      </c>
      <c r="K600" s="59">
        <f t="shared" ref="K600" si="1145">J600</f>
        <v>0</v>
      </c>
      <c r="L600" s="59">
        <f t="shared" ref="L600" si="1146">K600</f>
        <v>0</v>
      </c>
    </row>
    <row r="601" spans="1:12" s="218" customFormat="1" x14ac:dyDescent="0.3">
      <c r="A601" s="216" t="s">
        <v>153</v>
      </c>
      <c r="B601" s="204" t="s">
        <v>167</v>
      </c>
      <c r="C601" s="205">
        <v>0.1</v>
      </c>
      <c r="D601" s="217"/>
    </row>
    <row r="602" spans="1:12" x14ac:dyDescent="0.3">
      <c r="A602" s="210" t="s">
        <v>238</v>
      </c>
      <c r="B602" s="1" t="s">
        <v>165</v>
      </c>
      <c r="D602" s="201">
        <v>100000</v>
      </c>
    </row>
    <row r="603" spans="1:12" x14ac:dyDescent="0.3">
      <c r="A603" s="219" t="s">
        <v>219</v>
      </c>
    </row>
    <row r="604" spans="1:12" x14ac:dyDescent="0.3">
      <c r="A604" s="210" t="s">
        <v>244</v>
      </c>
      <c r="B604" s="1" t="s">
        <v>165</v>
      </c>
      <c r="D604" s="201"/>
    </row>
    <row r="605" spans="1:12" x14ac:dyDescent="0.3">
      <c r="A605" s="210" t="s">
        <v>240</v>
      </c>
      <c r="B605" s="1" t="s">
        <v>165</v>
      </c>
      <c r="D605" s="201">
        <v>50000</v>
      </c>
      <c r="E605" s="59">
        <f>D605*(1+$C608)</f>
        <v>55000.000000000007</v>
      </c>
      <c r="F605" s="59">
        <f t="shared" ref="F605" si="1147">E605*(1+$C608)</f>
        <v>60500.000000000015</v>
      </c>
      <c r="G605" s="59">
        <f t="shared" ref="G605" si="1148">F605*(1+$C608)</f>
        <v>66550.000000000015</v>
      </c>
      <c r="H605" s="59">
        <f t="shared" ref="H605" si="1149">G605*(1+$C608)</f>
        <v>73205.000000000029</v>
      </c>
      <c r="I605" s="59">
        <f t="shared" ref="I605" si="1150">H605*(1+$C608)</f>
        <v>80525.500000000044</v>
      </c>
      <c r="J605" s="59">
        <f t="shared" ref="J605" si="1151">I605*(1+$C608)</f>
        <v>88578.050000000061</v>
      </c>
      <c r="K605" s="59">
        <f t="shared" ref="K605" si="1152">J605*(1+$C608)</f>
        <v>97435.855000000069</v>
      </c>
      <c r="L605" s="59">
        <f t="shared" ref="L605" si="1153">K605*(1+$C608)</f>
        <v>107179.44050000008</v>
      </c>
    </row>
    <row r="606" spans="1:12" x14ac:dyDescent="0.3">
      <c r="A606" s="210" t="s">
        <v>242</v>
      </c>
      <c r="B606" s="1" t="s">
        <v>165</v>
      </c>
      <c r="D606" s="59">
        <f>D605*$C$8</f>
        <v>600000</v>
      </c>
      <c r="E606" s="59">
        <f t="shared" ref="E606:L606" si="1154">E605*$C$8</f>
        <v>660000.00000000012</v>
      </c>
      <c r="F606" s="59">
        <f t="shared" si="1154"/>
        <v>726000.00000000023</v>
      </c>
      <c r="G606" s="59">
        <f t="shared" si="1154"/>
        <v>798600.00000000023</v>
      </c>
      <c r="H606" s="59">
        <f t="shared" si="1154"/>
        <v>878460.00000000035</v>
      </c>
      <c r="I606" s="59">
        <f t="shared" si="1154"/>
        <v>966306.00000000047</v>
      </c>
      <c r="J606" s="59">
        <f t="shared" si="1154"/>
        <v>1062936.6000000008</v>
      </c>
      <c r="K606" s="59">
        <f t="shared" si="1154"/>
        <v>1169230.2600000007</v>
      </c>
      <c r="L606" s="59">
        <f t="shared" si="1154"/>
        <v>1286153.286000001</v>
      </c>
    </row>
    <row r="607" spans="1:12" x14ac:dyDescent="0.3">
      <c r="A607" s="210" t="s">
        <v>241</v>
      </c>
      <c r="B607" s="1" t="s">
        <v>199</v>
      </c>
      <c r="D607" s="201">
        <v>1</v>
      </c>
      <c r="E607" s="59">
        <f>D607</f>
        <v>1</v>
      </c>
      <c r="F607" s="59">
        <f t="shared" ref="F607" si="1155">E607</f>
        <v>1</v>
      </c>
      <c r="G607" s="59">
        <f t="shared" ref="G607" si="1156">F607</f>
        <v>1</v>
      </c>
      <c r="H607" s="59">
        <f t="shared" ref="H607" si="1157">G607</f>
        <v>1</v>
      </c>
      <c r="I607" s="59">
        <f t="shared" ref="I607" si="1158">H607</f>
        <v>1</v>
      </c>
      <c r="J607" s="59">
        <f t="shared" ref="J607" si="1159">I607</f>
        <v>1</v>
      </c>
      <c r="K607" s="59">
        <f t="shared" ref="K607" si="1160">J607</f>
        <v>1</v>
      </c>
      <c r="L607" s="59">
        <f t="shared" ref="L607" si="1161">K607</f>
        <v>1</v>
      </c>
    </row>
    <row r="608" spans="1:12" s="218" customFormat="1" x14ac:dyDescent="0.3">
      <c r="A608" s="216" t="s">
        <v>153</v>
      </c>
      <c r="B608" s="204" t="s">
        <v>167</v>
      </c>
      <c r="C608" s="205">
        <v>0.1</v>
      </c>
      <c r="D608" s="217"/>
    </row>
    <row r="609" spans="1:12" x14ac:dyDescent="0.3">
      <c r="A609" s="210" t="s">
        <v>238</v>
      </c>
      <c r="B609" s="1" t="s">
        <v>165</v>
      </c>
      <c r="D609" s="201"/>
    </row>
    <row r="610" spans="1:12" x14ac:dyDescent="0.3">
      <c r="A610" s="219" t="s">
        <v>232</v>
      </c>
    </row>
    <row r="611" spans="1:12" x14ac:dyDescent="0.3">
      <c r="A611" s="210" t="s">
        <v>244</v>
      </c>
      <c r="B611" s="1" t="s">
        <v>165</v>
      </c>
      <c r="D611" s="201"/>
    </row>
    <row r="612" spans="1:12" x14ac:dyDescent="0.3">
      <c r="A612" s="210" t="s">
        <v>240</v>
      </c>
      <c r="B612" s="1" t="s">
        <v>165</v>
      </c>
      <c r="D612" s="201">
        <v>50000</v>
      </c>
      <c r="E612" s="59">
        <f>D612*(1+$C615)</f>
        <v>55000.000000000007</v>
      </c>
      <c r="F612" s="59">
        <f t="shared" ref="F612" si="1162">E612*(1+$C615)</f>
        <v>60500.000000000015</v>
      </c>
      <c r="G612" s="59">
        <f t="shared" ref="G612" si="1163">F612*(1+$C615)</f>
        <v>66550.000000000015</v>
      </c>
      <c r="H612" s="59">
        <f t="shared" ref="H612" si="1164">G612*(1+$C615)</f>
        <v>73205.000000000029</v>
      </c>
      <c r="I612" s="59">
        <f t="shared" ref="I612" si="1165">H612*(1+$C615)</f>
        <v>80525.500000000044</v>
      </c>
      <c r="J612" s="59">
        <f t="shared" ref="J612" si="1166">I612*(1+$C615)</f>
        <v>88578.050000000061</v>
      </c>
      <c r="K612" s="59">
        <f t="shared" ref="K612" si="1167">J612*(1+$C615)</f>
        <v>97435.855000000069</v>
      </c>
      <c r="L612" s="59">
        <f t="shared" ref="L612" si="1168">K612*(1+$C615)</f>
        <v>107179.44050000008</v>
      </c>
    </row>
    <row r="613" spans="1:12" x14ac:dyDescent="0.3">
      <c r="A613" s="210" t="s">
        <v>242</v>
      </c>
      <c r="B613" s="1" t="s">
        <v>165</v>
      </c>
      <c r="D613" s="59">
        <f>D612*$C$8</f>
        <v>600000</v>
      </c>
      <c r="E613" s="59">
        <f t="shared" ref="E613:L613" si="1169">E612*$C$8</f>
        <v>660000.00000000012</v>
      </c>
      <c r="F613" s="59">
        <f t="shared" si="1169"/>
        <v>726000.00000000023</v>
      </c>
      <c r="G613" s="59">
        <f t="shared" si="1169"/>
        <v>798600.00000000023</v>
      </c>
      <c r="H613" s="59">
        <f t="shared" si="1169"/>
        <v>878460.00000000035</v>
      </c>
      <c r="I613" s="59">
        <f t="shared" si="1169"/>
        <v>966306.00000000047</v>
      </c>
      <c r="J613" s="59">
        <f t="shared" si="1169"/>
        <v>1062936.6000000008</v>
      </c>
      <c r="K613" s="59">
        <f t="shared" si="1169"/>
        <v>1169230.2600000007</v>
      </c>
      <c r="L613" s="59">
        <f t="shared" si="1169"/>
        <v>1286153.286000001</v>
      </c>
    </row>
    <row r="614" spans="1:12" x14ac:dyDescent="0.3">
      <c r="A614" s="210" t="s">
        <v>241</v>
      </c>
      <c r="B614" s="1" t="s">
        <v>199</v>
      </c>
      <c r="D614" s="201">
        <v>1</v>
      </c>
      <c r="E614" s="59">
        <f>D614</f>
        <v>1</v>
      </c>
      <c r="F614" s="59">
        <f t="shared" ref="F614" si="1170">E614</f>
        <v>1</v>
      </c>
      <c r="G614" s="59">
        <f t="shared" ref="G614" si="1171">F614</f>
        <v>1</v>
      </c>
      <c r="H614" s="59">
        <f t="shared" ref="H614" si="1172">G614</f>
        <v>1</v>
      </c>
      <c r="I614" s="59">
        <f t="shared" ref="I614" si="1173">H614</f>
        <v>1</v>
      </c>
      <c r="J614" s="59">
        <f t="shared" ref="J614" si="1174">I614</f>
        <v>1</v>
      </c>
      <c r="K614" s="59">
        <f t="shared" ref="K614" si="1175">J614</f>
        <v>1</v>
      </c>
      <c r="L614" s="59">
        <f t="shared" ref="L614" si="1176">K614</f>
        <v>1</v>
      </c>
    </row>
    <row r="615" spans="1:12" s="218" customFormat="1" x14ac:dyDescent="0.3">
      <c r="A615" s="216" t="s">
        <v>243</v>
      </c>
      <c r="B615" s="204" t="s">
        <v>167</v>
      </c>
      <c r="C615" s="205">
        <v>0.1</v>
      </c>
      <c r="D615" s="217"/>
    </row>
    <row r="616" spans="1:12" x14ac:dyDescent="0.3">
      <c r="A616" s="210" t="s">
        <v>238</v>
      </c>
      <c r="D616" s="201">
        <v>5400000</v>
      </c>
      <c r="E616" s="59">
        <f>D616</f>
        <v>5400000</v>
      </c>
      <c r="F616" s="59">
        <f t="shared" ref="F616:L616" si="1177">E616</f>
        <v>5400000</v>
      </c>
      <c r="G616" s="59">
        <f t="shared" si="1177"/>
        <v>5400000</v>
      </c>
      <c r="H616" s="59">
        <f t="shared" si="1177"/>
        <v>5400000</v>
      </c>
      <c r="I616" s="59">
        <f t="shared" si="1177"/>
        <v>5400000</v>
      </c>
      <c r="J616" s="59">
        <f t="shared" si="1177"/>
        <v>5400000</v>
      </c>
      <c r="K616" s="59">
        <f t="shared" si="1177"/>
        <v>5400000</v>
      </c>
      <c r="L616" s="59">
        <f t="shared" si="1177"/>
        <v>5400000</v>
      </c>
    </row>
    <row r="617" spans="1:12" x14ac:dyDescent="0.3">
      <c r="A617" s="219" t="s">
        <v>251</v>
      </c>
    </row>
    <row r="618" spans="1:12" x14ac:dyDescent="0.3">
      <c r="A618" s="210" t="s">
        <v>244</v>
      </c>
      <c r="B618" s="1" t="s">
        <v>165</v>
      </c>
      <c r="D618" s="201"/>
    </row>
    <row r="619" spans="1:12" x14ac:dyDescent="0.3">
      <c r="A619" s="210" t="s">
        <v>240</v>
      </c>
      <c r="B619" s="1" t="s">
        <v>165</v>
      </c>
      <c r="D619" s="201">
        <v>5000</v>
      </c>
      <c r="E619" s="59">
        <f>D619*(1+$C622)</f>
        <v>5500</v>
      </c>
      <c r="F619" s="59">
        <f t="shared" ref="F619" si="1178">E619*(1+$C622)</f>
        <v>6050.0000000000009</v>
      </c>
      <c r="G619" s="59">
        <f t="shared" ref="G619" si="1179">F619*(1+$C622)</f>
        <v>6655.0000000000018</v>
      </c>
      <c r="H619" s="59">
        <f t="shared" ref="H619" si="1180">G619*(1+$C622)</f>
        <v>7320.5000000000027</v>
      </c>
      <c r="I619" s="59">
        <f t="shared" ref="I619" si="1181">H619*(1+$C622)</f>
        <v>8052.5500000000038</v>
      </c>
      <c r="J619" s="59">
        <f t="shared" ref="J619" si="1182">I619*(1+$C622)</f>
        <v>8857.8050000000057</v>
      </c>
      <c r="K619" s="59">
        <f t="shared" ref="K619" si="1183">J619*(1+$C622)</f>
        <v>9743.5855000000065</v>
      </c>
      <c r="L619" s="59">
        <f t="shared" ref="L619" si="1184">K619*(1+$C622)</f>
        <v>10717.944050000007</v>
      </c>
    </row>
    <row r="620" spans="1:12" x14ac:dyDescent="0.3">
      <c r="A620" s="210" t="s">
        <v>242</v>
      </c>
      <c r="B620" s="1" t="s">
        <v>165</v>
      </c>
      <c r="D620" s="59">
        <f>D619*$C$8</f>
        <v>60000</v>
      </c>
      <c r="E620" s="59">
        <f t="shared" ref="E620:L620" si="1185">E619*$C$8</f>
        <v>66000</v>
      </c>
      <c r="F620" s="59">
        <f t="shared" si="1185"/>
        <v>72600.000000000015</v>
      </c>
      <c r="G620" s="59">
        <f t="shared" si="1185"/>
        <v>79860.000000000029</v>
      </c>
      <c r="H620" s="59">
        <f t="shared" si="1185"/>
        <v>87846.000000000029</v>
      </c>
      <c r="I620" s="59">
        <f t="shared" si="1185"/>
        <v>96630.600000000049</v>
      </c>
      <c r="J620" s="59">
        <f t="shared" si="1185"/>
        <v>106293.66000000006</v>
      </c>
      <c r="K620" s="59">
        <f t="shared" si="1185"/>
        <v>116923.02600000007</v>
      </c>
      <c r="L620" s="59">
        <f t="shared" si="1185"/>
        <v>128615.3286000001</v>
      </c>
    </row>
    <row r="621" spans="1:12" x14ac:dyDescent="0.3">
      <c r="A621" s="210" t="s">
        <v>241</v>
      </c>
      <c r="B621" s="1" t="s">
        <v>199</v>
      </c>
      <c r="D621" s="201">
        <v>3</v>
      </c>
      <c r="E621" s="59">
        <f>D621</f>
        <v>3</v>
      </c>
      <c r="F621" s="59">
        <f t="shared" ref="F621" si="1186">E621</f>
        <v>3</v>
      </c>
      <c r="G621" s="59">
        <f t="shared" ref="G621" si="1187">F621</f>
        <v>3</v>
      </c>
      <c r="H621" s="59">
        <f t="shared" ref="H621" si="1188">G621</f>
        <v>3</v>
      </c>
      <c r="I621" s="59">
        <f t="shared" ref="I621" si="1189">H621</f>
        <v>3</v>
      </c>
      <c r="J621" s="59">
        <f t="shared" ref="J621" si="1190">I621</f>
        <v>3</v>
      </c>
      <c r="K621" s="59">
        <f t="shared" ref="K621" si="1191">J621</f>
        <v>3</v>
      </c>
      <c r="L621" s="59">
        <f t="shared" ref="L621" si="1192">K621</f>
        <v>3</v>
      </c>
    </row>
    <row r="622" spans="1:12" s="218" customFormat="1" x14ac:dyDescent="0.3">
      <c r="A622" s="216" t="s">
        <v>243</v>
      </c>
      <c r="B622" s="204" t="s">
        <v>167</v>
      </c>
      <c r="C622" s="205">
        <v>0.1</v>
      </c>
      <c r="D622" s="217"/>
    </row>
    <row r="623" spans="1:12" x14ac:dyDescent="0.3">
      <c r="A623" s="210" t="s">
        <v>238</v>
      </c>
      <c r="D623" s="201">
        <v>600000</v>
      </c>
      <c r="E623" s="59">
        <f>D623</f>
        <v>600000</v>
      </c>
      <c r="F623" s="59">
        <f t="shared" ref="F623:L623" si="1193">E623</f>
        <v>600000</v>
      </c>
      <c r="G623" s="59">
        <f t="shared" si="1193"/>
        <v>600000</v>
      </c>
      <c r="H623" s="59">
        <f t="shared" si="1193"/>
        <v>600000</v>
      </c>
      <c r="I623" s="59">
        <f t="shared" si="1193"/>
        <v>600000</v>
      </c>
      <c r="J623" s="59">
        <f t="shared" si="1193"/>
        <v>600000</v>
      </c>
      <c r="K623" s="59">
        <f t="shared" si="1193"/>
        <v>600000</v>
      </c>
      <c r="L623" s="59">
        <f t="shared" si="1193"/>
        <v>600000</v>
      </c>
    </row>
    <row r="624" spans="1:12" x14ac:dyDescent="0.3">
      <c r="A624" s="219" t="s">
        <v>250</v>
      </c>
    </row>
    <row r="625" spans="1:12" x14ac:dyDescent="0.3">
      <c r="A625" s="210" t="s">
        <v>244</v>
      </c>
      <c r="B625" s="1" t="s">
        <v>165</v>
      </c>
      <c r="D625" s="201"/>
    </row>
    <row r="626" spans="1:12" x14ac:dyDescent="0.3">
      <c r="A626" s="210" t="s">
        <v>240</v>
      </c>
      <c r="B626" s="1" t="s">
        <v>165</v>
      </c>
      <c r="D626" s="201">
        <v>15000</v>
      </c>
      <c r="E626" s="59">
        <f>D626*(1+$C629)</f>
        <v>16500</v>
      </c>
      <c r="F626" s="59">
        <f t="shared" ref="F626" si="1194">E626*(1+$C629)</f>
        <v>18150</v>
      </c>
      <c r="G626" s="59">
        <f t="shared" ref="G626" si="1195">F626*(1+$C629)</f>
        <v>19965</v>
      </c>
      <c r="H626" s="59">
        <f t="shared" ref="H626" si="1196">G626*(1+$C629)</f>
        <v>21961.5</v>
      </c>
      <c r="I626" s="59">
        <f t="shared" ref="I626" si="1197">H626*(1+$C629)</f>
        <v>24157.65</v>
      </c>
      <c r="J626" s="59">
        <f t="shared" ref="J626" si="1198">I626*(1+$C629)</f>
        <v>26573.415000000005</v>
      </c>
      <c r="K626" s="59">
        <f t="shared" ref="K626" si="1199">J626*(1+$C629)</f>
        <v>29230.756500000007</v>
      </c>
      <c r="L626" s="59">
        <f t="shared" ref="L626" si="1200">K626*(1+$C629)</f>
        <v>32153.832150000009</v>
      </c>
    </row>
    <row r="627" spans="1:12" x14ac:dyDescent="0.3">
      <c r="A627" s="210" t="s">
        <v>242</v>
      </c>
      <c r="B627" s="1" t="s">
        <v>165</v>
      </c>
      <c r="D627" s="59">
        <f>D626*$C$8</f>
        <v>180000</v>
      </c>
      <c r="E627" s="59">
        <f t="shared" ref="E627:L627" si="1201">E626*$C$8</f>
        <v>198000</v>
      </c>
      <c r="F627" s="59">
        <f t="shared" si="1201"/>
        <v>217800</v>
      </c>
      <c r="G627" s="59">
        <f t="shared" si="1201"/>
        <v>239580</v>
      </c>
      <c r="H627" s="59">
        <f t="shared" si="1201"/>
        <v>263538</v>
      </c>
      <c r="I627" s="59">
        <f t="shared" si="1201"/>
        <v>289891.80000000005</v>
      </c>
      <c r="J627" s="59">
        <f t="shared" si="1201"/>
        <v>318880.98000000004</v>
      </c>
      <c r="K627" s="59">
        <f t="shared" si="1201"/>
        <v>350769.0780000001</v>
      </c>
      <c r="L627" s="59">
        <f t="shared" si="1201"/>
        <v>385845.98580000014</v>
      </c>
    </row>
    <row r="628" spans="1:12" x14ac:dyDescent="0.3">
      <c r="A628" s="210" t="s">
        <v>241</v>
      </c>
      <c r="B628" s="1" t="s">
        <v>199</v>
      </c>
      <c r="D628" s="201">
        <v>1</v>
      </c>
      <c r="E628" s="59">
        <f>D628</f>
        <v>1</v>
      </c>
      <c r="F628" s="59">
        <f t="shared" ref="F628" si="1202">E628</f>
        <v>1</v>
      </c>
      <c r="G628" s="59">
        <f t="shared" ref="G628" si="1203">F628</f>
        <v>1</v>
      </c>
      <c r="H628" s="59">
        <f t="shared" ref="H628" si="1204">G628</f>
        <v>1</v>
      </c>
      <c r="I628" s="59">
        <f t="shared" ref="I628" si="1205">H628</f>
        <v>1</v>
      </c>
      <c r="J628" s="59">
        <f t="shared" ref="J628" si="1206">I628</f>
        <v>1</v>
      </c>
      <c r="K628" s="59">
        <f t="shared" ref="K628" si="1207">J628</f>
        <v>1</v>
      </c>
      <c r="L628" s="59">
        <f t="shared" ref="L628" si="1208">K628</f>
        <v>1</v>
      </c>
    </row>
    <row r="629" spans="1:12" s="218" customFormat="1" x14ac:dyDescent="0.3">
      <c r="A629" s="216" t="s">
        <v>243</v>
      </c>
      <c r="B629" s="204" t="s">
        <v>167</v>
      </c>
      <c r="C629" s="205">
        <v>0.1</v>
      </c>
      <c r="D629" s="217"/>
    </row>
    <row r="630" spans="1:12" x14ac:dyDescent="0.3">
      <c r="A630" s="210" t="s">
        <v>238</v>
      </c>
      <c r="D630" s="201">
        <v>300000</v>
      </c>
      <c r="E630" s="59">
        <f>D630</f>
        <v>300000</v>
      </c>
      <c r="F630" s="59">
        <f t="shared" ref="F630:L630" si="1209">E630</f>
        <v>300000</v>
      </c>
      <c r="G630" s="59">
        <f t="shared" si="1209"/>
        <v>300000</v>
      </c>
      <c r="H630" s="59">
        <f t="shared" si="1209"/>
        <v>300000</v>
      </c>
      <c r="I630" s="59">
        <f t="shared" si="1209"/>
        <v>300000</v>
      </c>
      <c r="J630" s="59">
        <f t="shared" si="1209"/>
        <v>300000</v>
      </c>
      <c r="K630" s="59">
        <f t="shared" si="1209"/>
        <v>300000</v>
      </c>
      <c r="L630" s="59">
        <f t="shared" si="1209"/>
        <v>300000</v>
      </c>
    </row>
    <row r="631" spans="1:12" x14ac:dyDescent="0.3">
      <c r="A631" s="219" t="s">
        <v>247</v>
      </c>
    </row>
    <row r="632" spans="1:12" x14ac:dyDescent="0.3">
      <c r="A632" s="210" t="s">
        <v>244</v>
      </c>
      <c r="B632" s="1" t="s">
        <v>165</v>
      </c>
      <c r="D632" s="201"/>
    </row>
    <row r="633" spans="1:12" x14ac:dyDescent="0.3">
      <c r="A633" s="210" t="s">
        <v>240</v>
      </c>
      <c r="B633" s="1" t="s">
        <v>165</v>
      </c>
      <c r="D633" s="201">
        <v>4500</v>
      </c>
      <c r="E633" s="59">
        <f>D633*(1+$C636)</f>
        <v>4950</v>
      </c>
      <c r="F633" s="59">
        <f t="shared" ref="F633" si="1210">E633*(1+$C636)</f>
        <v>5445</v>
      </c>
      <c r="G633" s="59">
        <f t="shared" ref="G633" si="1211">F633*(1+$C636)</f>
        <v>5989.5000000000009</v>
      </c>
      <c r="H633" s="59">
        <f t="shared" ref="H633" si="1212">G633*(1+$C636)</f>
        <v>6588.4500000000016</v>
      </c>
      <c r="I633" s="59">
        <f t="shared" ref="I633" si="1213">H633*(1+$C636)</f>
        <v>7247.2950000000028</v>
      </c>
      <c r="J633" s="59">
        <f t="shared" ref="J633" si="1214">I633*(1+$C636)</f>
        <v>7972.0245000000041</v>
      </c>
      <c r="K633" s="59">
        <f t="shared" ref="K633" si="1215">J633*(1+$C636)</f>
        <v>8769.2269500000057</v>
      </c>
      <c r="L633" s="59">
        <f t="shared" ref="L633" si="1216">K633*(1+$C636)</f>
        <v>9646.1496450000068</v>
      </c>
    </row>
    <row r="634" spans="1:12" x14ac:dyDescent="0.3">
      <c r="A634" s="210" t="s">
        <v>242</v>
      </c>
      <c r="B634" s="1" t="s">
        <v>165</v>
      </c>
      <c r="D634" s="59">
        <f>D633*$C$8</f>
        <v>54000</v>
      </c>
      <c r="E634" s="59">
        <f t="shared" ref="E634:L634" si="1217">E633*$C$8</f>
        <v>59400</v>
      </c>
      <c r="F634" s="59">
        <f t="shared" si="1217"/>
        <v>65340</v>
      </c>
      <c r="G634" s="59">
        <f t="shared" si="1217"/>
        <v>71874.000000000015</v>
      </c>
      <c r="H634" s="59">
        <f t="shared" si="1217"/>
        <v>79061.400000000023</v>
      </c>
      <c r="I634" s="59">
        <f t="shared" si="1217"/>
        <v>86967.540000000037</v>
      </c>
      <c r="J634" s="59">
        <f t="shared" si="1217"/>
        <v>95664.294000000053</v>
      </c>
      <c r="K634" s="59">
        <f t="shared" si="1217"/>
        <v>105230.72340000008</v>
      </c>
      <c r="L634" s="59">
        <f t="shared" si="1217"/>
        <v>115753.79574000009</v>
      </c>
    </row>
    <row r="635" spans="1:12" x14ac:dyDescent="0.3">
      <c r="A635" s="210" t="s">
        <v>241</v>
      </c>
      <c r="B635" s="1" t="s">
        <v>199</v>
      </c>
      <c r="D635" s="201">
        <v>4</v>
      </c>
      <c r="E635" s="59">
        <f>D635</f>
        <v>4</v>
      </c>
      <c r="F635" s="59">
        <f t="shared" ref="F635" si="1218">E635</f>
        <v>4</v>
      </c>
      <c r="G635" s="59">
        <f t="shared" ref="G635" si="1219">F635</f>
        <v>4</v>
      </c>
      <c r="H635" s="59">
        <f t="shared" ref="H635" si="1220">G635</f>
        <v>4</v>
      </c>
      <c r="I635" s="59">
        <f t="shared" ref="I635" si="1221">H635</f>
        <v>4</v>
      </c>
      <c r="J635" s="59">
        <f t="shared" ref="J635" si="1222">I635</f>
        <v>4</v>
      </c>
      <c r="K635" s="59">
        <f t="shared" ref="K635" si="1223">J635</f>
        <v>4</v>
      </c>
      <c r="L635" s="59">
        <f t="shared" ref="L635" si="1224">K635</f>
        <v>4</v>
      </c>
    </row>
    <row r="636" spans="1:12" s="218" customFormat="1" x14ac:dyDescent="0.3">
      <c r="A636" s="216" t="s">
        <v>243</v>
      </c>
      <c r="B636" s="204" t="s">
        <v>167</v>
      </c>
      <c r="C636" s="205">
        <v>0.1</v>
      </c>
      <c r="D636" s="217"/>
    </row>
    <row r="637" spans="1:12" x14ac:dyDescent="0.3">
      <c r="A637" s="210" t="s">
        <v>238</v>
      </c>
      <c r="D637" s="201">
        <v>500000</v>
      </c>
      <c r="E637" s="59">
        <f>D637</f>
        <v>500000</v>
      </c>
      <c r="F637" s="59">
        <f t="shared" ref="F637:L637" si="1225">E637</f>
        <v>500000</v>
      </c>
      <c r="G637" s="59">
        <f t="shared" si="1225"/>
        <v>500000</v>
      </c>
      <c r="H637" s="59">
        <f t="shared" si="1225"/>
        <v>500000</v>
      </c>
      <c r="I637" s="59">
        <f t="shared" si="1225"/>
        <v>500000</v>
      </c>
      <c r="J637" s="59">
        <f t="shared" si="1225"/>
        <v>500000</v>
      </c>
      <c r="K637" s="59">
        <f t="shared" si="1225"/>
        <v>500000</v>
      </c>
      <c r="L637" s="59">
        <f t="shared" si="1225"/>
        <v>500000</v>
      </c>
    </row>
    <row r="638" spans="1:12" x14ac:dyDescent="0.3">
      <c r="A638" s="219" t="s">
        <v>252</v>
      </c>
    </row>
    <row r="639" spans="1:12" x14ac:dyDescent="0.3">
      <c r="A639" s="210" t="s">
        <v>244</v>
      </c>
      <c r="B639" s="1" t="s">
        <v>165</v>
      </c>
      <c r="D639" s="201"/>
    </row>
    <row r="640" spans="1:12" x14ac:dyDescent="0.3">
      <c r="A640" s="210" t="s">
        <v>240</v>
      </c>
      <c r="B640" s="1" t="s">
        <v>165</v>
      </c>
      <c r="D640" s="201"/>
      <c r="E640" s="59">
        <f>D640*(1+$C643)</f>
        <v>0</v>
      </c>
      <c r="F640" s="59">
        <f t="shared" ref="F640" si="1226">E640*(1+$C643)</f>
        <v>0</v>
      </c>
      <c r="G640" s="59">
        <f t="shared" ref="G640" si="1227">F640*(1+$C643)</f>
        <v>0</v>
      </c>
      <c r="H640" s="59">
        <f t="shared" ref="H640" si="1228">G640*(1+$C643)</f>
        <v>0</v>
      </c>
      <c r="I640" s="59">
        <f t="shared" ref="I640" si="1229">H640*(1+$C643)</f>
        <v>0</v>
      </c>
      <c r="J640" s="59">
        <f t="shared" ref="J640" si="1230">I640*(1+$C643)</f>
        <v>0</v>
      </c>
      <c r="K640" s="59">
        <f t="shared" ref="K640" si="1231">J640*(1+$C643)</f>
        <v>0</v>
      </c>
      <c r="L640" s="59">
        <f t="shared" ref="L640" si="1232">K640*(1+$C643)</f>
        <v>0</v>
      </c>
    </row>
    <row r="641" spans="1:12" x14ac:dyDescent="0.3">
      <c r="A641" s="210" t="s">
        <v>242</v>
      </c>
      <c r="B641" s="1" t="s">
        <v>165</v>
      </c>
      <c r="D641" s="201">
        <v>1500000</v>
      </c>
      <c r="E641" s="59">
        <f>D641*(1+$C643)</f>
        <v>1650000.0000000002</v>
      </c>
      <c r="F641" s="59">
        <f t="shared" ref="F641:L641" si="1233">E641*(1+$C643)</f>
        <v>1815000.0000000005</v>
      </c>
      <c r="G641" s="59">
        <f t="shared" si="1233"/>
        <v>1996500.0000000007</v>
      </c>
      <c r="H641" s="59">
        <f t="shared" si="1233"/>
        <v>2196150.0000000009</v>
      </c>
      <c r="I641" s="59">
        <f t="shared" si="1233"/>
        <v>2415765.0000000014</v>
      </c>
      <c r="J641" s="59">
        <f t="shared" si="1233"/>
        <v>2657341.5000000019</v>
      </c>
      <c r="K641" s="59">
        <f t="shared" si="1233"/>
        <v>2923075.6500000022</v>
      </c>
      <c r="L641" s="59">
        <f t="shared" si="1233"/>
        <v>3215383.2150000026</v>
      </c>
    </row>
    <row r="642" spans="1:12" x14ac:dyDescent="0.3">
      <c r="A642" s="210" t="s">
        <v>241</v>
      </c>
      <c r="B642" s="1" t="s">
        <v>199</v>
      </c>
      <c r="D642" s="201">
        <v>1</v>
      </c>
      <c r="E642" s="59">
        <f>D642</f>
        <v>1</v>
      </c>
      <c r="F642" s="59">
        <f t="shared" ref="F642" si="1234">E642</f>
        <v>1</v>
      </c>
      <c r="G642" s="59">
        <f t="shared" ref="G642" si="1235">F642</f>
        <v>1</v>
      </c>
      <c r="H642" s="59">
        <f t="shared" ref="H642" si="1236">G642</f>
        <v>1</v>
      </c>
      <c r="I642" s="59">
        <f t="shared" ref="I642" si="1237">H642</f>
        <v>1</v>
      </c>
      <c r="J642" s="59">
        <f t="shared" ref="J642" si="1238">I642</f>
        <v>1</v>
      </c>
      <c r="K642" s="59">
        <f t="shared" ref="K642" si="1239">J642</f>
        <v>1</v>
      </c>
      <c r="L642" s="59">
        <f t="shared" ref="L642" si="1240">K642</f>
        <v>1</v>
      </c>
    </row>
    <row r="643" spans="1:12" s="218" customFormat="1" x14ac:dyDescent="0.3">
      <c r="A643" s="216" t="s">
        <v>243</v>
      </c>
      <c r="B643" s="204" t="s">
        <v>167</v>
      </c>
      <c r="C643" s="205">
        <v>0.1</v>
      </c>
      <c r="D643" s="217"/>
    </row>
    <row r="644" spans="1:12" x14ac:dyDescent="0.3">
      <c r="A644" s="210" t="s">
        <v>238</v>
      </c>
      <c r="D644" s="201"/>
      <c r="E644" s="59">
        <f>D644</f>
        <v>0</v>
      </c>
      <c r="F644" s="59">
        <f t="shared" ref="F644:L644" si="1241">E644</f>
        <v>0</v>
      </c>
      <c r="G644" s="59">
        <f t="shared" si="1241"/>
        <v>0</v>
      </c>
      <c r="H644" s="59">
        <f t="shared" si="1241"/>
        <v>0</v>
      </c>
      <c r="I644" s="59">
        <f t="shared" si="1241"/>
        <v>0</v>
      </c>
      <c r="J644" s="59">
        <f t="shared" si="1241"/>
        <v>0</v>
      </c>
      <c r="K644" s="59">
        <f t="shared" si="1241"/>
        <v>0</v>
      </c>
      <c r="L644" s="59">
        <f t="shared" si="1241"/>
        <v>0</v>
      </c>
    </row>
    <row r="645" spans="1:12" x14ac:dyDescent="0.3">
      <c r="A645" s="219" t="s">
        <v>253</v>
      </c>
    </row>
    <row r="646" spans="1:12" x14ac:dyDescent="0.3">
      <c r="A646" s="210" t="s">
        <v>244</v>
      </c>
      <c r="B646" s="1" t="s">
        <v>165</v>
      </c>
      <c r="D646" s="201"/>
    </row>
    <row r="647" spans="1:12" x14ac:dyDescent="0.3">
      <c r="A647" s="210" t="s">
        <v>240</v>
      </c>
      <c r="B647" s="1" t="s">
        <v>165</v>
      </c>
      <c r="D647" s="201">
        <v>50000</v>
      </c>
      <c r="E647" s="59">
        <f>D647*(1+$C650)</f>
        <v>55000.000000000007</v>
      </c>
      <c r="F647" s="59">
        <f t="shared" ref="F647" si="1242">E647*(1+$C650)</f>
        <v>60500.000000000015</v>
      </c>
      <c r="G647" s="59">
        <f t="shared" ref="G647" si="1243">F647*(1+$C650)</f>
        <v>66550.000000000015</v>
      </c>
      <c r="H647" s="59">
        <f t="shared" ref="H647" si="1244">G647*(1+$C650)</f>
        <v>73205.000000000029</v>
      </c>
      <c r="I647" s="59">
        <f t="shared" ref="I647" si="1245">H647*(1+$C650)</f>
        <v>80525.500000000044</v>
      </c>
      <c r="J647" s="59">
        <f t="shared" ref="J647" si="1246">I647*(1+$C650)</f>
        <v>88578.050000000061</v>
      </c>
      <c r="K647" s="59">
        <f t="shared" ref="K647" si="1247">J647*(1+$C650)</f>
        <v>97435.855000000069</v>
      </c>
      <c r="L647" s="59">
        <f t="shared" ref="L647" si="1248">K647*(1+$C650)</f>
        <v>107179.44050000008</v>
      </c>
    </row>
    <row r="648" spans="1:12" x14ac:dyDescent="0.3">
      <c r="A648" s="210" t="s">
        <v>242</v>
      </c>
      <c r="B648" s="1" t="s">
        <v>165</v>
      </c>
      <c r="D648" s="59">
        <f>D647*$C$8</f>
        <v>600000</v>
      </c>
      <c r="E648" s="59">
        <f t="shared" ref="E648:L648" si="1249">E647*$C$8</f>
        <v>660000.00000000012</v>
      </c>
      <c r="F648" s="59">
        <f t="shared" si="1249"/>
        <v>726000.00000000023</v>
      </c>
      <c r="G648" s="59">
        <f t="shared" si="1249"/>
        <v>798600.00000000023</v>
      </c>
      <c r="H648" s="59">
        <f t="shared" si="1249"/>
        <v>878460.00000000035</v>
      </c>
      <c r="I648" s="59">
        <f t="shared" si="1249"/>
        <v>966306.00000000047</v>
      </c>
      <c r="J648" s="59">
        <f t="shared" si="1249"/>
        <v>1062936.6000000008</v>
      </c>
      <c r="K648" s="59">
        <f t="shared" si="1249"/>
        <v>1169230.2600000007</v>
      </c>
      <c r="L648" s="59">
        <f t="shared" si="1249"/>
        <v>1286153.286000001</v>
      </c>
    </row>
    <row r="649" spans="1:12" x14ac:dyDescent="0.3">
      <c r="A649" s="210" t="s">
        <v>241</v>
      </c>
      <c r="B649" s="1" t="s">
        <v>199</v>
      </c>
      <c r="D649" s="201">
        <v>4</v>
      </c>
      <c r="E649" s="59">
        <f>D649</f>
        <v>4</v>
      </c>
      <c r="F649" s="59">
        <f t="shared" ref="F649" si="1250">E649</f>
        <v>4</v>
      </c>
      <c r="G649" s="59">
        <f t="shared" ref="G649" si="1251">F649</f>
        <v>4</v>
      </c>
      <c r="H649" s="59">
        <f t="shared" ref="H649" si="1252">G649</f>
        <v>4</v>
      </c>
      <c r="I649" s="59">
        <f t="shared" ref="I649" si="1253">H649</f>
        <v>4</v>
      </c>
      <c r="J649" s="59">
        <f t="shared" ref="J649" si="1254">I649</f>
        <v>4</v>
      </c>
      <c r="K649" s="59">
        <f t="shared" ref="K649" si="1255">J649</f>
        <v>4</v>
      </c>
      <c r="L649" s="59">
        <f t="shared" ref="L649" si="1256">K649</f>
        <v>4</v>
      </c>
    </row>
    <row r="650" spans="1:12" s="218" customFormat="1" x14ac:dyDescent="0.3">
      <c r="A650" s="216" t="s">
        <v>243</v>
      </c>
      <c r="B650" s="204" t="s">
        <v>167</v>
      </c>
      <c r="C650" s="205">
        <v>0.1</v>
      </c>
      <c r="D650" s="217"/>
    </row>
    <row r="651" spans="1:12" x14ac:dyDescent="0.3">
      <c r="A651" s="210" t="s">
        <v>238</v>
      </c>
      <c r="D651" s="201"/>
      <c r="E651" s="59">
        <f>D651</f>
        <v>0</v>
      </c>
      <c r="F651" s="59">
        <f t="shared" ref="F651:L651" si="1257">E651</f>
        <v>0</v>
      </c>
      <c r="G651" s="59">
        <f t="shared" si="1257"/>
        <v>0</v>
      </c>
      <c r="H651" s="59">
        <f t="shared" si="1257"/>
        <v>0</v>
      </c>
      <c r="I651" s="59">
        <f t="shared" si="1257"/>
        <v>0</v>
      </c>
      <c r="J651" s="59">
        <f t="shared" si="1257"/>
        <v>0</v>
      </c>
      <c r="K651" s="59">
        <f t="shared" si="1257"/>
        <v>0</v>
      </c>
      <c r="L651" s="59">
        <f t="shared" si="1257"/>
        <v>0</v>
      </c>
    </row>
    <row r="652" spans="1:12" x14ac:dyDescent="0.3">
      <c r="A652" s="219" t="s">
        <v>254</v>
      </c>
    </row>
    <row r="653" spans="1:12" x14ac:dyDescent="0.3">
      <c r="A653" s="210" t="s">
        <v>244</v>
      </c>
      <c r="B653" s="1" t="s">
        <v>165</v>
      </c>
      <c r="D653" s="201"/>
    </row>
    <row r="654" spans="1:12" x14ac:dyDescent="0.3">
      <c r="A654" s="210" t="s">
        <v>240</v>
      </c>
      <c r="B654" s="1" t="s">
        <v>165</v>
      </c>
      <c r="D654" s="201">
        <v>25000</v>
      </c>
      <c r="E654" s="59">
        <f>D654*(1+$C657)</f>
        <v>27500.000000000004</v>
      </c>
      <c r="F654" s="59">
        <f t="shared" ref="F654" si="1258">E654*(1+$C657)</f>
        <v>30250.000000000007</v>
      </c>
      <c r="G654" s="59">
        <f t="shared" ref="G654" si="1259">F654*(1+$C657)</f>
        <v>33275.000000000007</v>
      </c>
      <c r="H654" s="59">
        <f t="shared" ref="H654" si="1260">G654*(1+$C657)</f>
        <v>36602.500000000015</v>
      </c>
      <c r="I654" s="59">
        <f t="shared" ref="I654" si="1261">H654*(1+$C657)</f>
        <v>40262.750000000022</v>
      </c>
      <c r="J654" s="59">
        <f t="shared" ref="J654" si="1262">I654*(1+$C657)</f>
        <v>44289.025000000031</v>
      </c>
      <c r="K654" s="59">
        <f t="shared" ref="K654" si="1263">J654*(1+$C657)</f>
        <v>48717.927500000034</v>
      </c>
      <c r="L654" s="59">
        <f t="shared" ref="L654" si="1264">K654*(1+$C657)</f>
        <v>53589.720250000042</v>
      </c>
    </row>
    <row r="655" spans="1:12" x14ac:dyDescent="0.3">
      <c r="A655" s="210" t="s">
        <v>242</v>
      </c>
      <c r="B655" s="1" t="s">
        <v>165</v>
      </c>
      <c r="D655" s="59">
        <f>D654*$C$8</f>
        <v>300000</v>
      </c>
      <c r="E655" s="59">
        <f t="shared" ref="E655:L655" si="1265">E654*$C$8</f>
        <v>330000.00000000006</v>
      </c>
      <c r="F655" s="59">
        <f t="shared" si="1265"/>
        <v>363000.00000000012</v>
      </c>
      <c r="G655" s="59">
        <f t="shared" si="1265"/>
        <v>399300.00000000012</v>
      </c>
      <c r="H655" s="59">
        <f t="shared" si="1265"/>
        <v>439230.00000000017</v>
      </c>
      <c r="I655" s="59">
        <f t="shared" si="1265"/>
        <v>483153.00000000023</v>
      </c>
      <c r="J655" s="59">
        <f t="shared" si="1265"/>
        <v>531468.3000000004</v>
      </c>
      <c r="K655" s="59">
        <f t="shared" si="1265"/>
        <v>584615.13000000035</v>
      </c>
      <c r="L655" s="59">
        <f t="shared" si="1265"/>
        <v>643076.64300000051</v>
      </c>
    </row>
    <row r="656" spans="1:12" x14ac:dyDescent="0.3">
      <c r="A656" s="210" t="s">
        <v>241</v>
      </c>
      <c r="B656" s="1" t="s">
        <v>199</v>
      </c>
      <c r="D656" s="201">
        <v>1</v>
      </c>
      <c r="E656" s="59">
        <f>D656</f>
        <v>1</v>
      </c>
      <c r="F656" s="59">
        <f t="shared" ref="F656" si="1266">E656</f>
        <v>1</v>
      </c>
      <c r="G656" s="59">
        <f t="shared" ref="G656" si="1267">F656</f>
        <v>1</v>
      </c>
      <c r="H656" s="59">
        <f t="shared" ref="H656" si="1268">G656</f>
        <v>1</v>
      </c>
      <c r="I656" s="59">
        <f t="shared" ref="I656" si="1269">H656</f>
        <v>1</v>
      </c>
      <c r="J656" s="59">
        <f t="shared" ref="J656" si="1270">I656</f>
        <v>1</v>
      </c>
      <c r="K656" s="59">
        <f t="shared" ref="K656" si="1271">J656</f>
        <v>1</v>
      </c>
      <c r="L656" s="59">
        <f t="shared" ref="L656" si="1272">K656</f>
        <v>1</v>
      </c>
    </row>
    <row r="657" spans="1:12" s="218" customFormat="1" x14ac:dyDescent="0.3">
      <c r="A657" s="216" t="s">
        <v>243</v>
      </c>
      <c r="B657" s="204" t="s">
        <v>167</v>
      </c>
      <c r="C657" s="205">
        <v>0.1</v>
      </c>
      <c r="D657" s="217"/>
    </row>
    <row r="658" spans="1:12" x14ac:dyDescent="0.3">
      <c r="A658" s="210" t="s">
        <v>238</v>
      </c>
      <c r="D658" s="201">
        <v>10800000</v>
      </c>
      <c r="E658" s="59">
        <f>D658</f>
        <v>10800000</v>
      </c>
      <c r="F658" s="59">
        <f t="shared" ref="F658:L658" si="1273">E658</f>
        <v>10800000</v>
      </c>
      <c r="G658" s="59">
        <f t="shared" si="1273"/>
        <v>10800000</v>
      </c>
      <c r="H658" s="59">
        <f t="shared" si="1273"/>
        <v>10800000</v>
      </c>
      <c r="I658" s="59">
        <f t="shared" si="1273"/>
        <v>10800000</v>
      </c>
      <c r="J658" s="59">
        <f t="shared" si="1273"/>
        <v>10800000</v>
      </c>
      <c r="K658" s="59">
        <f t="shared" si="1273"/>
        <v>10800000</v>
      </c>
      <c r="L658" s="59">
        <f t="shared" si="1273"/>
        <v>10800000</v>
      </c>
    </row>
    <row r="659" spans="1:12" x14ac:dyDescent="0.3">
      <c r="A659" s="219" t="s">
        <v>255</v>
      </c>
    </row>
    <row r="660" spans="1:12" x14ac:dyDescent="0.3">
      <c r="A660" s="210" t="s">
        <v>244</v>
      </c>
      <c r="B660" s="1" t="s">
        <v>165</v>
      </c>
      <c r="D660" s="201"/>
    </row>
    <row r="661" spans="1:12" x14ac:dyDescent="0.3">
      <c r="A661" s="210" t="s">
        <v>240</v>
      </c>
      <c r="B661" s="1" t="s">
        <v>165</v>
      </c>
      <c r="D661" s="201">
        <v>25000</v>
      </c>
      <c r="E661" s="59">
        <f>D661*(1+$C664)</f>
        <v>27500.000000000004</v>
      </c>
      <c r="F661" s="59">
        <f t="shared" ref="F661" si="1274">E661*(1+$C664)</f>
        <v>30250.000000000007</v>
      </c>
      <c r="G661" s="59">
        <f t="shared" ref="G661" si="1275">F661*(1+$C664)</f>
        <v>33275.000000000007</v>
      </c>
      <c r="H661" s="59">
        <f t="shared" ref="H661" si="1276">G661*(1+$C664)</f>
        <v>36602.500000000015</v>
      </c>
      <c r="I661" s="59">
        <f t="shared" ref="I661" si="1277">H661*(1+$C664)</f>
        <v>40262.750000000022</v>
      </c>
      <c r="J661" s="59">
        <f t="shared" ref="J661" si="1278">I661*(1+$C664)</f>
        <v>44289.025000000031</v>
      </c>
      <c r="K661" s="59">
        <f t="shared" ref="K661" si="1279">J661*(1+$C664)</f>
        <v>48717.927500000034</v>
      </c>
      <c r="L661" s="59">
        <f t="shared" ref="L661" si="1280">K661*(1+$C664)</f>
        <v>53589.720250000042</v>
      </c>
    </row>
    <row r="662" spans="1:12" x14ac:dyDescent="0.3">
      <c r="A662" s="210" t="s">
        <v>242</v>
      </c>
      <c r="B662" s="1" t="s">
        <v>165</v>
      </c>
      <c r="D662" s="59">
        <f>D661*$C$8</f>
        <v>300000</v>
      </c>
      <c r="E662" s="59">
        <f t="shared" ref="E662:L662" si="1281">E661*$C$8</f>
        <v>330000.00000000006</v>
      </c>
      <c r="F662" s="59">
        <f t="shared" si="1281"/>
        <v>363000.00000000012</v>
      </c>
      <c r="G662" s="59">
        <f t="shared" si="1281"/>
        <v>399300.00000000012</v>
      </c>
      <c r="H662" s="59">
        <f t="shared" si="1281"/>
        <v>439230.00000000017</v>
      </c>
      <c r="I662" s="59">
        <f t="shared" si="1281"/>
        <v>483153.00000000023</v>
      </c>
      <c r="J662" s="59">
        <f t="shared" si="1281"/>
        <v>531468.3000000004</v>
      </c>
      <c r="K662" s="59">
        <f t="shared" si="1281"/>
        <v>584615.13000000035</v>
      </c>
      <c r="L662" s="59">
        <f t="shared" si="1281"/>
        <v>643076.64300000051</v>
      </c>
    </row>
    <row r="663" spans="1:12" x14ac:dyDescent="0.3">
      <c r="A663" s="210" t="s">
        <v>241</v>
      </c>
      <c r="B663" s="1" t="s">
        <v>199</v>
      </c>
      <c r="D663" s="201">
        <v>1</v>
      </c>
      <c r="E663" s="59">
        <f>D663</f>
        <v>1</v>
      </c>
      <c r="F663" s="59">
        <f t="shared" ref="F663" si="1282">E663</f>
        <v>1</v>
      </c>
      <c r="G663" s="59">
        <f t="shared" ref="G663" si="1283">F663</f>
        <v>1</v>
      </c>
      <c r="H663" s="59">
        <f t="shared" ref="H663" si="1284">G663</f>
        <v>1</v>
      </c>
      <c r="I663" s="59">
        <f t="shared" ref="I663" si="1285">H663</f>
        <v>1</v>
      </c>
      <c r="J663" s="59">
        <f t="shared" ref="J663" si="1286">I663</f>
        <v>1</v>
      </c>
      <c r="K663" s="59">
        <f t="shared" ref="K663" si="1287">J663</f>
        <v>1</v>
      </c>
      <c r="L663" s="59">
        <f t="shared" ref="L663" si="1288">K663</f>
        <v>1</v>
      </c>
    </row>
    <row r="664" spans="1:12" s="218" customFormat="1" x14ac:dyDescent="0.3">
      <c r="A664" s="216" t="s">
        <v>243</v>
      </c>
      <c r="B664" s="204" t="s">
        <v>167</v>
      </c>
      <c r="C664" s="205">
        <v>0.1</v>
      </c>
      <c r="D664" s="217"/>
    </row>
    <row r="665" spans="1:12" x14ac:dyDescent="0.3">
      <c r="A665" s="210" t="s">
        <v>238</v>
      </c>
      <c r="D665" s="201">
        <v>500000</v>
      </c>
      <c r="E665" s="59">
        <f>D665</f>
        <v>500000</v>
      </c>
      <c r="F665" s="59">
        <f t="shared" ref="F665:L665" si="1289">E665</f>
        <v>500000</v>
      </c>
      <c r="G665" s="59">
        <f t="shared" si="1289"/>
        <v>500000</v>
      </c>
      <c r="H665" s="59">
        <f t="shared" si="1289"/>
        <v>500000</v>
      </c>
      <c r="I665" s="59">
        <f t="shared" si="1289"/>
        <v>500000</v>
      </c>
      <c r="J665" s="59">
        <f t="shared" si="1289"/>
        <v>500000</v>
      </c>
      <c r="K665" s="59">
        <f t="shared" si="1289"/>
        <v>500000</v>
      </c>
      <c r="L665" s="59">
        <f t="shared" si="1289"/>
        <v>500000</v>
      </c>
    </row>
    <row r="666" spans="1:12" x14ac:dyDescent="0.3">
      <c r="A666" s="219" t="s">
        <v>256</v>
      </c>
    </row>
    <row r="667" spans="1:12" x14ac:dyDescent="0.3">
      <c r="A667" s="210" t="s">
        <v>244</v>
      </c>
      <c r="B667" s="1" t="s">
        <v>165</v>
      </c>
      <c r="D667" s="201"/>
    </row>
    <row r="668" spans="1:12" x14ac:dyDescent="0.3">
      <c r="A668" s="210" t="s">
        <v>240</v>
      </c>
      <c r="B668" s="1" t="s">
        <v>165</v>
      </c>
      <c r="D668" s="201">
        <v>5000</v>
      </c>
      <c r="E668" s="59">
        <f>D668*(1+$C671)</f>
        <v>5500</v>
      </c>
      <c r="F668" s="59">
        <f t="shared" ref="F668" si="1290">E668*(1+$C671)</f>
        <v>6050.0000000000009</v>
      </c>
      <c r="G668" s="59">
        <f t="shared" ref="G668" si="1291">F668*(1+$C671)</f>
        <v>6655.0000000000018</v>
      </c>
      <c r="H668" s="59">
        <f t="shared" ref="H668" si="1292">G668*(1+$C671)</f>
        <v>7320.5000000000027</v>
      </c>
      <c r="I668" s="59">
        <f t="shared" ref="I668" si="1293">H668*(1+$C671)</f>
        <v>8052.5500000000038</v>
      </c>
      <c r="J668" s="59">
        <f t="shared" ref="J668" si="1294">I668*(1+$C671)</f>
        <v>8857.8050000000057</v>
      </c>
      <c r="K668" s="59">
        <f t="shared" ref="K668" si="1295">J668*(1+$C671)</f>
        <v>9743.5855000000065</v>
      </c>
      <c r="L668" s="59">
        <f t="shared" ref="L668" si="1296">K668*(1+$C671)</f>
        <v>10717.944050000007</v>
      </c>
    </row>
    <row r="669" spans="1:12" x14ac:dyDescent="0.3">
      <c r="A669" s="210" t="s">
        <v>242</v>
      </c>
      <c r="B669" s="1" t="s">
        <v>165</v>
      </c>
      <c r="D669" s="59">
        <f>D668*$C$8</f>
        <v>60000</v>
      </c>
      <c r="E669" s="59">
        <f t="shared" ref="E669:L669" si="1297">E668*$C$8</f>
        <v>66000</v>
      </c>
      <c r="F669" s="59">
        <f t="shared" si="1297"/>
        <v>72600.000000000015</v>
      </c>
      <c r="G669" s="59">
        <f t="shared" si="1297"/>
        <v>79860.000000000029</v>
      </c>
      <c r="H669" s="59">
        <f t="shared" si="1297"/>
        <v>87846.000000000029</v>
      </c>
      <c r="I669" s="59">
        <f t="shared" si="1297"/>
        <v>96630.600000000049</v>
      </c>
      <c r="J669" s="59">
        <f t="shared" si="1297"/>
        <v>106293.66000000006</v>
      </c>
      <c r="K669" s="59">
        <f t="shared" si="1297"/>
        <v>116923.02600000007</v>
      </c>
      <c r="L669" s="59">
        <f t="shared" si="1297"/>
        <v>128615.3286000001</v>
      </c>
    </row>
    <row r="670" spans="1:12" x14ac:dyDescent="0.3">
      <c r="A670" s="210" t="s">
        <v>241</v>
      </c>
      <c r="B670" s="1" t="s">
        <v>199</v>
      </c>
      <c r="D670" s="201">
        <v>1</v>
      </c>
      <c r="E670" s="59">
        <f>D670</f>
        <v>1</v>
      </c>
      <c r="F670" s="59">
        <f t="shared" ref="F670" si="1298">E670</f>
        <v>1</v>
      </c>
      <c r="G670" s="59">
        <f t="shared" ref="G670" si="1299">F670</f>
        <v>1</v>
      </c>
      <c r="H670" s="59">
        <f t="shared" ref="H670" si="1300">G670</f>
        <v>1</v>
      </c>
      <c r="I670" s="59">
        <f t="shared" ref="I670" si="1301">H670</f>
        <v>1</v>
      </c>
      <c r="J670" s="59">
        <f t="shared" ref="J670" si="1302">I670</f>
        <v>1</v>
      </c>
      <c r="K670" s="59">
        <f t="shared" ref="K670" si="1303">J670</f>
        <v>1</v>
      </c>
      <c r="L670" s="59">
        <f t="shared" ref="L670" si="1304">K670</f>
        <v>1</v>
      </c>
    </row>
    <row r="671" spans="1:12" s="218" customFormat="1" x14ac:dyDescent="0.3">
      <c r="A671" s="216" t="s">
        <v>243</v>
      </c>
      <c r="B671" s="204" t="s">
        <v>167</v>
      </c>
      <c r="C671" s="205">
        <v>0.1</v>
      </c>
      <c r="D671" s="217"/>
    </row>
    <row r="672" spans="1:12" x14ac:dyDescent="0.3">
      <c r="A672" s="210" t="s">
        <v>238</v>
      </c>
      <c r="D672" s="201"/>
      <c r="E672" s="59">
        <f>D672</f>
        <v>0</v>
      </c>
      <c r="F672" s="59">
        <f t="shared" ref="F672:L672" si="1305">E672</f>
        <v>0</v>
      </c>
      <c r="G672" s="59">
        <f t="shared" si="1305"/>
        <v>0</v>
      </c>
      <c r="H672" s="59">
        <f t="shared" si="1305"/>
        <v>0</v>
      </c>
      <c r="I672" s="59">
        <f t="shared" si="1305"/>
        <v>0</v>
      </c>
      <c r="J672" s="59">
        <f t="shared" si="1305"/>
        <v>0</v>
      </c>
      <c r="K672" s="59">
        <f t="shared" si="1305"/>
        <v>0</v>
      </c>
      <c r="L672" s="59">
        <f t="shared" si="1305"/>
        <v>0</v>
      </c>
    </row>
    <row r="673" spans="1:12" x14ac:dyDescent="0.3">
      <c r="A673" s="219" t="s">
        <v>257</v>
      </c>
    </row>
    <row r="674" spans="1:12" x14ac:dyDescent="0.3">
      <c r="A674" s="210" t="s">
        <v>244</v>
      </c>
      <c r="B674" s="1" t="s">
        <v>165</v>
      </c>
      <c r="D674" s="201"/>
    </row>
    <row r="675" spans="1:12" x14ac:dyDescent="0.3">
      <c r="A675" s="210" t="s">
        <v>240</v>
      </c>
      <c r="B675" s="1" t="s">
        <v>165</v>
      </c>
      <c r="D675" s="201">
        <v>50000</v>
      </c>
      <c r="E675" s="59">
        <f>D675*(1+$C678)</f>
        <v>55000.000000000007</v>
      </c>
      <c r="F675" s="59">
        <f t="shared" ref="F675" si="1306">E675*(1+$C678)</f>
        <v>60500.000000000015</v>
      </c>
      <c r="G675" s="59">
        <f t="shared" ref="G675" si="1307">F675*(1+$C678)</f>
        <v>66550.000000000015</v>
      </c>
      <c r="H675" s="59">
        <f t="shared" ref="H675" si="1308">G675*(1+$C678)</f>
        <v>73205.000000000029</v>
      </c>
      <c r="I675" s="59">
        <f t="shared" ref="I675" si="1309">H675*(1+$C678)</f>
        <v>80525.500000000044</v>
      </c>
      <c r="J675" s="59">
        <f t="shared" ref="J675" si="1310">I675*(1+$C678)</f>
        <v>88578.050000000061</v>
      </c>
      <c r="K675" s="59">
        <f t="shared" ref="K675" si="1311">J675*(1+$C678)</f>
        <v>97435.855000000069</v>
      </c>
      <c r="L675" s="59">
        <f t="shared" ref="L675" si="1312">K675*(1+$C678)</f>
        <v>107179.44050000008</v>
      </c>
    </row>
    <row r="676" spans="1:12" x14ac:dyDescent="0.3">
      <c r="A676" s="210" t="s">
        <v>242</v>
      </c>
      <c r="B676" s="1" t="s">
        <v>165</v>
      </c>
      <c r="D676" s="59">
        <f>D675*$C$8</f>
        <v>600000</v>
      </c>
      <c r="E676" s="59">
        <f t="shared" ref="E676:L676" si="1313">E675*$C$8</f>
        <v>660000.00000000012</v>
      </c>
      <c r="F676" s="59">
        <f t="shared" si="1313"/>
        <v>726000.00000000023</v>
      </c>
      <c r="G676" s="59">
        <f t="shared" si="1313"/>
        <v>798600.00000000023</v>
      </c>
      <c r="H676" s="59">
        <f t="shared" si="1313"/>
        <v>878460.00000000035</v>
      </c>
      <c r="I676" s="59">
        <f t="shared" si="1313"/>
        <v>966306.00000000047</v>
      </c>
      <c r="J676" s="59">
        <f t="shared" si="1313"/>
        <v>1062936.6000000008</v>
      </c>
      <c r="K676" s="59">
        <f t="shared" si="1313"/>
        <v>1169230.2600000007</v>
      </c>
      <c r="L676" s="59">
        <f t="shared" si="1313"/>
        <v>1286153.286000001</v>
      </c>
    </row>
    <row r="677" spans="1:12" x14ac:dyDescent="0.3">
      <c r="A677" s="210" t="s">
        <v>241</v>
      </c>
      <c r="B677" s="1" t="s">
        <v>199</v>
      </c>
      <c r="D677" s="201">
        <v>1</v>
      </c>
      <c r="E677" s="59">
        <f>D677</f>
        <v>1</v>
      </c>
      <c r="F677" s="59">
        <f t="shared" ref="F677" si="1314">E677</f>
        <v>1</v>
      </c>
      <c r="G677" s="59">
        <f t="shared" ref="G677" si="1315">F677</f>
        <v>1</v>
      </c>
      <c r="H677" s="59">
        <f t="shared" ref="H677" si="1316">G677</f>
        <v>1</v>
      </c>
      <c r="I677" s="59">
        <f t="shared" ref="I677" si="1317">H677</f>
        <v>1</v>
      </c>
      <c r="J677" s="59">
        <f t="shared" ref="J677" si="1318">I677</f>
        <v>1</v>
      </c>
      <c r="K677" s="59">
        <f t="shared" ref="K677" si="1319">J677</f>
        <v>1</v>
      </c>
      <c r="L677" s="59">
        <f t="shared" ref="L677" si="1320">K677</f>
        <v>1</v>
      </c>
    </row>
    <row r="678" spans="1:12" s="218" customFormat="1" x14ac:dyDescent="0.3">
      <c r="A678" s="216" t="s">
        <v>243</v>
      </c>
      <c r="B678" s="204" t="s">
        <v>167</v>
      </c>
      <c r="C678" s="205">
        <v>0.1</v>
      </c>
      <c r="D678" s="217"/>
    </row>
    <row r="679" spans="1:12" x14ac:dyDescent="0.3">
      <c r="A679" s="210" t="s">
        <v>238</v>
      </c>
      <c r="D679" s="201">
        <v>10800000</v>
      </c>
      <c r="E679" s="59">
        <f>D679</f>
        <v>10800000</v>
      </c>
      <c r="F679" s="59">
        <f t="shared" ref="F679:L679" si="1321">E679</f>
        <v>10800000</v>
      </c>
      <c r="G679" s="59">
        <f t="shared" si="1321"/>
        <v>10800000</v>
      </c>
      <c r="H679" s="59">
        <f t="shared" si="1321"/>
        <v>10800000</v>
      </c>
      <c r="I679" s="59">
        <f t="shared" si="1321"/>
        <v>10800000</v>
      </c>
      <c r="J679" s="59">
        <f t="shared" si="1321"/>
        <v>10800000</v>
      </c>
      <c r="K679" s="59">
        <f t="shared" si="1321"/>
        <v>10800000</v>
      </c>
      <c r="L679" s="59">
        <f t="shared" si="1321"/>
        <v>10800000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E952-9C79-4501-B4FC-14AB7387105F}">
  <sheetPr>
    <tabColor rgb="FF002060"/>
  </sheetPr>
  <dimension ref="A1:L58"/>
  <sheetViews>
    <sheetView showGridLines="0" zoomScaleNormal="100" workbookViewId="0">
      <pane xSplit="3" ySplit="2" topLeftCell="F3" activePane="bottomRight" state="frozen"/>
      <selection activeCell="D26" sqref="D26"/>
      <selection pane="topRight" activeCell="D26" sqref="D26"/>
      <selection pane="bottomLeft" activeCell="D26" sqref="D26"/>
      <selection pane="bottomRight" activeCell="L3" sqref="L3"/>
    </sheetView>
  </sheetViews>
  <sheetFormatPr defaultRowHeight="13" x14ac:dyDescent="0.3"/>
  <cols>
    <col min="1" max="1" width="40" style="1" customWidth="1"/>
    <col min="2" max="3" width="10" style="1" customWidth="1"/>
    <col min="4" max="12" width="14.54296875" style="59" customWidth="1"/>
    <col min="13" max="16384" width="8.7265625" style="59"/>
  </cols>
  <sheetData>
    <row r="1" spans="1:12" s="160" customFormat="1" ht="14.5" x14ac:dyDescent="0.35">
      <c r="A1" s="159" t="s">
        <v>42</v>
      </c>
    </row>
    <row r="2" spans="1:12" s="186" customFormat="1" ht="14" customHeight="1" x14ac:dyDescent="0.3">
      <c r="A2" s="185" t="s">
        <v>217</v>
      </c>
      <c r="B2" s="185"/>
      <c r="D2" s="188">
        <v>1</v>
      </c>
      <c r="E2" s="188">
        <f t="shared" ref="E2:L2" si="0">D2+1</f>
        <v>2</v>
      </c>
      <c r="F2" s="188">
        <f t="shared" si="0"/>
        <v>3</v>
      </c>
      <c r="G2" s="188">
        <f t="shared" si="0"/>
        <v>4</v>
      </c>
      <c r="H2" s="188">
        <f t="shared" si="0"/>
        <v>5</v>
      </c>
      <c r="I2" s="188">
        <f t="shared" si="0"/>
        <v>6</v>
      </c>
      <c r="J2" s="188">
        <f t="shared" si="0"/>
        <v>7</v>
      </c>
      <c r="K2" s="188">
        <f t="shared" si="0"/>
        <v>8</v>
      </c>
      <c r="L2" s="188">
        <f t="shared" si="0"/>
        <v>9</v>
      </c>
    </row>
    <row r="3" spans="1:12" s="110" customFormat="1" ht="14" customHeight="1" x14ac:dyDescent="0.35"/>
    <row r="4" spans="1:12" s="60" customFormat="1" x14ac:dyDescent="0.3">
      <c r="A4" s="60" t="s">
        <v>15</v>
      </c>
      <c r="B4" s="60" t="s">
        <v>163</v>
      </c>
    </row>
    <row r="5" spans="1:12" s="1" customFormat="1" x14ac:dyDescent="0.3"/>
    <row r="6" spans="1:12" s="60" customFormat="1" x14ac:dyDescent="0.3">
      <c r="A6" s="149" t="s">
        <v>164</v>
      </c>
      <c r="B6" s="149"/>
      <c r="C6" s="149"/>
    </row>
    <row r="7" spans="1:12" s="191" customFormat="1" x14ac:dyDescent="0.3"/>
    <row r="8" spans="1:12" x14ac:dyDescent="0.3">
      <c r="A8" s="1" t="str">
        <f>Assumptions!A12</f>
        <v>Hospital 1 - Clearmedi</v>
      </c>
      <c r="B8" s="1" t="s">
        <v>165</v>
      </c>
      <c r="D8" s="147">
        <f>SUM(D9:D13)</f>
        <v>130300000</v>
      </c>
      <c r="E8" s="147">
        <f t="shared" ref="E8:L8" si="1">SUM(E9:E13)</f>
        <v>178250000</v>
      </c>
      <c r="F8" s="147">
        <f t="shared" si="1"/>
        <v>158515000</v>
      </c>
      <c r="G8" s="147">
        <f t="shared" si="1"/>
        <v>169566500</v>
      </c>
      <c r="H8" s="147">
        <f t="shared" si="1"/>
        <v>181483150.00000003</v>
      </c>
      <c r="I8" s="147">
        <f t="shared" si="1"/>
        <v>194351465.00000006</v>
      </c>
      <c r="J8" s="147">
        <f t="shared" si="1"/>
        <v>208266611.50000006</v>
      </c>
      <c r="K8" s="147">
        <f t="shared" si="1"/>
        <v>220933272.65000007</v>
      </c>
      <c r="L8" s="147">
        <f t="shared" si="1"/>
        <v>234866599.91500008</v>
      </c>
    </row>
    <row r="9" spans="1:12" x14ac:dyDescent="0.3">
      <c r="A9" s="61" t="s">
        <v>288</v>
      </c>
      <c r="B9" s="1" t="s">
        <v>165</v>
      </c>
      <c r="D9" s="129">
        <f>Assumptions!$C$14*Assumptions!D15</f>
        <v>71500000</v>
      </c>
      <c r="E9" s="129">
        <f>Assumptions!$C$14*Assumptions!E15</f>
        <v>78650000.000000015</v>
      </c>
      <c r="F9" s="129">
        <f>Assumptions!$C$14*Assumptions!F15</f>
        <v>86515000.000000015</v>
      </c>
      <c r="G9" s="129">
        <f>Assumptions!$C$14*Assumptions!G15</f>
        <v>95166500.000000015</v>
      </c>
      <c r="H9" s="129">
        <f>Assumptions!$C$14*Assumptions!H15</f>
        <v>104683150.00000003</v>
      </c>
      <c r="I9" s="129">
        <f>Assumptions!$C$14*Assumptions!I15</f>
        <v>115151465.00000004</v>
      </c>
      <c r="J9" s="129">
        <f>Assumptions!$C$14*Assumptions!J15</f>
        <v>126666611.50000004</v>
      </c>
      <c r="K9" s="129">
        <f>Assumptions!$C$14*Assumptions!K15</f>
        <v>139333272.65000007</v>
      </c>
      <c r="L9" s="129">
        <f>Assumptions!$C$14*Assumptions!L15</f>
        <v>153266599.91500008</v>
      </c>
    </row>
    <row r="10" spans="1:12" x14ac:dyDescent="0.3">
      <c r="A10" s="61" t="s">
        <v>183</v>
      </c>
      <c r="B10" s="1" t="s">
        <v>165</v>
      </c>
      <c r="D10" s="59">
        <f>Assumptions!D13*Assumptions!D17</f>
        <v>29400000.000000004</v>
      </c>
      <c r="E10" s="59">
        <f>Assumptions!E13*Assumptions!E17</f>
        <v>33600000</v>
      </c>
      <c r="F10" s="59">
        <f>Assumptions!F13*Assumptions!F17</f>
        <v>33600000</v>
      </c>
      <c r="G10" s="59">
        <f>Assumptions!G13*Assumptions!G17</f>
        <v>33600000</v>
      </c>
      <c r="H10" s="59">
        <f>Assumptions!H13*Assumptions!H17</f>
        <v>33600000</v>
      </c>
      <c r="I10" s="59">
        <f>Assumptions!I13*Assumptions!I17</f>
        <v>33600000</v>
      </c>
      <c r="J10" s="59">
        <f>Assumptions!J13*Assumptions!J17</f>
        <v>33600000</v>
      </c>
      <c r="K10" s="59">
        <f>Assumptions!K13*Assumptions!K17</f>
        <v>33600000</v>
      </c>
      <c r="L10" s="59">
        <f>Assumptions!L13*Assumptions!L17</f>
        <v>33600000</v>
      </c>
    </row>
    <row r="11" spans="1:12" x14ac:dyDescent="0.3">
      <c r="A11" s="61" t="s">
        <v>190</v>
      </c>
      <c r="B11" s="1" t="s">
        <v>165</v>
      </c>
      <c r="D11" s="59">
        <f>Assumptions!D13*Assumptions!D18*Assumptions!D19</f>
        <v>8400000</v>
      </c>
      <c r="E11" s="59">
        <f>Assumptions!E13*Assumptions!E18*Assumptions!E19</f>
        <v>12000000</v>
      </c>
      <c r="F11" s="59">
        <f>Assumptions!F13*Assumptions!F18*Assumptions!F19</f>
        <v>14400000</v>
      </c>
      <c r="G11" s="59">
        <f>Assumptions!G13*Assumptions!G18*Assumptions!G19</f>
        <v>16800000</v>
      </c>
      <c r="H11" s="59">
        <f>Assumptions!H13*Assumptions!H18*Assumptions!H19</f>
        <v>19200000</v>
      </c>
      <c r="I11" s="59">
        <f>Assumptions!I13*Assumptions!I18*Assumptions!I19</f>
        <v>21600000</v>
      </c>
      <c r="J11" s="59">
        <f>Assumptions!J13*Assumptions!J18*Assumptions!J19</f>
        <v>24000000</v>
      </c>
      <c r="K11" s="59">
        <f>Assumptions!K13*Assumptions!K18*Assumptions!K19</f>
        <v>24000000</v>
      </c>
      <c r="L11" s="59">
        <f>Assumptions!L13*Assumptions!L18*Assumptions!L19</f>
        <v>24000000</v>
      </c>
    </row>
    <row r="12" spans="1:12" x14ac:dyDescent="0.3">
      <c r="A12" s="61" t="s">
        <v>191</v>
      </c>
      <c r="B12" s="1" t="s">
        <v>165</v>
      </c>
      <c r="D12" s="59">
        <f>Assumptions!D13*Assumptions!D20</f>
        <v>21000000</v>
      </c>
      <c r="E12" s="59">
        <f>Assumptions!E13*Assumptions!E20</f>
        <v>24000000</v>
      </c>
      <c r="F12" s="59">
        <f>Assumptions!F13*Assumptions!F20</f>
        <v>24000000</v>
      </c>
      <c r="G12" s="59">
        <f>Assumptions!G13*Assumptions!G20</f>
        <v>24000000</v>
      </c>
      <c r="H12" s="59">
        <f>Assumptions!H13*Assumptions!H20</f>
        <v>24000000</v>
      </c>
      <c r="I12" s="59">
        <f>Assumptions!I13*Assumptions!I20</f>
        <v>24000000</v>
      </c>
      <c r="J12" s="59">
        <f>Assumptions!J13*Assumptions!J20</f>
        <v>24000000</v>
      </c>
      <c r="K12" s="59">
        <f>Assumptions!K13*Assumptions!K20</f>
        <v>24000000</v>
      </c>
      <c r="L12" s="59">
        <f>Assumptions!L13*Assumptions!L20</f>
        <v>24000000</v>
      </c>
    </row>
    <row r="13" spans="1:12" x14ac:dyDescent="0.3">
      <c r="A13" s="61" t="s">
        <v>189</v>
      </c>
      <c r="B13" s="1" t="s">
        <v>165</v>
      </c>
      <c r="D13" s="59">
        <f>(Assumptions!D13-Assumptions!C13)*Assumptions!D21</f>
        <v>0</v>
      </c>
      <c r="E13" s="59">
        <f>(Assumptions!E13-Assumptions!D13)*Assumptions!E21</f>
        <v>30000000</v>
      </c>
      <c r="F13" s="59">
        <f>(Assumptions!F13-Assumptions!E13)*Assumptions!F21</f>
        <v>0</v>
      </c>
      <c r="G13" s="59">
        <f>(Assumptions!G13-Assumptions!F13)*Assumptions!G21</f>
        <v>0</v>
      </c>
      <c r="H13" s="59">
        <f>(Assumptions!H13-Assumptions!G13)*Assumptions!H21</f>
        <v>0</v>
      </c>
      <c r="I13" s="59">
        <f>(Assumptions!I13-Assumptions!H13)*Assumptions!I21</f>
        <v>0</v>
      </c>
      <c r="J13" s="59">
        <f>(Assumptions!J13-Assumptions!I13)*Assumptions!J21</f>
        <v>0</v>
      </c>
      <c r="K13" s="59">
        <f>(Assumptions!K13-Assumptions!J13)*Assumptions!K21</f>
        <v>0</v>
      </c>
      <c r="L13" s="59">
        <f>(Assumptions!L13-Assumptions!K13)*Assumptions!L21</f>
        <v>0</v>
      </c>
    </row>
    <row r="15" spans="1:12" x14ac:dyDescent="0.3">
      <c r="A15" s="1" t="str">
        <f>Assumptions!A23</f>
        <v>Hospital 2 - Girik</v>
      </c>
      <c r="D15" s="147">
        <f>SUM(D16:D20)</f>
        <v>122500000</v>
      </c>
      <c r="E15" s="147">
        <f t="shared" ref="E15:L15" si="2">SUM(E16:E20)</f>
        <v>252650000</v>
      </c>
      <c r="F15" s="147">
        <f t="shared" si="2"/>
        <v>172915000</v>
      </c>
      <c r="G15" s="147">
        <f t="shared" si="2"/>
        <v>183966500</v>
      </c>
      <c r="H15" s="147">
        <f t="shared" si="2"/>
        <v>195883150.00000003</v>
      </c>
      <c r="I15" s="147">
        <f t="shared" si="2"/>
        <v>208751465.00000006</v>
      </c>
      <c r="J15" s="147">
        <f t="shared" si="2"/>
        <v>222666611.50000006</v>
      </c>
      <c r="K15" s="147">
        <f t="shared" si="2"/>
        <v>235333272.65000007</v>
      </c>
      <c r="L15" s="147">
        <f t="shared" si="2"/>
        <v>249266599.91500008</v>
      </c>
    </row>
    <row r="16" spans="1:12" x14ac:dyDescent="0.3">
      <c r="A16" s="61" t="s">
        <v>288</v>
      </c>
      <c r="B16" s="1" t="s">
        <v>165</v>
      </c>
      <c r="D16" s="129">
        <f>Assumptions!$C$25*Assumptions!D26</f>
        <v>71500000</v>
      </c>
      <c r="E16" s="129">
        <f>Assumptions!$C$25*Assumptions!E26</f>
        <v>78650000.000000015</v>
      </c>
      <c r="F16" s="129">
        <f>Assumptions!$C$25*Assumptions!F26</f>
        <v>86515000.000000015</v>
      </c>
      <c r="G16" s="129">
        <f>Assumptions!$C$25*Assumptions!G26</f>
        <v>95166500.000000015</v>
      </c>
      <c r="H16" s="129">
        <f>Assumptions!$C$25*Assumptions!H26</f>
        <v>104683150.00000003</v>
      </c>
      <c r="I16" s="129">
        <f>Assumptions!$C$25*Assumptions!I26</f>
        <v>115151465.00000004</v>
      </c>
      <c r="J16" s="129">
        <f>Assumptions!$C$25*Assumptions!J26</f>
        <v>126666611.50000004</v>
      </c>
      <c r="K16" s="129">
        <f>Assumptions!$C$25*Assumptions!K26</f>
        <v>139333272.65000007</v>
      </c>
      <c r="L16" s="129">
        <f>Assumptions!$C$25*Assumptions!L26</f>
        <v>153266599.91500008</v>
      </c>
    </row>
    <row r="17" spans="1:12" x14ac:dyDescent="0.3">
      <c r="A17" s="61" t="s">
        <v>183</v>
      </c>
      <c r="B17" s="1" t="s">
        <v>165</v>
      </c>
      <c r="D17" s="59">
        <f>Assumptions!D24*Assumptions!D28</f>
        <v>30000000</v>
      </c>
      <c r="E17" s="59">
        <f>Assumptions!E24*Assumptions!E28</f>
        <v>48000000</v>
      </c>
      <c r="F17" s="59">
        <f>Assumptions!F24*Assumptions!F28</f>
        <v>48000000</v>
      </c>
      <c r="G17" s="59">
        <f>Assumptions!G24*Assumptions!G28</f>
        <v>48000000</v>
      </c>
      <c r="H17" s="59">
        <f>Assumptions!H24*Assumptions!H28</f>
        <v>48000000</v>
      </c>
      <c r="I17" s="59">
        <f>Assumptions!I24*Assumptions!I28</f>
        <v>48000000</v>
      </c>
      <c r="J17" s="59">
        <f>Assumptions!J24*Assumptions!J28</f>
        <v>48000000</v>
      </c>
      <c r="K17" s="59">
        <f>Assumptions!K24*Assumptions!K28</f>
        <v>48000000</v>
      </c>
      <c r="L17" s="59">
        <f>Assumptions!L24*Assumptions!L28</f>
        <v>48000000</v>
      </c>
    </row>
    <row r="18" spans="1:12" x14ac:dyDescent="0.3">
      <c r="A18" s="61" t="s">
        <v>190</v>
      </c>
      <c r="B18" s="1" t="s">
        <v>165</v>
      </c>
      <c r="D18" s="59">
        <f>Assumptions!D24*Assumptions!D29*Assumptions!D30</f>
        <v>6000000</v>
      </c>
      <c r="E18" s="59">
        <f>Assumptions!E24*Assumptions!E29*Assumptions!E30</f>
        <v>12000000</v>
      </c>
      <c r="F18" s="59">
        <f>Assumptions!F24*Assumptions!F29*Assumptions!F30</f>
        <v>14400000</v>
      </c>
      <c r="G18" s="59">
        <f>Assumptions!G24*Assumptions!G29*Assumptions!G30</f>
        <v>16800000</v>
      </c>
      <c r="H18" s="59">
        <f>Assumptions!H24*Assumptions!H29*Assumptions!H30</f>
        <v>19200000</v>
      </c>
      <c r="I18" s="59">
        <f>Assumptions!I24*Assumptions!I29*Assumptions!I30</f>
        <v>21600000</v>
      </c>
      <c r="J18" s="59">
        <f>Assumptions!J24*Assumptions!J29*Assumptions!J30</f>
        <v>24000000</v>
      </c>
      <c r="K18" s="59">
        <f>Assumptions!K24*Assumptions!K29*Assumptions!K30</f>
        <v>24000000</v>
      </c>
      <c r="L18" s="59">
        <f>Assumptions!L24*Assumptions!L29*Assumptions!L30</f>
        <v>24000000</v>
      </c>
    </row>
    <row r="19" spans="1:12" x14ac:dyDescent="0.3">
      <c r="A19" s="61" t="s">
        <v>191</v>
      </c>
      <c r="B19" s="1" t="s">
        <v>165</v>
      </c>
      <c r="D19" s="59">
        <f>Assumptions!D24*Assumptions!D31</f>
        <v>15000000</v>
      </c>
      <c r="E19" s="59">
        <f>Assumptions!E24*Assumptions!E31</f>
        <v>24000000</v>
      </c>
      <c r="F19" s="59">
        <f>Assumptions!F24*Assumptions!F31</f>
        <v>24000000</v>
      </c>
      <c r="G19" s="59">
        <f>Assumptions!G24*Assumptions!G31</f>
        <v>24000000</v>
      </c>
      <c r="H19" s="59">
        <f>Assumptions!H24*Assumptions!H31</f>
        <v>24000000</v>
      </c>
      <c r="I19" s="59">
        <f>Assumptions!I24*Assumptions!I31</f>
        <v>24000000</v>
      </c>
      <c r="J19" s="59">
        <f>Assumptions!J24*Assumptions!J31</f>
        <v>24000000</v>
      </c>
      <c r="K19" s="59">
        <f>Assumptions!K24*Assumptions!K31</f>
        <v>24000000</v>
      </c>
      <c r="L19" s="59">
        <f>Assumptions!L24*Assumptions!L31</f>
        <v>24000000</v>
      </c>
    </row>
    <row r="20" spans="1:12" x14ac:dyDescent="0.3">
      <c r="A20" s="61" t="s">
        <v>189</v>
      </c>
      <c r="B20" s="1" t="s">
        <v>165</v>
      </c>
      <c r="D20" s="59">
        <f>(Assumptions!D24-Assumptions!C24)*Assumptions!D32</f>
        <v>0</v>
      </c>
      <c r="E20" s="59">
        <f>(Assumptions!E24-Assumptions!D24)*Assumptions!E32</f>
        <v>90000000</v>
      </c>
      <c r="F20" s="59">
        <f>(Assumptions!F24-Assumptions!E24)*Assumptions!F32</f>
        <v>0</v>
      </c>
      <c r="G20" s="59">
        <f>(Assumptions!G24-Assumptions!F24)*Assumptions!G32</f>
        <v>0</v>
      </c>
      <c r="H20" s="59">
        <f>(Assumptions!H24-Assumptions!G24)*Assumptions!H32</f>
        <v>0</v>
      </c>
      <c r="I20" s="59">
        <f>(Assumptions!I24-Assumptions!H24)*Assumptions!I32</f>
        <v>0</v>
      </c>
      <c r="J20" s="59">
        <f>(Assumptions!J24-Assumptions!I24)*Assumptions!J32</f>
        <v>0</v>
      </c>
      <c r="K20" s="59">
        <f>(Assumptions!K24-Assumptions!J24)*Assumptions!K32</f>
        <v>0</v>
      </c>
      <c r="L20" s="59">
        <f>(Assumptions!L24-Assumptions!K24)*Assumptions!L32</f>
        <v>0</v>
      </c>
    </row>
    <row r="22" spans="1:12" x14ac:dyDescent="0.3">
      <c r="A22" s="1" t="str">
        <f>Assumptions!A34</f>
        <v>Hospital 3 - Mann</v>
      </c>
      <c r="D22" s="147">
        <f>SUM(D23:D27)</f>
        <v>114300000</v>
      </c>
      <c r="E22" s="147">
        <f t="shared" ref="E22:L22" si="3">SUM(E23:E27)</f>
        <v>132150000</v>
      </c>
      <c r="F22" s="147">
        <f t="shared" si="3"/>
        <v>139695000</v>
      </c>
      <c r="G22" s="147">
        <f t="shared" si="3"/>
        <v>159484500</v>
      </c>
      <c r="H22" s="147">
        <f t="shared" si="3"/>
        <v>168472950</v>
      </c>
      <c r="I22" s="147">
        <f t="shared" si="3"/>
        <v>178120245.00000003</v>
      </c>
      <c r="J22" s="147">
        <f t="shared" si="3"/>
        <v>188492269.50000003</v>
      </c>
      <c r="K22" s="147">
        <f t="shared" si="3"/>
        <v>197261496.45000005</v>
      </c>
      <c r="L22" s="147">
        <f t="shared" si="3"/>
        <v>206907646.09500006</v>
      </c>
    </row>
    <row r="23" spans="1:12" x14ac:dyDescent="0.3">
      <c r="A23" s="61" t="s">
        <v>288</v>
      </c>
      <c r="B23" s="1" t="s">
        <v>165</v>
      </c>
      <c r="D23" s="129">
        <f>Assumptions!$C$36*Assumptions!D37</f>
        <v>49500000</v>
      </c>
      <c r="E23" s="129">
        <f>Assumptions!$C$36*Assumptions!E37</f>
        <v>54450000.000000007</v>
      </c>
      <c r="F23" s="129">
        <f>Assumptions!$C$36*Assumptions!F37</f>
        <v>59895000.000000015</v>
      </c>
      <c r="G23" s="129">
        <f>Assumptions!$C$36*Assumptions!G37</f>
        <v>65884500.000000015</v>
      </c>
      <c r="H23" s="129">
        <f>Assumptions!$C$36*Assumptions!H37</f>
        <v>72472950.000000015</v>
      </c>
      <c r="I23" s="129">
        <f>Assumptions!$C$36*Assumptions!I37</f>
        <v>79720245.00000003</v>
      </c>
      <c r="J23" s="129">
        <f>Assumptions!$C$36*Assumptions!J37</f>
        <v>87692269.50000003</v>
      </c>
      <c r="K23" s="129">
        <f>Assumptions!$C$36*Assumptions!K37</f>
        <v>96461496.450000048</v>
      </c>
      <c r="L23" s="129">
        <f>Assumptions!$C$36*Assumptions!L37</f>
        <v>106107646.09500006</v>
      </c>
    </row>
    <row r="24" spans="1:12" x14ac:dyDescent="0.3">
      <c r="A24" s="61" t="s">
        <v>183</v>
      </c>
      <c r="B24" s="1" t="s">
        <v>165</v>
      </c>
      <c r="D24" s="59">
        <f>Assumptions!D35*Assumptions!D39</f>
        <v>39600000</v>
      </c>
      <c r="E24" s="59">
        <f>Assumptions!E35*Assumptions!E39</f>
        <v>46200000</v>
      </c>
      <c r="F24" s="59">
        <f>Assumptions!F35*Assumptions!F39</f>
        <v>46200000</v>
      </c>
      <c r="G24" s="59">
        <f>Assumptions!G35*Assumptions!G39</f>
        <v>52800000</v>
      </c>
      <c r="H24" s="59">
        <f>Assumptions!H35*Assumptions!H39</f>
        <v>52800000</v>
      </c>
      <c r="I24" s="59">
        <f>Assumptions!I35*Assumptions!I39</f>
        <v>52800000</v>
      </c>
      <c r="J24" s="59">
        <f>Assumptions!J35*Assumptions!J39</f>
        <v>52800000</v>
      </c>
      <c r="K24" s="59">
        <f>Assumptions!K35*Assumptions!K39</f>
        <v>52800000</v>
      </c>
      <c r="L24" s="59">
        <f>Assumptions!L35*Assumptions!L39</f>
        <v>52800000</v>
      </c>
    </row>
    <row r="25" spans="1:12" x14ac:dyDescent="0.3">
      <c r="A25" s="61" t="s">
        <v>190</v>
      </c>
      <c r="B25" s="1" t="s">
        <v>165</v>
      </c>
      <c r="D25" s="59">
        <f>Assumptions!D35*Assumptions!D40*Assumptions!D41</f>
        <v>7200000</v>
      </c>
      <c r="E25" s="59">
        <f>Assumptions!E35*Assumptions!E40*Assumptions!E41</f>
        <v>10500000</v>
      </c>
      <c r="F25" s="59">
        <f>Assumptions!F35*Assumptions!F40*Assumptions!F41</f>
        <v>12600000</v>
      </c>
      <c r="G25" s="59">
        <f>Assumptions!G35*Assumptions!G40*Assumptions!G41</f>
        <v>16800000</v>
      </c>
      <c r="H25" s="59">
        <f>Assumptions!H35*Assumptions!H40*Assumptions!H41</f>
        <v>19200000</v>
      </c>
      <c r="I25" s="59">
        <f>Assumptions!I35*Assumptions!I40*Assumptions!I41</f>
        <v>21600000</v>
      </c>
      <c r="J25" s="59">
        <f>Assumptions!J35*Assumptions!J40*Assumptions!J41</f>
        <v>24000000</v>
      </c>
      <c r="K25" s="59">
        <f>Assumptions!K35*Assumptions!K40*Assumptions!K41</f>
        <v>24000000</v>
      </c>
      <c r="L25" s="59">
        <f>Assumptions!L35*Assumptions!L40*Assumptions!L41</f>
        <v>24000000</v>
      </c>
    </row>
    <row r="26" spans="1:12" x14ac:dyDescent="0.3">
      <c r="A26" s="61" t="s">
        <v>191</v>
      </c>
      <c r="B26" s="1" t="s">
        <v>165</v>
      </c>
      <c r="D26" s="59">
        <f>Assumptions!D35*Assumptions!D42</f>
        <v>18000000</v>
      </c>
      <c r="E26" s="59">
        <f>Assumptions!E35*Assumptions!E42</f>
        <v>21000000</v>
      </c>
      <c r="F26" s="59">
        <f>Assumptions!F35*Assumptions!F42</f>
        <v>21000000</v>
      </c>
      <c r="G26" s="59">
        <f>Assumptions!G35*Assumptions!G42</f>
        <v>24000000</v>
      </c>
      <c r="H26" s="59">
        <f>Assumptions!H35*Assumptions!H42</f>
        <v>24000000</v>
      </c>
      <c r="I26" s="59">
        <f>Assumptions!I35*Assumptions!I42</f>
        <v>24000000</v>
      </c>
      <c r="J26" s="59">
        <f>Assumptions!J35*Assumptions!J42</f>
        <v>24000000</v>
      </c>
      <c r="K26" s="59">
        <f>Assumptions!K35*Assumptions!K42</f>
        <v>24000000</v>
      </c>
      <c r="L26" s="59">
        <f>Assumptions!L35*Assumptions!L42</f>
        <v>24000000</v>
      </c>
    </row>
    <row r="27" spans="1:12" x14ac:dyDescent="0.3">
      <c r="A27" s="61" t="s">
        <v>189</v>
      </c>
      <c r="B27" s="1" t="s">
        <v>165</v>
      </c>
      <c r="D27" s="59">
        <f>(Assumptions!D35-Assumptions!C35)*Assumptions!D43</f>
        <v>0</v>
      </c>
      <c r="E27" s="59">
        <f>(Assumptions!E35-Assumptions!D35)*Assumptions!E43</f>
        <v>0</v>
      </c>
      <c r="F27" s="59">
        <f>(Assumptions!F35-Assumptions!E35)*Assumptions!F43</f>
        <v>0</v>
      </c>
      <c r="G27" s="59">
        <f>(Assumptions!G35-Assumptions!F35)*Assumptions!G43</f>
        <v>0</v>
      </c>
      <c r="H27" s="59">
        <f>(Assumptions!H35-Assumptions!G35)*Assumptions!H43</f>
        <v>0</v>
      </c>
      <c r="I27" s="59">
        <f>(Assumptions!I35-Assumptions!H35)*Assumptions!I43</f>
        <v>0</v>
      </c>
      <c r="J27" s="59">
        <f>(Assumptions!J35-Assumptions!I35)*Assumptions!J43</f>
        <v>0</v>
      </c>
      <c r="K27" s="59">
        <f>(Assumptions!K35-Assumptions!J35)*Assumptions!K43</f>
        <v>0</v>
      </c>
      <c r="L27" s="59">
        <f>(Assumptions!L35-Assumptions!K35)*Assumptions!L43</f>
        <v>0</v>
      </c>
    </row>
    <row r="28" spans="1:12" x14ac:dyDescent="0.3">
      <c r="D28" s="208"/>
    </row>
    <row r="29" spans="1:12" x14ac:dyDescent="0.3">
      <c r="A29" s="1" t="str">
        <f>Assumptions!A45</f>
        <v>Hospital 4 - Le-crest</v>
      </c>
      <c r="D29" s="147">
        <f>SUM(D30:D34)</f>
        <v>642000000</v>
      </c>
      <c r="E29" s="147">
        <f t="shared" ref="E29:L29" si="4">SUM(E30:E34)</f>
        <v>744600000</v>
      </c>
      <c r="F29" s="147">
        <f t="shared" si="4"/>
        <v>806880000.00000012</v>
      </c>
      <c r="G29" s="147">
        <f t="shared" si="4"/>
        <v>874968000.00000012</v>
      </c>
      <c r="H29" s="147">
        <f t="shared" si="4"/>
        <v>974644800.00000024</v>
      </c>
      <c r="I29" s="147">
        <f t="shared" si="4"/>
        <v>1030949280.0000002</v>
      </c>
      <c r="J29" s="147">
        <f t="shared" si="4"/>
        <v>1120184208.0000005</v>
      </c>
      <c r="K29" s="147">
        <f t="shared" si="4"/>
        <v>1187322628.8000007</v>
      </c>
      <c r="L29" s="147">
        <f t="shared" si="4"/>
        <v>1290214891.6800008</v>
      </c>
    </row>
    <row r="30" spans="1:12" x14ac:dyDescent="0.3">
      <c r="A30" s="61" t="s">
        <v>288</v>
      </c>
      <c r="B30" s="1" t="s">
        <v>165</v>
      </c>
      <c r="D30" s="129">
        <f>Assumptions!$C$47*Assumptions!D48</f>
        <v>528000000</v>
      </c>
      <c r="E30" s="129">
        <f>Assumptions!$C$47*Assumptions!E48</f>
        <v>580800000</v>
      </c>
      <c r="F30" s="129">
        <f>Assumptions!$C$47*Assumptions!F48</f>
        <v>638880000.00000012</v>
      </c>
      <c r="G30" s="129">
        <f>Assumptions!$C$47*Assumptions!G48</f>
        <v>702768000.00000012</v>
      </c>
      <c r="H30" s="129">
        <f>Assumptions!$C$47*Assumptions!H48</f>
        <v>773044800.00000024</v>
      </c>
      <c r="I30" s="129">
        <f>Assumptions!$C$47*Assumptions!I48</f>
        <v>850349280.00000024</v>
      </c>
      <c r="J30" s="129">
        <f>Assumptions!$C$47*Assumptions!J48</f>
        <v>935384208.00000036</v>
      </c>
      <c r="K30" s="129">
        <f>Assumptions!$C$47*Assumptions!K48</f>
        <v>1028922628.8000005</v>
      </c>
      <c r="L30" s="129">
        <f>Assumptions!$C$47*Assumptions!L48</f>
        <v>1131814891.6800008</v>
      </c>
    </row>
    <row r="31" spans="1:12" x14ac:dyDescent="0.3">
      <c r="A31" s="61" t="s">
        <v>183</v>
      </c>
      <c r="B31" s="1" t="s">
        <v>165</v>
      </c>
      <c r="D31" s="59">
        <f>Assumptions!D46*Assumptions!D50</f>
        <v>72000000</v>
      </c>
      <c r="E31" s="59">
        <f>Assumptions!E46*Assumptions!E50</f>
        <v>100800000</v>
      </c>
      <c r="F31" s="59">
        <f>Assumptions!F46*Assumptions!F50</f>
        <v>100800000</v>
      </c>
      <c r="G31" s="59">
        <f>Assumptions!G46*Assumptions!G50</f>
        <v>100800000</v>
      </c>
      <c r="H31" s="59">
        <f>Assumptions!H46*Assumptions!H50</f>
        <v>115200000</v>
      </c>
      <c r="I31" s="59">
        <f>Assumptions!I46*Assumptions!I50</f>
        <v>100800000</v>
      </c>
      <c r="J31" s="59">
        <f>Assumptions!J46*Assumptions!J50</f>
        <v>100800000</v>
      </c>
      <c r="K31" s="59">
        <f>Assumptions!K46*Assumptions!K50</f>
        <v>86400000</v>
      </c>
      <c r="L31" s="59">
        <f>Assumptions!L46*Assumptions!L50</f>
        <v>86400000</v>
      </c>
    </row>
    <row r="32" spans="1:12" x14ac:dyDescent="0.3">
      <c r="A32" s="61" t="s">
        <v>190</v>
      </c>
      <c r="B32" s="1" t="s">
        <v>165</v>
      </c>
      <c r="D32" s="59">
        <f>Assumptions!D46*Assumptions!D51*Assumptions!D52</f>
        <v>12000000</v>
      </c>
      <c r="E32" s="59">
        <f>Assumptions!E46*Assumptions!E51*Assumptions!E52</f>
        <v>21000000</v>
      </c>
      <c r="F32" s="59">
        <f>Assumptions!F46*Assumptions!F51*Assumptions!F52</f>
        <v>25200000</v>
      </c>
      <c r="G32" s="59">
        <f>Assumptions!G46*Assumptions!G51*Assumptions!G52</f>
        <v>29399999.999999996</v>
      </c>
      <c r="H32" s="59">
        <f>Assumptions!H46*Assumptions!H51*Assumptions!H52</f>
        <v>38400000</v>
      </c>
      <c r="I32" s="59">
        <f>Assumptions!I46*Assumptions!I51*Assumptions!I52</f>
        <v>37800000</v>
      </c>
      <c r="J32" s="59">
        <f>Assumptions!J46*Assumptions!J51*Assumptions!J52</f>
        <v>42000000</v>
      </c>
      <c r="K32" s="59">
        <f>Assumptions!K46*Assumptions!K51*Assumptions!K52</f>
        <v>36000000</v>
      </c>
      <c r="L32" s="59">
        <f>Assumptions!L46*Assumptions!L51*Assumptions!L52</f>
        <v>36000000</v>
      </c>
    </row>
    <row r="33" spans="1:12" x14ac:dyDescent="0.3">
      <c r="A33" s="61" t="s">
        <v>191</v>
      </c>
      <c r="B33" s="1" t="s">
        <v>165</v>
      </c>
      <c r="D33" s="59">
        <f>Assumptions!D46*Assumptions!D53</f>
        <v>30000000</v>
      </c>
      <c r="E33" s="59">
        <f>Assumptions!E46*Assumptions!E53</f>
        <v>42000000</v>
      </c>
      <c r="F33" s="59">
        <f>Assumptions!F46*Assumptions!F53</f>
        <v>42000000</v>
      </c>
      <c r="G33" s="59">
        <f>Assumptions!G46*Assumptions!G53</f>
        <v>42000000</v>
      </c>
      <c r="H33" s="59">
        <f>Assumptions!H46*Assumptions!H53</f>
        <v>48000000</v>
      </c>
      <c r="I33" s="59">
        <f>Assumptions!I46*Assumptions!I53</f>
        <v>42000000</v>
      </c>
      <c r="J33" s="59">
        <f>Assumptions!J46*Assumptions!J53</f>
        <v>42000000</v>
      </c>
      <c r="K33" s="59">
        <f>Assumptions!K46*Assumptions!K53</f>
        <v>36000000</v>
      </c>
      <c r="L33" s="59">
        <f>Assumptions!L46*Assumptions!L53</f>
        <v>36000000</v>
      </c>
    </row>
    <row r="34" spans="1:12" x14ac:dyDescent="0.3">
      <c r="A34" s="61" t="s">
        <v>189</v>
      </c>
      <c r="B34" s="1" t="s">
        <v>165</v>
      </c>
      <c r="D34" s="59">
        <f>(Assumptions!D46-Assumptions!C46)*Assumptions!D54</f>
        <v>0</v>
      </c>
      <c r="E34" s="59">
        <f>(Assumptions!E46-Assumptions!D46)*Assumptions!E54</f>
        <v>0</v>
      </c>
      <c r="F34" s="59">
        <f>(Assumptions!F46-Assumptions!E46)*Assumptions!F54</f>
        <v>0</v>
      </c>
      <c r="G34" s="59">
        <f>(Assumptions!G46-Assumptions!F46)*Assumptions!G54</f>
        <v>0</v>
      </c>
      <c r="H34" s="59">
        <f>(Assumptions!H46-Assumptions!G46)*Assumptions!H54</f>
        <v>0</v>
      </c>
      <c r="I34" s="59">
        <f>(Assumptions!I46-Assumptions!H46)*Assumptions!I54</f>
        <v>0</v>
      </c>
      <c r="J34" s="59">
        <f>(Assumptions!J46-Assumptions!I46)*Assumptions!J54</f>
        <v>0</v>
      </c>
      <c r="K34" s="59">
        <f>(Assumptions!K46-Assumptions!J46)*Assumptions!K54</f>
        <v>0</v>
      </c>
      <c r="L34" s="59">
        <f>(Assumptions!L46-Assumptions!K46)*Assumptions!L54</f>
        <v>0</v>
      </c>
    </row>
    <row r="36" spans="1:12" x14ac:dyDescent="0.3">
      <c r="A36" s="1" t="str">
        <f>Assumptions!A56</f>
        <v>Hospital 5 - Royal</v>
      </c>
      <c r="D36" s="147">
        <f>SUM(D37:D41)</f>
        <v>51000000</v>
      </c>
      <c r="E36" s="147">
        <f t="shared" ref="E36:L36" si="5">SUM(E37:E41)</f>
        <v>64800000</v>
      </c>
      <c r="F36" s="147">
        <f t="shared" si="5"/>
        <v>79800000</v>
      </c>
      <c r="G36" s="147">
        <f t="shared" si="5"/>
        <v>96000000</v>
      </c>
      <c r="H36" s="147">
        <f t="shared" si="5"/>
        <v>113400000</v>
      </c>
      <c r="I36" s="147">
        <f t="shared" si="5"/>
        <v>132000000</v>
      </c>
      <c r="J36" s="147">
        <f t="shared" si="5"/>
        <v>138000000</v>
      </c>
      <c r="K36" s="147">
        <f t="shared" si="5"/>
        <v>138000000</v>
      </c>
      <c r="L36" s="147">
        <f t="shared" si="5"/>
        <v>138000000</v>
      </c>
    </row>
    <row r="37" spans="1:12" x14ac:dyDescent="0.3">
      <c r="A37" s="61" t="s">
        <v>288</v>
      </c>
      <c r="B37" s="1" t="s">
        <v>165</v>
      </c>
      <c r="D37" s="129">
        <f>Assumptions!$C$58*Assumptions!D59</f>
        <v>0</v>
      </c>
      <c r="E37" s="129">
        <f>Assumptions!$C$58*Assumptions!E59</f>
        <v>0</v>
      </c>
      <c r="F37" s="129">
        <f>Assumptions!$C$58*Assumptions!F59</f>
        <v>0</v>
      </c>
      <c r="G37" s="129">
        <f>Assumptions!$C$58*Assumptions!G59</f>
        <v>0</v>
      </c>
      <c r="H37" s="129">
        <f>Assumptions!$C$58*Assumptions!H59</f>
        <v>0</v>
      </c>
      <c r="I37" s="129">
        <f>Assumptions!$C$58*Assumptions!I59</f>
        <v>0</v>
      </c>
      <c r="J37" s="129">
        <f>Assumptions!$C$58*Assumptions!J59</f>
        <v>0</v>
      </c>
      <c r="K37" s="129">
        <f>Assumptions!$C$58*Assumptions!K59</f>
        <v>0</v>
      </c>
      <c r="L37" s="129">
        <f>Assumptions!$C$58*Assumptions!L59</f>
        <v>0</v>
      </c>
    </row>
    <row r="38" spans="1:12" x14ac:dyDescent="0.3">
      <c r="A38" s="61" t="s">
        <v>183</v>
      </c>
      <c r="B38" s="1" t="s">
        <v>165</v>
      </c>
      <c r="D38" s="59">
        <f>Assumptions!D57*Assumptions!D61</f>
        <v>9000000</v>
      </c>
      <c r="E38" s="59">
        <f>Assumptions!E57*Assumptions!E61</f>
        <v>10800000</v>
      </c>
      <c r="F38" s="59">
        <f>Assumptions!F57*Assumptions!F61</f>
        <v>12600000</v>
      </c>
      <c r="G38" s="59">
        <f>Assumptions!G57*Assumptions!G61</f>
        <v>14400000</v>
      </c>
      <c r="H38" s="59">
        <f>Assumptions!H57*Assumptions!H61</f>
        <v>16200000</v>
      </c>
      <c r="I38" s="59">
        <f>Assumptions!I57*Assumptions!I61</f>
        <v>18000000</v>
      </c>
      <c r="J38" s="59">
        <f>Assumptions!J57*Assumptions!J61</f>
        <v>18000000</v>
      </c>
      <c r="K38" s="59">
        <f>Assumptions!K57*Assumptions!K61</f>
        <v>18000000</v>
      </c>
      <c r="L38" s="59">
        <f>Assumptions!L57*Assumptions!L61</f>
        <v>18000000</v>
      </c>
    </row>
    <row r="39" spans="1:12" x14ac:dyDescent="0.3">
      <c r="A39" s="61" t="s">
        <v>190</v>
      </c>
      <c r="B39" s="1" t="s">
        <v>165</v>
      </c>
      <c r="D39" s="59">
        <f>Assumptions!D57*Assumptions!D62*Assumptions!D63</f>
        <v>12000000</v>
      </c>
      <c r="E39" s="59">
        <f>Assumptions!E57*Assumptions!E62*Assumptions!E63</f>
        <v>18000000</v>
      </c>
      <c r="F39" s="59">
        <f>Assumptions!F57*Assumptions!F62*Assumptions!F63</f>
        <v>25200000</v>
      </c>
      <c r="G39" s="59">
        <f>Assumptions!G57*Assumptions!G62*Assumptions!G63</f>
        <v>33600000</v>
      </c>
      <c r="H39" s="59">
        <f>Assumptions!H57*Assumptions!H62*Assumptions!H63</f>
        <v>43200000</v>
      </c>
      <c r="I39" s="59">
        <f>Assumptions!I57*Assumptions!I62*Assumptions!I63</f>
        <v>54000000</v>
      </c>
      <c r="J39" s="59">
        <f>Assumptions!J57*Assumptions!J62*Assumptions!J63</f>
        <v>60000000</v>
      </c>
      <c r="K39" s="59">
        <f>Assumptions!K57*Assumptions!K62*Assumptions!K63</f>
        <v>60000000</v>
      </c>
      <c r="L39" s="59">
        <f>Assumptions!L57*Assumptions!L62*Assumptions!L63</f>
        <v>60000000</v>
      </c>
    </row>
    <row r="40" spans="1:12" x14ac:dyDescent="0.3">
      <c r="A40" s="61" t="s">
        <v>191</v>
      </c>
      <c r="B40" s="1" t="s">
        <v>165</v>
      </c>
      <c r="D40" s="59">
        <f>Assumptions!D57*Assumptions!D64</f>
        <v>30000000</v>
      </c>
      <c r="E40" s="59">
        <f>Assumptions!E57*Assumptions!E64</f>
        <v>36000000</v>
      </c>
      <c r="F40" s="59">
        <f>Assumptions!F57*Assumptions!F64</f>
        <v>42000000</v>
      </c>
      <c r="G40" s="59">
        <f>Assumptions!G57*Assumptions!G64</f>
        <v>48000000</v>
      </c>
      <c r="H40" s="59">
        <f>Assumptions!H57*Assumptions!H64</f>
        <v>54000000</v>
      </c>
      <c r="I40" s="59">
        <f>Assumptions!I57*Assumptions!I64</f>
        <v>60000000</v>
      </c>
      <c r="J40" s="59">
        <f>Assumptions!J57*Assumptions!J64</f>
        <v>60000000</v>
      </c>
      <c r="K40" s="59">
        <f>Assumptions!K57*Assumptions!K64</f>
        <v>60000000</v>
      </c>
      <c r="L40" s="59">
        <f>Assumptions!L57*Assumptions!L64</f>
        <v>60000000</v>
      </c>
    </row>
    <row r="41" spans="1:12" x14ac:dyDescent="0.3">
      <c r="A41" s="61" t="s">
        <v>189</v>
      </c>
      <c r="B41" s="1" t="s">
        <v>165</v>
      </c>
      <c r="D41" s="59">
        <f>(Assumptions!D57-Assumptions!C57)*Assumptions!D65</f>
        <v>0</v>
      </c>
      <c r="E41" s="59">
        <f>(Assumptions!E57-Assumptions!D57)*Assumptions!E65</f>
        <v>0</v>
      </c>
      <c r="F41" s="59">
        <f>(Assumptions!F57-Assumptions!E57)*Assumptions!F65</f>
        <v>0</v>
      </c>
      <c r="G41" s="59">
        <f>(Assumptions!G57-Assumptions!F57)*Assumptions!G65</f>
        <v>0</v>
      </c>
      <c r="H41" s="59">
        <f>(Assumptions!H57-Assumptions!G57)*Assumptions!H65</f>
        <v>0</v>
      </c>
      <c r="I41" s="59">
        <f>(Assumptions!I57-Assumptions!H57)*Assumptions!I65</f>
        <v>0</v>
      </c>
      <c r="J41" s="59">
        <f>(Assumptions!J57-Assumptions!I57)*Assumptions!J65</f>
        <v>0</v>
      </c>
      <c r="K41" s="59">
        <f>(Assumptions!K57-Assumptions!J57)*Assumptions!K65</f>
        <v>0</v>
      </c>
      <c r="L41" s="59">
        <f>(Assumptions!L57-Assumptions!K57)*Assumptions!L65</f>
        <v>0</v>
      </c>
    </row>
    <row r="42" spans="1:12" x14ac:dyDescent="0.3">
      <c r="D42" s="208"/>
    </row>
    <row r="43" spans="1:12" x14ac:dyDescent="0.3">
      <c r="A43" s="1" t="str">
        <f>Assumptions!A67</f>
        <v>Hospital 6 - Pancham</v>
      </c>
      <c r="D43" s="147">
        <f>SUM(D44:D48)</f>
        <v>130400000</v>
      </c>
      <c r="E43" s="147">
        <f t="shared" ref="E43:L43" si="6">SUM(E44:E48)</f>
        <v>142600000</v>
      </c>
      <c r="F43" s="147">
        <f t="shared" si="6"/>
        <v>155900000.00000003</v>
      </c>
      <c r="G43" s="147">
        <f t="shared" si="6"/>
        <v>170410000.00000003</v>
      </c>
      <c r="H43" s="147">
        <f t="shared" si="6"/>
        <v>186251000.00000003</v>
      </c>
      <c r="I43" s="147">
        <f t="shared" si="6"/>
        <v>203556100.00000006</v>
      </c>
      <c r="J43" s="147">
        <f t="shared" si="6"/>
        <v>222471710.00000006</v>
      </c>
      <c r="K43" s="147">
        <f t="shared" si="6"/>
        <v>241958881.00000009</v>
      </c>
      <c r="L43" s="147">
        <f t="shared" si="6"/>
        <v>263394769.10000011</v>
      </c>
    </row>
    <row r="44" spans="1:12" x14ac:dyDescent="0.3">
      <c r="A44" s="61" t="s">
        <v>288</v>
      </c>
      <c r="B44" s="1" t="s">
        <v>165</v>
      </c>
      <c r="D44" s="129">
        <f>Assumptions!$C$69*Assumptions!D70</f>
        <v>110000000</v>
      </c>
      <c r="E44" s="129">
        <f>Assumptions!$C$69*Assumptions!E70</f>
        <v>121000000.00000001</v>
      </c>
      <c r="F44" s="129">
        <f>Assumptions!$C$69*Assumptions!F70</f>
        <v>133100000.00000003</v>
      </c>
      <c r="G44" s="129">
        <f>Assumptions!$C$69*Assumptions!G70</f>
        <v>146410000.00000003</v>
      </c>
      <c r="H44" s="129">
        <f>Assumptions!$C$69*Assumptions!H70</f>
        <v>161051000.00000003</v>
      </c>
      <c r="I44" s="129">
        <f>Assumptions!$C$69*Assumptions!I70</f>
        <v>177156100.00000006</v>
      </c>
      <c r="J44" s="129">
        <f>Assumptions!$C$69*Assumptions!J70</f>
        <v>194871710.00000006</v>
      </c>
      <c r="K44" s="129">
        <f>Assumptions!$C$69*Assumptions!K70</f>
        <v>214358881.00000009</v>
      </c>
      <c r="L44" s="129">
        <f>Assumptions!$C$69*Assumptions!L70</f>
        <v>235794769.10000011</v>
      </c>
    </row>
    <row r="45" spans="1:12" x14ac:dyDescent="0.3">
      <c r="A45" s="61" t="s">
        <v>183</v>
      </c>
      <c r="B45" s="1" t="s">
        <v>165</v>
      </c>
      <c r="D45" s="59">
        <f>Assumptions!D68*Assumptions!D72</f>
        <v>3600000</v>
      </c>
      <c r="E45" s="59">
        <f>Assumptions!E68*Assumptions!E72</f>
        <v>3600000</v>
      </c>
      <c r="F45" s="59">
        <f>Assumptions!F68*Assumptions!F72</f>
        <v>3600000</v>
      </c>
      <c r="G45" s="59">
        <f>Assumptions!G68*Assumptions!G72</f>
        <v>3600000</v>
      </c>
      <c r="H45" s="59">
        <f>Assumptions!H68*Assumptions!H72</f>
        <v>3600000</v>
      </c>
      <c r="I45" s="59">
        <f>Assumptions!I68*Assumptions!I72</f>
        <v>3600000</v>
      </c>
      <c r="J45" s="59">
        <f>Assumptions!J68*Assumptions!J72</f>
        <v>3600000</v>
      </c>
      <c r="K45" s="59">
        <f>Assumptions!K68*Assumptions!K72</f>
        <v>3600000</v>
      </c>
      <c r="L45" s="59">
        <f>Assumptions!L68*Assumptions!L72</f>
        <v>3600000</v>
      </c>
    </row>
    <row r="46" spans="1:12" x14ac:dyDescent="0.3">
      <c r="A46" s="61" t="s">
        <v>190</v>
      </c>
      <c r="B46" s="1" t="s">
        <v>165</v>
      </c>
      <c r="D46" s="59">
        <f>Assumptions!D68*Assumptions!D73*Assumptions!D74</f>
        <v>4800000</v>
      </c>
      <c r="E46" s="59">
        <f>Assumptions!E68*Assumptions!E73*Assumptions!E74</f>
        <v>6000000</v>
      </c>
      <c r="F46" s="59">
        <f>Assumptions!F68*Assumptions!F73*Assumptions!F74</f>
        <v>7200000</v>
      </c>
      <c r="G46" s="59">
        <f>Assumptions!G68*Assumptions!G73*Assumptions!G74</f>
        <v>8400000</v>
      </c>
      <c r="H46" s="59">
        <f>Assumptions!H68*Assumptions!H73*Assumptions!H74</f>
        <v>9600000</v>
      </c>
      <c r="I46" s="59">
        <f>Assumptions!I68*Assumptions!I73*Assumptions!I74</f>
        <v>10800000</v>
      </c>
      <c r="J46" s="59">
        <f>Assumptions!J68*Assumptions!J73*Assumptions!J74</f>
        <v>12000000</v>
      </c>
      <c r="K46" s="59">
        <f>Assumptions!K68*Assumptions!K73*Assumptions!K74</f>
        <v>12000000</v>
      </c>
      <c r="L46" s="59">
        <f>Assumptions!L68*Assumptions!L73*Assumptions!L74</f>
        <v>12000000</v>
      </c>
    </row>
    <row r="47" spans="1:12" x14ac:dyDescent="0.3">
      <c r="A47" s="61" t="s">
        <v>191</v>
      </c>
      <c r="B47" s="1" t="s">
        <v>165</v>
      </c>
      <c r="D47" s="59">
        <f>Assumptions!D68*Assumptions!D75</f>
        <v>12000000</v>
      </c>
      <c r="E47" s="59">
        <f>Assumptions!E68*Assumptions!E75</f>
        <v>12000000</v>
      </c>
      <c r="F47" s="59">
        <f>Assumptions!F68*Assumptions!F75</f>
        <v>12000000</v>
      </c>
      <c r="G47" s="59">
        <f>Assumptions!G68*Assumptions!G75</f>
        <v>12000000</v>
      </c>
      <c r="H47" s="59">
        <f>Assumptions!H68*Assumptions!H75</f>
        <v>12000000</v>
      </c>
      <c r="I47" s="59">
        <f>Assumptions!I68*Assumptions!I75</f>
        <v>12000000</v>
      </c>
      <c r="J47" s="59">
        <f>Assumptions!J68*Assumptions!J75</f>
        <v>12000000</v>
      </c>
      <c r="K47" s="59">
        <f>Assumptions!K68*Assumptions!K75</f>
        <v>12000000</v>
      </c>
      <c r="L47" s="59">
        <f>Assumptions!L68*Assumptions!L75</f>
        <v>12000000</v>
      </c>
    </row>
    <row r="48" spans="1:12" x14ac:dyDescent="0.3">
      <c r="A48" s="61" t="s">
        <v>189</v>
      </c>
      <c r="B48" s="1" t="s">
        <v>165</v>
      </c>
      <c r="D48" s="59">
        <f>(Assumptions!D68-Assumptions!C68)*Assumptions!D76</f>
        <v>0</v>
      </c>
      <c r="E48" s="59">
        <f>(Assumptions!E68-Assumptions!D68)*Assumptions!E76</f>
        <v>0</v>
      </c>
      <c r="F48" s="59">
        <f>(Assumptions!F68-Assumptions!E68)*Assumptions!F76</f>
        <v>0</v>
      </c>
      <c r="G48" s="59">
        <f>(Assumptions!G68-Assumptions!F68)*Assumptions!G76</f>
        <v>0</v>
      </c>
      <c r="H48" s="59">
        <f>(Assumptions!H68-Assumptions!G68)*Assumptions!H76</f>
        <v>0</v>
      </c>
      <c r="I48" s="59">
        <f>(Assumptions!I68-Assumptions!H68)*Assumptions!I76</f>
        <v>0</v>
      </c>
      <c r="J48" s="59">
        <f>(Assumptions!J68-Assumptions!I68)*Assumptions!J76</f>
        <v>0</v>
      </c>
      <c r="K48" s="59">
        <f>(Assumptions!K68-Assumptions!J68)*Assumptions!K76</f>
        <v>0</v>
      </c>
      <c r="L48" s="59">
        <f>(Assumptions!L68-Assumptions!K68)*Assumptions!L76</f>
        <v>0</v>
      </c>
    </row>
    <row r="50" spans="1:12" x14ac:dyDescent="0.3">
      <c r="A50" s="155" t="s">
        <v>218</v>
      </c>
      <c r="B50" s="1" t="s">
        <v>165</v>
      </c>
      <c r="D50" s="59">
        <f>Assumptions!D79*Assumptions!D81</f>
        <v>86400000</v>
      </c>
      <c r="E50" s="59">
        <f>Assumptions!E79*Assumptions!E81</f>
        <v>93312000</v>
      </c>
      <c r="F50" s="59">
        <f>Assumptions!F79*Assumptions!F81</f>
        <v>100776960.00000001</v>
      </c>
      <c r="G50" s="59">
        <f>Assumptions!G79*Assumptions!G81</f>
        <v>108839116.80000003</v>
      </c>
      <c r="H50" s="59">
        <f>Assumptions!H79*Assumptions!H81</f>
        <v>117546246.14400004</v>
      </c>
      <c r="I50" s="59">
        <f>Assumptions!I79*Assumptions!I81</f>
        <v>126949945.83552006</v>
      </c>
      <c r="J50" s="59">
        <f>Assumptions!J79*Assumptions!J81</f>
        <v>137105941.50236166</v>
      </c>
      <c r="K50" s="59">
        <f>Assumptions!K79*Assumptions!K81</f>
        <v>148074416.82255062</v>
      </c>
      <c r="L50" s="59">
        <f>Assumptions!L79*Assumptions!L81</f>
        <v>159920370.16835466</v>
      </c>
    </row>
    <row r="52" spans="1:12" x14ac:dyDescent="0.3">
      <c r="A52" s="1" t="s">
        <v>202</v>
      </c>
      <c r="B52" s="1" t="s">
        <v>165</v>
      </c>
      <c r="D52" s="59">
        <f>Assumptions!D84*Assumptions!D85</f>
        <v>108000000</v>
      </c>
      <c r="E52" s="59">
        <f>Assumptions!E84*Assumptions!E85</f>
        <v>116640000</v>
      </c>
      <c r="F52" s="59">
        <f>Assumptions!F84*Assumptions!F85</f>
        <v>125971200.00000001</v>
      </c>
      <c r="G52" s="59">
        <f>Assumptions!G84*Assumptions!G85</f>
        <v>136048896.00000003</v>
      </c>
      <c r="H52" s="59">
        <f>Assumptions!H84*Assumptions!H85</f>
        <v>146932807.68000004</v>
      </c>
      <c r="I52" s="59">
        <f>Assumptions!I84*Assumptions!I85</f>
        <v>158687432.29440007</v>
      </c>
      <c r="J52" s="59">
        <f>Assumptions!J84*Assumptions!J85</f>
        <v>171382426.87795207</v>
      </c>
      <c r="K52" s="59">
        <f>Assumptions!K84*Assumptions!K85</f>
        <v>185093021.02818826</v>
      </c>
      <c r="L52" s="59">
        <f>Assumptions!L84*Assumptions!L85</f>
        <v>199900462.71044335</v>
      </c>
    </row>
    <row r="54" spans="1:12" x14ac:dyDescent="0.3">
      <c r="A54" s="1" t="s">
        <v>205</v>
      </c>
      <c r="B54" s="1" t="s">
        <v>165</v>
      </c>
      <c r="D54" s="59">
        <f>(Assumptions!D88*Assumptions!D89*Assumptions!D90)</f>
        <v>51840000</v>
      </c>
      <c r="E54" s="59">
        <f>(Assumptions!E88*Assumptions!E89*Assumptions!E90)</f>
        <v>55987200.000000007</v>
      </c>
      <c r="F54" s="59">
        <f>(Assumptions!F88*Assumptions!F89*Assumptions!F90)</f>
        <v>60466176.000000015</v>
      </c>
      <c r="G54" s="59">
        <f>(Assumptions!G88*Assumptions!G89*Assumptions!G90)</f>
        <v>65303470.080000021</v>
      </c>
      <c r="H54" s="59">
        <f>(Assumptions!H88*Assumptions!H89*Assumptions!H90)</f>
        <v>70527747.686400026</v>
      </c>
      <c r="I54" s="59">
        <f>(Assumptions!I88*Assumptions!I89*Assumptions!I90)</f>
        <v>76169967.501312032</v>
      </c>
      <c r="J54" s="59">
        <f>(Assumptions!J88*Assumptions!J89*Assumptions!J90)</f>
        <v>82263564.901417002</v>
      </c>
      <c r="K54" s="59">
        <f>(Assumptions!K88*Assumptions!K89*Assumptions!K90)</f>
        <v>88844650.093530372</v>
      </c>
      <c r="L54" s="59">
        <f>(Assumptions!L88*Assumptions!L89*Assumptions!L90)</f>
        <v>95952222.101012796</v>
      </c>
    </row>
    <row r="56" spans="1:12" x14ac:dyDescent="0.3">
      <c r="A56" s="1" t="s">
        <v>190</v>
      </c>
      <c r="B56" s="1" t="s">
        <v>165</v>
      </c>
      <c r="D56" s="59">
        <f>Assumptions!D95*Assumptions!D96*Assumptions!D97*Assumptions!D98</f>
        <v>16588800</v>
      </c>
      <c r="E56" s="59">
        <f>Assumptions!E95*Assumptions!E96*Assumptions!E97*Assumptions!E98</f>
        <v>17915904.000000004</v>
      </c>
      <c r="F56" s="59">
        <f>Assumptions!F95*Assumptions!F96*Assumptions!F97*Assumptions!F98</f>
        <v>19349176.320000004</v>
      </c>
      <c r="G56" s="59">
        <f>Assumptions!G95*Assumptions!G96*Assumptions!G97*Assumptions!G98</f>
        <v>20897110.425600007</v>
      </c>
      <c r="H56" s="59">
        <f>Assumptions!H95*Assumptions!H96*Assumptions!H97*Assumptions!H98</f>
        <v>22568879.25964801</v>
      </c>
      <c r="I56" s="59">
        <f>Assumptions!I95*Assumptions!I96*Assumptions!I97*Assumptions!I98</f>
        <v>24374389.600419853</v>
      </c>
      <c r="J56" s="59">
        <f>Assumptions!J95*Assumptions!J96*Assumptions!J97*Assumptions!J98</f>
        <v>26324340.768453445</v>
      </c>
      <c r="K56" s="59">
        <f>Assumptions!K95*Assumptions!K96*Assumptions!K97*Assumptions!K98</f>
        <v>28430288.029929724</v>
      </c>
      <c r="L56" s="59">
        <f>Assumptions!L95*Assumptions!L96*Assumptions!L97*Assumptions!L98</f>
        <v>30704711.072324093</v>
      </c>
    </row>
    <row r="57" spans="1:12" x14ac:dyDescent="0.3">
      <c r="E57" s="209"/>
    </row>
    <row r="58" spans="1:12" s="62" customFormat="1" x14ac:dyDescent="0.3">
      <c r="A58" s="60" t="s">
        <v>197</v>
      </c>
      <c r="B58" s="60" t="s">
        <v>165</v>
      </c>
      <c r="C58" s="60"/>
      <c r="D58" s="124">
        <f>SUM(D8,D15,D22,D29,D36,D43)+D50+D52+D54+D56</f>
        <v>1453328800</v>
      </c>
      <c r="E58" s="124">
        <f>SUM(E8,E15,E22,E29,E36,E43)+E50+E52+E54+E56</f>
        <v>1798905104</v>
      </c>
      <c r="F58" s="124">
        <f t="shared" ref="D58:L58" si="7">SUM(F8,F15,F22,F29,F36,F43)+F50+F52+F54+F56</f>
        <v>1820268512.3199999</v>
      </c>
      <c r="G58" s="124">
        <f t="shared" si="7"/>
        <v>1985484093.3055999</v>
      </c>
      <c r="H58" s="124">
        <f t="shared" si="7"/>
        <v>2177710730.7700481</v>
      </c>
      <c r="I58" s="124">
        <f t="shared" si="7"/>
        <v>2333910290.2316527</v>
      </c>
      <c r="J58" s="124">
        <f t="shared" si="7"/>
        <v>2517157684.5501847</v>
      </c>
      <c r="K58" s="124">
        <f t="shared" si="7"/>
        <v>2671251927.5242</v>
      </c>
      <c r="L58" s="124">
        <f>SUM(L8,L15,L22,L29,L36,L43)+L50+L52+L54+L56</f>
        <v>2869128272.7571359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0CB-F31B-4DC8-AE6F-FF3C3D7DD968}">
  <sheetPr>
    <tabColor rgb="FF002060"/>
  </sheetPr>
  <dimension ref="A1:L128"/>
  <sheetViews>
    <sheetView showGridLines="0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2" sqref="D12"/>
    </sheetView>
  </sheetViews>
  <sheetFormatPr defaultRowHeight="13" x14ac:dyDescent="0.3"/>
  <cols>
    <col min="1" max="1" width="40" style="1" customWidth="1"/>
    <col min="2" max="3" width="10" style="1" customWidth="1"/>
    <col min="4" max="12" width="14.54296875" style="59" customWidth="1"/>
    <col min="13" max="16384" width="8.7265625" style="59"/>
  </cols>
  <sheetData>
    <row r="1" spans="1:12" s="160" customFormat="1" ht="14.5" x14ac:dyDescent="0.35">
      <c r="A1" s="159" t="s">
        <v>42</v>
      </c>
    </row>
    <row r="2" spans="1:12" s="186" customFormat="1" ht="14" customHeight="1" x14ac:dyDescent="0.3">
      <c r="A2" s="185" t="s">
        <v>19</v>
      </c>
      <c r="B2" s="185"/>
      <c r="D2" s="188">
        <v>1</v>
      </c>
      <c r="E2" s="188">
        <f>D2+1</f>
        <v>2</v>
      </c>
      <c r="F2" s="188">
        <f t="shared" ref="F2:L2" si="0">E2+1</f>
        <v>3</v>
      </c>
      <c r="G2" s="188">
        <f t="shared" si="0"/>
        <v>4</v>
      </c>
      <c r="H2" s="188">
        <f t="shared" si="0"/>
        <v>5</v>
      </c>
      <c r="I2" s="188">
        <f t="shared" si="0"/>
        <v>6</v>
      </c>
      <c r="J2" s="188">
        <f t="shared" si="0"/>
        <v>7</v>
      </c>
      <c r="K2" s="188">
        <f t="shared" si="0"/>
        <v>8</v>
      </c>
      <c r="L2" s="188">
        <f t="shared" si="0"/>
        <v>9</v>
      </c>
    </row>
    <row r="3" spans="1:12" s="110" customFormat="1" ht="14" customHeight="1" x14ac:dyDescent="0.35"/>
    <row r="4" spans="1:12" s="60" customFormat="1" x14ac:dyDescent="0.3">
      <c r="A4" s="60" t="s">
        <v>15</v>
      </c>
      <c r="B4" s="60" t="s">
        <v>163</v>
      </c>
    </row>
    <row r="5" spans="1:12" s="1" customFormat="1" x14ac:dyDescent="0.3"/>
    <row r="6" spans="1:12" s="60" customFormat="1" x14ac:dyDescent="0.3">
      <c r="A6" s="149" t="s">
        <v>19</v>
      </c>
      <c r="B6" s="149"/>
      <c r="C6" s="149"/>
    </row>
    <row r="7" spans="1:12" s="191" customFormat="1" x14ac:dyDescent="0.3"/>
    <row r="8" spans="1:12" s="191" customFormat="1" x14ac:dyDescent="0.3">
      <c r="A8" s="191" t="s">
        <v>269</v>
      </c>
    </row>
    <row r="9" spans="1:12" s="129" customFormat="1" x14ac:dyDescent="0.3">
      <c r="A9" s="221" t="s">
        <v>239</v>
      </c>
      <c r="B9" s="191"/>
      <c r="C9" s="191"/>
      <c r="D9" s="129">
        <f>SUM(D38,D88,D116)</f>
        <v>720000000</v>
      </c>
      <c r="E9" s="129">
        <f t="shared" ref="E9:L9" si="1">SUM(E38,E88,E116)</f>
        <v>766200000.00000012</v>
      </c>
      <c r="F9" s="129">
        <f t="shared" si="1"/>
        <v>833520000.00000024</v>
      </c>
      <c r="G9" s="129">
        <f t="shared" si="1"/>
        <v>907572000.00000024</v>
      </c>
      <c r="H9" s="129">
        <f t="shared" si="1"/>
        <v>989029200.00000036</v>
      </c>
      <c r="I9" s="129">
        <f t="shared" si="1"/>
        <v>1078632120.0000005</v>
      </c>
      <c r="J9" s="129">
        <f t="shared" si="1"/>
        <v>1177195332.0000007</v>
      </c>
      <c r="K9" s="129">
        <f t="shared" si="1"/>
        <v>1285614865.2000008</v>
      </c>
      <c r="L9" s="129">
        <f t="shared" si="1"/>
        <v>1404876351.720001</v>
      </c>
    </row>
    <row r="10" spans="1:12" s="129" customFormat="1" x14ac:dyDescent="0.3">
      <c r="A10" s="221" t="s">
        <v>190</v>
      </c>
      <c r="B10" s="191"/>
      <c r="C10" s="191"/>
      <c r="D10" s="129">
        <f>D39</f>
        <v>156000000</v>
      </c>
      <c r="E10" s="129">
        <f t="shared" ref="E10:L10" si="2">E39</f>
        <v>170400000</v>
      </c>
      <c r="F10" s="129">
        <f t="shared" si="2"/>
        <v>186240000</v>
      </c>
      <c r="G10" s="129">
        <f t="shared" si="2"/>
        <v>203664000</v>
      </c>
      <c r="H10" s="129">
        <f t="shared" si="2"/>
        <v>222830400.00000006</v>
      </c>
      <c r="I10" s="129">
        <f t="shared" si="2"/>
        <v>243913440.00000009</v>
      </c>
      <c r="J10" s="129">
        <f t="shared" si="2"/>
        <v>267104784.00000009</v>
      </c>
      <c r="K10" s="129">
        <f t="shared" si="2"/>
        <v>292615262.4000001</v>
      </c>
      <c r="L10" s="129">
        <f t="shared" si="2"/>
        <v>320676788.64000022</v>
      </c>
    </row>
    <row r="11" spans="1:12" s="129" customFormat="1" x14ac:dyDescent="0.3">
      <c r="A11" s="221" t="s">
        <v>246</v>
      </c>
      <c r="B11" s="191"/>
      <c r="C11" s="191"/>
      <c r="D11" s="129">
        <f t="shared" ref="D11:L11" si="3">SUM(D42,D58,D89)</f>
        <v>7500000</v>
      </c>
      <c r="E11" s="129">
        <f t="shared" si="3"/>
        <v>8250000</v>
      </c>
      <c r="F11" s="129">
        <f t="shared" si="3"/>
        <v>9075000.0000000019</v>
      </c>
      <c r="G11" s="129">
        <f t="shared" si="3"/>
        <v>9982500.0000000037</v>
      </c>
      <c r="H11" s="129">
        <f t="shared" si="3"/>
        <v>10980750.000000004</v>
      </c>
      <c r="I11" s="129">
        <f t="shared" si="3"/>
        <v>12078825.000000006</v>
      </c>
      <c r="J11" s="129">
        <f t="shared" si="3"/>
        <v>13286707.500000007</v>
      </c>
      <c r="K11" s="129">
        <f t="shared" si="3"/>
        <v>14615378.250000011</v>
      </c>
      <c r="L11" s="129">
        <f t="shared" si="3"/>
        <v>16076916.075000012</v>
      </c>
    </row>
    <row r="12" spans="1:12" s="129" customFormat="1" x14ac:dyDescent="0.3">
      <c r="A12" s="221" t="s">
        <v>265</v>
      </c>
      <c r="B12" s="191"/>
      <c r="C12" s="191"/>
      <c r="D12" s="129">
        <f t="shared" ref="D12:L12" si="4">SUM(D43,D59,D90)</f>
        <v>112500000</v>
      </c>
      <c r="E12" s="129">
        <f t="shared" si="4"/>
        <v>112950000</v>
      </c>
      <c r="F12" s="129">
        <f t="shared" si="4"/>
        <v>113445000</v>
      </c>
      <c r="G12" s="129">
        <f t="shared" si="4"/>
        <v>113989500</v>
      </c>
      <c r="H12" s="129">
        <f t="shared" si="4"/>
        <v>114588450</v>
      </c>
      <c r="I12" s="129">
        <f t="shared" si="4"/>
        <v>115247295</v>
      </c>
      <c r="J12" s="129">
        <f t="shared" si="4"/>
        <v>115972024.5</v>
      </c>
      <c r="K12" s="129">
        <f t="shared" si="4"/>
        <v>116769226.95000002</v>
      </c>
      <c r="L12" s="129">
        <f t="shared" si="4"/>
        <v>117646149.64500001</v>
      </c>
    </row>
    <row r="13" spans="1:12" s="129" customFormat="1" x14ac:dyDescent="0.3">
      <c r="A13" s="221" t="s">
        <v>232</v>
      </c>
      <c r="B13" s="191"/>
      <c r="C13" s="191"/>
      <c r="D13" s="129">
        <f t="shared" ref="D13:L13" si="5">SUM(D44,D60,D91,D119)</f>
        <v>24000000</v>
      </c>
      <c r="E13" s="129">
        <f t="shared" si="5"/>
        <v>24240000</v>
      </c>
      <c r="F13" s="129">
        <f t="shared" si="5"/>
        <v>24504000</v>
      </c>
      <c r="G13" s="129">
        <f t="shared" si="5"/>
        <v>24794400</v>
      </c>
      <c r="H13" s="129">
        <f t="shared" si="5"/>
        <v>25113840</v>
      </c>
      <c r="I13" s="129">
        <f t="shared" si="5"/>
        <v>25465224</v>
      </c>
      <c r="J13" s="129">
        <f t="shared" si="5"/>
        <v>25851746.400000002</v>
      </c>
      <c r="K13" s="129">
        <f t="shared" si="5"/>
        <v>26276921.040000003</v>
      </c>
      <c r="L13" s="129">
        <f t="shared" si="5"/>
        <v>26744613.144000005</v>
      </c>
    </row>
    <row r="14" spans="1:12" s="129" customFormat="1" x14ac:dyDescent="0.3">
      <c r="A14" s="221" t="s">
        <v>214</v>
      </c>
      <c r="B14" s="191"/>
      <c r="C14" s="191"/>
      <c r="D14" s="129">
        <f t="shared" ref="D14:L14" si="6">SUM(D72,D105)</f>
        <v>10080000</v>
      </c>
      <c r="E14" s="129">
        <f t="shared" si="6"/>
        <v>11088000.000000002</v>
      </c>
      <c r="F14" s="129">
        <f t="shared" si="6"/>
        <v>12196800.000000004</v>
      </c>
      <c r="G14" s="129">
        <f t="shared" si="6"/>
        <v>13416480.000000004</v>
      </c>
      <c r="H14" s="129">
        <f t="shared" si="6"/>
        <v>14758128.000000006</v>
      </c>
      <c r="I14" s="129">
        <f t="shared" si="6"/>
        <v>16233940.800000008</v>
      </c>
      <c r="J14" s="129">
        <f t="shared" si="6"/>
        <v>17857334.880000014</v>
      </c>
      <c r="K14" s="129">
        <f t="shared" si="6"/>
        <v>19643068.368000012</v>
      </c>
      <c r="L14" s="129">
        <f t="shared" si="6"/>
        <v>21607375.204800017</v>
      </c>
    </row>
    <row r="15" spans="1:12" s="129" customFormat="1" x14ac:dyDescent="0.3">
      <c r="A15" s="221" t="s">
        <v>215</v>
      </c>
      <c r="B15" s="191"/>
      <c r="C15" s="191"/>
      <c r="D15" s="129">
        <f t="shared" ref="D15:L15" si="7">D104</f>
        <v>1200000</v>
      </c>
      <c r="E15" s="129">
        <f t="shared" si="7"/>
        <v>1320000.0000000002</v>
      </c>
      <c r="F15" s="129">
        <f t="shared" si="7"/>
        <v>1452000.0000000005</v>
      </c>
      <c r="G15" s="129">
        <f t="shared" si="7"/>
        <v>1597200.0000000005</v>
      </c>
      <c r="H15" s="129">
        <f t="shared" si="7"/>
        <v>1756920.0000000007</v>
      </c>
      <c r="I15" s="129">
        <f t="shared" si="7"/>
        <v>1932612.0000000009</v>
      </c>
      <c r="J15" s="129">
        <f t="shared" si="7"/>
        <v>2125873.2000000016</v>
      </c>
      <c r="K15" s="129">
        <f t="shared" si="7"/>
        <v>2338460.5200000014</v>
      </c>
      <c r="L15" s="129">
        <f t="shared" si="7"/>
        <v>2572306.572000002</v>
      </c>
    </row>
    <row r="16" spans="1:12" s="129" customFormat="1" x14ac:dyDescent="0.3">
      <c r="A16" s="221" t="s">
        <v>266</v>
      </c>
      <c r="B16" s="191"/>
      <c r="C16" s="191"/>
      <c r="D16" s="129">
        <f t="shared" ref="D16:L16" si="8">SUM(D45,D61,D77,D93,D107,D120)</f>
        <v>4080000</v>
      </c>
      <c r="E16" s="129">
        <f t="shared" si="8"/>
        <v>4188000</v>
      </c>
      <c r="F16" s="129">
        <f t="shared" si="8"/>
        <v>4306800</v>
      </c>
      <c r="G16" s="129">
        <f t="shared" si="8"/>
        <v>4437480.0000000009</v>
      </c>
      <c r="H16" s="129">
        <f t="shared" si="8"/>
        <v>4581228.0000000009</v>
      </c>
      <c r="I16" s="129">
        <f t="shared" si="8"/>
        <v>4739350.8000000007</v>
      </c>
      <c r="J16" s="129">
        <f t="shared" si="8"/>
        <v>4913285.8800000018</v>
      </c>
      <c r="K16" s="129">
        <f t="shared" si="8"/>
        <v>5104614.4680000013</v>
      </c>
      <c r="L16" s="129">
        <f t="shared" si="8"/>
        <v>5315075.9148000013</v>
      </c>
    </row>
    <row r="17" spans="1:12" s="129" customFormat="1" x14ac:dyDescent="0.3">
      <c r="A17" s="221" t="s">
        <v>262</v>
      </c>
      <c r="B17" s="191"/>
      <c r="C17" s="191"/>
      <c r="D17" s="129">
        <f t="shared" ref="D17:L17" si="9">D75</f>
        <v>10000000</v>
      </c>
      <c r="E17" s="129">
        <f t="shared" si="9"/>
        <v>10100000</v>
      </c>
      <c r="F17" s="129">
        <f t="shared" si="9"/>
        <v>10210000</v>
      </c>
      <c r="G17" s="129">
        <f t="shared" si="9"/>
        <v>10331000</v>
      </c>
      <c r="H17" s="129">
        <f t="shared" si="9"/>
        <v>10464100</v>
      </c>
      <c r="I17" s="129">
        <f t="shared" si="9"/>
        <v>10610510</v>
      </c>
      <c r="J17" s="129">
        <f t="shared" si="9"/>
        <v>10771561</v>
      </c>
      <c r="K17" s="129">
        <f t="shared" si="9"/>
        <v>10948717.100000001</v>
      </c>
      <c r="L17" s="129">
        <f t="shared" si="9"/>
        <v>11143588.810000002</v>
      </c>
    </row>
    <row r="18" spans="1:12" s="129" customFormat="1" x14ac:dyDescent="0.3">
      <c r="A18" s="221" t="s">
        <v>268</v>
      </c>
      <c r="B18" s="191"/>
      <c r="C18" s="191"/>
      <c r="D18" s="129">
        <f t="shared" ref="D18:L18" si="10">SUM(D46,D62,D78,D94,D108,D121)</f>
        <v>2880000</v>
      </c>
      <c r="E18" s="129">
        <f t="shared" si="10"/>
        <v>2988000</v>
      </c>
      <c r="F18" s="129">
        <f t="shared" si="10"/>
        <v>3106800</v>
      </c>
      <c r="G18" s="129">
        <f t="shared" si="10"/>
        <v>3237480</v>
      </c>
      <c r="H18" s="129">
        <f t="shared" si="10"/>
        <v>3381228</v>
      </c>
      <c r="I18" s="129">
        <f t="shared" si="10"/>
        <v>3539350.8</v>
      </c>
      <c r="J18" s="129">
        <f t="shared" si="10"/>
        <v>3713285.88</v>
      </c>
      <c r="K18" s="129">
        <f t="shared" si="10"/>
        <v>3904614.4680000008</v>
      </c>
      <c r="L18" s="129">
        <f t="shared" si="10"/>
        <v>4115075.9148000004</v>
      </c>
    </row>
    <row r="19" spans="1:12" s="129" customFormat="1" x14ac:dyDescent="0.3">
      <c r="A19" s="221" t="s">
        <v>252</v>
      </c>
      <c r="B19" s="191"/>
      <c r="C19" s="191"/>
      <c r="D19" s="129">
        <f t="shared" ref="D19:L19" si="11">SUM(D48,D64,D96,D123)</f>
        <v>9000000</v>
      </c>
      <c r="E19" s="129">
        <f t="shared" si="11"/>
        <v>9600000</v>
      </c>
      <c r="F19" s="129">
        <f t="shared" si="11"/>
        <v>10260000.000000002</v>
      </c>
      <c r="G19" s="129">
        <f t="shared" si="11"/>
        <v>10986000.000000002</v>
      </c>
      <c r="H19" s="129">
        <f t="shared" si="11"/>
        <v>11784600.000000004</v>
      </c>
      <c r="I19" s="129">
        <f t="shared" si="11"/>
        <v>12663060.000000006</v>
      </c>
      <c r="J19" s="129">
        <f t="shared" si="11"/>
        <v>13629366.000000007</v>
      </c>
      <c r="K19" s="129">
        <f t="shared" si="11"/>
        <v>14692302.600000009</v>
      </c>
      <c r="L19" s="129">
        <f t="shared" si="11"/>
        <v>15861532.860000011</v>
      </c>
    </row>
    <row r="20" spans="1:12" s="221" customFormat="1" x14ac:dyDescent="0.3">
      <c r="A20" s="221" t="s">
        <v>256</v>
      </c>
      <c r="B20" s="191"/>
      <c r="C20" s="191"/>
      <c r="D20" s="223">
        <f t="shared" ref="D20:L20" si="12">SUM(D52,D68,D82,D100,D112,D127)</f>
        <v>360000</v>
      </c>
      <c r="E20" s="223">
        <f t="shared" si="12"/>
        <v>396000</v>
      </c>
      <c r="F20" s="223">
        <f t="shared" si="12"/>
        <v>435600.00000000006</v>
      </c>
      <c r="G20" s="223">
        <f t="shared" si="12"/>
        <v>479160.00000000012</v>
      </c>
      <c r="H20" s="223">
        <f t="shared" si="12"/>
        <v>527076.00000000012</v>
      </c>
      <c r="I20" s="223">
        <f t="shared" si="12"/>
        <v>579783.60000000033</v>
      </c>
      <c r="J20" s="223">
        <f t="shared" si="12"/>
        <v>637761.96000000031</v>
      </c>
      <c r="K20" s="223">
        <f t="shared" si="12"/>
        <v>701538.15600000042</v>
      </c>
      <c r="L20" s="223">
        <f t="shared" si="12"/>
        <v>771691.97160000063</v>
      </c>
    </row>
    <row r="21" spans="1:12" s="221" customFormat="1" x14ac:dyDescent="0.3">
      <c r="A21" s="221" t="s">
        <v>257</v>
      </c>
      <c r="B21" s="191"/>
      <c r="C21" s="191"/>
      <c r="D21" s="223">
        <f t="shared" ref="D21:L21" si="13">SUM(D53,D69,D83,D101,D113,D128)</f>
        <v>57600000</v>
      </c>
      <c r="E21" s="223">
        <f t="shared" si="13"/>
        <v>57960000</v>
      </c>
      <c r="F21" s="223">
        <f t="shared" si="13"/>
        <v>58356000</v>
      </c>
      <c r="G21" s="223">
        <f t="shared" si="13"/>
        <v>58791600</v>
      </c>
      <c r="H21" s="223">
        <f t="shared" si="13"/>
        <v>59270760</v>
      </c>
      <c r="I21" s="223">
        <f t="shared" si="13"/>
        <v>59797836</v>
      </c>
      <c r="J21" s="223">
        <f t="shared" si="13"/>
        <v>60377619.600000009</v>
      </c>
      <c r="K21" s="223">
        <f t="shared" si="13"/>
        <v>61015381.560000002</v>
      </c>
      <c r="L21" s="223">
        <f t="shared" si="13"/>
        <v>61716919.715999998</v>
      </c>
    </row>
    <row r="22" spans="1:12" s="226" customFormat="1" x14ac:dyDescent="0.3">
      <c r="A22" s="224" t="s">
        <v>270</v>
      </c>
      <c r="B22" s="224"/>
      <c r="C22" s="224"/>
      <c r="D22" s="225">
        <f>SUM(D9:D21)</f>
        <v>1115200000</v>
      </c>
      <c r="E22" s="225">
        <f t="shared" ref="E22:L22" si="14">SUM(E9:E21)</f>
        <v>1179680000</v>
      </c>
      <c r="F22" s="225">
        <f t="shared" si="14"/>
        <v>1267108000.0000002</v>
      </c>
      <c r="G22" s="225">
        <f t="shared" si="14"/>
        <v>1363278800.0000002</v>
      </c>
      <c r="H22" s="225">
        <f t="shared" si="14"/>
        <v>1469066680.0000005</v>
      </c>
      <c r="I22" s="225">
        <f t="shared" si="14"/>
        <v>1585433348.0000002</v>
      </c>
      <c r="J22" s="225">
        <f t="shared" si="14"/>
        <v>1713436682.8000011</v>
      </c>
      <c r="K22" s="225">
        <f t="shared" si="14"/>
        <v>1854240351.0800004</v>
      </c>
      <c r="L22" s="225">
        <f t="shared" si="14"/>
        <v>2009124386.1880012</v>
      </c>
    </row>
    <row r="23" spans="1:12" s="129" customFormat="1" x14ac:dyDescent="0.3">
      <c r="A23" s="221"/>
      <c r="B23" s="191"/>
      <c r="C23" s="191"/>
    </row>
    <row r="24" spans="1:12" s="129" customFormat="1" x14ac:dyDescent="0.3">
      <c r="A24" s="191" t="s">
        <v>49</v>
      </c>
      <c r="B24" s="191"/>
      <c r="C24" s="191"/>
    </row>
    <row r="25" spans="1:12" s="129" customFormat="1" x14ac:dyDescent="0.3">
      <c r="A25" s="221" t="s">
        <v>216</v>
      </c>
      <c r="B25" s="191"/>
      <c r="C25" s="191"/>
      <c r="D25" s="129">
        <f>SUM(D40,D56,D73,D86,D117)</f>
        <v>1400000</v>
      </c>
      <c r="E25" s="129">
        <f t="shared" ref="E25:L25" si="15">SUM(E40,E56,E73,E86,E117)</f>
        <v>0</v>
      </c>
      <c r="F25" s="129">
        <f t="shared" si="15"/>
        <v>0</v>
      </c>
      <c r="G25" s="129">
        <f t="shared" si="15"/>
        <v>0</v>
      </c>
      <c r="H25" s="129">
        <f t="shared" si="15"/>
        <v>0</v>
      </c>
      <c r="I25" s="129">
        <f t="shared" si="15"/>
        <v>0</v>
      </c>
      <c r="J25" s="129">
        <f t="shared" si="15"/>
        <v>0</v>
      </c>
      <c r="K25" s="129">
        <f t="shared" si="15"/>
        <v>0</v>
      </c>
      <c r="L25" s="129">
        <f t="shared" si="15"/>
        <v>0</v>
      </c>
    </row>
    <row r="26" spans="1:12" s="129" customFormat="1" x14ac:dyDescent="0.3">
      <c r="A26" s="221" t="s">
        <v>264</v>
      </c>
      <c r="B26" s="191"/>
      <c r="C26" s="191"/>
      <c r="D26" s="129">
        <f>SUM(D41,D57,D74,D87,D106,D118)</f>
        <v>3600000</v>
      </c>
      <c r="E26" s="129">
        <f t="shared" ref="E26:L26" si="16">SUM(E41,E57,E74,E87,E106,E118)</f>
        <v>3960000.0000000005</v>
      </c>
      <c r="F26" s="129">
        <f t="shared" si="16"/>
        <v>4356000.0000000009</v>
      </c>
      <c r="G26" s="129">
        <f t="shared" si="16"/>
        <v>4791600.0000000009</v>
      </c>
      <c r="H26" s="129">
        <f t="shared" si="16"/>
        <v>5270760.0000000019</v>
      </c>
      <c r="I26" s="129">
        <f t="shared" si="16"/>
        <v>5797836.0000000019</v>
      </c>
      <c r="J26" s="129">
        <f t="shared" si="16"/>
        <v>6377619.6000000043</v>
      </c>
      <c r="K26" s="129">
        <f t="shared" si="16"/>
        <v>7015381.5600000042</v>
      </c>
      <c r="L26" s="129">
        <f t="shared" si="16"/>
        <v>7716919.7160000065</v>
      </c>
    </row>
    <row r="27" spans="1:12" s="129" customFormat="1" x14ac:dyDescent="0.3">
      <c r="A27" s="221" t="s">
        <v>267</v>
      </c>
      <c r="B27" s="191"/>
      <c r="C27" s="191"/>
      <c r="D27" s="129">
        <f>D76+D92</f>
        <v>35400000</v>
      </c>
      <c r="E27" s="129">
        <f t="shared" ref="E27:L27" si="17">E76+E92</f>
        <v>35940000</v>
      </c>
      <c r="F27" s="129">
        <f t="shared" si="17"/>
        <v>36534000</v>
      </c>
      <c r="G27" s="129">
        <f t="shared" si="17"/>
        <v>37187400</v>
      </c>
      <c r="H27" s="129">
        <f t="shared" si="17"/>
        <v>37906140</v>
      </c>
      <c r="I27" s="129">
        <f t="shared" si="17"/>
        <v>38696754</v>
      </c>
      <c r="J27" s="129">
        <f t="shared" si="17"/>
        <v>39566429.400000006</v>
      </c>
      <c r="K27" s="129">
        <f t="shared" si="17"/>
        <v>40523072.340000004</v>
      </c>
      <c r="L27" s="129">
        <f t="shared" si="17"/>
        <v>41575379.574000008</v>
      </c>
    </row>
    <row r="28" spans="1:12" s="129" customFormat="1" x14ac:dyDescent="0.3">
      <c r="A28" s="221" t="s">
        <v>247</v>
      </c>
      <c r="B28" s="191"/>
      <c r="C28" s="191"/>
      <c r="D28" s="129">
        <f>SUM(D47,D63,D79,D95,D109,D122)</f>
        <v>3796000</v>
      </c>
      <c r="E28" s="129">
        <f t="shared" ref="E28:L28" si="18">SUM(E47,E63,E79,E95,E109,E122)</f>
        <v>3925600</v>
      </c>
      <c r="F28" s="129">
        <f t="shared" si="18"/>
        <v>4068160</v>
      </c>
      <c r="G28" s="129">
        <f t="shared" si="18"/>
        <v>4224976</v>
      </c>
      <c r="H28" s="129">
        <f t="shared" si="18"/>
        <v>4397473.6000000006</v>
      </c>
      <c r="I28" s="129">
        <f t="shared" si="18"/>
        <v>4587220.9600000009</v>
      </c>
      <c r="J28" s="129">
        <f t="shared" si="18"/>
        <v>4795943.0560000008</v>
      </c>
      <c r="K28" s="129">
        <f t="shared" si="18"/>
        <v>5025537.3616000013</v>
      </c>
      <c r="L28" s="129">
        <f t="shared" si="18"/>
        <v>5278091.0977600012</v>
      </c>
    </row>
    <row r="29" spans="1:12" s="221" customFormat="1" x14ac:dyDescent="0.3">
      <c r="A29" s="221" t="s">
        <v>253</v>
      </c>
      <c r="B29" s="191"/>
      <c r="C29" s="191"/>
      <c r="D29" s="223">
        <f>SUM(D49,D65,D97,D124)</f>
        <v>9600000</v>
      </c>
      <c r="E29" s="223">
        <f t="shared" ref="E29:L29" si="19">SUM(E49,E65,E97,E124)</f>
        <v>10560000.000000002</v>
      </c>
      <c r="F29" s="223">
        <f t="shared" si="19"/>
        <v>11616000.000000004</v>
      </c>
      <c r="G29" s="223">
        <f t="shared" si="19"/>
        <v>12777600.000000004</v>
      </c>
      <c r="H29" s="223">
        <f t="shared" si="19"/>
        <v>14055360.000000006</v>
      </c>
      <c r="I29" s="223">
        <f t="shared" si="19"/>
        <v>15460896.000000007</v>
      </c>
      <c r="J29" s="223">
        <f t="shared" si="19"/>
        <v>17006985.600000013</v>
      </c>
      <c r="K29" s="223">
        <f t="shared" si="19"/>
        <v>18707684.160000011</v>
      </c>
      <c r="L29" s="223">
        <f t="shared" si="19"/>
        <v>20578452.576000016</v>
      </c>
    </row>
    <row r="30" spans="1:12" s="221" customFormat="1" x14ac:dyDescent="0.3">
      <c r="A30" s="221" t="s">
        <v>254</v>
      </c>
      <c r="B30" s="191"/>
      <c r="C30" s="191"/>
      <c r="D30" s="223">
        <f>SUM(D50,D66,D80,D98,D110,D125)</f>
        <v>55800000</v>
      </c>
      <c r="E30" s="223">
        <f t="shared" ref="E30:L30" si="20">SUM(E50,E66,E80,E98,E110,E125)</f>
        <v>55980000</v>
      </c>
      <c r="F30" s="223">
        <f t="shared" si="20"/>
        <v>56178000</v>
      </c>
      <c r="G30" s="223">
        <f t="shared" si="20"/>
        <v>56395800</v>
      </c>
      <c r="H30" s="223">
        <f t="shared" si="20"/>
        <v>56635380</v>
      </c>
      <c r="I30" s="223">
        <f t="shared" si="20"/>
        <v>56898918</v>
      </c>
      <c r="J30" s="223">
        <f t="shared" si="20"/>
        <v>57188809.799999997</v>
      </c>
      <c r="K30" s="223">
        <f t="shared" si="20"/>
        <v>57507690.780000009</v>
      </c>
      <c r="L30" s="223">
        <f t="shared" si="20"/>
        <v>57858459.858000003</v>
      </c>
    </row>
    <row r="31" spans="1:12" s="221" customFormat="1" x14ac:dyDescent="0.3">
      <c r="A31" s="221" t="s">
        <v>255</v>
      </c>
      <c r="B31" s="191"/>
      <c r="C31" s="191"/>
      <c r="D31" s="223">
        <f>SUM(D51,D67,D81,D99,D111,D126)</f>
        <v>4300000</v>
      </c>
      <c r="E31" s="223">
        <f t="shared" ref="E31:L31" si="21">SUM(E51,E67,E81,E99,E111,E126)</f>
        <v>4480000</v>
      </c>
      <c r="F31" s="223">
        <f t="shared" si="21"/>
        <v>4678000.0000000009</v>
      </c>
      <c r="G31" s="223">
        <f t="shared" si="21"/>
        <v>4895800.0000000009</v>
      </c>
      <c r="H31" s="223">
        <f t="shared" si="21"/>
        <v>5135380.0000000009</v>
      </c>
      <c r="I31" s="223">
        <f t="shared" si="21"/>
        <v>5398918.0000000009</v>
      </c>
      <c r="J31" s="223">
        <f t="shared" si="21"/>
        <v>5688809.8000000026</v>
      </c>
      <c r="K31" s="223">
        <f t="shared" si="21"/>
        <v>6007690.7800000031</v>
      </c>
      <c r="L31" s="223">
        <f t="shared" si="21"/>
        <v>6358459.8580000028</v>
      </c>
    </row>
    <row r="32" spans="1:12" s="147" customFormat="1" x14ac:dyDescent="0.3">
      <c r="A32" s="227" t="s">
        <v>271</v>
      </c>
      <c r="B32" s="227"/>
      <c r="C32" s="227"/>
      <c r="D32" s="228">
        <f>SUM(D25:D31)</f>
        <v>113896000</v>
      </c>
      <c r="E32" s="228">
        <f t="shared" ref="E32:L32" si="22">SUM(E25:E31)</f>
        <v>114845600</v>
      </c>
      <c r="F32" s="228">
        <f t="shared" si="22"/>
        <v>117430160</v>
      </c>
      <c r="G32" s="228">
        <f t="shared" si="22"/>
        <v>120273176</v>
      </c>
      <c r="H32" s="228">
        <f t="shared" si="22"/>
        <v>123400493.60000001</v>
      </c>
      <c r="I32" s="228">
        <f t="shared" si="22"/>
        <v>126840542.96000001</v>
      </c>
      <c r="J32" s="228">
        <f t="shared" si="22"/>
        <v>130624597.25600001</v>
      </c>
      <c r="K32" s="228">
        <f t="shared" si="22"/>
        <v>134787056.98160002</v>
      </c>
      <c r="L32" s="228">
        <f t="shared" si="22"/>
        <v>139365762.67976004</v>
      </c>
    </row>
    <row r="34" spans="1:12" s="221" customFormat="1" x14ac:dyDescent="0.3">
      <c r="A34" s="191"/>
      <c r="B34" s="191"/>
      <c r="C34" s="191"/>
    </row>
    <row r="35" spans="1:12" s="221" customFormat="1" x14ac:dyDescent="0.3">
      <c r="A35" s="121" t="s">
        <v>263</v>
      </c>
      <c r="B35" s="121"/>
      <c r="C35" s="121"/>
    </row>
    <row r="36" spans="1:12" s="221" customFormat="1" x14ac:dyDescent="0.3">
      <c r="A36" s="191"/>
      <c r="B36" s="191"/>
      <c r="C36" s="191"/>
    </row>
    <row r="37" spans="1:12" s="191" customFormat="1" x14ac:dyDescent="0.3">
      <c r="A37" s="191" t="str">
        <f>Assumptions!A102</f>
        <v>Hospital 1 - Clearmedi</v>
      </c>
    </row>
    <row r="38" spans="1:12" s="129" customFormat="1" x14ac:dyDescent="0.3">
      <c r="A38" s="221" t="str">
        <f>Assumptions!A103</f>
        <v>Operational expense</v>
      </c>
      <c r="B38" s="221" t="s">
        <v>165</v>
      </c>
      <c r="C38" s="191"/>
      <c r="D38" s="129">
        <f>Assumptions!D106*Assumptions!D107+Assumptions!D109</f>
        <v>66000000</v>
      </c>
      <c r="E38" s="129">
        <f>Assumptions!E106*Assumptions!E107+Assumptions!E109</f>
        <v>69600000</v>
      </c>
      <c r="F38" s="129">
        <f>Assumptions!F106*Assumptions!F107+Assumptions!F109</f>
        <v>73560000</v>
      </c>
      <c r="G38" s="129">
        <f>Assumptions!G106*Assumptions!G107+Assumptions!G109</f>
        <v>77916000</v>
      </c>
      <c r="H38" s="129">
        <f>Assumptions!H106*Assumptions!H107+Assumptions!H109</f>
        <v>82707600.000000015</v>
      </c>
      <c r="I38" s="129">
        <f>Assumptions!I106*Assumptions!I107+Assumptions!I109</f>
        <v>87978360.00000003</v>
      </c>
      <c r="J38" s="129">
        <f>Assumptions!J106*Assumptions!J107+Assumptions!J109</f>
        <v>93776196.00000003</v>
      </c>
      <c r="K38" s="129">
        <f>Assumptions!K106*Assumptions!K107+Assumptions!K109</f>
        <v>100153815.60000002</v>
      </c>
      <c r="L38" s="129">
        <f>Assumptions!L106*Assumptions!L107+Assumptions!L109</f>
        <v>107169197.16000006</v>
      </c>
    </row>
    <row r="39" spans="1:12" s="129" customFormat="1" x14ac:dyDescent="0.3">
      <c r="A39" s="221" t="str">
        <f>Assumptions!A110</f>
        <v xml:space="preserve">Pharmacy </v>
      </c>
      <c r="B39" s="221" t="s">
        <v>165</v>
      </c>
      <c r="C39" s="191"/>
      <c r="D39" s="129">
        <f>Assumptions!D113*Assumptions!D114+Assumptions!D116</f>
        <v>156000000</v>
      </c>
      <c r="E39" s="129">
        <f>Assumptions!E113*Assumptions!E114+Assumptions!E116</f>
        <v>170400000</v>
      </c>
      <c r="F39" s="129">
        <f>Assumptions!F113*Assumptions!F114+Assumptions!F116</f>
        <v>186240000</v>
      </c>
      <c r="G39" s="129">
        <f>Assumptions!G113*Assumptions!G114+Assumptions!G116</f>
        <v>203664000</v>
      </c>
      <c r="H39" s="129">
        <f>Assumptions!H113*Assumptions!H114+Assumptions!H116</f>
        <v>222830400.00000006</v>
      </c>
      <c r="I39" s="129">
        <f>Assumptions!I113*Assumptions!I114+Assumptions!I116</f>
        <v>243913440.00000009</v>
      </c>
      <c r="J39" s="129">
        <f>Assumptions!J113*Assumptions!J114+Assumptions!J116</f>
        <v>267104784.00000009</v>
      </c>
      <c r="K39" s="129">
        <f>Assumptions!K113*Assumptions!K114+Assumptions!K116</f>
        <v>292615262.4000001</v>
      </c>
      <c r="L39" s="129">
        <f>Assumptions!L113*Assumptions!L114+Assumptions!L116</f>
        <v>320676788.64000022</v>
      </c>
    </row>
    <row r="40" spans="1:12" s="129" customFormat="1" x14ac:dyDescent="0.3">
      <c r="A40" s="221" t="str">
        <f>Assumptions!A117</f>
        <v>Branding</v>
      </c>
      <c r="B40" s="221" t="s">
        <v>165</v>
      </c>
      <c r="C40" s="191"/>
      <c r="D40" s="129">
        <f>Assumptions!D118+Assumptions!D123</f>
        <v>200000</v>
      </c>
      <c r="E40" s="129">
        <f>Assumptions!E118+Assumptions!E123</f>
        <v>0</v>
      </c>
      <c r="F40" s="129">
        <f>Assumptions!F118+Assumptions!F123</f>
        <v>0</v>
      </c>
      <c r="G40" s="129">
        <f>Assumptions!G118+Assumptions!G123</f>
        <v>0</v>
      </c>
      <c r="H40" s="129">
        <f>Assumptions!H118+Assumptions!H123</f>
        <v>0</v>
      </c>
      <c r="I40" s="129">
        <f>Assumptions!I118+Assumptions!I123</f>
        <v>0</v>
      </c>
      <c r="J40" s="129">
        <f>Assumptions!J118+Assumptions!J123</f>
        <v>0</v>
      </c>
      <c r="K40" s="129">
        <f>Assumptions!K118+Assumptions!K123</f>
        <v>0</v>
      </c>
      <c r="L40" s="129">
        <f>Assumptions!L118+Assumptions!L123</f>
        <v>0</v>
      </c>
    </row>
    <row r="41" spans="1:12" s="129" customFormat="1" x14ac:dyDescent="0.3">
      <c r="A41" s="221" t="str">
        <f>Assumptions!A124</f>
        <v xml:space="preserve">Account Head </v>
      </c>
      <c r="B41" s="221" t="s">
        <v>165</v>
      </c>
      <c r="C41" s="191"/>
      <c r="D41" s="129">
        <f>Assumptions!D127*Assumptions!D128</f>
        <v>600000</v>
      </c>
      <c r="E41" s="129">
        <f>Assumptions!E127*Assumptions!E128</f>
        <v>660000.00000000012</v>
      </c>
      <c r="F41" s="129">
        <f>Assumptions!F127*Assumptions!F128</f>
        <v>726000.00000000023</v>
      </c>
      <c r="G41" s="129">
        <f>Assumptions!G127*Assumptions!G128</f>
        <v>798600.00000000023</v>
      </c>
      <c r="H41" s="129">
        <f>Assumptions!H127*Assumptions!H128</f>
        <v>878460.00000000035</v>
      </c>
      <c r="I41" s="129">
        <f>Assumptions!I127*Assumptions!I128</f>
        <v>966306.00000000047</v>
      </c>
      <c r="J41" s="129">
        <f>Assumptions!J127*Assumptions!J128</f>
        <v>1062936.6000000008</v>
      </c>
      <c r="K41" s="129">
        <f>Assumptions!K127*Assumptions!K128</f>
        <v>1169230.2600000007</v>
      </c>
      <c r="L41" s="129">
        <f>Assumptions!L127*Assumptions!L128</f>
        <v>1286153.286000001</v>
      </c>
    </row>
    <row r="42" spans="1:12" s="129" customFormat="1" x14ac:dyDescent="0.3">
      <c r="A42" s="221" t="str">
        <f>Assumptions!A131</f>
        <v>Linac AMC</v>
      </c>
      <c r="B42" s="221" t="s">
        <v>165</v>
      </c>
      <c r="C42" s="191"/>
      <c r="D42" s="129">
        <f>Assumptions!D134*Assumptions!D135</f>
        <v>2500000</v>
      </c>
      <c r="E42" s="129">
        <f>Assumptions!E134*Assumptions!E135</f>
        <v>2750000</v>
      </c>
      <c r="F42" s="129">
        <f>Assumptions!F134*Assumptions!F135</f>
        <v>3025000.0000000005</v>
      </c>
      <c r="G42" s="129">
        <f>Assumptions!G134*Assumptions!G135</f>
        <v>3327500.0000000009</v>
      </c>
      <c r="H42" s="129">
        <f>Assumptions!H134*Assumptions!H135</f>
        <v>3660250.0000000014</v>
      </c>
      <c r="I42" s="129">
        <f>Assumptions!I134*Assumptions!I135</f>
        <v>4026275.0000000019</v>
      </c>
      <c r="J42" s="129">
        <f>Assumptions!J134*Assumptions!J135</f>
        <v>4428902.5000000028</v>
      </c>
      <c r="K42" s="129">
        <f>Assumptions!K134*Assumptions!K135</f>
        <v>4871792.7500000037</v>
      </c>
      <c r="L42" s="129">
        <f>Assumptions!L134*Assumptions!L135</f>
        <v>5358972.0250000041</v>
      </c>
    </row>
    <row r="43" spans="1:12" s="129" customFormat="1" x14ac:dyDescent="0.3">
      <c r="A43" s="221" t="str">
        <f>Assumptions!A138</f>
        <v xml:space="preserve">MRI AMC </v>
      </c>
      <c r="B43" s="221" t="s">
        <v>165</v>
      </c>
      <c r="C43" s="191"/>
      <c r="D43" s="129">
        <f>Assumptions!D141*Assumptions!D142+Assumptions!D144</f>
        <v>37500000</v>
      </c>
      <c r="E43" s="129">
        <f>Assumptions!E141*Assumptions!E142+Assumptions!E144</f>
        <v>37650000</v>
      </c>
      <c r="F43" s="129">
        <f>Assumptions!F141*Assumptions!F142+Assumptions!F144</f>
        <v>37815000</v>
      </c>
      <c r="G43" s="129">
        <f>Assumptions!G141*Assumptions!G142+Assumptions!G144</f>
        <v>37996500</v>
      </c>
      <c r="H43" s="129">
        <f>Assumptions!H141*Assumptions!H142+Assumptions!H144</f>
        <v>38196150</v>
      </c>
      <c r="I43" s="129">
        <f>Assumptions!I141*Assumptions!I142+Assumptions!I144</f>
        <v>38415765</v>
      </c>
      <c r="J43" s="129">
        <f>Assumptions!J141*Assumptions!J142+Assumptions!J144</f>
        <v>38657341.5</v>
      </c>
      <c r="K43" s="129">
        <f>Assumptions!K141*Assumptions!K142+Assumptions!K144</f>
        <v>38923075.650000006</v>
      </c>
      <c r="L43" s="129">
        <f>Assumptions!L141*Assumptions!L142+Assumptions!L144</f>
        <v>39215383.215000004</v>
      </c>
    </row>
    <row r="44" spans="1:12" s="129" customFormat="1" x14ac:dyDescent="0.3">
      <c r="A44" s="221" t="str">
        <f>Assumptions!A145</f>
        <v>AMC Automation</v>
      </c>
      <c r="B44" s="221" t="s">
        <v>165</v>
      </c>
      <c r="C44" s="191"/>
      <c r="D44" s="129">
        <f>Assumptions!D148*Assumptions!D149+Assumptions!D151</f>
        <v>6000000</v>
      </c>
      <c r="E44" s="129">
        <f>Assumptions!E148*Assumptions!E149+Assumptions!E151</f>
        <v>6060000</v>
      </c>
      <c r="F44" s="129">
        <f>Assumptions!F148*Assumptions!F149+Assumptions!F151</f>
        <v>6126000</v>
      </c>
      <c r="G44" s="129">
        <f>Assumptions!G148*Assumptions!G149+Assumptions!G151</f>
        <v>6198600</v>
      </c>
      <c r="H44" s="129">
        <f>Assumptions!H148*Assumptions!H149+Assumptions!H151</f>
        <v>6278460</v>
      </c>
      <c r="I44" s="129">
        <f>Assumptions!I148*Assumptions!I149+Assumptions!I151</f>
        <v>6366306</v>
      </c>
      <c r="J44" s="129">
        <f>Assumptions!J148*Assumptions!J149+Assumptions!J151</f>
        <v>6462936.6000000006</v>
      </c>
      <c r="K44" s="129">
        <f>Assumptions!K148*Assumptions!K149+Assumptions!K151</f>
        <v>6569230.2600000007</v>
      </c>
      <c r="L44" s="129">
        <f>Assumptions!L148*Assumptions!L149+Assumptions!L151</f>
        <v>6686153.2860000012</v>
      </c>
    </row>
    <row r="45" spans="1:12" s="129" customFormat="1" x14ac:dyDescent="0.3">
      <c r="A45" s="221" t="str">
        <f>Assumptions!A152</f>
        <v xml:space="preserve">IOT device with EMR </v>
      </c>
      <c r="B45" s="221" t="s">
        <v>165</v>
      </c>
      <c r="C45" s="191"/>
      <c r="D45" s="129">
        <f>Assumptions!D155*Assumptions!D156+Assumptions!D158</f>
        <v>780000</v>
      </c>
      <c r="E45" s="129">
        <f>Assumptions!E155*Assumptions!E156+Assumptions!E158</f>
        <v>798000</v>
      </c>
      <c r="F45" s="129">
        <f>Assumptions!F155*Assumptions!F156+Assumptions!F158</f>
        <v>817800</v>
      </c>
      <c r="G45" s="129">
        <f>Assumptions!G155*Assumptions!G156+Assumptions!G158</f>
        <v>839580.00000000012</v>
      </c>
      <c r="H45" s="129">
        <f>Assumptions!H155*Assumptions!H156+Assumptions!H158</f>
        <v>863538.00000000012</v>
      </c>
      <c r="I45" s="129">
        <f>Assumptions!I155*Assumptions!I156+Assumptions!I158</f>
        <v>889891.80000000016</v>
      </c>
      <c r="J45" s="129">
        <f>Assumptions!J155*Assumptions!J156+Assumptions!J158</f>
        <v>918880.98000000021</v>
      </c>
      <c r="K45" s="129">
        <f>Assumptions!K155*Assumptions!K156+Assumptions!K158</f>
        <v>950769.07800000021</v>
      </c>
      <c r="L45" s="129">
        <f>Assumptions!L155*Assumptions!L156+Assumptions!L158</f>
        <v>985845.98580000026</v>
      </c>
    </row>
    <row r="46" spans="1:12" s="129" customFormat="1" x14ac:dyDescent="0.3">
      <c r="A46" s="221" t="str">
        <f>Assumptions!A159</f>
        <v xml:space="preserve">POC device reagents </v>
      </c>
      <c r="B46" s="221" t="s">
        <v>165</v>
      </c>
      <c r="C46" s="191"/>
      <c r="D46" s="129">
        <f>Assumptions!D162*Assumptions!D163+Assumptions!D165</f>
        <v>480000</v>
      </c>
      <c r="E46" s="129">
        <f>Assumptions!E162*Assumptions!E163+Assumptions!E165</f>
        <v>498000</v>
      </c>
      <c r="F46" s="129">
        <f>Assumptions!F162*Assumptions!F163+Assumptions!F165</f>
        <v>517800</v>
      </c>
      <c r="G46" s="129">
        <f>Assumptions!G162*Assumptions!G163+Assumptions!G165</f>
        <v>539580</v>
      </c>
      <c r="H46" s="129">
        <f>Assumptions!H162*Assumptions!H163+Assumptions!H165</f>
        <v>563538</v>
      </c>
      <c r="I46" s="129">
        <f>Assumptions!I162*Assumptions!I163+Assumptions!I165</f>
        <v>589891.80000000005</v>
      </c>
      <c r="J46" s="129">
        <f>Assumptions!J162*Assumptions!J163+Assumptions!J165</f>
        <v>618880.98</v>
      </c>
      <c r="K46" s="129">
        <f>Assumptions!K162*Assumptions!K163+Assumptions!K165</f>
        <v>650769.0780000001</v>
      </c>
      <c r="L46" s="129">
        <f>Assumptions!L162*Assumptions!L163+Assumptions!L165</f>
        <v>685845.98580000014</v>
      </c>
    </row>
    <row r="47" spans="1:12" s="129" customFormat="1" x14ac:dyDescent="0.3">
      <c r="A47" s="221" t="str">
        <f>Assumptions!A166</f>
        <v>Dedicated call centre</v>
      </c>
      <c r="B47" s="221" t="s">
        <v>165</v>
      </c>
      <c r="C47" s="191"/>
      <c r="D47" s="129">
        <f>Assumptions!D169*Assumptions!D170+Assumptions!D172</f>
        <v>716000</v>
      </c>
      <c r="E47" s="129">
        <f>Assumptions!E169*Assumptions!E170+Assumptions!E172</f>
        <v>737600</v>
      </c>
      <c r="F47" s="129">
        <f>Assumptions!F169*Assumptions!F170+Assumptions!F172</f>
        <v>761360</v>
      </c>
      <c r="G47" s="129">
        <f>Assumptions!G169*Assumptions!G170+Assumptions!G172</f>
        <v>787496</v>
      </c>
      <c r="H47" s="129">
        <f>Assumptions!H169*Assumptions!H170+Assumptions!H172</f>
        <v>816245.60000000009</v>
      </c>
      <c r="I47" s="129">
        <f>Assumptions!I169*Assumptions!I170+Assumptions!I172</f>
        <v>847870.16000000015</v>
      </c>
      <c r="J47" s="129">
        <f>Assumptions!J169*Assumptions!J170+Assumptions!J172</f>
        <v>882657.17600000021</v>
      </c>
      <c r="K47" s="129">
        <f>Assumptions!K169*Assumptions!K170+Assumptions!K172</f>
        <v>920922.8936000003</v>
      </c>
      <c r="L47" s="129">
        <f>Assumptions!L169*Assumptions!L170+Assumptions!L172</f>
        <v>963015.18296000035</v>
      </c>
    </row>
    <row r="48" spans="1:12" s="129" customFormat="1" x14ac:dyDescent="0.3">
      <c r="A48" s="221" t="str">
        <f>Assumptions!A173</f>
        <v>Ultrasound AMC</v>
      </c>
      <c r="B48" s="221" t="s">
        <v>165</v>
      </c>
      <c r="C48" s="191"/>
      <c r="D48" s="129">
        <f>Assumptions!D176*Assumptions!D177+Assumptions!D179</f>
        <v>3000000</v>
      </c>
      <c r="E48" s="129">
        <f>Assumptions!E176*Assumptions!E177+Assumptions!E179</f>
        <v>3150000</v>
      </c>
      <c r="F48" s="129">
        <f>Assumptions!F176*Assumptions!F177+Assumptions!F179</f>
        <v>3315000.0000000005</v>
      </c>
      <c r="G48" s="129">
        <f>Assumptions!G176*Assumptions!G177+Assumptions!G179</f>
        <v>3496500.0000000009</v>
      </c>
      <c r="H48" s="129">
        <f>Assumptions!H176*Assumptions!H177+Assumptions!H179</f>
        <v>3696150.0000000009</v>
      </c>
      <c r="I48" s="129">
        <f>Assumptions!I176*Assumptions!I177+Assumptions!I179</f>
        <v>3915765.0000000014</v>
      </c>
      <c r="J48" s="129">
        <f>Assumptions!J176*Assumptions!J177+Assumptions!J179</f>
        <v>4157341.5000000019</v>
      </c>
      <c r="K48" s="129">
        <f>Assumptions!K176*Assumptions!K177+Assumptions!K179</f>
        <v>4423075.6500000022</v>
      </c>
      <c r="L48" s="129">
        <f>Assumptions!L176*Assumptions!L177+Assumptions!L179</f>
        <v>4715383.2150000026</v>
      </c>
    </row>
    <row r="49" spans="1:12" s="129" customFormat="1" x14ac:dyDescent="0.3">
      <c r="A49" s="221" t="str">
        <f>Assumptions!A180</f>
        <v>Pharmacist</v>
      </c>
      <c r="B49" s="221" t="s">
        <v>165</v>
      </c>
      <c r="C49" s="191"/>
      <c r="D49" s="129">
        <f>Assumptions!D183*Assumptions!D184</f>
        <v>2400000</v>
      </c>
      <c r="E49" s="129">
        <f>Assumptions!E183*Assumptions!E184</f>
        <v>2640000.0000000005</v>
      </c>
      <c r="F49" s="129">
        <f>Assumptions!F183*Assumptions!F184</f>
        <v>2904000.0000000009</v>
      </c>
      <c r="G49" s="129">
        <f>Assumptions!G183*Assumptions!G184</f>
        <v>3194400.0000000009</v>
      </c>
      <c r="H49" s="129">
        <f>Assumptions!H183*Assumptions!H184</f>
        <v>3513840.0000000014</v>
      </c>
      <c r="I49" s="129">
        <f>Assumptions!I183*Assumptions!I184</f>
        <v>3865224.0000000019</v>
      </c>
      <c r="J49" s="129">
        <f>Assumptions!J183*Assumptions!J184</f>
        <v>4251746.4000000032</v>
      </c>
      <c r="K49" s="129">
        <f>Assumptions!K183*Assumptions!K184</f>
        <v>4676921.0400000028</v>
      </c>
      <c r="L49" s="129">
        <f>Assumptions!L183*Assumptions!L184</f>
        <v>5144613.144000004</v>
      </c>
    </row>
    <row r="50" spans="1:12" s="129" customFormat="1" x14ac:dyDescent="0.3">
      <c r="A50" s="221" t="str">
        <f>Assumptions!A187</f>
        <v>Digital marketing &amp; promotion</v>
      </c>
      <c r="B50" s="221" t="s">
        <v>165</v>
      </c>
      <c r="C50" s="191"/>
      <c r="D50" s="129">
        <f>Assumptions!D190*Assumptions!D191+Assumptions!D193</f>
        <v>11100000</v>
      </c>
      <c r="E50" s="129">
        <f>Assumptions!E190*Assumptions!E191+Assumptions!E193</f>
        <v>11130000</v>
      </c>
      <c r="F50" s="129">
        <f>Assumptions!F190*Assumptions!F191+Assumptions!F193</f>
        <v>11163000</v>
      </c>
      <c r="G50" s="129">
        <f>Assumptions!G190*Assumptions!G191+Assumptions!G193</f>
        <v>11199300</v>
      </c>
      <c r="H50" s="129">
        <f>Assumptions!H190*Assumptions!H191+Assumptions!H193</f>
        <v>11239230</v>
      </c>
      <c r="I50" s="129">
        <f>Assumptions!I190*Assumptions!I191+Assumptions!I193</f>
        <v>11283153</v>
      </c>
      <c r="J50" s="129">
        <f>Assumptions!J190*Assumptions!J191+Assumptions!J193</f>
        <v>11331468.300000001</v>
      </c>
      <c r="K50" s="129">
        <f>Assumptions!K190*Assumptions!K191+Assumptions!K193</f>
        <v>11384615.130000001</v>
      </c>
      <c r="L50" s="129">
        <f>Assumptions!L190*Assumptions!L191+Assumptions!L193</f>
        <v>11443076.643000001</v>
      </c>
    </row>
    <row r="51" spans="1:12" s="129" customFormat="1" x14ac:dyDescent="0.3">
      <c r="A51" s="221" t="str">
        <f>Assumptions!A194</f>
        <v>Press release</v>
      </c>
      <c r="B51" s="221" t="s">
        <v>165</v>
      </c>
      <c r="C51" s="191"/>
      <c r="D51" s="129">
        <f>Assumptions!D197*Assumptions!D198+Assumptions!D200</f>
        <v>800000</v>
      </c>
      <c r="E51" s="129">
        <f>Assumptions!E197*Assumptions!E198+Assumptions!E200</f>
        <v>830000</v>
      </c>
      <c r="F51" s="129">
        <f>Assumptions!F197*Assumptions!F198+Assumptions!F200</f>
        <v>863000.00000000012</v>
      </c>
      <c r="G51" s="129">
        <f>Assumptions!G197*Assumptions!G198+Assumptions!G200</f>
        <v>899300.00000000012</v>
      </c>
      <c r="H51" s="129">
        <f>Assumptions!H197*Assumptions!H198+Assumptions!H200</f>
        <v>939230.00000000023</v>
      </c>
      <c r="I51" s="129">
        <f>Assumptions!I197*Assumptions!I198+Assumptions!I200</f>
        <v>983153.00000000023</v>
      </c>
      <c r="J51" s="129">
        <f>Assumptions!J197*Assumptions!J198+Assumptions!J200</f>
        <v>1031468.3000000004</v>
      </c>
      <c r="K51" s="129">
        <f>Assumptions!K197*Assumptions!K198+Assumptions!K200</f>
        <v>1084615.1300000004</v>
      </c>
      <c r="L51" s="129">
        <f>Assumptions!L197*Assumptions!L198+Assumptions!L200</f>
        <v>1143076.6430000006</v>
      </c>
    </row>
    <row r="52" spans="1:12" s="129" customFormat="1" x14ac:dyDescent="0.3">
      <c r="A52" s="221" t="str">
        <f>Assumptions!A201</f>
        <v>Patient smart app</v>
      </c>
      <c r="B52" s="221" t="s">
        <v>165</v>
      </c>
      <c r="C52" s="191"/>
      <c r="D52" s="129">
        <f>Assumptions!D204*Assumptions!D205</f>
        <v>60000</v>
      </c>
      <c r="E52" s="129">
        <f>Assumptions!E204*Assumptions!E205</f>
        <v>66000</v>
      </c>
      <c r="F52" s="129">
        <f>Assumptions!F204*Assumptions!F205</f>
        <v>72600.000000000015</v>
      </c>
      <c r="G52" s="129">
        <f>Assumptions!G204*Assumptions!G205</f>
        <v>79860.000000000029</v>
      </c>
      <c r="H52" s="129">
        <f>Assumptions!H204*Assumptions!H205</f>
        <v>87846.000000000029</v>
      </c>
      <c r="I52" s="129">
        <f>Assumptions!I204*Assumptions!I205</f>
        <v>96630.600000000049</v>
      </c>
      <c r="J52" s="129">
        <f>Assumptions!J204*Assumptions!J205</f>
        <v>106293.66000000006</v>
      </c>
      <c r="K52" s="129">
        <f>Assumptions!K204*Assumptions!K205</f>
        <v>116923.02600000007</v>
      </c>
      <c r="L52" s="129">
        <f>Assumptions!L204*Assumptions!L205</f>
        <v>128615.3286000001</v>
      </c>
    </row>
    <row r="53" spans="1:12" s="129" customFormat="1" x14ac:dyDescent="0.3">
      <c r="A53" s="221" t="str">
        <f>Assumptions!A208</f>
        <v>Server</v>
      </c>
      <c r="B53" s="221" t="s">
        <v>165</v>
      </c>
      <c r="C53" s="191"/>
      <c r="D53" s="129">
        <f>Assumptions!D211*Assumptions!D212+Assumptions!D214</f>
        <v>11400000</v>
      </c>
      <c r="E53" s="129">
        <f>Assumptions!E211*Assumptions!E212+Assumptions!E214</f>
        <v>11460000</v>
      </c>
      <c r="F53" s="129">
        <f>Assumptions!F211*Assumptions!F212+Assumptions!F214</f>
        <v>11526000</v>
      </c>
      <c r="G53" s="129">
        <f>Assumptions!G211*Assumptions!G212+Assumptions!G214</f>
        <v>11598600</v>
      </c>
      <c r="H53" s="129">
        <f>Assumptions!H211*Assumptions!H212+Assumptions!H214</f>
        <v>11678460</v>
      </c>
      <c r="I53" s="129">
        <f>Assumptions!I211*Assumptions!I212+Assumptions!I214</f>
        <v>11766306</v>
      </c>
      <c r="J53" s="129">
        <f>Assumptions!J211*Assumptions!J212+Assumptions!J214</f>
        <v>11862936.600000001</v>
      </c>
      <c r="K53" s="129">
        <f>Assumptions!K211*Assumptions!K212+Assumptions!K214</f>
        <v>11969230.260000002</v>
      </c>
      <c r="L53" s="129">
        <f>Assumptions!L211*Assumptions!L212+Assumptions!L214</f>
        <v>12086153.286</v>
      </c>
    </row>
    <row r="54" spans="1:12" s="129" customFormat="1" x14ac:dyDescent="0.3">
      <c r="A54" s="191"/>
      <c r="B54" s="191"/>
      <c r="C54" s="191"/>
    </row>
    <row r="55" spans="1:12" s="129" customFormat="1" x14ac:dyDescent="0.3">
      <c r="A55" s="191" t="str">
        <f>Assumptions!A216</f>
        <v>Hospital 2 - Girik</v>
      </c>
      <c r="B55" s="191"/>
      <c r="C55" s="191"/>
    </row>
    <row r="56" spans="1:12" x14ac:dyDescent="0.3">
      <c r="A56" s="1" t="str">
        <f>Assumptions!A217</f>
        <v>Branding</v>
      </c>
      <c r="B56" s="221" t="s">
        <v>165</v>
      </c>
      <c r="D56" s="129">
        <f>Assumptions!D218+Assumptions!D223</f>
        <v>200000</v>
      </c>
      <c r="E56" s="129">
        <f>Assumptions!E218+Assumptions!E223</f>
        <v>0</v>
      </c>
      <c r="F56" s="129">
        <f>Assumptions!F218+Assumptions!F223</f>
        <v>0</v>
      </c>
      <c r="G56" s="129">
        <f>Assumptions!G218+Assumptions!G223</f>
        <v>0</v>
      </c>
      <c r="H56" s="129">
        <f>Assumptions!H218+Assumptions!H223</f>
        <v>0</v>
      </c>
      <c r="I56" s="129">
        <f>Assumptions!I218+Assumptions!I223</f>
        <v>0</v>
      </c>
      <c r="J56" s="129">
        <f>Assumptions!J218+Assumptions!J223</f>
        <v>0</v>
      </c>
      <c r="K56" s="129">
        <f>Assumptions!K218+Assumptions!K223</f>
        <v>0</v>
      </c>
      <c r="L56" s="129">
        <f>Assumptions!L218+Assumptions!L223</f>
        <v>0</v>
      </c>
    </row>
    <row r="57" spans="1:12" x14ac:dyDescent="0.3">
      <c r="A57" s="1" t="str">
        <f>Assumptions!A224</f>
        <v xml:space="preserve">Account Head </v>
      </c>
      <c r="B57" s="221" t="s">
        <v>165</v>
      </c>
      <c r="D57" s="129">
        <f>Assumptions!D227*Assumptions!D228</f>
        <v>600000</v>
      </c>
      <c r="E57" s="129">
        <f>Assumptions!E227*Assumptions!E228</f>
        <v>660000.00000000012</v>
      </c>
      <c r="F57" s="129">
        <f>Assumptions!F227*Assumptions!F228</f>
        <v>726000.00000000023</v>
      </c>
      <c r="G57" s="129">
        <f>Assumptions!G227*Assumptions!G228</f>
        <v>798600.00000000023</v>
      </c>
      <c r="H57" s="129">
        <f>Assumptions!H227*Assumptions!H228</f>
        <v>878460.00000000035</v>
      </c>
      <c r="I57" s="129">
        <f>Assumptions!I227*Assumptions!I228</f>
        <v>966306.00000000047</v>
      </c>
      <c r="J57" s="129">
        <f>Assumptions!J227*Assumptions!J228</f>
        <v>1062936.6000000008</v>
      </c>
      <c r="K57" s="129">
        <f>Assumptions!K227*Assumptions!K228</f>
        <v>1169230.2600000007</v>
      </c>
      <c r="L57" s="129">
        <f>Assumptions!L227*Assumptions!L228</f>
        <v>1286153.286000001</v>
      </c>
    </row>
    <row r="58" spans="1:12" x14ac:dyDescent="0.3">
      <c r="A58" s="1" t="str">
        <f>Assumptions!A231</f>
        <v>Linac AMC</v>
      </c>
      <c r="B58" s="221" t="s">
        <v>165</v>
      </c>
      <c r="D58" s="129">
        <f>Assumptions!D234*Assumptions!D235</f>
        <v>2500000</v>
      </c>
      <c r="E58" s="129">
        <f>Assumptions!E234*Assumptions!E235</f>
        <v>2750000</v>
      </c>
      <c r="F58" s="129">
        <f>Assumptions!F234*Assumptions!F235</f>
        <v>3025000.0000000005</v>
      </c>
      <c r="G58" s="129">
        <f>Assumptions!G234*Assumptions!G235</f>
        <v>3327500.0000000009</v>
      </c>
      <c r="H58" s="129">
        <f>Assumptions!H234*Assumptions!H235</f>
        <v>3660250.0000000014</v>
      </c>
      <c r="I58" s="129">
        <f>Assumptions!I234*Assumptions!I235</f>
        <v>4026275.0000000019</v>
      </c>
      <c r="J58" s="129">
        <f>Assumptions!J234*Assumptions!J235</f>
        <v>4428902.5000000028</v>
      </c>
      <c r="K58" s="129">
        <f>Assumptions!K234*Assumptions!K235</f>
        <v>4871792.7500000037</v>
      </c>
      <c r="L58" s="129">
        <f>Assumptions!L234*Assumptions!L235</f>
        <v>5358972.0250000041</v>
      </c>
    </row>
    <row r="59" spans="1:12" x14ac:dyDescent="0.3">
      <c r="A59" s="1" t="str">
        <f>Assumptions!A238</f>
        <v xml:space="preserve">MRI AMC </v>
      </c>
      <c r="B59" s="221" t="s">
        <v>165</v>
      </c>
      <c r="D59" s="129">
        <f>Assumptions!D241*Assumptions!D242+Assumptions!D244</f>
        <v>37500000</v>
      </c>
      <c r="E59" s="129">
        <f>Assumptions!E241*Assumptions!E242+Assumptions!E244</f>
        <v>37650000</v>
      </c>
      <c r="F59" s="129">
        <f>Assumptions!F241*Assumptions!F242+Assumptions!F244</f>
        <v>37815000</v>
      </c>
      <c r="G59" s="129">
        <f>Assumptions!G241*Assumptions!G242+Assumptions!G244</f>
        <v>37996500</v>
      </c>
      <c r="H59" s="129">
        <f>Assumptions!H241*Assumptions!H242+Assumptions!H244</f>
        <v>38196150</v>
      </c>
      <c r="I59" s="129">
        <f>Assumptions!I241*Assumptions!I242+Assumptions!I244</f>
        <v>38415765</v>
      </c>
      <c r="J59" s="129">
        <f>Assumptions!J241*Assumptions!J242+Assumptions!J244</f>
        <v>38657341.5</v>
      </c>
      <c r="K59" s="129">
        <f>Assumptions!K241*Assumptions!K242+Assumptions!K244</f>
        <v>38923075.650000006</v>
      </c>
      <c r="L59" s="129">
        <f>Assumptions!L241*Assumptions!L242+Assumptions!L244</f>
        <v>39215383.215000004</v>
      </c>
    </row>
    <row r="60" spans="1:12" x14ac:dyDescent="0.3">
      <c r="A60" s="1" t="str">
        <f>Assumptions!A245</f>
        <v>AMC Automation</v>
      </c>
      <c r="B60" s="221" t="s">
        <v>165</v>
      </c>
      <c r="D60" s="129">
        <f>Assumptions!D248*Assumptions!D249+Assumptions!D251</f>
        <v>6000000</v>
      </c>
      <c r="E60" s="129">
        <f>Assumptions!E248*Assumptions!E249+Assumptions!E251</f>
        <v>6060000</v>
      </c>
      <c r="F60" s="129">
        <f>Assumptions!F248*Assumptions!F249+Assumptions!F251</f>
        <v>6126000</v>
      </c>
      <c r="G60" s="129">
        <f>Assumptions!G248*Assumptions!G249+Assumptions!G251</f>
        <v>6198600</v>
      </c>
      <c r="H60" s="129">
        <f>Assumptions!H248*Assumptions!H249+Assumptions!H251</f>
        <v>6278460</v>
      </c>
      <c r="I60" s="129">
        <f>Assumptions!I248*Assumptions!I249+Assumptions!I251</f>
        <v>6366306</v>
      </c>
      <c r="J60" s="129">
        <f>Assumptions!J248*Assumptions!J249+Assumptions!J251</f>
        <v>6462936.6000000006</v>
      </c>
      <c r="K60" s="129">
        <f>Assumptions!K248*Assumptions!K249+Assumptions!K251</f>
        <v>6569230.2600000007</v>
      </c>
      <c r="L60" s="129">
        <f>Assumptions!L248*Assumptions!L249+Assumptions!L251</f>
        <v>6686153.2860000012</v>
      </c>
    </row>
    <row r="61" spans="1:12" x14ac:dyDescent="0.3">
      <c r="A61" s="1" t="str">
        <f>Assumptions!A252</f>
        <v xml:space="preserve">IOT device with EMR </v>
      </c>
      <c r="B61" s="221" t="s">
        <v>165</v>
      </c>
      <c r="D61" s="129">
        <f>Assumptions!D255*Assumptions!D256+Assumptions!D258</f>
        <v>780000</v>
      </c>
      <c r="E61" s="129">
        <f>Assumptions!E255*Assumptions!E256+Assumptions!E258</f>
        <v>798000</v>
      </c>
      <c r="F61" s="129">
        <f>Assumptions!F255*Assumptions!F256+Assumptions!F258</f>
        <v>817800</v>
      </c>
      <c r="G61" s="129">
        <f>Assumptions!G255*Assumptions!G256+Assumptions!G258</f>
        <v>839580.00000000012</v>
      </c>
      <c r="H61" s="129">
        <f>Assumptions!H255*Assumptions!H256+Assumptions!H258</f>
        <v>863538.00000000012</v>
      </c>
      <c r="I61" s="129">
        <f>Assumptions!I255*Assumptions!I256+Assumptions!I258</f>
        <v>889891.80000000016</v>
      </c>
      <c r="J61" s="129">
        <f>Assumptions!J255*Assumptions!J256+Assumptions!J258</f>
        <v>918880.98000000021</v>
      </c>
      <c r="K61" s="129">
        <f>Assumptions!K255*Assumptions!K256+Assumptions!K258</f>
        <v>950769.07800000021</v>
      </c>
      <c r="L61" s="129">
        <f>Assumptions!L255*Assumptions!L256+Assumptions!L258</f>
        <v>985845.98580000026</v>
      </c>
    </row>
    <row r="62" spans="1:12" x14ac:dyDescent="0.3">
      <c r="A62" s="1" t="str">
        <f>Assumptions!A259</f>
        <v xml:space="preserve">POC device reagents </v>
      </c>
      <c r="B62" s="221" t="s">
        <v>165</v>
      </c>
      <c r="D62" s="129">
        <f>Assumptions!D262*Assumptions!D263+Assumptions!D265</f>
        <v>480000</v>
      </c>
      <c r="E62" s="129">
        <f>Assumptions!E262*Assumptions!E263+Assumptions!E265</f>
        <v>498000</v>
      </c>
      <c r="F62" s="129">
        <f>Assumptions!F262*Assumptions!F263+Assumptions!F265</f>
        <v>517800</v>
      </c>
      <c r="G62" s="129">
        <f>Assumptions!G262*Assumptions!G263+Assumptions!G265</f>
        <v>539580</v>
      </c>
      <c r="H62" s="129">
        <f>Assumptions!H262*Assumptions!H263+Assumptions!H265</f>
        <v>563538</v>
      </c>
      <c r="I62" s="129">
        <f>Assumptions!I262*Assumptions!I263+Assumptions!I265</f>
        <v>589891.80000000005</v>
      </c>
      <c r="J62" s="129">
        <f>Assumptions!J262*Assumptions!J263+Assumptions!J265</f>
        <v>618880.98</v>
      </c>
      <c r="K62" s="129">
        <f>Assumptions!K262*Assumptions!K263+Assumptions!K265</f>
        <v>650769.0780000001</v>
      </c>
      <c r="L62" s="129">
        <f>Assumptions!L262*Assumptions!L263+Assumptions!L265</f>
        <v>685845.98580000014</v>
      </c>
    </row>
    <row r="63" spans="1:12" x14ac:dyDescent="0.3">
      <c r="A63" s="1" t="str">
        <f>Assumptions!A266</f>
        <v>Dedicated call centre</v>
      </c>
      <c r="B63" s="221" t="s">
        <v>165</v>
      </c>
      <c r="D63" s="129">
        <f>Assumptions!D269*Assumptions!D270+Assumptions!D272</f>
        <v>716000</v>
      </c>
      <c r="E63" s="129">
        <f>Assumptions!E269*Assumptions!E270+Assumptions!E272</f>
        <v>737600</v>
      </c>
      <c r="F63" s="129">
        <f>Assumptions!F269*Assumptions!F270+Assumptions!F272</f>
        <v>761360</v>
      </c>
      <c r="G63" s="129">
        <f>Assumptions!G269*Assumptions!G270+Assumptions!G272</f>
        <v>787496</v>
      </c>
      <c r="H63" s="129">
        <f>Assumptions!H269*Assumptions!H270+Assumptions!H272</f>
        <v>816245.60000000009</v>
      </c>
      <c r="I63" s="129">
        <f>Assumptions!I269*Assumptions!I270+Assumptions!I272</f>
        <v>847870.16000000015</v>
      </c>
      <c r="J63" s="129">
        <f>Assumptions!J269*Assumptions!J270+Assumptions!J272</f>
        <v>882657.17600000021</v>
      </c>
      <c r="K63" s="129">
        <f>Assumptions!K269*Assumptions!K270+Assumptions!K272</f>
        <v>920922.8936000003</v>
      </c>
      <c r="L63" s="129">
        <f>Assumptions!L269*Assumptions!L270+Assumptions!L272</f>
        <v>963015.18296000035</v>
      </c>
    </row>
    <row r="64" spans="1:12" x14ac:dyDescent="0.3">
      <c r="A64" s="1" t="str">
        <f>Assumptions!A273</f>
        <v>Ultrasound AMC</v>
      </c>
      <c r="B64" s="221" t="s">
        <v>165</v>
      </c>
      <c r="D64" s="129">
        <f>Assumptions!D276*Assumptions!D277+Assumptions!D279</f>
        <v>3000000</v>
      </c>
      <c r="E64" s="129">
        <f>Assumptions!E276*Assumptions!E277+Assumptions!E279</f>
        <v>3150000</v>
      </c>
      <c r="F64" s="129">
        <f>Assumptions!F276*Assumptions!F277+Assumptions!F279</f>
        <v>3315000.0000000005</v>
      </c>
      <c r="G64" s="129">
        <f>Assumptions!G276*Assumptions!G277+Assumptions!G279</f>
        <v>3496500.0000000009</v>
      </c>
      <c r="H64" s="129">
        <f>Assumptions!H276*Assumptions!H277+Assumptions!H279</f>
        <v>3696150.0000000009</v>
      </c>
      <c r="I64" s="129">
        <f>Assumptions!I276*Assumptions!I277+Assumptions!I279</f>
        <v>3915765.0000000014</v>
      </c>
      <c r="J64" s="129">
        <f>Assumptions!J276*Assumptions!J277+Assumptions!J279</f>
        <v>4157341.5000000019</v>
      </c>
      <c r="K64" s="129">
        <f>Assumptions!K276*Assumptions!K277+Assumptions!K279</f>
        <v>4423075.6500000022</v>
      </c>
      <c r="L64" s="129">
        <f>Assumptions!L276*Assumptions!L277+Assumptions!L279</f>
        <v>4715383.2150000026</v>
      </c>
    </row>
    <row r="65" spans="1:12" x14ac:dyDescent="0.3">
      <c r="A65" s="1" t="str">
        <f>Assumptions!A280</f>
        <v>Pharmacist</v>
      </c>
      <c r="B65" s="221" t="s">
        <v>165</v>
      </c>
      <c r="D65" s="129">
        <f>Assumptions!D283*Assumptions!D284</f>
        <v>2400000</v>
      </c>
      <c r="E65" s="129">
        <f>Assumptions!E283*Assumptions!E284</f>
        <v>2640000.0000000005</v>
      </c>
      <c r="F65" s="129">
        <f>Assumptions!F283*Assumptions!F284</f>
        <v>2904000.0000000009</v>
      </c>
      <c r="G65" s="129">
        <f>Assumptions!G283*Assumptions!G284</f>
        <v>3194400.0000000009</v>
      </c>
      <c r="H65" s="129">
        <f>Assumptions!H283*Assumptions!H284</f>
        <v>3513840.0000000014</v>
      </c>
      <c r="I65" s="129">
        <f>Assumptions!I283*Assumptions!I284</f>
        <v>3865224.0000000019</v>
      </c>
      <c r="J65" s="129">
        <f>Assumptions!J283*Assumptions!J284</f>
        <v>4251746.4000000032</v>
      </c>
      <c r="K65" s="129">
        <f>Assumptions!K283*Assumptions!K284</f>
        <v>4676921.0400000028</v>
      </c>
      <c r="L65" s="129">
        <f>Assumptions!L283*Assumptions!L284</f>
        <v>5144613.144000004</v>
      </c>
    </row>
    <row r="66" spans="1:12" x14ac:dyDescent="0.3">
      <c r="A66" s="1" t="str">
        <f>Assumptions!A287</f>
        <v>Digital marketing &amp; promotion</v>
      </c>
      <c r="B66" s="221" t="s">
        <v>165</v>
      </c>
      <c r="D66" s="129">
        <f>Assumptions!D290*Assumptions!D291+Assumptions!D293</f>
        <v>11100000</v>
      </c>
      <c r="E66" s="129">
        <f>Assumptions!E290*Assumptions!E291+Assumptions!E293</f>
        <v>11130000</v>
      </c>
      <c r="F66" s="129">
        <f>Assumptions!F290*Assumptions!F291+Assumptions!F293</f>
        <v>11163000</v>
      </c>
      <c r="G66" s="129">
        <f>Assumptions!G290*Assumptions!G291+Assumptions!G293</f>
        <v>11199300</v>
      </c>
      <c r="H66" s="129">
        <f>Assumptions!H290*Assumptions!H291+Assumptions!H293</f>
        <v>11239230</v>
      </c>
      <c r="I66" s="129">
        <f>Assumptions!I290*Assumptions!I291+Assumptions!I293</f>
        <v>11283153</v>
      </c>
      <c r="J66" s="129">
        <f>Assumptions!J290*Assumptions!J291+Assumptions!J293</f>
        <v>11331468.300000001</v>
      </c>
      <c r="K66" s="129">
        <f>Assumptions!K290*Assumptions!K291+Assumptions!K293</f>
        <v>11384615.130000001</v>
      </c>
      <c r="L66" s="129">
        <f>Assumptions!L290*Assumptions!L291+Assumptions!L293</f>
        <v>11443076.643000001</v>
      </c>
    </row>
    <row r="67" spans="1:12" x14ac:dyDescent="0.3">
      <c r="A67" s="1" t="str">
        <f>Assumptions!A294</f>
        <v>Press release</v>
      </c>
      <c r="B67" s="221" t="s">
        <v>165</v>
      </c>
      <c r="D67" s="129">
        <f>Assumptions!D297*Assumptions!D298+Assumptions!D300</f>
        <v>800000</v>
      </c>
      <c r="E67" s="129">
        <f>Assumptions!E297*Assumptions!E298+Assumptions!E300</f>
        <v>830000</v>
      </c>
      <c r="F67" s="129">
        <f>Assumptions!F297*Assumptions!F298+Assumptions!F300</f>
        <v>863000.00000000012</v>
      </c>
      <c r="G67" s="129">
        <f>Assumptions!G297*Assumptions!G298+Assumptions!G300</f>
        <v>899300.00000000012</v>
      </c>
      <c r="H67" s="129">
        <f>Assumptions!H297*Assumptions!H298+Assumptions!H300</f>
        <v>939230.00000000023</v>
      </c>
      <c r="I67" s="129">
        <f>Assumptions!I297*Assumptions!I298+Assumptions!I300</f>
        <v>983153.00000000023</v>
      </c>
      <c r="J67" s="129">
        <f>Assumptions!J297*Assumptions!J298+Assumptions!J300</f>
        <v>1031468.3000000004</v>
      </c>
      <c r="K67" s="129">
        <f>Assumptions!K297*Assumptions!K298+Assumptions!K300</f>
        <v>1084615.1300000004</v>
      </c>
      <c r="L67" s="129">
        <f>Assumptions!L297*Assumptions!L298+Assumptions!L300</f>
        <v>1143076.6430000006</v>
      </c>
    </row>
    <row r="68" spans="1:12" x14ac:dyDescent="0.3">
      <c r="A68" s="1" t="str">
        <f>Assumptions!A301</f>
        <v>Patient smart app</v>
      </c>
      <c r="B68" s="221" t="s">
        <v>165</v>
      </c>
      <c r="D68" s="129">
        <f>Assumptions!D304*Assumptions!D305</f>
        <v>60000</v>
      </c>
      <c r="E68" s="129">
        <f>Assumptions!E304*Assumptions!E305</f>
        <v>66000</v>
      </c>
      <c r="F68" s="129">
        <f>Assumptions!F304*Assumptions!F305</f>
        <v>72600.000000000015</v>
      </c>
      <c r="G68" s="129">
        <f>Assumptions!G304*Assumptions!G305</f>
        <v>79860.000000000029</v>
      </c>
      <c r="H68" s="129">
        <f>Assumptions!H304*Assumptions!H305</f>
        <v>87846.000000000029</v>
      </c>
      <c r="I68" s="129">
        <f>Assumptions!I304*Assumptions!I305</f>
        <v>96630.600000000049</v>
      </c>
      <c r="J68" s="129">
        <f>Assumptions!J304*Assumptions!J305</f>
        <v>106293.66000000006</v>
      </c>
      <c r="K68" s="129">
        <f>Assumptions!K304*Assumptions!K305</f>
        <v>116923.02600000007</v>
      </c>
      <c r="L68" s="129">
        <f>Assumptions!L304*Assumptions!L305</f>
        <v>128615.3286000001</v>
      </c>
    </row>
    <row r="69" spans="1:12" x14ac:dyDescent="0.3">
      <c r="A69" s="1" t="str">
        <f>Assumptions!A308</f>
        <v>Server</v>
      </c>
      <c r="B69" s="221" t="s">
        <v>165</v>
      </c>
      <c r="D69" s="129">
        <f>Assumptions!D311*Assumptions!D312+Assumptions!D314</f>
        <v>11400000</v>
      </c>
      <c r="E69" s="129">
        <f>Assumptions!E311*Assumptions!E312+Assumptions!E314</f>
        <v>11460000</v>
      </c>
      <c r="F69" s="129">
        <f>Assumptions!F311*Assumptions!F312+Assumptions!F314</f>
        <v>11526000</v>
      </c>
      <c r="G69" s="129">
        <f>Assumptions!G311*Assumptions!G312+Assumptions!G314</f>
        <v>11598600</v>
      </c>
      <c r="H69" s="129">
        <f>Assumptions!H311*Assumptions!H312+Assumptions!H314</f>
        <v>11678460</v>
      </c>
      <c r="I69" s="129">
        <f>Assumptions!I311*Assumptions!I312+Assumptions!I314</f>
        <v>11766306</v>
      </c>
      <c r="J69" s="129">
        <f>Assumptions!J311*Assumptions!J312+Assumptions!J314</f>
        <v>11862936.600000001</v>
      </c>
      <c r="K69" s="129">
        <f>Assumptions!K311*Assumptions!K312+Assumptions!K314</f>
        <v>11969230.260000002</v>
      </c>
      <c r="L69" s="129">
        <f>Assumptions!L311*Assumptions!L312+Assumptions!L314</f>
        <v>12086153.286</v>
      </c>
    </row>
    <row r="70" spans="1:12" x14ac:dyDescent="0.3">
      <c r="D70" s="129"/>
      <c r="E70" s="129"/>
      <c r="F70" s="129"/>
      <c r="G70" s="129"/>
      <c r="H70" s="129"/>
      <c r="I70" s="129"/>
      <c r="J70" s="129"/>
      <c r="K70" s="129"/>
      <c r="L70" s="129"/>
    </row>
    <row r="71" spans="1:12" x14ac:dyDescent="0.3">
      <c r="A71" s="60" t="str">
        <f>Assumptions!A316</f>
        <v>Hospital 3 - Mann</v>
      </c>
      <c r="D71" s="129"/>
      <c r="E71" s="129"/>
      <c r="F71" s="129"/>
      <c r="G71" s="129"/>
      <c r="H71" s="129"/>
      <c r="I71" s="129"/>
      <c r="J71" s="129"/>
      <c r="K71" s="129"/>
      <c r="L71" s="129"/>
    </row>
    <row r="72" spans="1:12" x14ac:dyDescent="0.3">
      <c r="A72" s="1" t="str">
        <f>Assumptions!A317</f>
        <v>PCC</v>
      </c>
      <c r="D72" s="129">
        <f>Assumptions!D320*Assumptions!D321</f>
        <v>480000</v>
      </c>
      <c r="E72" s="129">
        <f>Assumptions!E320*Assumptions!E321</f>
        <v>528000</v>
      </c>
      <c r="F72" s="129">
        <f>Assumptions!F320*Assumptions!F321</f>
        <v>580800.00000000012</v>
      </c>
      <c r="G72" s="129">
        <f>Assumptions!G320*Assumptions!G321</f>
        <v>638880.00000000023</v>
      </c>
      <c r="H72" s="129">
        <f>Assumptions!H320*Assumptions!H321</f>
        <v>702768.00000000023</v>
      </c>
      <c r="I72" s="129">
        <f>Assumptions!I320*Assumptions!I321</f>
        <v>773044.8000000004</v>
      </c>
      <c r="J72" s="129">
        <f>Assumptions!J320*Assumptions!J321</f>
        <v>850349.28000000049</v>
      </c>
      <c r="K72" s="129">
        <f>Assumptions!K320*Assumptions!K321</f>
        <v>935384.20800000057</v>
      </c>
      <c r="L72" s="129">
        <f>Assumptions!L320*Assumptions!L321</f>
        <v>1028922.6288000008</v>
      </c>
    </row>
    <row r="73" spans="1:12" x14ac:dyDescent="0.3">
      <c r="A73" s="1" t="str">
        <f>Assumptions!A324</f>
        <v>Branding</v>
      </c>
      <c r="D73" s="129">
        <f>Assumptions!D325+Assumptions!D330</f>
        <v>200000</v>
      </c>
      <c r="E73" s="129">
        <f>Assumptions!E325+Assumptions!E330</f>
        <v>0</v>
      </c>
      <c r="F73" s="129">
        <f>Assumptions!F325+Assumptions!F330</f>
        <v>0</v>
      </c>
      <c r="G73" s="129">
        <f>Assumptions!G325+Assumptions!G330</f>
        <v>0</v>
      </c>
      <c r="H73" s="129">
        <f>Assumptions!H325+Assumptions!H330</f>
        <v>0</v>
      </c>
      <c r="I73" s="129">
        <f>Assumptions!I325+Assumptions!I330</f>
        <v>0</v>
      </c>
      <c r="J73" s="129">
        <f>Assumptions!J325+Assumptions!J330</f>
        <v>0</v>
      </c>
      <c r="K73" s="129">
        <f>Assumptions!K325+Assumptions!K330</f>
        <v>0</v>
      </c>
      <c r="L73" s="129">
        <f>Assumptions!L325+Assumptions!L330</f>
        <v>0</v>
      </c>
    </row>
    <row r="74" spans="1:12" x14ac:dyDescent="0.3">
      <c r="A74" s="1" t="str">
        <f>Assumptions!A331</f>
        <v xml:space="preserve">Account Head </v>
      </c>
      <c r="D74" s="129">
        <f>Assumptions!D334*Assumptions!D335</f>
        <v>600000</v>
      </c>
      <c r="E74" s="129">
        <f>Assumptions!E334*Assumptions!E335</f>
        <v>660000.00000000012</v>
      </c>
      <c r="F74" s="129">
        <f>Assumptions!F334*Assumptions!F335</f>
        <v>726000.00000000023</v>
      </c>
      <c r="G74" s="129">
        <f>Assumptions!G334*Assumptions!G335</f>
        <v>798600.00000000023</v>
      </c>
      <c r="H74" s="129">
        <f>Assumptions!H334*Assumptions!H335</f>
        <v>878460.00000000035</v>
      </c>
      <c r="I74" s="129">
        <f>Assumptions!I334*Assumptions!I335</f>
        <v>966306.00000000047</v>
      </c>
      <c r="J74" s="129">
        <f>Assumptions!J334*Assumptions!J335</f>
        <v>1062936.6000000008</v>
      </c>
      <c r="K74" s="129">
        <f>Assumptions!K334*Assumptions!K335</f>
        <v>1169230.2600000007</v>
      </c>
      <c r="L74" s="129">
        <f>Assumptions!L334*Assumptions!L335</f>
        <v>1286153.286000001</v>
      </c>
    </row>
    <row r="75" spans="1:12" x14ac:dyDescent="0.3">
      <c r="A75" s="1" t="str">
        <f>Assumptions!A338</f>
        <v>CT AMC</v>
      </c>
      <c r="D75" s="129">
        <f>Assumptions!D341*Assumptions!D342+Assumptions!D344</f>
        <v>10000000</v>
      </c>
      <c r="E75" s="129">
        <f>Assumptions!E341*Assumptions!E342+Assumptions!E344</f>
        <v>10100000</v>
      </c>
      <c r="F75" s="129">
        <f>Assumptions!F341*Assumptions!F342+Assumptions!F344</f>
        <v>10210000</v>
      </c>
      <c r="G75" s="129">
        <f>Assumptions!G341*Assumptions!G342+Assumptions!G344</f>
        <v>10331000</v>
      </c>
      <c r="H75" s="129">
        <f>Assumptions!H341*Assumptions!H342+Assumptions!H344</f>
        <v>10464100</v>
      </c>
      <c r="I75" s="129">
        <f>Assumptions!I341*Assumptions!I342+Assumptions!I344</f>
        <v>10610510</v>
      </c>
      <c r="J75" s="129">
        <f>Assumptions!J341*Assumptions!J342+Assumptions!J344</f>
        <v>10771561</v>
      </c>
      <c r="K75" s="129">
        <f>Assumptions!K341*Assumptions!K342+Assumptions!K344</f>
        <v>10948717.100000001</v>
      </c>
      <c r="L75" s="129">
        <f>Assumptions!L341*Assumptions!L342+Assumptions!L344</f>
        <v>11143588.810000002</v>
      </c>
    </row>
    <row r="76" spans="1:12" x14ac:dyDescent="0.3">
      <c r="A76" s="1" t="str">
        <f>Assumptions!A345</f>
        <v xml:space="preserve">Marketing commision </v>
      </c>
      <c r="D76" s="129">
        <f>Assumptions!D348*Assumptions!D349</f>
        <v>2400000</v>
      </c>
      <c r="E76" s="129">
        <f>Assumptions!E348*Assumptions!E349</f>
        <v>2640000.0000000005</v>
      </c>
      <c r="F76" s="129">
        <f>Assumptions!F348*Assumptions!F349</f>
        <v>2904000.0000000009</v>
      </c>
      <c r="G76" s="129">
        <f>Assumptions!G348*Assumptions!G349</f>
        <v>3194400.0000000009</v>
      </c>
      <c r="H76" s="129">
        <f>Assumptions!H348*Assumptions!H349</f>
        <v>3513840.0000000014</v>
      </c>
      <c r="I76" s="129">
        <f>Assumptions!I348*Assumptions!I349</f>
        <v>3865224.0000000019</v>
      </c>
      <c r="J76" s="129">
        <f>Assumptions!J348*Assumptions!J349</f>
        <v>4251746.4000000032</v>
      </c>
      <c r="K76" s="129">
        <f>Assumptions!K348*Assumptions!K349</f>
        <v>4676921.0400000028</v>
      </c>
      <c r="L76" s="129">
        <f>Assumptions!L348*Assumptions!L349</f>
        <v>5144613.144000004</v>
      </c>
    </row>
    <row r="77" spans="1:12" x14ac:dyDescent="0.3">
      <c r="A77" s="1" t="str">
        <f>Assumptions!A352</f>
        <v xml:space="preserve">IOT device with EMR </v>
      </c>
      <c r="D77" s="129">
        <f>Assumptions!D355*Assumptions!D356+Assumptions!D358</f>
        <v>780000</v>
      </c>
      <c r="E77" s="129">
        <f>Assumptions!E355*Assumptions!E356+Assumptions!E358</f>
        <v>798000</v>
      </c>
      <c r="F77" s="129">
        <f>Assumptions!F355*Assumptions!F356+Assumptions!F358</f>
        <v>817800</v>
      </c>
      <c r="G77" s="129">
        <f>Assumptions!G355*Assumptions!G356+Assumptions!G358</f>
        <v>839580.00000000012</v>
      </c>
      <c r="H77" s="129">
        <f>Assumptions!H355*Assumptions!H356+Assumptions!H358</f>
        <v>863538.00000000012</v>
      </c>
      <c r="I77" s="129">
        <f>Assumptions!I355*Assumptions!I356+Assumptions!I358</f>
        <v>889891.80000000016</v>
      </c>
      <c r="J77" s="129">
        <f>Assumptions!J355*Assumptions!J356+Assumptions!J358</f>
        <v>918880.98000000021</v>
      </c>
      <c r="K77" s="129">
        <f>Assumptions!K355*Assumptions!K356+Assumptions!K358</f>
        <v>950769.07800000021</v>
      </c>
      <c r="L77" s="129">
        <f>Assumptions!L355*Assumptions!L356+Assumptions!L358</f>
        <v>985845.98580000026</v>
      </c>
    </row>
    <row r="78" spans="1:12" x14ac:dyDescent="0.3">
      <c r="A78" s="1" t="str">
        <f>Assumptions!A359</f>
        <v xml:space="preserve">POC device reagents </v>
      </c>
      <c r="D78" s="129">
        <f>Assumptions!D362*Assumptions!D363+Assumptions!D365</f>
        <v>480000</v>
      </c>
      <c r="E78" s="129">
        <f>Assumptions!E362*Assumptions!E363+Assumptions!E365</f>
        <v>498000</v>
      </c>
      <c r="F78" s="129">
        <f>Assumptions!F362*Assumptions!F363+Assumptions!F365</f>
        <v>517800</v>
      </c>
      <c r="G78" s="129">
        <f>Assumptions!G362*Assumptions!G363+Assumptions!G365</f>
        <v>539580</v>
      </c>
      <c r="H78" s="129">
        <f>Assumptions!H362*Assumptions!H363+Assumptions!H365</f>
        <v>563538</v>
      </c>
      <c r="I78" s="129">
        <f>Assumptions!I362*Assumptions!I363+Assumptions!I365</f>
        <v>589891.80000000005</v>
      </c>
      <c r="J78" s="129">
        <f>Assumptions!J362*Assumptions!J363+Assumptions!J365</f>
        <v>618880.98</v>
      </c>
      <c r="K78" s="129">
        <f>Assumptions!K362*Assumptions!K363+Assumptions!K365</f>
        <v>650769.0780000001</v>
      </c>
      <c r="L78" s="129">
        <f>Assumptions!L362*Assumptions!L363+Assumptions!L365</f>
        <v>685845.98580000014</v>
      </c>
    </row>
    <row r="79" spans="1:12" x14ac:dyDescent="0.3">
      <c r="A79" s="1" t="str">
        <f>Assumptions!A366</f>
        <v>Dedicated call centre</v>
      </c>
      <c r="D79" s="129">
        <f>Assumptions!D369*Assumptions!D370+Assumptions!D372</f>
        <v>716000</v>
      </c>
      <c r="E79" s="129">
        <f>Assumptions!E369*Assumptions!E370+Assumptions!E372</f>
        <v>737600</v>
      </c>
      <c r="F79" s="129">
        <f>Assumptions!F369*Assumptions!F370+Assumptions!F372</f>
        <v>761360</v>
      </c>
      <c r="G79" s="129">
        <f>Assumptions!G369*Assumptions!G370+Assumptions!G372</f>
        <v>787496</v>
      </c>
      <c r="H79" s="129">
        <f>Assumptions!H369*Assumptions!H370+Assumptions!H372</f>
        <v>816245.60000000009</v>
      </c>
      <c r="I79" s="129">
        <f>Assumptions!I369*Assumptions!I370+Assumptions!I372</f>
        <v>847870.16000000015</v>
      </c>
      <c r="J79" s="129">
        <f>Assumptions!J369*Assumptions!J370+Assumptions!J372</f>
        <v>882657.17600000021</v>
      </c>
      <c r="K79" s="129">
        <f>Assumptions!K369*Assumptions!K370+Assumptions!K372</f>
        <v>920922.8936000003</v>
      </c>
      <c r="L79" s="129">
        <f>Assumptions!L369*Assumptions!L370+Assumptions!L372</f>
        <v>963015.18296000035</v>
      </c>
    </row>
    <row r="80" spans="1:12" x14ac:dyDescent="0.3">
      <c r="A80" s="1" t="str">
        <f>Assumptions!A373</f>
        <v>Digital marketing &amp; promotion</v>
      </c>
      <c r="D80" s="129">
        <f>Assumptions!D376*Assumptions!D377+Assumptions!D379</f>
        <v>11100000</v>
      </c>
      <c r="E80" s="129">
        <f>Assumptions!E376*Assumptions!E377+Assumptions!E379</f>
        <v>11130000</v>
      </c>
      <c r="F80" s="129">
        <f>Assumptions!F376*Assumptions!F377+Assumptions!F379</f>
        <v>11163000</v>
      </c>
      <c r="G80" s="129">
        <f>Assumptions!G376*Assumptions!G377+Assumptions!G379</f>
        <v>11199300</v>
      </c>
      <c r="H80" s="129">
        <f>Assumptions!H376*Assumptions!H377+Assumptions!H379</f>
        <v>11239230</v>
      </c>
      <c r="I80" s="129">
        <f>Assumptions!I376*Assumptions!I377+Assumptions!I379</f>
        <v>11283153</v>
      </c>
      <c r="J80" s="129">
        <f>Assumptions!J376*Assumptions!J377+Assumptions!J379</f>
        <v>11331468.300000001</v>
      </c>
      <c r="K80" s="129">
        <f>Assumptions!K376*Assumptions!K377+Assumptions!K379</f>
        <v>11384615.130000001</v>
      </c>
      <c r="L80" s="129">
        <f>Assumptions!L376*Assumptions!L377+Assumptions!L379</f>
        <v>11443076.643000001</v>
      </c>
    </row>
    <row r="81" spans="1:12" x14ac:dyDescent="0.3">
      <c r="A81" s="1" t="str">
        <f>Assumptions!A380</f>
        <v>Press release</v>
      </c>
      <c r="D81" s="129">
        <f>Assumptions!D383*Assumptions!D384+Assumptions!D386</f>
        <v>800000</v>
      </c>
      <c r="E81" s="129">
        <f>Assumptions!E383*Assumptions!E384+Assumptions!E386</f>
        <v>830000</v>
      </c>
      <c r="F81" s="129">
        <f>Assumptions!F383*Assumptions!F384+Assumptions!F386</f>
        <v>863000.00000000012</v>
      </c>
      <c r="G81" s="129">
        <f>Assumptions!G383*Assumptions!G384+Assumptions!G386</f>
        <v>899300.00000000012</v>
      </c>
      <c r="H81" s="129">
        <f>Assumptions!H383*Assumptions!H384+Assumptions!H386</f>
        <v>939230.00000000023</v>
      </c>
      <c r="I81" s="129">
        <f>Assumptions!I383*Assumptions!I384+Assumptions!I386</f>
        <v>983153.00000000023</v>
      </c>
      <c r="J81" s="129">
        <f>Assumptions!J383*Assumptions!J384+Assumptions!J386</f>
        <v>1031468.3000000004</v>
      </c>
      <c r="K81" s="129">
        <f>Assumptions!K383*Assumptions!K384+Assumptions!K386</f>
        <v>1084615.1300000004</v>
      </c>
      <c r="L81" s="129">
        <f>Assumptions!L383*Assumptions!L384+Assumptions!L386</f>
        <v>1143076.6430000006</v>
      </c>
    </row>
    <row r="82" spans="1:12" x14ac:dyDescent="0.3">
      <c r="A82" s="1" t="str">
        <f>Assumptions!A387</f>
        <v>Patient smart app</v>
      </c>
      <c r="D82" s="129">
        <f>Assumptions!D390*Assumptions!D391</f>
        <v>60000</v>
      </c>
      <c r="E82" s="129">
        <f>Assumptions!E390*Assumptions!E391</f>
        <v>66000</v>
      </c>
      <c r="F82" s="129">
        <f>Assumptions!F390*Assumptions!F391</f>
        <v>72600.000000000015</v>
      </c>
      <c r="G82" s="129">
        <f>Assumptions!G390*Assumptions!G391</f>
        <v>79860.000000000029</v>
      </c>
      <c r="H82" s="129">
        <f>Assumptions!H390*Assumptions!H391</f>
        <v>87846.000000000029</v>
      </c>
      <c r="I82" s="129">
        <f>Assumptions!I390*Assumptions!I391</f>
        <v>96630.600000000049</v>
      </c>
      <c r="J82" s="129">
        <f>Assumptions!J390*Assumptions!J391</f>
        <v>106293.66000000006</v>
      </c>
      <c r="K82" s="129">
        <f>Assumptions!K390*Assumptions!K391</f>
        <v>116923.02600000007</v>
      </c>
      <c r="L82" s="129">
        <f>Assumptions!L390*Assumptions!L391</f>
        <v>128615.3286000001</v>
      </c>
    </row>
    <row r="83" spans="1:12" x14ac:dyDescent="0.3">
      <c r="A83" s="1" t="str">
        <f>Assumptions!A394</f>
        <v>Server</v>
      </c>
      <c r="D83" s="129">
        <f>Assumptions!D397*Assumptions!D398+Assumptions!D400</f>
        <v>11400000</v>
      </c>
      <c r="E83" s="129">
        <f>Assumptions!E397*Assumptions!E398+Assumptions!E400</f>
        <v>11460000</v>
      </c>
      <c r="F83" s="129">
        <f>Assumptions!F397*Assumptions!F398+Assumptions!F400</f>
        <v>11526000</v>
      </c>
      <c r="G83" s="129">
        <f>Assumptions!G397*Assumptions!G398+Assumptions!G400</f>
        <v>11598600</v>
      </c>
      <c r="H83" s="129">
        <f>Assumptions!H397*Assumptions!H398+Assumptions!H400</f>
        <v>11678460</v>
      </c>
      <c r="I83" s="129">
        <f>Assumptions!I397*Assumptions!I398+Assumptions!I400</f>
        <v>11766306</v>
      </c>
      <c r="J83" s="129">
        <f>Assumptions!J397*Assumptions!J398+Assumptions!J400</f>
        <v>11862936.600000001</v>
      </c>
      <c r="K83" s="129">
        <f>Assumptions!K397*Assumptions!K398+Assumptions!K400</f>
        <v>11969230.260000002</v>
      </c>
      <c r="L83" s="129">
        <f>Assumptions!L397*Assumptions!L398+Assumptions!L400</f>
        <v>12086153.286</v>
      </c>
    </row>
    <row r="84" spans="1:12" x14ac:dyDescent="0.3">
      <c r="D84" s="129"/>
      <c r="E84" s="129"/>
      <c r="F84" s="129"/>
      <c r="G84" s="129"/>
      <c r="H84" s="129"/>
      <c r="I84" s="129"/>
      <c r="J84" s="129"/>
      <c r="K84" s="129"/>
      <c r="L84" s="129"/>
    </row>
    <row r="85" spans="1:12" x14ac:dyDescent="0.3">
      <c r="A85" s="60" t="str">
        <f>Assumptions!A402</f>
        <v>Hospital 4 - Le-crest</v>
      </c>
      <c r="D85" s="129"/>
      <c r="E85" s="129"/>
      <c r="F85" s="129"/>
      <c r="G85" s="129"/>
      <c r="H85" s="129"/>
      <c r="I85" s="129"/>
      <c r="J85" s="129"/>
      <c r="K85" s="129"/>
      <c r="L85" s="129"/>
    </row>
    <row r="86" spans="1:12" x14ac:dyDescent="0.3">
      <c r="A86" s="1" t="str">
        <f>Assumptions!A403</f>
        <v>Branding</v>
      </c>
      <c r="D86" s="129">
        <f>Assumptions!D404+Assumptions!D409</f>
        <v>600000</v>
      </c>
      <c r="E86" s="129">
        <f>Assumptions!E404+Assumptions!E409</f>
        <v>0</v>
      </c>
      <c r="F86" s="129">
        <f>Assumptions!F404+Assumptions!F409</f>
        <v>0</v>
      </c>
      <c r="G86" s="129">
        <f>Assumptions!G404+Assumptions!G409</f>
        <v>0</v>
      </c>
      <c r="H86" s="129">
        <f>Assumptions!H404+Assumptions!H409</f>
        <v>0</v>
      </c>
      <c r="I86" s="129">
        <f>Assumptions!I404+Assumptions!I409</f>
        <v>0</v>
      </c>
      <c r="J86" s="129">
        <f>Assumptions!J404+Assumptions!J409</f>
        <v>0</v>
      </c>
      <c r="K86" s="129">
        <f>Assumptions!K404+Assumptions!K409</f>
        <v>0</v>
      </c>
      <c r="L86" s="129">
        <f>Assumptions!L404+Assumptions!L409</f>
        <v>0</v>
      </c>
    </row>
    <row r="87" spans="1:12" x14ac:dyDescent="0.3">
      <c r="A87" s="1" t="str">
        <f>Assumptions!A410</f>
        <v xml:space="preserve">Account Head </v>
      </c>
      <c r="D87" s="129">
        <f>Assumptions!D413*Assumptions!D414</f>
        <v>600000</v>
      </c>
      <c r="E87" s="129">
        <f>Assumptions!E413*Assumptions!E414</f>
        <v>660000.00000000012</v>
      </c>
      <c r="F87" s="129">
        <f>Assumptions!F413*Assumptions!F414</f>
        <v>726000.00000000023</v>
      </c>
      <c r="G87" s="129">
        <f>Assumptions!G413*Assumptions!G414</f>
        <v>798600.00000000023</v>
      </c>
      <c r="H87" s="129">
        <f>Assumptions!H413*Assumptions!H414</f>
        <v>878460.00000000035</v>
      </c>
      <c r="I87" s="129">
        <f>Assumptions!I413*Assumptions!I414</f>
        <v>966306.00000000047</v>
      </c>
      <c r="J87" s="129">
        <f>Assumptions!J413*Assumptions!J414</f>
        <v>1062936.6000000008</v>
      </c>
      <c r="K87" s="129">
        <f>Assumptions!K413*Assumptions!K414</f>
        <v>1169230.2600000007</v>
      </c>
      <c r="L87" s="129">
        <f>Assumptions!L413*Assumptions!L414</f>
        <v>1286153.286000001</v>
      </c>
    </row>
    <row r="88" spans="1:12" x14ac:dyDescent="0.3">
      <c r="A88" s="1" t="str">
        <f>Assumptions!A417</f>
        <v>Operational Expense</v>
      </c>
      <c r="D88" s="129">
        <f>Assumptions!D418+Assumptions!D423</f>
        <v>30000000</v>
      </c>
      <c r="E88" s="129">
        <f>Assumptions!E418+Assumptions!E423</f>
        <v>15000000</v>
      </c>
      <c r="F88" s="129">
        <f>Assumptions!F418+Assumptions!F423</f>
        <v>15000000</v>
      </c>
      <c r="G88" s="129">
        <f>Assumptions!G418+Assumptions!G423</f>
        <v>15000000</v>
      </c>
      <c r="H88" s="129">
        <f>Assumptions!H418+Assumptions!H423</f>
        <v>15000000</v>
      </c>
      <c r="I88" s="129">
        <f>Assumptions!I418+Assumptions!I423</f>
        <v>15000000</v>
      </c>
      <c r="J88" s="129">
        <f>Assumptions!J418+Assumptions!J423</f>
        <v>15000000</v>
      </c>
      <c r="K88" s="129">
        <f>Assumptions!K418+Assumptions!K423</f>
        <v>15000000</v>
      </c>
      <c r="L88" s="129">
        <f>Assumptions!L418+Assumptions!L423</f>
        <v>15000000</v>
      </c>
    </row>
    <row r="89" spans="1:12" x14ac:dyDescent="0.3">
      <c r="A89" s="1" t="str">
        <f>Assumptions!A424</f>
        <v>Linac AMC</v>
      </c>
      <c r="D89" s="129">
        <f>Assumptions!D427*Assumptions!D428</f>
        <v>2500000</v>
      </c>
      <c r="E89" s="129">
        <f>Assumptions!E427*Assumptions!E428</f>
        <v>2750000</v>
      </c>
      <c r="F89" s="129">
        <f>Assumptions!F427*Assumptions!F428</f>
        <v>3025000.0000000005</v>
      </c>
      <c r="G89" s="129">
        <f>Assumptions!G427*Assumptions!G428</f>
        <v>3327500.0000000009</v>
      </c>
      <c r="H89" s="129">
        <f>Assumptions!H427*Assumptions!H428</f>
        <v>3660250.0000000014</v>
      </c>
      <c r="I89" s="129">
        <f>Assumptions!I427*Assumptions!I428</f>
        <v>4026275.0000000019</v>
      </c>
      <c r="J89" s="129">
        <f>Assumptions!J427*Assumptions!J428</f>
        <v>4428902.5000000028</v>
      </c>
      <c r="K89" s="129">
        <f>Assumptions!K427*Assumptions!K428</f>
        <v>4871792.7500000037</v>
      </c>
      <c r="L89" s="129">
        <f>Assumptions!L427*Assumptions!L428</f>
        <v>5358972.0250000041</v>
      </c>
    </row>
    <row r="90" spans="1:12" x14ac:dyDescent="0.3">
      <c r="A90" s="1" t="str">
        <f>Assumptions!A431</f>
        <v xml:space="preserve">MRI AMC </v>
      </c>
      <c r="D90" s="129">
        <f>Assumptions!D434*Assumptions!D435+Assumptions!D437</f>
        <v>37500000</v>
      </c>
      <c r="E90" s="129">
        <f>Assumptions!E434*Assumptions!E435+Assumptions!E437</f>
        <v>37650000</v>
      </c>
      <c r="F90" s="129">
        <f>Assumptions!F434*Assumptions!F435+Assumptions!F437</f>
        <v>37815000</v>
      </c>
      <c r="G90" s="129">
        <f>Assumptions!G434*Assumptions!G435+Assumptions!G437</f>
        <v>37996500</v>
      </c>
      <c r="H90" s="129">
        <f>Assumptions!H434*Assumptions!H435+Assumptions!H437</f>
        <v>38196150</v>
      </c>
      <c r="I90" s="129">
        <f>Assumptions!I434*Assumptions!I435+Assumptions!I437</f>
        <v>38415765</v>
      </c>
      <c r="J90" s="129">
        <f>Assumptions!J434*Assumptions!J435+Assumptions!J437</f>
        <v>38657341.5</v>
      </c>
      <c r="K90" s="129">
        <f>Assumptions!K434*Assumptions!K435+Assumptions!K437</f>
        <v>38923075.650000006</v>
      </c>
      <c r="L90" s="129">
        <f>Assumptions!L434*Assumptions!L435+Assumptions!L437</f>
        <v>39215383.215000004</v>
      </c>
    </row>
    <row r="91" spans="1:12" x14ac:dyDescent="0.3">
      <c r="A91" s="1" t="str">
        <f>Assumptions!A438</f>
        <v>AMC Automation</v>
      </c>
      <c r="D91" s="129">
        <f>Assumptions!D441*Assumptions!D442+Assumptions!D444</f>
        <v>6000000</v>
      </c>
      <c r="E91" s="129">
        <f>Assumptions!E441*Assumptions!E442+Assumptions!E444</f>
        <v>6060000</v>
      </c>
      <c r="F91" s="129">
        <f>Assumptions!F441*Assumptions!F442+Assumptions!F444</f>
        <v>6126000</v>
      </c>
      <c r="G91" s="129">
        <f>Assumptions!G441*Assumptions!G442+Assumptions!G444</f>
        <v>6198600</v>
      </c>
      <c r="H91" s="129">
        <f>Assumptions!H441*Assumptions!H442+Assumptions!H444</f>
        <v>6278460</v>
      </c>
      <c r="I91" s="129">
        <f>Assumptions!I441*Assumptions!I442+Assumptions!I444</f>
        <v>6366306</v>
      </c>
      <c r="J91" s="129">
        <f>Assumptions!J441*Assumptions!J442+Assumptions!J444</f>
        <v>6462936.6000000006</v>
      </c>
      <c r="K91" s="129">
        <f>Assumptions!K441*Assumptions!K442+Assumptions!K444</f>
        <v>6569230.2600000007</v>
      </c>
      <c r="L91" s="129">
        <f>Assumptions!L441*Assumptions!L442+Assumptions!L444</f>
        <v>6686153.2860000012</v>
      </c>
    </row>
    <row r="92" spans="1:12" x14ac:dyDescent="0.3">
      <c r="A92" s="1" t="str">
        <f>Assumptions!A445</f>
        <v xml:space="preserve">Marketing commision </v>
      </c>
      <c r="D92" s="129">
        <f>Assumptions!D448*Assumptions!D449+Assumptions!D451</f>
        <v>33000000</v>
      </c>
      <c r="E92" s="129">
        <f>Assumptions!E448*Assumptions!E449+Assumptions!E451</f>
        <v>33300000</v>
      </c>
      <c r="F92" s="129">
        <f>Assumptions!F448*Assumptions!F449+Assumptions!F451</f>
        <v>33630000</v>
      </c>
      <c r="G92" s="129">
        <f>Assumptions!G448*Assumptions!G449+Assumptions!G451</f>
        <v>33993000</v>
      </c>
      <c r="H92" s="129">
        <f>Assumptions!H448*Assumptions!H449+Assumptions!H451</f>
        <v>34392300</v>
      </c>
      <c r="I92" s="129">
        <f>Assumptions!I448*Assumptions!I449+Assumptions!I451</f>
        <v>34831530</v>
      </c>
      <c r="J92" s="129">
        <f>Assumptions!J448*Assumptions!J449+Assumptions!J451</f>
        <v>35314683</v>
      </c>
      <c r="K92" s="129">
        <f>Assumptions!K448*Assumptions!K449+Assumptions!K451</f>
        <v>35846151.300000004</v>
      </c>
      <c r="L92" s="129">
        <f>Assumptions!L448*Assumptions!L449+Assumptions!L451</f>
        <v>36430766.430000007</v>
      </c>
    </row>
    <row r="93" spans="1:12" x14ac:dyDescent="0.3">
      <c r="A93" s="1" t="str">
        <f>Assumptions!A452</f>
        <v xml:space="preserve">IOT device with EMR </v>
      </c>
      <c r="D93" s="129">
        <f>Assumptions!D455*Assumptions!D456+Assumptions!D458</f>
        <v>780000</v>
      </c>
      <c r="E93" s="129">
        <f>Assumptions!E455*Assumptions!E456+Assumptions!E458</f>
        <v>798000</v>
      </c>
      <c r="F93" s="129">
        <f>Assumptions!F455*Assumptions!F456+Assumptions!F458</f>
        <v>817800</v>
      </c>
      <c r="G93" s="129">
        <f>Assumptions!G455*Assumptions!G456+Assumptions!G458</f>
        <v>839580.00000000012</v>
      </c>
      <c r="H93" s="129">
        <f>Assumptions!H455*Assumptions!H456+Assumptions!H458</f>
        <v>863538.00000000012</v>
      </c>
      <c r="I93" s="129">
        <f>Assumptions!I455*Assumptions!I456+Assumptions!I458</f>
        <v>889891.80000000016</v>
      </c>
      <c r="J93" s="129">
        <f>Assumptions!J455*Assumptions!J456+Assumptions!J458</f>
        <v>918880.98000000021</v>
      </c>
      <c r="K93" s="129">
        <f>Assumptions!K455*Assumptions!K456+Assumptions!K458</f>
        <v>950769.07800000021</v>
      </c>
      <c r="L93" s="129">
        <f>Assumptions!L455*Assumptions!L456+Assumptions!L458</f>
        <v>985845.98580000026</v>
      </c>
    </row>
    <row r="94" spans="1:12" x14ac:dyDescent="0.3">
      <c r="A94" s="1" t="str">
        <f>Assumptions!A459</f>
        <v xml:space="preserve">POC device reagents </v>
      </c>
      <c r="D94" s="129">
        <f>Assumptions!D462*Assumptions!D463+Assumptions!D465</f>
        <v>480000</v>
      </c>
      <c r="E94" s="129">
        <f>Assumptions!E462*Assumptions!E463+Assumptions!E465</f>
        <v>498000</v>
      </c>
      <c r="F94" s="129">
        <f>Assumptions!F462*Assumptions!F463+Assumptions!F465</f>
        <v>517800</v>
      </c>
      <c r="G94" s="129">
        <f>Assumptions!G462*Assumptions!G463+Assumptions!G465</f>
        <v>539580</v>
      </c>
      <c r="H94" s="129">
        <f>Assumptions!H462*Assumptions!H463+Assumptions!H465</f>
        <v>563538</v>
      </c>
      <c r="I94" s="129">
        <f>Assumptions!I462*Assumptions!I463+Assumptions!I465</f>
        <v>589891.80000000005</v>
      </c>
      <c r="J94" s="129">
        <f>Assumptions!J462*Assumptions!J463+Assumptions!J465</f>
        <v>618880.98</v>
      </c>
      <c r="K94" s="129">
        <f>Assumptions!K462*Assumptions!K463+Assumptions!K465</f>
        <v>650769.0780000001</v>
      </c>
      <c r="L94" s="129">
        <f>Assumptions!L462*Assumptions!L463+Assumptions!L465</f>
        <v>685845.98580000014</v>
      </c>
    </row>
    <row r="95" spans="1:12" x14ac:dyDescent="0.3">
      <c r="A95" s="1" t="str">
        <f>Assumptions!A466</f>
        <v>Dedicated call centre</v>
      </c>
      <c r="D95" s="129">
        <f>Assumptions!D469*Assumptions!D470+Assumptions!D472</f>
        <v>716000</v>
      </c>
      <c r="E95" s="129">
        <f>Assumptions!E469*Assumptions!E470+Assumptions!E472</f>
        <v>737600</v>
      </c>
      <c r="F95" s="129">
        <f>Assumptions!F469*Assumptions!F470+Assumptions!F472</f>
        <v>761360</v>
      </c>
      <c r="G95" s="129">
        <f>Assumptions!G469*Assumptions!G470+Assumptions!G472</f>
        <v>787496</v>
      </c>
      <c r="H95" s="129">
        <f>Assumptions!H469*Assumptions!H470+Assumptions!H472</f>
        <v>816245.60000000009</v>
      </c>
      <c r="I95" s="129">
        <f>Assumptions!I469*Assumptions!I470+Assumptions!I472</f>
        <v>847870.16000000015</v>
      </c>
      <c r="J95" s="129">
        <f>Assumptions!J469*Assumptions!J470+Assumptions!J472</f>
        <v>882657.17600000021</v>
      </c>
      <c r="K95" s="129">
        <f>Assumptions!K469*Assumptions!K470+Assumptions!K472</f>
        <v>920922.8936000003</v>
      </c>
      <c r="L95" s="129">
        <f>Assumptions!L469*Assumptions!L470+Assumptions!L472</f>
        <v>963015.18296000035</v>
      </c>
    </row>
    <row r="96" spans="1:12" x14ac:dyDescent="0.3">
      <c r="A96" s="1" t="str">
        <f>Assumptions!A473</f>
        <v>Ultrasound AMC</v>
      </c>
      <c r="D96" s="129">
        <f>Assumptions!D476*Assumptions!D477</f>
        <v>1500000</v>
      </c>
      <c r="E96" s="129">
        <f>Assumptions!E476*Assumptions!E477</f>
        <v>1650000.0000000002</v>
      </c>
      <c r="F96" s="129">
        <f>Assumptions!F476*Assumptions!F477</f>
        <v>1815000.0000000005</v>
      </c>
      <c r="G96" s="129">
        <f>Assumptions!G476*Assumptions!G477</f>
        <v>1996500.0000000007</v>
      </c>
      <c r="H96" s="129">
        <f>Assumptions!H476*Assumptions!H477</f>
        <v>2196150.0000000009</v>
      </c>
      <c r="I96" s="129">
        <f>Assumptions!I476*Assumptions!I477</f>
        <v>2415765.0000000014</v>
      </c>
      <c r="J96" s="129">
        <f>Assumptions!J476*Assumptions!J477</f>
        <v>2657341.5000000019</v>
      </c>
      <c r="K96" s="129">
        <f>Assumptions!K476*Assumptions!K477</f>
        <v>2923075.6500000022</v>
      </c>
      <c r="L96" s="129">
        <f>Assumptions!L476*Assumptions!L477</f>
        <v>3215383.2150000026</v>
      </c>
    </row>
    <row r="97" spans="1:12" x14ac:dyDescent="0.3">
      <c r="A97" s="1" t="str">
        <f>Assumptions!A480</f>
        <v>Pharmacist</v>
      </c>
      <c r="D97" s="129">
        <f>Assumptions!D483*Assumptions!D484</f>
        <v>2400000</v>
      </c>
      <c r="E97" s="129">
        <f>Assumptions!E483*Assumptions!E484</f>
        <v>2640000.0000000005</v>
      </c>
      <c r="F97" s="129">
        <f>Assumptions!F483*Assumptions!F484</f>
        <v>2904000.0000000009</v>
      </c>
      <c r="G97" s="129">
        <f>Assumptions!G483*Assumptions!G484</f>
        <v>3194400.0000000009</v>
      </c>
      <c r="H97" s="129">
        <f>Assumptions!H483*Assumptions!H484</f>
        <v>3513840.0000000014</v>
      </c>
      <c r="I97" s="129">
        <f>Assumptions!I483*Assumptions!I484</f>
        <v>3865224.0000000019</v>
      </c>
      <c r="J97" s="129">
        <f>Assumptions!J483*Assumptions!J484</f>
        <v>4251746.4000000032</v>
      </c>
      <c r="K97" s="129">
        <f>Assumptions!K483*Assumptions!K484</f>
        <v>4676921.0400000028</v>
      </c>
      <c r="L97" s="129">
        <f>Assumptions!L483*Assumptions!L484</f>
        <v>5144613.144000004</v>
      </c>
    </row>
    <row r="98" spans="1:12" x14ac:dyDescent="0.3">
      <c r="A98" s="1" t="str">
        <f>Assumptions!A487</f>
        <v>Digital marketing &amp; promotion</v>
      </c>
      <c r="D98" s="129">
        <f>Assumptions!D490*Assumptions!D491+Assumptions!D493</f>
        <v>11100000</v>
      </c>
      <c r="E98" s="129">
        <f>Assumptions!E490*Assumptions!E491+Assumptions!E493</f>
        <v>11130000</v>
      </c>
      <c r="F98" s="129">
        <f>Assumptions!F490*Assumptions!F491+Assumptions!F493</f>
        <v>11163000</v>
      </c>
      <c r="G98" s="129">
        <f>Assumptions!G490*Assumptions!G491+Assumptions!G493</f>
        <v>11199300</v>
      </c>
      <c r="H98" s="129">
        <f>Assumptions!H490*Assumptions!H491+Assumptions!H493</f>
        <v>11239230</v>
      </c>
      <c r="I98" s="129">
        <f>Assumptions!I490*Assumptions!I491+Assumptions!I493</f>
        <v>11283153</v>
      </c>
      <c r="J98" s="129">
        <f>Assumptions!J490*Assumptions!J491+Assumptions!J493</f>
        <v>11331468.300000001</v>
      </c>
      <c r="K98" s="129">
        <f>Assumptions!K490*Assumptions!K491+Assumptions!K493</f>
        <v>11384615.130000001</v>
      </c>
      <c r="L98" s="129">
        <f>Assumptions!L490*Assumptions!L491+Assumptions!L493</f>
        <v>11443076.643000001</v>
      </c>
    </row>
    <row r="99" spans="1:12" x14ac:dyDescent="0.3">
      <c r="A99" s="1" t="str">
        <f>Assumptions!A494</f>
        <v>Press release</v>
      </c>
      <c r="D99" s="129">
        <f>Assumptions!D497*Assumptions!D498+Assumptions!D500</f>
        <v>800000</v>
      </c>
      <c r="E99" s="129">
        <f>Assumptions!E497*Assumptions!E498+Assumptions!E500</f>
        <v>830000</v>
      </c>
      <c r="F99" s="129">
        <f>Assumptions!F497*Assumptions!F498+Assumptions!F500</f>
        <v>863000.00000000012</v>
      </c>
      <c r="G99" s="129">
        <f>Assumptions!G497*Assumptions!G498+Assumptions!G500</f>
        <v>899300.00000000012</v>
      </c>
      <c r="H99" s="129">
        <f>Assumptions!H497*Assumptions!H498+Assumptions!H500</f>
        <v>939230.00000000023</v>
      </c>
      <c r="I99" s="129">
        <f>Assumptions!I497*Assumptions!I498+Assumptions!I500</f>
        <v>983153.00000000023</v>
      </c>
      <c r="J99" s="129">
        <f>Assumptions!J497*Assumptions!J498+Assumptions!J500</f>
        <v>1031468.3000000004</v>
      </c>
      <c r="K99" s="129">
        <f>Assumptions!K497*Assumptions!K498+Assumptions!K500</f>
        <v>1084615.1300000004</v>
      </c>
      <c r="L99" s="129">
        <f>Assumptions!L497*Assumptions!L498+Assumptions!L500</f>
        <v>1143076.6430000006</v>
      </c>
    </row>
    <row r="100" spans="1:12" x14ac:dyDescent="0.3">
      <c r="A100" s="1" t="str">
        <f>Assumptions!A501</f>
        <v>Patient smart app</v>
      </c>
      <c r="D100" s="129">
        <f>Assumptions!D504*Assumptions!D505</f>
        <v>60000</v>
      </c>
      <c r="E100" s="129">
        <f>Assumptions!E504*Assumptions!E505</f>
        <v>66000</v>
      </c>
      <c r="F100" s="129">
        <f>Assumptions!F504*Assumptions!F505</f>
        <v>72600.000000000015</v>
      </c>
      <c r="G100" s="129">
        <f>Assumptions!G504*Assumptions!G505</f>
        <v>79860.000000000029</v>
      </c>
      <c r="H100" s="129">
        <f>Assumptions!H504*Assumptions!H505</f>
        <v>87846.000000000029</v>
      </c>
      <c r="I100" s="129">
        <f>Assumptions!I504*Assumptions!I505</f>
        <v>96630.600000000049</v>
      </c>
      <c r="J100" s="129">
        <f>Assumptions!J504*Assumptions!J505</f>
        <v>106293.66000000006</v>
      </c>
      <c r="K100" s="129">
        <f>Assumptions!K504*Assumptions!K505</f>
        <v>116923.02600000007</v>
      </c>
      <c r="L100" s="129">
        <f>Assumptions!L504*Assumptions!L505</f>
        <v>128615.3286000001</v>
      </c>
    </row>
    <row r="101" spans="1:12" x14ac:dyDescent="0.3">
      <c r="A101" s="1" t="str">
        <f>Assumptions!A508</f>
        <v>Server</v>
      </c>
      <c r="D101" s="129">
        <f>Assumptions!D511*Assumptions!D512+Assumptions!D514</f>
        <v>11400000</v>
      </c>
      <c r="E101" s="129">
        <f>Assumptions!E511*Assumptions!E512+Assumptions!E514</f>
        <v>11460000</v>
      </c>
      <c r="F101" s="129">
        <f>Assumptions!F511*Assumptions!F512+Assumptions!F514</f>
        <v>11526000</v>
      </c>
      <c r="G101" s="129">
        <f>Assumptions!G511*Assumptions!G512+Assumptions!G514</f>
        <v>11598600</v>
      </c>
      <c r="H101" s="129">
        <f>Assumptions!H511*Assumptions!H512+Assumptions!H514</f>
        <v>11678460</v>
      </c>
      <c r="I101" s="129">
        <f>Assumptions!I511*Assumptions!I512+Assumptions!I514</f>
        <v>11766306</v>
      </c>
      <c r="J101" s="129">
        <f>Assumptions!J511*Assumptions!J512+Assumptions!J514</f>
        <v>11862936.600000001</v>
      </c>
      <c r="K101" s="129">
        <f>Assumptions!K511*Assumptions!K512+Assumptions!K514</f>
        <v>11969230.260000002</v>
      </c>
      <c r="L101" s="129">
        <f>Assumptions!L511*Assumptions!L512+Assumptions!L514</f>
        <v>12086153.286</v>
      </c>
    </row>
    <row r="102" spans="1:12" x14ac:dyDescent="0.3">
      <c r="D102" s="129"/>
      <c r="E102" s="129"/>
      <c r="F102" s="129"/>
      <c r="G102" s="129"/>
      <c r="H102" s="129"/>
      <c r="I102" s="129"/>
      <c r="J102" s="129"/>
      <c r="K102" s="129"/>
      <c r="L102" s="129"/>
    </row>
    <row r="103" spans="1:12" x14ac:dyDescent="0.3">
      <c r="A103" s="60" t="str">
        <f>Assumptions!A516</f>
        <v>Hospital 5 - Royal</v>
      </c>
      <c r="D103" s="129"/>
      <c r="E103" s="129"/>
      <c r="F103" s="129"/>
      <c r="G103" s="129"/>
      <c r="H103" s="129"/>
      <c r="I103" s="129"/>
      <c r="J103" s="129"/>
      <c r="K103" s="129"/>
      <c r="L103" s="129"/>
    </row>
    <row r="104" spans="1:12" x14ac:dyDescent="0.3">
      <c r="A104" s="1" t="str">
        <f>Assumptions!A517</f>
        <v xml:space="preserve">MS </v>
      </c>
      <c r="D104" s="129">
        <f>Assumptions!D520*Assumptions!D521</f>
        <v>1200000</v>
      </c>
      <c r="E104" s="129">
        <f>Assumptions!E520*Assumptions!E521</f>
        <v>1320000.0000000002</v>
      </c>
      <c r="F104" s="129">
        <f>Assumptions!F520*Assumptions!F521</f>
        <v>1452000.0000000005</v>
      </c>
      <c r="G104" s="129">
        <f>Assumptions!G520*Assumptions!G521</f>
        <v>1597200.0000000005</v>
      </c>
      <c r="H104" s="129">
        <f>Assumptions!H520*Assumptions!H521</f>
        <v>1756920.0000000007</v>
      </c>
      <c r="I104" s="129">
        <f>Assumptions!I520*Assumptions!I521</f>
        <v>1932612.0000000009</v>
      </c>
      <c r="J104" s="129">
        <f>Assumptions!J520*Assumptions!J521</f>
        <v>2125873.2000000016</v>
      </c>
      <c r="K104" s="129">
        <f>Assumptions!K520*Assumptions!K521</f>
        <v>2338460.5200000014</v>
      </c>
      <c r="L104" s="129">
        <f>Assumptions!L520*Assumptions!L521</f>
        <v>2572306.572000002</v>
      </c>
    </row>
    <row r="105" spans="1:12" x14ac:dyDescent="0.3">
      <c r="A105" s="1" t="str">
        <f>Assumptions!A524</f>
        <v>PCC</v>
      </c>
      <c r="D105" s="129">
        <f>Assumptions!D527*Assumptions!D528</f>
        <v>9600000</v>
      </c>
      <c r="E105" s="129">
        <f>Assumptions!E527*Assumptions!E528</f>
        <v>10560000.000000002</v>
      </c>
      <c r="F105" s="129">
        <f>Assumptions!F527*Assumptions!F528</f>
        <v>11616000.000000004</v>
      </c>
      <c r="G105" s="129">
        <f>Assumptions!G527*Assumptions!G528</f>
        <v>12777600.000000004</v>
      </c>
      <c r="H105" s="129">
        <f>Assumptions!H527*Assumptions!H528</f>
        <v>14055360.000000006</v>
      </c>
      <c r="I105" s="129">
        <f>Assumptions!I527*Assumptions!I528</f>
        <v>15460896.000000007</v>
      </c>
      <c r="J105" s="129">
        <f>Assumptions!J527*Assumptions!J528</f>
        <v>17006985.600000013</v>
      </c>
      <c r="K105" s="129">
        <f>Assumptions!K527*Assumptions!K528</f>
        <v>18707684.160000011</v>
      </c>
      <c r="L105" s="129">
        <f>Assumptions!L527*Assumptions!L528</f>
        <v>20578452.576000016</v>
      </c>
    </row>
    <row r="106" spans="1:12" x14ac:dyDescent="0.3">
      <c r="A106" s="1" t="str">
        <f>Assumptions!A531</f>
        <v xml:space="preserve">Account Head </v>
      </c>
      <c r="D106" s="129">
        <f>Assumptions!D534*Assumptions!D535</f>
        <v>600000</v>
      </c>
      <c r="E106" s="129">
        <f>Assumptions!E534*Assumptions!E535</f>
        <v>660000.00000000012</v>
      </c>
      <c r="F106" s="129">
        <f>Assumptions!F534*Assumptions!F535</f>
        <v>726000.00000000023</v>
      </c>
      <c r="G106" s="129">
        <f>Assumptions!G534*Assumptions!G535</f>
        <v>798600.00000000023</v>
      </c>
      <c r="H106" s="129">
        <f>Assumptions!H534*Assumptions!H535</f>
        <v>878460.00000000035</v>
      </c>
      <c r="I106" s="129">
        <f>Assumptions!I534*Assumptions!I535</f>
        <v>966306.00000000047</v>
      </c>
      <c r="J106" s="129">
        <f>Assumptions!J534*Assumptions!J535</f>
        <v>1062936.6000000008</v>
      </c>
      <c r="K106" s="129">
        <f>Assumptions!K534*Assumptions!K535</f>
        <v>1169230.2600000007</v>
      </c>
      <c r="L106" s="129">
        <f>Assumptions!L534*Assumptions!L535</f>
        <v>1286153.286000001</v>
      </c>
    </row>
    <row r="107" spans="1:12" x14ac:dyDescent="0.3">
      <c r="A107" s="1" t="str">
        <f>Assumptions!A538</f>
        <v xml:space="preserve">IOT device with EMR </v>
      </c>
      <c r="D107" s="129">
        <f>Assumptions!D541*Assumptions!D542</f>
        <v>180000</v>
      </c>
      <c r="E107" s="129">
        <f>Assumptions!E541*Assumptions!E542</f>
        <v>198000</v>
      </c>
      <c r="F107" s="129">
        <f>Assumptions!F541*Assumptions!F542</f>
        <v>217800.00000000006</v>
      </c>
      <c r="G107" s="129">
        <f>Assumptions!G541*Assumptions!G542</f>
        <v>239580.00000000009</v>
      </c>
      <c r="H107" s="129">
        <f>Assumptions!H541*Assumptions!H542</f>
        <v>263538.00000000012</v>
      </c>
      <c r="I107" s="129">
        <f>Assumptions!I541*Assumptions!I542</f>
        <v>289891.80000000016</v>
      </c>
      <c r="J107" s="129">
        <f>Assumptions!J541*Assumptions!J542</f>
        <v>318880.98000000021</v>
      </c>
      <c r="K107" s="129">
        <f>Assumptions!K541*Assumptions!K542</f>
        <v>350769.07800000021</v>
      </c>
      <c r="L107" s="129">
        <f>Assumptions!L541*Assumptions!L542</f>
        <v>385845.98580000026</v>
      </c>
    </row>
    <row r="108" spans="1:12" x14ac:dyDescent="0.3">
      <c r="A108" s="1" t="str">
        <f>Assumptions!A545</f>
        <v xml:space="preserve">POC device reagents </v>
      </c>
      <c r="D108" s="129">
        <f>Assumptions!D548*Assumptions!D549+Assumptions!D551</f>
        <v>480000</v>
      </c>
      <c r="E108" s="129">
        <f>Assumptions!E548*Assumptions!E549+Assumptions!E551</f>
        <v>498000</v>
      </c>
      <c r="F108" s="129">
        <f>Assumptions!F548*Assumptions!F549+Assumptions!F551</f>
        <v>517800</v>
      </c>
      <c r="G108" s="129">
        <f>Assumptions!G548*Assumptions!G549+Assumptions!G551</f>
        <v>539580</v>
      </c>
      <c r="H108" s="129">
        <f>Assumptions!H548*Assumptions!H549+Assumptions!H551</f>
        <v>563538</v>
      </c>
      <c r="I108" s="129">
        <f>Assumptions!I548*Assumptions!I549+Assumptions!I551</f>
        <v>589891.80000000005</v>
      </c>
      <c r="J108" s="129">
        <f>Assumptions!J548*Assumptions!J549+Assumptions!J551</f>
        <v>618880.98</v>
      </c>
      <c r="K108" s="129">
        <f>Assumptions!K548*Assumptions!K549+Assumptions!K551</f>
        <v>650769.0780000001</v>
      </c>
      <c r="L108" s="129">
        <f>Assumptions!L548*Assumptions!L549+Assumptions!L551</f>
        <v>685845.98580000014</v>
      </c>
    </row>
    <row r="109" spans="1:12" x14ac:dyDescent="0.3">
      <c r="A109" s="1" t="str">
        <f>Assumptions!A552</f>
        <v>Dedicated call centre</v>
      </c>
      <c r="D109" s="129">
        <f>Assumptions!D555*Assumptions!D556</f>
        <v>216000</v>
      </c>
      <c r="E109" s="129">
        <f>Assumptions!E555*Assumptions!E556</f>
        <v>237600</v>
      </c>
      <c r="F109" s="129">
        <f>Assumptions!F555*Assumptions!F556</f>
        <v>261360</v>
      </c>
      <c r="G109" s="129">
        <f>Assumptions!G555*Assumptions!G556</f>
        <v>287496.00000000006</v>
      </c>
      <c r="H109" s="129">
        <f>Assumptions!H555*Assumptions!H556</f>
        <v>316245.60000000009</v>
      </c>
      <c r="I109" s="129">
        <f>Assumptions!I555*Assumptions!I556</f>
        <v>347870.16000000015</v>
      </c>
      <c r="J109" s="129">
        <f>Assumptions!J555*Assumptions!J556</f>
        <v>382657.17600000021</v>
      </c>
      <c r="K109" s="129">
        <f>Assumptions!K555*Assumptions!K556</f>
        <v>420922.8936000003</v>
      </c>
      <c r="L109" s="129">
        <f>Assumptions!L555*Assumptions!L556</f>
        <v>463015.18296000035</v>
      </c>
    </row>
    <row r="110" spans="1:12" x14ac:dyDescent="0.3">
      <c r="A110" s="1" t="str">
        <f>Assumptions!A559</f>
        <v>Digital marketing &amp; promotion</v>
      </c>
      <c r="D110" s="129">
        <f>Assumptions!D562*Assumptions!D563</f>
        <v>300000</v>
      </c>
      <c r="E110" s="129">
        <f>Assumptions!E562*Assumptions!E563</f>
        <v>330000.00000000006</v>
      </c>
      <c r="F110" s="129">
        <f>Assumptions!F562*Assumptions!F563</f>
        <v>363000.00000000012</v>
      </c>
      <c r="G110" s="129">
        <f>Assumptions!G562*Assumptions!G563</f>
        <v>399300.00000000012</v>
      </c>
      <c r="H110" s="129">
        <f>Assumptions!H562*Assumptions!H563</f>
        <v>439230.00000000017</v>
      </c>
      <c r="I110" s="129">
        <f>Assumptions!I562*Assumptions!I563</f>
        <v>483153.00000000023</v>
      </c>
      <c r="J110" s="129">
        <f>Assumptions!J562*Assumptions!J563</f>
        <v>531468.3000000004</v>
      </c>
      <c r="K110" s="129">
        <f>Assumptions!K562*Assumptions!K563</f>
        <v>584615.13000000035</v>
      </c>
      <c r="L110" s="129">
        <f>Assumptions!L562*Assumptions!L563</f>
        <v>643076.64300000051</v>
      </c>
    </row>
    <row r="111" spans="1:12" x14ac:dyDescent="0.3">
      <c r="A111" s="1" t="str">
        <f>Assumptions!A566</f>
        <v>Press release</v>
      </c>
      <c r="D111" s="129">
        <f>Assumptions!D569*Assumptions!D570</f>
        <v>300000</v>
      </c>
      <c r="E111" s="129">
        <f>Assumptions!E569*Assumptions!E570</f>
        <v>330000.00000000006</v>
      </c>
      <c r="F111" s="129">
        <f>Assumptions!F569*Assumptions!F570</f>
        <v>363000.00000000012</v>
      </c>
      <c r="G111" s="129">
        <f>Assumptions!G569*Assumptions!G570</f>
        <v>399300.00000000012</v>
      </c>
      <c r="H111" s="129">
        <f>Assumptions!H569*Assumptions!H570</f>
        <v>439230.00000000017</v>
      </c>
      <c r="I111" s="129">
        <f>Assumptions!I569*Assumptions!I570</f>
        <v>483153.00000000023</v>
      </c>
      <c r="J111" s="129">
        <f>Assumptions!J569*Assumptions!J570</f>
        <v>531468.3000000004</v>
      </c>
      <c r="K111" s="129">
        <f>Assumptions!K569*Assumptions!K570</f>
        <v>584615.13000000035</v>
      </c>
      <c r="L111" s="129">
        <f>Assumptions!L569*Assumptions!L570</f>
        <v>643076.64300000051</v>
      </c>
    </row>
    <row r="112" spans="1:12" x14ac:dyDescent="0.3">
      <c r="A112" s="1" t="str">
        <f>Assumptions!A573</f>
        <v>Patient smart app</v>
      </c>
      <c r="D112" s="129">
        <f>Assumptions!D576*Assumptions!D577</f>
        <v>60000</v>
      </c>
      <c r="E112" s="129">
        <f>Assumptions!E576*Assumptions!E577</f>
        <v>66000</v>
      </c>
      <c r="F112" s="129">
        <f>Assumptions!F576*Assumptions!F577</f>
        <v>72600.000000000015</v>
      </c>
      <c r="G112" s="129">
        <f>Assumptions!G576*Assumptions!G577</f>
        <v>79860.000000000029</v>
      </c>
      <c r="H112" s="129">
        <f>Assumptions!H576*Assumptions!H577</f>
        <v>87846.000000000029</v>
      </c>
      <c r="I112" s="129">
        <f>Assumptions!I576*Assumptions!I577</f>
        <v>96630.600000000049</v>
      </c>
      <c r="J112" s="129">
        <f>Assumptions!J576*Assumptions!J577</f>
        <v>106293.66000000006</v>
      </c>
      <c r="K112" s="129">
        <f>Assumptions!K576*Assumptions!K577</f>
        <v>116923.02600000007</v>
      </c>
      <c r="L112" s="129">
        <f>Assumptions!L576*Assumptions!L577</f>
        <v>128615.3286000001</v>
      </c>
    </row>
    <row r="113" spans="1:12" x14ac:dyDescent="0.3">
      <c r="A113" s="1" t="str">
        <f>Assumptions!A580</f>
        <v>Server</v>
      </c>
      <c r="D113" s="129">
        <f>Assumptions!D583*Assumptions!D584</f>
        <v>600000</v>
      </c>
      <c r="E113" s="129">
        <f>Assumptions!E583*Assumptions!E584</f>
        <v>660000.00000000012</v>
      </c>
      <c r="F113" s="129">
        <f>Assumptions!F583*Assumptions!F584</f>
        <v>726000.00000000023</v>
      </c>
      <c r="G113" s="129">
        <f>Assumptions!G583*Assumptions!G584</f>
        <v>798600.00000000023</v>
      </c>
      <c r="H113" s="129">
        <f>Assumptions!H583*Assumptions!H584</f>
        <v>878460.00000000035</v>
      </c>
      <c r="I113" s="129">
        <f>Assumptions!I583*Assumptions!I584</f>
        <v>966306.00000000047</v>
      </c>
      <c r="J113" s="129">
        <f>Assumptions!J583*Assumptions!J584</f>
        <v>1062936.6000000008</v>
      </c>
      <c r="K113" s="129">
        <f>Assumptions!K583*Assumptions!K584</f>
        <v>1169230.2600000007</v>
      </c>
      <c r="L113" s="129">
        <f>Assumptions!L583*Assumptions!L584</f>
        <v>1286153.286000001</v>
      </c>
    </row>
    <row r="114" spans="1:12" x14ac:dyDescent="0.3">
      <c r="D114" s="129"/>
      <c r="E114" s="129"/>
      <c r="F114" s="129"/>
      <c r="G114" s="129"/>
      <c r="H114" s="129"/>
      <c r="I114" s="129"/>
      <c r="J114" s="129"/>
      <c r="K114" s="129"/>
      <c r="L114" s="129"/>
    </row>
    <row r="115" spans="1:12" x14ac:dyDescent="0.3">
      <c r="A115" s="60" t="str">
        <f>Assumptions!A588</f>
        <v>Hospital 6 - Pancham</v>
      </c>
      <c r="D115" s="129"/>
      <c r="E115" s="129"/>
      <c r="F115" s="129"/>
      <c r="G115" s="129"/>
      <c r="H115" s="129"/>
      <c r="I115" s="129"/>
      <c r="J115" s="129"/>
      <c r="K115" s="129"/>
      <c r="L115" s="129"/>
    </row>
    <row r="116" spans="1:12" x14ac:dyDescent="0.3">
      <c r="A116" s="1" t="str">
        <f>Assumptions!A589</f>
        <v>Operational expense</v>
      </c>
      <c r="D116" s="129">
        <f>Assumptions!D592*Assumptions!D593+Assumptions!D595</f>
        <v>624000000</v>
      </c>
      <c r="E116" s="129">
        <f>Assumptions!E592*Assumptions!E593+Assumptions!E595</f>
        <v>681600000.00000012</v>
      </c>
      <c r="F116" s="129">
        <f>Assumptions!F592*Assumptions!F593+Assumptions!F595</f>
        <v>744960000.00000024</v>
      </c>
      <c r="G116" s="129">
        <f>Assumptions!G592*Assumptions!G593+Assumptions!G595</f>
        <v>814656000.00000024</v>
      </c>
      <c r="H116" s="129">
        <f>Assumptions!H592*Assumptions!H593+Assumptions!H595</f>
        <v>891321600.00000036</v>
      </c>
      <c r="I116" s="129">
        <f>Assumptions!I592*Assumptions!I593+Assumptions!I595</f>
        <v>975653760.00000048</v>
      </c>
      <c r="J116" s="129">
        <f>Assumptions!J592*Assumptions!J593+Assumptions!J595</f>
        <v>1068419136.0000007</v>
      </c>
      <c r="K116" s="129">
        <f>Assumptions!K592*Assumptions!K593+Assumptions!K595</f>
        <v>1170461049.6000009</v>
      </c>
      <c r="L116" s="129">
        <f>Assumptions!L592*Assumptions!L593+Assumptions!L595</f>
        <v>1282707154.5600009</v>
      </c>
    </row>
    <row r="117" spans="1:12" x14ac:dyDescent="0.3">
      <c r="A117" s="1" t="str">
        <f>Assumptions!A596</f>
        <v>Branding</v>
      </c>
      <c r="D117" s="129">
        <f>Assumptions!D597+Assumptions!D602</f>
        <v>200000</v>
      </c>
      <c r="E117" s="129">
        <f>Assumptions!E597+Assumptions!E602</f>
        <v>0</v>
      </c>
      <c r="F117" s="129">
        <f>Assumptions!F597+Assumptions!F602</f>
        <v>0</v>
      </c>
      <c r="G117" s="129">
        <f>Assumptions!G597+Assumptions!G602</f>
        <v>0</v>
      </c>
      <c r="H117" s="129">
        <f>Assumptions!H597+Assumptions!H602</f>
        <v>0</v>
      </c>
      <c r="I117" s="129">
        <f>Assumptions!I597+Assumptions!I602</f>
        <v>0</v>
      </c>
      <c r="J117" s="129">
        <f>Assumptions!J597+Assumptions!J602</f>
        <v>0</v>
      </c>
      <c r="K117" s="129">
        <f>Assumptions!K597+Assumptions!K602</f>
        <v>0</v>
      </c>
      <c r="L117" s="129">
        <f>Assumptions!L597+Assumptions!L602</f>
        <v>0</v>
      </c>
    </row>
    <row r="118" spans="1:12" x14ac:dyDescent="0.3">
      <c r="A118" s="1" t="str">
        <f>Assumptions!A603</f>
        <v xml:space="preserve">Account Head </v>
      </c>
      <c r="D118" s="129">
        <f>Assumptions!D613*Assumptions!D614</f>
        <v>600000</v>
      </c>
      <c r="E118" s="129">
        <f>Assumptions!E613*Assumptions!E614</f>
        <v>660000.00000000012</v>
      </c>
      <c r="F118" s="129">
        <f>Assumptions!F613*Assumptions!F614</f>
        <v>726000.00000000023</v>
      </c>
      <c r="G118" s="129">
        <f>Assumptions!G613*Assumptions!G614</f>
        <v>798600.00000000023</v>
      </c>
      <c r="H118" s="129">
        <f>Assumptions!H613*Assumptions!H614</f>
        <v>878460.00000000035</v>
      </c>
      <c r="I118" s="129">
        <f>Assumptions!I613*Assumptions!I614</f>
        <v>966306.00000000047</v>
      </c>
      <c r="J118" s="129">
        <f>Assumptions!J613*Assumptions!J614</f>
        <v>1062936.6000000008</v>
      </c>
      <c r="K118" s="129">
        <f>Assumptions!K613*Assumptions!K614</f>
        <v>1169230.2600000007</v>
      </c>
      <c r="L118" s="129">
        <f>Assumptions!L613*Assumptions!L614</f>
        <v>1286153.286000001</v>
      </c>
    </row>
    <row r="119" spans="1:12" x14ac:dyDescent="0.3">
      <c r="A119" s="1" t="str">
        <f>Assumptions!A610</f>
        <v>AMC Automation</v>
      </c>
      <c r="D119" s="129">
        <f>Assumptions!D613*Assumptions!D614+Assumptions!D616</f>
        <v>6000000</v>
      </c>
      <c r="E119" s="129">
        <f>Assumptions!E613*Assumptions!E614+Assumptions!E616</f>
        <v>6060000</v>
      </c>
      <c r="F119" s="129">
        <f>Assumptions!F613*Assumptions!F614+Assumptions!F616</f>
        <v>6126000</v>
      </c>
      <c r="G119" s="129">
        <f>Assumptions!G613*Assumptions!G614+Assumptions!G616</f>
        <v>6198600</v>
      </c>
      <c r="H119" s="129">
        <f>Assumptions!H613*Assumptions!H614+Assumptions!H616</f>
        <v>6278460</v>
      </c>
      <c r="I119" s="129">
        <f>Assumptions!I613*Assumptions!I614+Assumptions!I616</f>
        <v>6366306</v>
      </c>
      <c r="J119" s="129">
        <f>Assumptions!J613*Assumptions!J614+Assumptions!J616</f>
        <v>6462936.6000000006</v>
      </c>
      <c r="K119" s="129">
        <f>Assumptions!K613*Assumptions!K614+Assumptions!K616</f>
        <v>6569230.2600000007</v>
      </c>
      <c r="L119" s="129">
        <f>Assumptions!L613*Assumptions!L614+Assumptions!L616</f>
        <v>6686153.2860000012</v>
      </c>
    </row>
    <row r="120" spans="1:12" x14ac:dyDescent="0.3">
      <c r="A120" s="1" t="str">
        <f>Assumptions!A617</f>
        <v xml:space="preserve">IOT device with EMR </v>
      </c>
      <c r="D120" s="129">
        <f>Assumptions!D620*Assumptions!D621+Assumptions!D623</f>
        <v>780000</v>
      </c>
      <c r="E120" s="129">
        <f>Assumptions!E620*Assumptions!E621+Assumptions!E623</f>
        <v>798000</v>
      </c>
      <c r="F120" s="129">
        <f>Assumptions!F620*Assumptions!F621+Assumptions!F623</f>
        <v>817800</v>
      </c>
      <c r="G120" s="129">
        <f>Assumptions!G620*Assumptions!G621+Assumptions!G623</f>
        <v>839580.00000000012</v>
      </c>
      <c r="H120" s="129">
        <f>Assumptions!H620*Assumptions!H621+Assumptions!H623</f>
        <v>863538.00000000012</v>
      </c>
      <c r="I120" s="129">
        <f>Assumptions!I620*Assumptions!I621+Assumptions!I623</f>
        <v>889891.80000000016</v>
      </c>
      <c r="J120" s="129">
        <f>Assumptions!J620*Assumptions!J621+Assumptions!J623</f>
        <v>918880.98000000021</v>
      </c>
      <c r="K120" s="129">
        <f>Assumptions!K620*Assumptions!K621+Assumptions!K623</f>
        <v>950769.07800000021</v>
      </c>
      <c r="L120" s="129">
        <f>Assumptions!L620*Assumptions!L621+Assumptions!L623</f>
        <v>985845.98580000026</v>
      </c>
    </row>
    <row r="121" spans="1:12" x14ac:dyDescent="0.3">
      <c r="A121" s="1" t="str">
        <f>Assumptions!A624</f>
        <v xml:space="preserve">POC device reagents </v>
      </c>
      <c r="D121" s="129">
        <f>Assumptions!D627*Assumptions!D628+Assumptions!D630</f>
        <v>480000</v>
      </c>
      <c r="E121" s="129">
        <f>Assumptions!E627*Assumptions!E628+Assumptions!E630</f>
        <v>498000</v>
      </c>
      <c r="F121" s="129">
        <f>Assumptions!F627*Assumptions!F628+Assumptions!F630</f>
        <v>517800</v>
      </c>
      <c r="G121" s="129">
        <f>Assumptions!G627*Assumptions!G628+Assumptions!G630</f>
        <v>539580</v>
      </c>
      <c r="H121" s="129">
        <f>Assumptions!H627*Assumptions!H628+Assumptions!H630</f>
        <v>563538</v>
      </c>
      <c r="I121" s="129">
        <f>Assumptions!I627*Assumptions!I628+Assumptions!I630</f>
        <v>589891.80000000005</v>
      </c>
      <c r="J121" s="129">
        <f>Assumptions!J627*Assumptions!J628+Assumptions!J630</f>
        <v>618880.98</v>
      </c>
      <c r="K121" s="129">
        <f>Assumptions!K627*Assumptions!K628+Assumptions!K630</f>
        <v>650769.0780000001</v>
      </c>
      <c r="L121" s="129">
        <f>Assumptions!L627*Assumptions!L628+Assumptions!L630</f>
        <v>685845.98580000014</v>
      </c>
    </row>
    <row r="122" spans="1:12" x14ac:dyDescent="0.3">
      <c r="A122" s="1" t="str">
        <f>Assumptions!A631</f>
        <v>Dedicated call centre</v>
      </c>
      <c r="D122" s="129">
        <f>Assumptions!D634*Assumptions!D635+Assumptions!D637</f>
        <v>716000</v>
      </c>
      <c r="E122" s="129">
        <f>Assumptions!E634*Assumptions!E635+Assumptions!E637</f>
        <v>737600</v>
      </c>
      <c r="F122" s="129">
        <f>Assumptions!F634*Assumptions!F635+Assumptions!F637</f>
        <v>761360</v>
      </c>
      <c r="G122" s="129">
        <f>Assumptions!G634*Assumptions!G635+Assumptions!G637</f>
        <v>787496</v>
      </c>
      <c r="H122" s="129">
        <f>Assumptions!H634*Assumptions!H635+Assumptions!H637</f>
        <v>816245.60000000009</v>
      </c>
      <c r="I122" s="129">
        <f>Assumptions!I634*Assumptions!I635+Assumptions!I637</f>
        <v>847870.16000000015</v>
      </c>
      <c r="J122" s="129">
        <f>Assumptions!J634*Assumptions!J635+Assumptions!J637</f>
        <v>882657.17600000021</v>
      </c>
      <c r="K122" s="129">
        <f>Assumptions!K634*Assumptions!K635+Assumptions!K637</f>
        <v>920922.8936000003</v>
      </c>
      <c r="L122" s="129">
        <f>Assumptions!L634*Assumptions!L635+Assumptions!L637</f>
        <v>963015.18296000035</v>
      </c>
    </row>
    <row r="123" spans="1:12" x14ac:dyDescent="0.3">
      <c r="A123" s="1" t="str">
        <f>Assumptions!A638</f>
        <v>Ultrasound AMC</v>
      </c>
      <c r="D123" s="129">
        <f>Assumptions!D641*Assumptions!D642</f>
        <v>1500000</v>
      </c>
      <c r="E123" s="129">
        <f>Assumptions!E641*Assumptions!E642</f>
        <v>1650000.0000000002</v>
      </c>
      <c r="F123" s="129">
        <f>Assumptions!F641*Assumptions!F642</f>
        <v>1815000.0000000005</v>
      </c>
      <c r="G123" s="129">
        <f>Assumptions!G641*Assumptions!G642</f>
        <v>1996500.0000000007</v>
      </c>
      <c r="H123" s="129">
        <f>Assumptions!H641*Assumptions!H642</f>
        <v>2196150.0000000009</v>
      </c>
      <c r="I123" s="129">
        <f>Assumptions!I641*Assumptions!I642</f>
        <v>2415765.0000000014</v>
      </c>
      <c r="J123" s="129">
        <f>Assumptions!J641*Assumptions!J642</f>
        <v>2657341.5000000019</v>
      </c>
      <c r="K123" s="129">
        <f>Assumptions!K641*Assumptions!K642</f>
        <v>2923075.6500000022</v>
      </c>
      <c r="L123" s="129">
        <f>Assumptions!L641*Assumptions!L642</f>
        <v>3215383.2150000026</v>
      </c>
    </row>
    <row r="124" spans="1:12" x14ac:dyDescent="0.3">
      <c r="A124" s="1" t="str">
        <f>Assumptions!A645</f>
        <v>Pharmacist</v>
      </c>
      <c r="D124" s="129">
        <f>Assumptions!D648*Assumptions!D649</f>
        <v>2400000</v>
      </c>
      <c r="E124" s="129">
        <f>Assumptions!E648*Assumptions!E649</f>
        <v>2640000.0000000005</v>
      </c>
      <c r="F124" s="129">
        <f>Assumptions!F648*Assumptions!F649</f>
        <v>2904000.0000000009</v>
      </c>
      <c r="G124" s="129">
        <f>Assumptions!G648*Assumptions!G649</f>
        <v>3194400.0000000009</v>
      </c>
      <c r="H124" s="129">
        <f>Assumptions!H648*Assumptions!H649</f>
        <v>3513840.0000000014</v>
      </c>
      <c r="I124" s="129">
        <f>Assumptions!I648*Assumptions!I649</f>
        <v>3865224.0000000019</v>
      </c>
      <c r="J124" s="129">
        <f>Assumptions!J648*Assumptions!J649</f>
        <v>4251746.4000000032</v>
      </c>
      <c r="K124" s="129">
        <f>Assumptions!K648*Assumptions!K649</f>
        <v>4676921.0400000028</v>
      </c>
      <c r="L124" s="129">
        <f>Assumptions!L648*Assumptions!L649</f>
        <v>5144613.144000004</v>
      </c>
    </row>
    <row r="125" spans="1:12" x14ac:dyDescent="0.3">
      <c r="A125" s="1" t="str">
        <f>Assumptions!A652</f>
        <v>Digital marketing &amp; promotion</v>
      </c>
      <c r="D125" s="129">
        <f>Assumptions!D655*Assumptions!D656+Assumptions!D658</f>
        <v>11100000</v>
      </c>
      <c r="E125" s="129">
        <f>Assumptions!E655*Assumptions!E656+Assumptions!E658</f>
        <v>11130000</v>
      </c>
      <c r="F125" s="129">
        <f>Assumptions!F655*Assumptions!F656+Assumptions!F658</f>
        <v>11163000</v>
      </c>
      <c r="G125" s="129">
        <f>Assumptions!G655*Assumptions!G656+Assumptions!G658</f>
        <v>11199300</v>
      </c>
      <c r="H125" s="129">
        <f>Assumptions!H655*Assumptions!H656+Assumptions!H658</f>
        <v>11239230</v>
      </c>
      <c r="I125" s="129">
        <f>Assumptions!I655*Assumptions!I656+Assumptions!I658</f>
        <v>11283153</v>
      </c>
      <c r="J125" s="129">
        <f>Assumptions!J655*Assumptions!J656+Assumptions!J658</f>
        <v>11331468.300000001</v>
      </c>
      <c r="K125" s="129">
        <f>Assumptions!K655*Assumptions!K656+Assumptions!K658</f>
        <v>11384615.130000001</v>
      </c>
      <c r="L125" s="129">
        <f>Assumptions!L655*Assumptions!L656+Assumptions!L658</f>
        <v>11443076.643000001</v>
      </c>
    </row>
    <row r="126" spans="1:12" x14ac:dyDescent="0.3">
      <c r="A126" s="1" t="str">
        <f>Assumptions!A659</f>
        <v>Press release</v>
      </c>
      <c r="D126" s="129">
        <f>Assumptions!D662*Assumptions!D663+Assumptions!D665</f>
        <v>800000</v>
      </c>
      <c r="E126" s="129">
        <f>Assumptions!E662*Assumptions!E663+Assumptions!E665</f>
        <v>830000</v>
      </c>
      <c r="F126" s="129">
        <f>Assumptions!F662*Assumptions!F663+Assumptions!F665</f>
        <v>863000.00000000012</v>
      </c>
      <c r="G126" s="129">
        <f>Assumptions!G662*Assumptions!G663+Assumptions!G665</f>
        <v>899300.00000000012</v>
      </c>
      <c r="H126" s="129">
        <f>Assumptions!H662*Assumptions!H663+Assumptions!H665</f>
        <v>939230.00000000023</v>
      </c>
      <c r="I126" s="129">
        <f>Assumptions!I662*Assumptions!I663+Assumptions!I665</f>
        <v>983153.00000000023</v>
      </c>
      <c r="J126" s="129">
        <f>Assumptions!J662*Assumptions!J663+Assumptions!J665</f>
        <v>1031468.3000000004</v>
      </c>
      <c r="K126" s="129">
        <f>Assumptions!K662*Assumptions!K663+Assumptions!K665</f>
        <v>1084615.1300000004</v>
      </c>
      <c r="L126" s="129">
        <f>Assumptions!L662*Assumptions!L663+Assumptions!L665</f>
        <v>1143076.6430000006</v>
      </c>
    </row>
    <row r="127" spans="1:12" x14ac:dyDescent="0.3">
      <c r="A127" s="1" t="str">
        <f>Assumptions!A666</f>
        <v>Patient smart app</v>
      </c>
      <c r="D127" s="129">
        <f>Assumptions!D669*Assumptions!D670</f>
        <v>60000</v>
      </c>
      <c r="E127" s="129">
        <f>Assumptions!E669*Assumptions!E670</f>
        <v>66000</v>
      </c>
      <c r="F127" s="129">
        <f>Assumptions!F669*Assumptions!F670</f>
        <v>72600.000000000015</v>
      </c>
      <c r="G127" s="129">
        <f>Assumptions!G669*Assumptions!G670</f>
        <v>79860.000000000029</v>
      </c>
      <c r="H127" s="129">
        <f>Assumptions!H669*Assumptions!H670</f>
        <v>87846.000000000029</v>
      </c>
      <c r="I127" s="129">
        <f>Assumptions!I669*Assumptions!I670</f>
        <v>96630.600000000049</v>
      </c>
      <c r="J127" s="129">
        <f>Assumptions!J669*Assumptions!J670</f>
        <v>106293.66000000006</v>
      </c>
      <c r="K127" s="129">
        <f>Assumptions!K669*Assumptions!K670</f>
        <v>116923.02600000007</v>
      </c>
      <c r="L127" s="129">
        <f>Assumptions!L669*Assumptions!L670</f>
        <v>128615.3286000001</v>
      </c>
    </row>
    <row r="128" spans="1:12" x14ac:dyDescent="0.3">
      <c r="A128" s="1" t="str">
        <f>Assumptions!A673</f>
        <v>Server</v>
      </c>
      <c r="D128" s="129">
        <f>Assumptions!D676*Assumptions!D677+Assumptions!D679</f>
        <v>11400000</v>
      </c>
      <c r="E128" s="129">
        <f>Assumptions!E676*Assumptions!E677+Assumptions!E679</f>
        <v>11460000</v>
      </c>
      <c r="F128" s="129">
        <f>Assumptions!F676*Assumptions!F677+Assumptions!F679</f>
        <v>11526000</v>
      </c>
      <c r="G128" s="129">
        <f>Assumptions!G676*Assumptions!G677+Assumptions!G679</f>
        <v>11598600</v>
      </c>
      <c r="H128" s="129">
        <f>Assumptions!H676*Assumptions!H677+Assumptions!H679</f>
        <v>11678460</v>
      </c>
      <c r="I128" s="129">
        <f>Assumptions!I676*Assumptions!I677+Assumptions!I679</f>
        <v>11766306</v>
      </c>
      <c r="J128" s="129">
        <f>Assumptions!J676*Assumptions!J677+Assumptions!J679</f>
        <v>11862936.600000001</v>
      </c>
      <c r="K128" s="129">
        <f>Assumptions!K676*Assumptions!K677+Assumptions!K679</f>
        <v>11969230.260000002</v>
      </c>
      <c r="L128" s="129">
        <f>Assumptions!L676*Assumptions!L677+Assumptions!L679</f>
        <v>12086153.286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3DB5-A040-43C0-8D0B-8A93148C13A7}">
  <sheetPr>
    <tabColor rgb="FF002060"/>
  </sheetPr>
  <dimension ref="A1:L114"/>
  <sheetViews>
    <sheetView showGridLines="0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3" x14ac:dyDescent="0.3"/>
  <cols>
    <col min="1" max="1" width="40" style="1" customWidth="1"/>
    <col min="2" max="2" width="10" style="1" customWidth="1"/>
    <col min="3" max="3" width="13.36328125" style="1" bestFit="1" customWidth="1"/>
    <col min="4" max="15" width="14.54296875" style="59" customWidth="1"/>
    <col min="16" max="16384" width="8.7265625" style="59"/>
  </cols>
  <sheetData>
    <row r="1" spans="1:12" s="160" customFormat="1" ht="14.5" x14ac:dyDescent="0.35">
      <c r="A1" s="159" t="s">
        <v>42</v>
      </c>
    </row>
    <row r="2" spans="1:12" s="186" customFormat="1" ht="14" customHeight="1" x14ac:dyDescent="0.3">
      <c r="A2" s="185" t="s">
        <v>258</v>
      </c>
      <c r="B2" s="185"/>
      <c r="C2" s="185"/>
      <c r="D2" s="188">
        <v>1</v>
      </c>
      <c r="E2" s="188">
        <f t="shared" ref="E2:L2" si="0">D2+1</f>
        <v>2</v>
      </c>
      <c r="F2" s="188">
        <f t="shared" si="0"/>
        <v>3</v>
      </c>
      <c r="G2" s="188">
        <f t="shared" si="0"/>
        <v>4</v>
      </c>
      <c r="H2" s="188">
        <f t="shared" si="0"/>
        <v>5</v>
      </c>
      <c r="I2" s="188">
        <f t="shared" si="0"/>
        <v>6</v>
      </c>
      <c r="J2" s="188">
        <f t="shared" si="0"/>
        <v>7</v>
      </c>
      <c r="K2" s="188">
        <f t="shared" si="0"/>
        <v>8</v>
      </c>
      <c r="L2" s="188">
        <f t="shared" si="0"/>
        <v>9</v>
      </c>
    </row>
    <row r="3" spans="1:12" s="1" customFormat="1" x14ac:dyDescent="0.3"/>
    <row r="4" spans="1:12" s="60" customFormat="1" x14ac:dyDescent="0.3">
      <c r="A4" s="60" t="s">
        <v>15</v>
      </c>
      <c r="B4" s="60" t="s">
        <v>163</v>
      </c>
      <c r="C4" s="60" t="s">
        <v>166</v>
      </c>
    </row>
    <row r="5" spans="1:12" s="1" customFormat="1" x14ac:dyDescent="0.3"/>
    <row r="6" spans="1:12" s="60" customFormat="1" x14ac:dyDescent="0.3">
      <c r="A6" s="121" t="s">
        <v>60</v>
      </c>
      <c r="B6" s="121"/>
      <c r="C6" s="121"/>
    </row>
    <row r="7" spans="1:12" s="1" customFormat="1" x14ac:dyDescent="0.3"/>
    <row r="8" spans="1:12" s="1" customFormat="1" x14ac:dyDescent="0.3">
      <c r="A8" s="1" t="s">
        <v>61</v>
      </c>
      <c r="C8" s="59"/>
      <c r="D8" s="59"/>
      <c r="E8" s="59">
        <f>D11</f>
        <v>796880000</v>
      </c>
      <c r="F8" s="59">
        <f>E11</f>
        <v>637504000</v>
      </c>
      <c r="G8" s="59">
        <f>F11</f>
        <v>510003200</v>
      </c>
      <c r="H8" s="59">
        <f t="shared" ref="H8:L8" si="1">G11</f>
        <v>408002560</v>
      </c>
      <c r="I8" s="59">
        <f t="shared" si="1"/>
        <v>326402048</v>
      </c>
      <c r="J8" s="59">
        <f t="shared" si="1"/>
        <v>261121638.40000001</v>
      </c>
      <c r="K8" s="59">
        <f t="shared" si="1"/>
        <v>208897310.72</v>
      </c>
      <c r="L8" s="59">
        <f t="shared" si="1"/>
        <v>167117848.57600001</v>
      </c>
    </row>
    <row r="9" spans="1:12" s="1" customFormat="1" x14ac:dyDescent="0.3">
      <c r="A9" s="1" t="s">
        <v>63</v>
      </c>
      <c r="C9" s="148"/>
      <c r="D9" s="148">
        <f>SUM(D19:D114)</f>
        <v>996100000</v>
      </c>
      <c r="E9" s="148">
        <f t="shared" ref="E9:L9" si="2">SUM(E19:E114)</f>
        <v>0</v>
      </c>
      <c r="F9" s="148">
        <f t="shared" si="2"/>
        <v>0</v>
      </c>
      <c r="G9" s="148">
        <f t="shared" si="2"/>
        <v>0</v>
      </c>
      <c r="H9" s="148">
        <f t="shared" si="2"/>
        <v>0</v>
      </c>
      <c r="I9" s="148">
        <f t="shared" si="2"/>
        <v>0</v>
      </c>
      <c r="J9" s="148">
        <f t="shared" si="2"/>
        <v>0</v>
      </c>
      <c r="K9" s="148">
        <f t="shared" si="2"/>
        <v>0</v>
      </c>
      <c r="L9" s="148">
        <f t="shared" si="2"/>
        <v>0</v>
      </c>
    </row>
    <row r="10" spans="1:12" s="1" customFormat="1" x14ac:dyDescent="0.3">
      <c r="A10" s="1" t="s">
        <v>34</v>
      </c>
      <c r="B10" s="122">
        <v>0.2</v>
      </c>
      <c r="C10" s="59"/>
      <c r="D10" s="59">
        <f>SUM(D8:D9)*$B$10</f>
        <v>199220000</v>
      </c>
      <c r="E10" s="59">
        <f>SUM(E8:E9)*$B$10</f>
        <v>159376000</v>
      </c>
      <c r="F10" s="59">
        <f>SUM(F8:F9)*$B$10</f>
        <v>127500800</v>
      </c>
      <c r="G10" s="59">
        <f>SUM(G8:G9)*$B$10</f>
        <v>102000640</v>
      </c>
      <c r="H10" s="59">
        <f t="shared" ref="H10:L10" si="3">SUM(H8:H9)*$B$10</f>
        <v>81600512</v>
      </c>
      <c r="I10" s="59">
        <f t="shared" si="3"/>
        <v>65280409.600000001</v>
      </c>
      <c r="J10" s="59">
        <f t="shared" si="3"/>
        <v>52224327.680000007</v>
      </c>
      <c r="K10" s="59">
        <f t="shared" si="3"/>
        <v>41779462.144000001</v>
      </c>
      <c r="L10" s="59">
        <f t="shared" si="3"/>
        <v>33423569.715200003</v>
      </c>
    </row>
    <row r="11" spans="1:12" s="60" customFormat="1" x14ac:dyDescent="0.3">
      <c r="A11" s="123" t="s">
        <v>62</v>
      </c>
      <c r="B11" s="123"/>
      <c r="C11" s="193"/>
      <c r="D11" s="193">
        <f>D8+D9-D10</f>
        <v>796880000</v>
      </c>
      <c r="E11" s="193">
        <f>E8+E9-E10</f>
        <v>637504000</v>
      </c>
      <c r="F11" s="193">
        <f>F8+F9-F10</f>
        <v>510003200</v>
      </c>
      <c r="G11" s="193">
        <f>G8+G9-G10</f>
        <v>408002560</v>
      </c>
      <c r="H11" s="193">
        <f t="shared" ref="H11:L11" si="4">H8+H9-H10</f>
        <v>326402048</v>
      </c>
      <c r="I11" s="193">
        <f t="shared" si="4"/>
        <v>261121638.40000001</v>
      </c>
      <c r="J11" s="193">
        <f t="shared" si="4"/>
        <v>208897310.72</v>
      </c>
      <c r="K11" s="193">
        <f t="shared" si="4"/>
        <v>167117848.57600001</v>
      </c>
      <c r="L11" s="193">
        <f t="shared" si="4"/>
        <v>133694278.8608</v>
      </c>
    </row>
    <row r="12" spans="1:12" s="1" customFormat="1" x14ac:dyDescent="0.3"/>
    <row r="13" spans="1:12" s="191" customFormat="1" x14ac:dyDescent="0.3">
      <c r="A13" s="121" t="s">
        <v>263</v>
      </c>
      <c r="B13" s="121"/>
      <c r="C13" s="121"/>
    </row>
    <row r="14" spans="1:12" s="1" customFormat="1" x14ac:dyDescent="0.3"/>
    <row r="15" spans="1:12" s="1" customFormat="1" x14ac:dyDescent="0.3">
      <c r="A15" s="221" t="s">
        <v>235</v>
      </c>
      <c r="B15" s="221"/>
      <c r="C15" s="222">
        <v>12</v>
      </c>
    </row>
    <row r="16" spans="1:12" s="192" customFormat="1" x14ac:dyDescent="0.3">
      <c r="A16" s="191"/>
      <c r="B16" s="191"/>
      <c r="C16" s="191"/>
    </row>
    <row r="17" spans="1:4" x14ac:dyDescent="0.3">
      <c r="A17" s="184" t="str">
        <f>Assumptions!A102</f>
        <v>Hospital 1 - Clearmedi</v>
      </c>
      <c r="B17" s="184"/>
      <c r="C17" s="184"/>
    </row>
    <row r="18" spans="1:4" x14ac:dyDescent="0.3">
      <c r="A18" s="219" t="s">
        <v>245</v>
      </c>
    </row>
    <row r="19" spans="1:4" x14ac:dyDescent="0.3">
      <c r="A19" s="210" t="s">
        <v>244</v>
      </c>
      <c r="B19" s="1" t="s">
        <v>165</v>
      </c>
      <c r="D19" s="201">
        <v>55000000</v>
      </c>
    </row>
    <row r="20" spans="1:4" x14ac:dyDescent="0.3">
      <c r="A20" s="210" t="s">
        <v>238</v>
      </c>
      <c r="B20" s="1" t="s">
        <v>165</v>
      </c>
      <c r="D20" s="201">
        <v>65000000</v>
      </c>
    </row>
    <row r="21" spans="1:4" x14ac:dyDescent="0.3">
      <c r="A21" s="219" t="s">
        <v>259</v>
      </c>
      <c r="D21" s="201"/>
    </row>
    <row r="22" spans="1:4" x14ac:dyDescent="0.3">
      <c r="A22" s="210" t="s">
        <v>244</v>
      </c>
      <c r="B22" s="1" t="s">
        <v>165</v>
      </c>
      <c r="D22" s="201">
        <v>400000</v>
      </c>
    </row>
    <row r="23" spans="1:4" x14ac:dyDescent="0.3">
      <c r="A23" s="210" t="s">
        <v>238</v>
      </c>
      <c r="B23" s="1" t="s">
        <v>165</v>
      </c>
      <c r="D23" s="201">
        <v>75000000</v>
      </c>
    </row>
    <row r="24" spans="1:4" x14ac:dyDescent="0.3">
      <c r="A24" s="219" t="s">
        <v>260</v>
      </c>
      <c r="D24" s="201"/>
    </row>
    <row r="25" spans="1:4" x14ac:dyDescent="0.3">
      <c r="A25" s="210" t="s">
        <v>244</v>
      </c>
      <c r="B25" s="1" t="s">
        <v>165</v>
      </c>
      <c r="D25" s="201">
        <f>250000*5</f>
        <v>1250000</v>
      </c>
    </row>
    <row r="26" spans="1:4" x14ac:dyDescent="0.3">
      <c r="A26" s="210" t="s">
        <v>238</v>
      </c>
      <c r="B26" s="1" t="s">
        <v>165</v>
      </c>
      <c r="D26" s="201"/>
    </row>
    <row r="27" spans="1:4" x14ac:dyDescent="0.3">
      <c r="A27" s="210"/>
      <c r="D27" s="201"/>
    </row>
    <row r="28" spans="1:4" x14ac:dyDescent="0.3">
      <c r="A28" s="184" t="str">
        <f>Assumptions!A216</f>
        <v>Hospital 2 - Girik</v>
      </c>
      <c r="B28" s="183"/>
      <c r="C28" s="183"/>
    </row>
    <row r="29" spans="1:4" x14ac:dyDescent="0.3">
      <c r="A29" s="219" t="s">
        <v>245</v>
      </c>
    </row>
    <row r="30" spans="1:4" x14ac:dyDescent="0.3">
      <c r="A30" s="210" t="s">
        <v>244</v>
      </c>
      <c r="B30" s="1" t="s">
        <v>165</v>
      </c>
      <c r="D30" s="201">
        <v>55000000</v>
      </c>
    </row>
    <row r="31" spans="1:4" x14ac:dyDescent="0.3">
      <c r="A31" s="210" t="s">
        <v>238</v>
      </c>
      <c r="B31" s="1" t="s">
        <v>165</v>
      </c>
      <c r="D31" s="201">
        <v>65000000</v>
      </c>
    </row>
    <row r="32" spans="1:4" x14ac:dyDescent="0.3">
      <c r="A32" s="219" t="s">
        <v>259</v>
      </c>
      <c r="D32" s="201"/>
    </row>
    <row r="33" spans="1:4" x14ac:dyDescent="0.3">
      <c r="A33" s="210" t="s">
        <v>244</v>
      </c>
      <c r="B33" s="1" t="s">
        <v>165</v>
      </c>
      <c r="D33" s="201">
        <v>400000</v>
      </c>
    </row>
    <row r="34" spans="1:4" x14ac:dyDescent="0.3">
      <c r="A34" s="210" t="s">
        <v>238</v>
      </c>
      <c r="B34" s="1" t="s">
        <v>165</v>
      </c>
      <c r="D34" s="201">
        <v>75000000</v>
      </c>
    </row>
    <row r="35" spans="1:4" x14ac:dyDescent="0.3">
      <c r="A35" s="219" t="s">
        <v>260</v>
      </c>
      <c r="D35" s="201"/>
    </row>
    <row r="36" spans="1:4" x14ac:dyDescent="0.3">
      <c r="A36" s="210" t="s">
        <v>244</v>
      </c>
      <c r="B36" s="1" t="s">
        <v>165</v>
      </c>
      <c r="D36" s="201">
        <f>250000*5</f>
        <v>1250000</v>
      </c>
    </row>
    <row r="37" spans="1:4" x14ac:dyDescent="0.3">
      <c r="A37" s="210" t="s">
        <v>238</v>
      </c>
      <c r="B37" s="1" t="s">
        <v>165</v>
      </c>
      <c r="D37" s="201"/>
    </row>
    <row r="38" spans="1:4" x14ac:dyDescent="0.3">
      <c r="A38" s="210"/>
      <c r="D38" s="201"/>
    </row>
    <row r="39" spans="1:4" x14ac:dyDescent="0.3">
      <c r="A39" s="184" t="str">
        <f>Assumptions!A316</f>
        <v>Hospital 3 - Mann</v>
      </c>
      <c r="B39" s="184"/>
      <c r="C39" s="184"/>
    </row>
    <row r="40" spans="1:4" x14ac:dyDescent="0.3">
      <c r="A40" s="219" t="s">
        <v>261</v>
      </c>
    </row>
    <row r="41" spans="1:4" x14ac:dyDescent="0.3">
      <c r="A41" s="210" t="s">
        <v>244</v>
      </c>
      <c r="B41" s="1" t="s">
        <v>165</v>
      </c>
      <c r="D41" s="201">
        <v>5500000</v>
      </c>
    </row>
    <row r="42" spans="1:4" x14ac:dyDescent="0.3">
      <c r="A42" s="210" t="s">
        <v>238</v>
      </c>
      <c r="B42" s="1" t="s">
        <v>165</v>
      </c>
      <c r="D42" s="201">
        <v>12000000</v>
      </c>
    </row>
    <row r="43" spans="1:4" x14ac:dyDescent="0.3">
      <c r="A43" s="219" t="s">
        <v>259</v>
      </c>
      <c r="D43" s="201"/>
    </row>
    <row r="44" spans="1:4" x14ac:dyDescent="0.3">
      <c r="A44" s="210" t="s">
        <v>244</v>
      </c>
      <c r="B44" s="1" t="s">
        <v>165</v>
      </c>
      <c r="D44" s="201">
        <v>400000</v>
      </c>
    </row>
    <row r="45" spans="1:4" x14ac:dyDescent="0.3">
      <c r="A45" s="210" t="s">
        <v>238</v>
      </c>
      <c r="B45" s="1" t="s">
        <v>165</v>
      </c>
      <c r="D45" s="201">
        <v>75000000</v>
      </c>
    </row>
    <row r="46" spans="1:4" x14ac:dyDescent="0.3">
      <c r="A46" s="219" t="s">
        <v>260</v>
      </c>
      <c r="D46" s="201"/>
    </row>
    <row r="47" spans="1:4" x14ac:dyDescent="0.3">
      <c r="A47" s="210" t="s">
        <v>244</v>
      </c>
      <c r="B47" s="1" t="s">
        <v>165</v>
      </c>
      <c r="D47" s="201">
        <f>250000*5</f>
        <v>1250000</v>
      </c>
    </row>
    <row r="48" spans="1:4" x14ac:dyDescent="0.3">
      <c r="A48" s="210" t="s">
        <v>238</v>
      </c>
      <c r="B48" s="1" t="s">
        <v>165</v>
      </c>
      <c r="D48" s="201"/>
    </row>
    <row r="50" spans="1:4" x14ac:dyDescent="0.3">
      <c r="A50" s="184" t="str">
        <f>Assumptions!A402</f>
        <v>Hospital 4 - Le-crest</v>
      </c>
      <c r="B50" s="184"/>
      <c r="C50" s="184"/>
    </row>
    <row r="51" spans="1:4" x14ac:dyDescent="0.3">
      <c r="A51" s="219" t="s">
        <v>221</v>
      </c>
    </row>
    <row r="52" spans="1:4" x14ac:dyDescent="0.3">
      <c r="A52" s="210" t="s">
        <v>244</v>
      </c>
      <c r="B52" s="1" t="s">
        <v>165</v>
      </c>
      <c r="D52" s="201">
        <v>13500000</v>
      </c>
    </row>
    <row r="53" spans="1:4" x14ac:dyDescent="0.3">
      <c r="A53" s="210" t="s">
        <v>238</v>
      </c>
      <c r="B53" s="1" t="s">
        <v>165</v>
      </c>
      <c r="D53" s="201">
        <v>22500000</v>
      </c>
    </row>
    <row r="54" spans="1:4" x14ac:dyDescent="0.3">
      <c r="A54" s="219" t="s">
        <v>222</v>
      </c>
    </row>
    <row r="55" spans="1:4" x14ac:dyDescent="0.3">
      <c r="A55" s="210" t="s">
        <v>244</v>
      </c>
      <c r="B55" s="1" t="s">
        <v>165</v>
      </c>
      <c r="D55" s="201">
        <v>600000</v>
      </c>
    </row>
    <row r="56" spans="1:4" x14ac:dyDescent="0.3">
      <c r="A56" s="210" t="s">
        <v>238</v>
      </c>
      <c r="B56" s="1" t="s">
        <v>165</v>
      </c>
      <c r="D56" s="201">
        <v>600000</v>
      </c>
    </row>
    <row r="57" spans="1:4" x14ac:dyDescent="0.3">
      <c r="A57" s="219" t="s">
        <v>223</v>
      </c>
    </row>
    <row r="58" spans="1:4" x14ac:dyDescent="0.3">
      <c r="A58" s="210" t="s">
        <v>244</v>
      </c>
      <c r="B58" s="1" t="s">
        <v>165</v>
      </c>
      <c r="D58" s="201">
        <v>250000</v>
      </c>
    </row>
    <row r="59" spans="1:4" x14ac:dyDescent="0.3">
      <c r="A59" s="210" t="s">
        <v>238</v>
      </c>
      <c r="B59" s="1" t="s">
        <v>165</v>
      </c>
      <c r="D59" s="201">
        <v>500000</v>
      </c>
    </row>
    <row r="60" spans="1:4" x14ac:dyDescent="0.3">
      <c r="A60" s="219" t="s">
        <v>224</v>
      </c>
    </row>
    <row r="61" spans="1:4" x14ac:dyDescent="0.3">
      <c r="A61" s="210" t="s">
        <v>244</v>
      </c>
      <c r="B61" s="1" t="s">
        <v>165</v>
      </c>
      <c r="D61" s="201">
        <v>250000</v>
      </c>
    </row>
    <row r="62" spans="1:4" x14ac:dyDescent="0.3">
      <c r="A62" s="210" t="s">
        <v>238</v>
      </c>
      <c r="B62" s="1" t="s">
        <v>165</v>
      </c>
      <c r="D62" s="201">
        <v>500000</v>
      </c>
    </row>
    <row r="63" spans="1:4" x14ac:dyDescent="0.3">
      <c r="A63" s="219" t="s">
        <v>225</v>
      </c>
    </row>
    <row r="64" spans="1:4" x14ac:dyDescent="0.3">
      <c r="A64" s="210" t="s">
        <v>244</v>
      </c>
      <c r="B64" s="1" t="s">
        <v>165</v>
      </c>
      <c r="D64" s="201">
        <v>250000</v>
      </c>
    </row>
    <row r="65" spans="1:4" x14ac:dyDescent="0.3">
      <c r="A65" s="210" t="s">
        <v>238</v>
      </c>
      <c r="B65" s="1" t="s">
        <v>165</v>
      </c>
      <c r="D65" s="201">
        <v>250000</v>
      </c>
    </row>
    <row r="66" spans="1:4" x14ac:dyDescent="0.3">
      <c r="A66" s="219" t="s">
        <v>226</v>
      </c>
    </row>
    <row r="67" spans="1:4" x14ac:dyDescent="0.3">
      <c r="A67" s="210" t="s">
        <v>244</v>
      </c>
      <c r="B67" s="1" t="s">
        <v>165</v>
      </c>
      <c r="D67" s="201">
        <v>500000</v>
      </c>
    </row>
    <row r="68" spans="1:4" x14ac:dyDescent="0.3">
      <c r="A68" s="210" t="s">
        <v>238</v>
      </c>
      <c r="B68" s="1" t="s">
        <v>165</v>
      </c>
      <c r="D68" s="201">
        <v>500000</v>
      </c>
    </row>
    <row r="69" spans="1:4" x14ac:dyDescent="0.3">
      <c r="A69" s="219" t="s">
        <v>245</v>
      </c>
    </row>
    <row r="70" spans="1:4" x14ac:dyDescent="0.3">
      <c r="A70" s="210" t="s">
        <v>244</v>
      </c>
      <c r="B70" s="1" t="s">
        <v>165</v>
      </c>
      <c r="D70" s="201">
        <v>55000000</v>
      </c>
    </row>
    <row r="71" spans="1:4" x14ac:dyDescent="0.3">
      <c r="A71" s="210" t="s">
        <v>238</v>
      </c>
      <c r="B71" s="1" t="s">
        <v>165</v>
      </c>
      <c r="D71" s="201">
        <v>65000000</v>
      </c>
    </row>
    <row r="72" spans="1:4" x14ac:dyDescent="0.3">
      <c r="A72" s="219" t="s">
        <v>227</v>
      </c>
    </row>
    <row r="73" spans="1:4" x14ac:dyDescent="0.3">
      <c r="A73" s="210" t="s">
        <v>244</v>
      </c>
      <c r="B73" s="1" t="s">
        <v>165</v>
      </c>
      <c r="D73" s="201">
        <v>5000000</v>
      </c>
    </row>
    <row r="74" spans="1:4" x14ac:dyDescent="0.3">
      <c r="A74" s="210" t="s">
        <v>238</v>
      </c>
      <c r="B74" s="1" t="s">
        <v>165</v>
      </c>
      <c r="D74" s="201">
        <v>25000000</v>
      </c>
    </row>
    <row r="75" spans="1:4" x14ac:dyDescent="0.3">
      <c r="A75" s="219" t="s">
        <v>228</v>
      </c>
    </row>
    <row r="76" spans="1:4" x14ac:dyDescent="0.3">
      <c r="A76" s="210" t="s">
        <v>244</v>
      </c>
      <c r="B76" s="1" t="s">
        <v>165</v>
      </c>
      <c r="D76" s="201">
        <v>30000000</v>
      </c>
    </row>
    <row r="77" spans="1:4" x14ac:dyDescent="0.3">
      <c r="A77" s="210" t="s">
        <v>238</v>
      </c>
      <c r="B77" s="1" t="s">
        <v>165</v>
      </c>
      <c r="D77" s="201">
        <v>150000000</v>
      </c>
    </row>
    <row r="78" spans="1:4" x14ac:dyDescent="0.3">
      <c r="A78" s="219" t="s">
        <v>229</v>
      </c>
    </row>
    <row r="79" spans="1:4" x14ac:dyDescent="0.3">
      <c r="A79" s="210" t="s">
        <v>244</v>
      </c>
      <c r="B79" s="1" t="s">
        <v>165</v>
      </c>
      <c r="D79" s="201">
        <v>11000000</v>
      </c>
    </row>
    <row r="80" spans="1:4" x14ac:dyDescent="0.3">
      <c r="A80" s="210" t="s">
        <v>238</v>
      </c>
      <c r="B80" s="1" t="s">
        <v>165</v>
      </c>
      <c r="D80" s="201">
        <v>12500000</v>
      </c>
    </row>
    <row r="81" spans="1:4" x14ac:dyDescent="0.3">
      <c r="A81" s="219" t="s">
        <v>246</v>
      </c>
    </row>
    <row r="82" spans="1:4" x14ac:dyDescent="0.3">
      <c r="A82" s="210" t="s">
        <v>244</v>
      </c>
      <c r="B82" s="1" t="s">
        <v>165</v>
      </c>
      <c r="D82" s="201">
        <v>22500000</v>
      </c>
    </row>
    <row r="83" spans="1:4" x14ac:dyDescent="0.3">
      <c r="A83" s="210" t="s">
        <v>238</v>
      </c>
      <c r="B83" s="1" t="s">
        <v>165</v>
      </c>
      <c r="D83" s="201">
        <v>45000000</v>
      </c>
    </row>
    <row r="84" spans="1:4" x14ac:dyDescent="0.3">
      <c r="A84" s="219" t="s">
        <v>230</v>
      </c>
    </row>
    <row r="85" spans="1:4" x14ac:dyDescent="0.3">
      <c r="A85" s="210" t="s">
        <v>244</v>
      </c>
      <c r="B85" s="1" t="s">
        <v>165</v>
      </c>
      <c r="D85" s="201">
        <v>6000000</v>
      </c>
    </row>
    <row r="86" spans="1:4" x14ac:dyDescent="0.3">
      <c r="A86" s="210" t="s">
        <v>238</v>
      </c>
      <c r="B86" s="1" t="s">
        <v>165</v>
      </c>
      <c r="D86" s="201">
        <v>10000000</v>
      </c>
    </row>
    <row r="87" spans="1:4" x14ac:dyDescent="0.3">
      <c r="A87" s="219" t="s">
        <v>249</v>
      </c>
    </row>
    <row r="88" spans="1:4" x14ac:dyDescent="0.3">
      <c r="A88" s="210" t="s">
        <v>244</v>
      </c>
      <c r="B88" s="1" t="s">
        <v>165</v>
      </c>
      <c r="D88" s="201">
        <v>400000</v>
      </c>
    </row>
    <row r="89" spans="1:4" x14ac:dyDescent="0.3">
      <c r="A89" s="210" t="s">
        <v>238</v>
      </c>
      <c r="B89" s="1" t="s">
        <v>165</v>
      </c>
      <c r="D89" s="201">
        <v>7500000</v>
      </c>
    </row>
    <row r="90" spans="1:4" x14ac:dyDescent="0.3">
      <c r="A90" s="219" t="s">
        <v>248</v>
      </c>
    </row>
    <row r="91" spans="1:4" x14ac:dyDescent="0.3">
      <c r="A91" s="210" t="s">
        <v>244</v>
      </c>
      <c r="B91" s="1" t="s">
        <v>165</v>
      </c>
      <c r="D91" s="201">
        <f>250000*5</f>
        <v>1250000</v>
      </c>
    </row>
    <row r="92" spans="1:4" x14ac:dyDescent="0.3">
      <c r="A92" s="210" t="s">
        <v>238</v>
      </c>
      <c r="B92" s="1" t="s">
        <v>165</v>
      </c>
      <c r="D92" s="201"/>
    </row>
    <row r="93" spans="1:4" x14ac:dyDescent="0.3">
      <c r="A93" s="219" t="s">
        <v>252</v>
      </c>
    </row>
    <row r="94" spans="1:4" x14ac:dyDescent="0.3">
      <c r="A94" s="210" t="s">
        <v>244</v>
      </c>
      <c r="B94" s="1" t="s">
        <v>165</v>
      </c>
      <c r="D94" s="201">
        <v>4500000</v>
      </c>
    </row>
    <row r="95" spans="1:4" x14ac:dyDescent="0.3">
      <c r="A95" s="210" t="s">
        <v>238</v>
      </c>
      <c r="B95" s="1" t="s">
        <v>165</v>
      </c>
      <c r="D95" s="201">
        <v>1500000</v>
      </c>
    </row>
    <row r="97" spans="1:4" x14ac:dyDescent="0.3">
      <c r="A97" s="184" t="str">
        <f>Assumptions!A516</f>
        <v>Hospital 5 - Royal</v>
      </c>
      <c r="B97" s="184"/>
      <c r="C97" s="184"/>
    </row>
    <row r="98" spans="1:4" x14ac:dyDescent="0.3">
      <c r="A98" s="219" t="s">
        <v>261</v>
      </c>
    </row>
    <row r="99" spans="1:4" x14ac:dyDescent="0.3">
      <c r="A99" s="210" t="s">
        <v>244</v>
      </c>
      <c r="B99" s="1" t="s">
        <v>165</v>
      </c>
      <c r="D99" s="201">
        <v>5500000</v>
      </c>
    </row>
    <row r="100" spans="1:4" x14ac:dyDescent="0.3">
      <c r="A100" s="210" t="s">
        <v>238</v>
      </c>
      <c r="B100" s="1" t="s">
        <v>165</v>
      </c>
      <c r="D100" s="201"/>
    </row>
    <row r="101" spans="1:4" x14ac:dyDescent="0.3">
      <c r="A101" s="219" t="s">
        <v>249</v>
      </c>
    </row>
    <row r="102" spans="1:4" x14ac:dyDescent="0.3">
      <c r="A102" s="210" t="s">
        <v>244</v>
      </c>
      <c r="B102" s="1" t="s">
        <v>165</v>
      </c>
      <c r="D102" s="201">
        <v>400000</v>
      </c>
    </row>
    <row r="103" spans="1:4" x14ac:dyDescent="0.3">
      <c r="A103" s="210" t="s">
        <v>238</v>
      </c>
      <c r="B103" s="1" t="s">
        <v>165</v>
      </c>
      <c r="D103" s="201"/>
    </row>
    <row r="104" spans="1:4" x14ac:dyDescent="0.3">
      <c r="A104" s="219" t="s">
        <v>248</v>
      </c>
    </row>
    <row r="105" spans="1:4" x14ac:dyDescent="0.3">
      <c r="A105" s="210" t="s">
        <v>244</v>
      </c>
      <c r="B105" s="1" t="s">
        <v>165</v>
      </c>
      <c r="D105" s="201">
        <f>250000*5</f>
        <v>1250000</v>
      </c>
    </row>
    <row r="106" spans="1:4" x14ac:dyDescent="0.3">
      <c r="A106" s="210" t="s">
        <v>238</v>
      </c>
      <c r="B106" s="1" t="s">
        <v>165</v>
      </c>
      <c r="D106" s="201"/>
    </row>
    <row r="108" spans="1:4" x14ac:dyDescent="0.3">
      <c r="A108" s="184" t="str">
        <f>Assumptions!A588</f>
        <v>Hospital 6 - Pancham</v>
      </c>
      <c r="B108" s="184"/>
      <c r="C108" s="184"/>
    </row>
    <row r="109" spans="1:4" x14ac:dyDescent="0.3">
      <c r="A109" s="219" t="s">
        <v>249</v>
      </c>
    </row>
    <row r="110" spans="1:4" x14ac:dyDescent="0.3">
      <c r="A110" s="210" t="s">
        <v>244</v>
      </c>
      <c r="B110" s="1" t="s">
        <v>165</v>
      </c>
      <c r="D110" s="201">
        <v>400000</v>
      </c>
    </row>
    <row r="111" spans="1:4" x14ac:dyDescent="0.3">
      <c r="A111" s="210" t="s">
        <v>238</v>
      </c>
      <c r="B111" s="1" t="s">
        <v>165</v>
      </c>
      <c r="D111" s="201">
        <v>7500000</v>
      </c>
    </row>
    <row r="112" spans="1:4" x14ac:dyDescent="0.3">
      <c r="A112" s="219" t="s">
        <v>248</v>
      </c>
    </row>
    <row r="113" spans="1:4" x14ac:dyDescent="0.3">
      <c r="A113" s="210" t="s">
        <v>244</v>
      </c>
      <c r="B113" s="1" t="s">
        <v>165</v>
      </c>
      <c r="D113" s="201">
        <f>250000*5</f>
        <v>1250000</v>
      </c>
    </row>
    <row r="114" spans="1:4" x14ac:dyDescent="0.3">
      <c r="A114" s="210" t="s">
        <v>238</v>
      </c>
      <c r="D114" s="201"/>
    </row>
  </sheetData>
  <pageMargins left="0.7" right="0.7" top="0.75" bottom="0.75" header="0.3" footer="0.3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1D08-F1F0-4BD7-821E-BD5017B497BE}">
  <sheetPr>
    <tabColor theme="1"/>
  </sheetPr>
  <dimension ref="A1:K28"/>
  <sheetViews>
    <sheetView showGridLines="0" workbookViewId="0">
      <pane xSplit="2" ySplit="2" topLeftCell="C3" activePane="bottomRight" state="frozen"/>
      <selection activeCell="A19" sqref="A19"/>
      <selection pane="topRight" activeCell="A19" sqref="A19"/>
      <selection pane="bottomLeft" activeCell="A19" sqref="A19"/>
      <selection pane="bottomRight" activeCell="C3" sqref="C3"/>
    </sheetView>
  </sheetViews>
  <sheetFormatPr defaultRowHeight="13" x14ac:dyDescent="0.3"/>
  <cols>
    <col min="1" max="1" width="45.453125" style="1" customWidth="1"/>
    <col min="2" max="2" width="14.54296875" style="1" customWidth="1"/>
    <col min="3" max="6" width="14.54296875" style="59" customWidth="1"/>
    <col min="7" max="11" width="14.6328125" style="59" customWidth="1"/>
    <col min="12" max="16384" width="8.7265625" style="59"/>
  </cols>
  <sheetData>
    <row r="1" spans="1:11" s="161" customFormat="1" ht="14.5" customHeight="1" x14ac:dyDescent="0.35">
      <c r="A1" s="159" t="s">
        <v>42</v>
      </c>
      <c r="B1" s="160"/>
      <c r="C1" s="160"/>
      <c r="D1" s="160"/>
      <c r="E1" s="160"/>
      <c r="F1" s="160"/>
      <c r="G1" s="160"/>
    </row>
    <row r="2" spans="1:11" s="164" customFormat="1" ht="14" customHeight="1" x14ac:dyDescent="0.35">
      <c r="A2" s="162" t="s">
        <v>31</v>
      </c>
      <c r="B2" s="162"/>
      <c r="C2" s="180">
        <v>1</v>
      </c>
      <c r="D2" s="180">
        <f>C2+1</f>
        <v>2</v>
      </c>
      <c r="E2" s="180">
        <f t="shared" ref="E2:G2" si="0">D2+1</f>
        <v>3</v>
      </c>
      <c r="F2" s="180">
        <f t="shared" si="0"/>
        <v>4</v>
      </c>
      <c r="G2" s="180">
        <f t="shared" si="0"/>
        <v>5</v>
      </c>
      <c r="H2" s="180">
        <f t="shared" ref="H2" si="1">G2+1</f>
        <v>6</v>
      </c>
      <c r="I2" s="180">
        <f t="shared" ref="I2" si="2">H2+1</f>
        <v>7</v>
      </c>
      <c r="J2" s="180">
        <f t="shared" ref="J2" si="3">I2+1</f>
        <v>8</v>
      </c>
      <c r="K2" s="180">
        <f t="shared" ref="K2" si="4">J2+1</f>
        <v>9</v>
      </c>
    </row>
    <row r="3" spans="1:11" s="1" customFormat="1" x14ac:dyDescent="0.3">
      <c r="C3" s="158"/>
      <c r="D3" s="70"/>
      <c r="E3" s="70"/>
      <c r="F3" s="70"/>
      <c r="G3" s="70"/>
    </row>
    <row r="4" spans="1:11" s="62" customFormat="1" x14ac:dyDescent="0.3">
      <c r="A4" s="60" t="s">
        <v>33</v>
      </c>
      <c r="B4" s="60"/>
      <c r="C4" s="62">
        <f>Revenue!D58</f>
        <v>1453328800</v>
      </c>
      <c r="D4" s="62">
        <f>Revenue!E58</f>
        <v>1798905104</v>
      </c>
      <c r="E4" s="62">
        <f>Revenue!F58</f>
        <v>1820268512.3199999</v>
      </c>
      <c r="F4" s="62">
        <f>Revenue!G58</f>
        <v>1985484093.3055999</v>
      </c>
      <c r="G4" s="62">
        <f>Revenue!H58</f>
        <v>2177710730.7700481</v>
      </c>
      <c r="H4" s="62">
        <f>Revenue!I58</f>
        <v>2333910290.2316527</v>
      </c>
      <c r="I4" s="62">
        <f>Revenue!J58</f>
        <v>2517157684.5501847</v>
      </c>
      <c r="J4" s="62">
        <f>Revenue!K58</f>
        <v>2671251927.5242</v>
      </c>
      <c r="K4" s="62">
        <f>Revenue!L58</f>
        <v>2869128272.7571359</v>
      </c>
    </row>
    <row r="5" spans="1:11" s="62" customFormat="1" x14ac:dyDescent="0.3">
      <c r="A5" s="60" t="s">
        <v>65</v>
      </c>
      <c r="B5" s="60"/>
      <c r="C5" s="62">
        <f>Cost!D22</f>
        <v>1115200000</v>
      </c>
      <c r="D5" s="62">
        <f>Cost!E22</f>
        <v>1179680000</v>
      </c>
      <c r="E5" s="62">
        <f>Cost!F22</f>
        <v>1267108000.0000002</v>
      </c>
      <c r="F5" s="62">
        <f>Cost!G22</f>
        <v>1363278800.0000002</v>
      </c>
      <c r="G5" s="62">
        <f>Cost!H22</f>
        <v>1469066680.0000005</v>
      </c>
      <c r="H5" s="62">
        <f>Cost!I22</f>
        <v>1585433348.0000002</v>
      </c>
      <c r="I5" s="62">
        <f>Cost!J22</f>
        <v>1713436682.8000011</v>
      </c>
      <c r="J5" s="62">
        <f>Cost!K22</f>
        <v>1854240351.0800004</v>
      </c>
      <c r="K5" s="62">
        <f>Cost!L22</f>
        <v>2009124386.1880012</v>
      </c>
    </row>
    <row r="7" spans="1:11" x14ac:dyDescent="0.3">
      <c r="A7" s="60" t="s">
        <v>66</v>
      </c>
      <c r="B7" s="60"/>
      <c r="C7" s="124">
        <f>C4-C5</f>
        <v>338128800</v>
      </c>
      <c r="D7" s="124">
        <f>D4-D5</f>
        <v>619225104</v>
      </c>
      <c r="E7" s="124">
        <f>E4-E5</f>
        <v>553160512.31999969</v>
      </c>
      <c r="F7" s="124">
        <f>F4-F5</f>
        <v>622205293.30559969</v>
      </c>
      <c r="G7" s="124">
        <f>G4-G5</f>
        <v>708644050.77004766</v>
      </c>
      <c r="H7" s="124">
        <f t="shared" ref="H7:K7" si="5">H4-H5</f>
        <v>748476942.2316525</v>
      </c>
      <c r="I7" s="124">
        <f t="shared" si="5"/>
        <v>803721001.75018358</v>
      </c>
      <c r="J7" s="124">
        <f t="shared" si="5"/>
        <v>817011576.44419956</v>
      </c>
      <c r="K7" s="124">
        <f t="shared" si="5"/>
        <v>860003886.56913471</v>
      </c>
    </row>
    <row r="8" spans="1:11" x14ac:dyDescent="0.3">
      <c r="A8" s="181" t="s">
        <v>67</v>
      </c>
      <c r="B8" s="181"/>
      <c r="C8" s="182">
        <f>C7/C$4</f>
        <v>0.23265815691535185</v>
      </c>
      <c r="D8" s="182">
        <f t="shared" ref="D8:G8" si="6">D7/D$4</f>
        <v>0.34422332930353394</v>
      </c>
      <c r="E8" s="182">
        <f t="shared" si="6"/>
        <v>0.30388951331964537</v>
      </c>
      <c r="F8" s="182">
        <f t="shared" si="6"/>
        <v>0.31337712319301453</v>
      </c>
      <c r="G8" s="182">
        <f t="shared" si="6"/>
        <v>0.32540779670928471</v>
      </c>
      <c r="H8" s="182">
        <f t="shared" ref="H8:K8" si="7">H7/H$4</f>
        <v>0.32069653463731129</v>
      </c>
      <c r="I8" s="182">
        <f t="shared" si="7"/>
        <v>0.31929704153349786</v>
      </c>
      <c r="J8" s="182">
        <f t="shared" si="7"/>
        <v>0.30585343449856917</v>
      </c>
      <c r="K8" s="182">
        <f t="shared" si="7"/>
        <v>0.29974396569683509</v>
      </c>
    </row>
    <row r="9" spans="1:11" x14ac:dyDescent="0.3">
      <c r="A9" s="60" t="s">
        <v>68</v>
      </c>
    </row>
    <row r="10" spans="1:11" x14ac:dyDescent="0.3">
      <c r="A10" s="61" t="s">
        <v>69</v>
      </c>
      <c r="C10" s="59">
        <f>Cost!D32</f>
        <v>113896000</v>
      </c>
      <c r="D10" s="59">
        <f>Cost!E32</f>
        <v>114845600</v>
      </c>
      <c r="E10" s="59">
        <f>Cost!F32</f>
        <v>117430160</v>
      </c>
      <c r="F10" s="59">
        <f>Cost!G32</f>
        <v>120273176</v>
      </c>
      <c r="G10" s="59">
        <f>Cost!H32</f>
        <v>123400493.60000001</v>
      </c>
      <c r="H10" s="59">
        <f>Cost!I32</f>
        <v>126840542.96000001</v>
      </c>
      <c r="I10" s="59">
        <f>Cost!J32</f>
        <v>130624597.25600001</v>
      </c>
      <c r="J10" s="59">
        <f>Cost!K32</f>
        <v>134787056.98160002</v>
      </c>
      <c r="K10" s="59">
        <f>Cost!L32</f>
        <v>139365762.67976004</v>
      </c>
    </row>
    <row r="11" spans="1:11" x14ac:dyDescent="0.3">
      <c r="A11" s="61" t="s">
        <v>70</v>
      </c>
      <c r="C11" s="129"/>
      <c r="D11" s="129"/>
      <c r="E11" s="129"/>
      <c r="F11" s="129"/>
      <c r="G11" s="129"/>
    </row>
    <row r="12" spans="1:11" x14ac:dyDescent="0.3">
      <c r="A12" s="61" t="s">
        <v>71</v>
      </c>
    </row>
    <row r="13" spans="1:11" s="62" customFormat="1" x14ac:dyDescent="0.3">
      <c r="A13" s="60" t="s">
        <v>72</v>
      </c>
      <c r="B13" s="60"/>
      <c r="C13" s="134">
        <f>SUM(C10:C12)</f>
        <v>113896000</v>
      </c>
      <c r="D13" s="134">
        <f t="shared" ref="D13:K13" si="8">SUM(D10:D12)</f>
        <v>114845600</v>
      </c>
      <c r="E13" s="134">
        <f t="shared" si="8"/>
        <v>117430160</v>
      </c>
      <c r="F13" s="134">
        <f t="shared" si="8"/>
        <v>120273176</v>
      </c>
      <c r="G13" s="134">
        <f t="shared" si="8"/>
        <v>123400493.60000001</v>
      </c>
      <c r="H13" s="134">
        <f t="shared" si="8"/>
        <v>126840542.96000001</v>
      </c>
      <c r="I13" s="134">
        <f t="shared" si="8"/>
        <v>130624597.25600001</v>
      </c>
      <c r="J13" s="134">
        <f t="shared" si="8"/>
        <v>134787056.98160002</v>
      </c>
      <c r="K13" s="134">
        <f t="shared" si="8"/>
        <v>139365762.67976004</v>
      </c>
    </row>
    <row r="15" spans="1:11" s="62" customFormat="1" x14ac:dyDescent="0.3">
      <c r="A15" s="60" t="s">
        <v>73</v>
      </c>
      <c r="B15" s="60"/>
      <c r="C15" s="124">
        <f>C7-C13</f>
        <v>224232800</v>
      </c>
      <c r="D15" s="124">
        <f>D7-D13</f>
        <v>504379504</v>
      </c>
      <c r="E15" s="124">
        <f t="shared" ref="E15:K15" si="9">E7-E13</f>
        <v>435730352.31999969</v>
      </c>
      <c r="F15" s="124">
        <f t="shared" si="9"/>
        <v>501932117.30559969</v>
      </c>
      <c r="G15" s="124">
        <f t="shared" si="9"/>
        <v>585243557.17004764</v>
      </c>
      <c r="H15" s="124">
        <f t="shared" si="9"/>
        <v>621636399.27165246</v>
      </c>
      <c r="I15" s="124">
        <f t="shared" si="9"/>
        <v>673096404.49418354</v>
      </c>
      <c r="J15" s="124">
        <f t="shared" si="9"/>
        <v>682224519.46259952</v>
      </c>
      <c r="K15" s="124">
        <f t="shared" si="9"/>
        <v>720638123.88937473</v>
      </c>
    </row>
    <row r="16" spans="1:11" x14ac:dyDescent="0.3">
      <c r="A16" s="181" t="s">
        <v>74</v>
      </c>
      <c r="B16" s="183"/>
      <c r="C16" s="182">
        <f>C15/C$4</f>
        <v>0.15428910512197927</v>
      </c>
      <c r="D16" s="182">
        <f>D15/D$4</f>
        <v>0.28038138469810026</v>
      </c>
      <c r="E16" s="182">
        <f t="shared" ref="E16:K16" si="10">E15/E$4</f>
        <v>0.23937696519545085</v>
      </c>
      <c r="F16" s="182">
        <f t="shared" si="10"/>
        <v>0.25280087561413861</v>
      </c>
      <c r="G16" s="182">
        <f t="shared" si="10"/>
        <v>0.26874256020362397</v>
      </c>
      <c r="H16" s="182">
        <f t="shared" si="10"/>
        <v>0.26634974012216717</v>
      </c>
      <c r="I16" s="182">
        <f t="shared" si="10"/>
        <v>0.26740335284734679</v>
      </c>
      <c r="J16" s="182">
        <f t="shared" si="10"/>
        <v>0.25539504995131873</v>
      </c>
      <c r="K16" s="182">
        <f t="shared" si="10"/>
        <v>0.25116971267264593</v>
      </c>
    </row>
    <row r="17" spans="1:11" s="62" customFormat="1" x14ac:dyDescent="0.3">
      <c r="A17" s="60" t="s">
        <v>75</v>
      </c>
      <c r="B17" s="60"/>
      <c r="C17" s="62">
        <f>Capex!D10</f>
        <v>199220000</v>
      </c>
      <c r="D17" s="62">
        <f>Capex!E10</f>
        <v>159376000</v>
      </c>
      <c r="E17" s="62">
        <f>Capex!F10</f>
        <v>127500800</v>
      </c>
      <c r="F17" s="62">
        <f>Capex!G10</f>
        <v>102000640</v>
      </c>
      <c r="G17" s="62">
        <f>Capex!H10</f>
        <v>81600512</v>
      </c>
      <c r="H17" s="62">
        <f>Capex!I10</f>
        <v>65280409.600000001</v>
      </c>
      <c r="I17" s="62">
        <f>Capex!J10</f>
        <v>52224327.680000007</v>
      </c>
      <c r="J17" s="62">
        <f>Capex!K10</f>
        <v>41779462.144000001</v>
      </c>
      <c r="K17" s="62">
        <f>Capex!L10</f>
        <v>33423569.715200003</v>
      </c>
    </row>
    <row r="19" spans="1:11" s="62" customFormat="1" x14ac:dyDescent="0.3">
      <c r="A19" s="60" t="s">
        <v>1</v>
      </c>
      <c r="B19" s="60"/>
      <c r="C19" s="124">
        <f>C15-C17</f>
        <v>25012800</v>
      </c>
      <c r="D19" s="124">
        <f t="shared" ref="D19:K19" si="11">D15-D17</f>
        <v>345003504</v>
      </c>
      <c r="E19" s="124">
        <f t="shared" si="11"/>
        <v>308229552.31999969</v>
      </c>
      <c r="F19" s="124">
        <f t="shared" si="11"/>
        <v>399931477.30559969</v>
      </c>
      <c r="G19" s="124">
        <f t="shared" si="11"/>
        <v>503643045.17004764</v>
      </c>
      <c r="H19" s="124">
        <f t="shared" si="11"/>
        <v>556355989.67165244</v>
      </c>
      <c r="I19" s="124">
        <f t="shared" si="11"/>
        <v>620872076.81418347</v>
      </c>
      <c r="J19" s="124">
        <f t="shared" si="11"/>
        <v>640445057.31859946</v>
      </c>
      <c r="K19" s="124">
        <f t="shared" si="11"/>
        <v>687214554.17417479</v>
      </c>
    </row>
    <row r="20" spans="1:11" x14ac:dyDescent="0.3">
      <c r="A20" s="181" t="s">
        <v>76</v>
      </c>
      <c r="B20" s="183"/>
      <c r="C20" s="182">
        <f>C19/C$4</f>
        <v>1.7210695886574326E-2</v>
      </c>
      <c r="D20" s="182">
        <f t="shared" ref="D20:K20" si="12">D19/D$4</f>
        <v>0.191785271625979</v>
      </c>
      <c r="E20" s="182">
        <f t="shared" si="12"/>
        <v>0.16933191462349126</v>
      </c>
      <c r="F20" s="182">
        <f t="shared" si="12"/>
        <v>0.20142769144010633</v>
      </c>
      <c r="G20" s="182">
        <f t="shared" si="12"/>
        <v>0.23127178373775897</v>
      </c>
      <c r="H20" s="182">
        <f t="shared" si="12"/>
        <v>0.23837933788638946</v>
      </c>
      <c r="I20" s="182">
        <f t="shared" si="12"/>
        <v>0.24665601230505871</v>
      </c>
      <c r="J20" s="182">
        <f t="shared" si="12"/>
        <v>0.23975464489872508</v>
      </c>
      <c r="K20" s="182">
        <f t="shared" si="12"/>
        <v>0.23952033120979449</v>
      </c>
    </row>
    <row r="21" spans="1:11" s="62" customFormat="1" x14ac:dyDescent="0.3">
      <c r="A21" s="60" t="s">
        <v>77</v>
      </c>
      <c r="B21" s="60"/>
    </row>
    <row r="23" spans="1:11" s="62" customFormat="1" x14ac:dyDescent="0.3">
      <c r="A23" s="60" t="s">
        <v>78</v>
      </c>
      <c r="B23" s="60"/>
      <c r="C23" s="124">
        <f>C19-C21</f>
        <v>25012800</v>
      </c>
      <c r="D23" s="124">
        <f t="shared" ref="D23:K23" si="13">D19-D21</f>
        <v>345003504</v>
      </c>
      <c r="E23" s="124">
        <f t="shared" si="13"/>
        <v>308229552.31999969</v>
      </c>
      <c r="F23" s="124">
        <f t="shared" si="13"/>
        <v>399931477.30559969</v>
      </c>
      <c r="G23" s="124">
        <f t="shared" si="13"/>
        <v>503643045.17004764</v>
      </c>
      <c r="H23" s="124">
        <f t="shared" si="13"/>
        <v>556355989.67165244</v>
      </c>
      <c r="I23" s="124">
        <f t="shared" si="13"/>
        <v>620872076.81418347</v>
      </c>
      <c r="J23" s="124">
        <f t="shared" si="13"/>
        <v>640445057.31859946</v>
      </c>
      <c r="K23" s="124">
        <f t="shared" si="13"/>
        <v>687214554.17417479</v>
      </c>
    </row>
    <row r="24" spans="1:11" x14ac:dyDescent="0.3">
      <c r="A24" s="181" t="s">
        <v>79</v>
      </c>
      <c r="B24" s="183"/>
      <c r="C24" s="182">
        <f>C23/C$4</f>
        <v>1.7210695886574326E-2</v>
      </c>
      <c r="D24" s="182">
        <f t="shared" ref="D24:K24" si="14">D23/D$4</f>
        <v>0.191785271625979</v>
      </c>
      <c r="E24" s="182">
        <f t="shared" si="14"/>
        <v>0.16933191462349126</v>
      </c>
      <c r="F24" s="182">
        <f t="shared" si="14"/>
        <v>0.20142769144010633</v>
      </c>
      <c r="G24" s="182">
        <f t="shared" si="14"/>
        <v>0.23127178373775897</v>
      </c>
      <c r="H24" s="182">
        <f t="shared" si="14"/>
        <v>0.23837933788638946</v>
      </c>
      <c r="I24" s="182">
        <f t="shared" si="14"/>
        <v>0.24665601230505871</v>
      </c>
      <c r="J24" s="182">
        <f t="shared" si="14"/>
        <v>0.23975464489872508</v>
      </c>
      <c r="K24" s="182">
        <f t="shared" si="14"/>
        <v>0.23952033120979449</v>
      </c>
    </row>
    <row r="25" spans="1:11" s="62" customFormat="1" x14ac:dyDescent="0.3">
      <c r="A25" s="60" t="s">
        <v>81</v>
      </c>
      <c r="B25" s="122">
        <v>0.25</v>
      </c>
      <c r="C25" s="62">
        <f>IF(C23&gt;0,C23*$B$25,0)</f>
        <v>6253200</v>
      </c>
      <c r="D25" s="62">
        <f t="shared" ref="D25:K25" si="15">IF(D23&gt;0,D23*$B$25,0)</f>
        <v>86250876</v>
      </c>
      <c r="E25" s="62">
        <f t="shared" si="15"/>
        <v>77057388.079999924</v>
      </c>
      <c r="F25" s="62">
        <f t="shared" si="15"/>
        <v>99982869.326399922</v>
      </c>
      <c r="G25" s="62">
        <f t="shared" si="15"/>
        <v>125910761.29251191</v>
      </c>
      <c r="H25" s="62">
        <f t="shared" si="15"/>
        <v>139088997.41791311</v>
      </c>
      <c r="I25" s="62">
        <f t="shared" si="15"/>
        <v>155218019.20354587</v>
      </c>
      <c r="J25" s="62">
        <f t="shared" si="15"/>
        <v>160111264.32964987</v>
      </c>
      <c r="K25" s="62">
        <f t="shared" si="15"/>
        <v>171803638.5435437</v>
      </c>
    </row>
    <row r="27" spans="1:11" s="62" customFormat="1" ht="13.5" thickBot="1" x14ac:dyDescent="0.35">
      <c r="A27" s="60" t="s">
        <v>82</v>
      </c>
      <c r="B27" s="60"/>
      <c r="C27" s="128">
        <f>C23-C25</f>
        <v>18759600</v>
      </c>
      <c r="D27" s="128">
        <f t="shared" ref="D27:K27" si="16">D23-D25</f>
        <v>258752628</v>
      </c>
      <c r="E27" s="128">
        <f t="shared" si="16"/>
        <v>231172164.23999977</v>
      </c>
      <c r="F27" s="128">
        <f t="shared" si="16"/>
        <v>299948607.97919977</v>
      </c>
      <c r="G27" s="128">
        <f t="shared" si="16"/>
        <v>377732283.8775357</v>
      </c>
      <c r="H27" s="128">
        <f t="shared" si="16"/>
        <v>417266992.25373936</v>
      </c>
      <c r="I27" s="128">
        <f t="shared" si="16"/>
        <v>465654057.61063761</v>
      </c>
      <c r="J27" s="128">
        <f t="shared" si="16"/>
        <v>480333792.9889496</v>
      </c>
      <c r="K27" s="128">
        <f t="shared" si="16"/>
        <v>515410915.63063109</v>
      </c>
    </row>
    <row r="28" spans="1:11" ht="13.5" thickTop="1" x14ac:dyDescent="0.3">
      <c r="A28" s="181" t="s">
        <v>83</v>
      </c>
      <c r="B28" s="183"/>
      <c r="C28" s="182">
        <f>C27/C$4</f>
        <v>1.2908021914930744E-2</v>
      </c>
      <c r="D28" s="182">
        <f t="shared" ref="D28:K28" si="17">D27/D$4</f>
        <v>0.14383895371948424</v>
      </c>
      <c r="E28" s="182">
        <f t="shared" si="17"/>
        <v>0.12699893596761846</v>
      </c>
      <c r="F28" s="182">
        <f t="shared" si="17"/>
        <v>0.15107076858007976</v>
      </c>
      <c r="G28" s="182">
        <f t="shared" si="17"/>
        <v>0.17345383780331922</v>
      </c>
      <c r="H28" s="182">
        <f t="shared" si="17"/>
        <v>0.1787845034147921</v>
      </c>
      <c r="I28" s="182">
        <f t="shared" si="17"/>
        <v>0.18499200922879402</v>
      </c>
      <c r="J28" s="182">
        <f t="shared" si="17"/>
        <v>0.17981598367404381</v>
      </c>
      <c r="K28" s="182">
        <f t="shared" si="17"/>
        <v>0.17964024840734588</v>
      </c>
    </row>
  </sheetData>
  <pageMargins left="0.7" right="0.7" top="0.75" bottom="0.7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A6F8-706A-45FF-9C57-4C3EAF924C4D}">
  <sheetPr>
    <tabColor theme="1"/>
  </sheetPr>
  <dimension ref="A1:K49"/>
  <sheetViews>
    <sheetView showGridLines="0" workbookViewId="0">
      <pane xSplit="2" ySplit="2" topLeftCell="E3" activePane="bottomRight" state="frozen"/>
      <selection activeCell="B17" sqref="B17"/>
      <selection pane="topRight" activeCell="B17" sqref="B17"/>
      <selection pane="bottomLeft" activeCell="B17" sqref="B17"/>
      <selection pane="bottomRight" activeCell="A6" sqref="A6"/>
    </sheetView>
  </sheetViews>
  <sheetFormatPr defaultRowHeight="13" x14ac:dyDescent="0.3"/>
  <cols>
    <col min="1" max="1" width="45.453125" style="1" customWidth="1"/>
    <col min="2" max="2" width="14.54296875" style="1" customWidth="1"/>
    <col min="3" max="6" width="14.54296875" style="59" customWidth="1"/>
    <col min="7" max="11" width="14.6328125" style="59" customWidth="1"/>
    <col min="12" max="16384" width="8.7265625" style="59"/>
  </cols>
  <sheetData>
    <row r="1" spans="1:11" s="161" customFormat="1" ht="14.5" customHeight="1" x14ac:dyDescent="0.35">
      <c r="A1" s="159" t="s">
        <v>42</v>
      </c>
      <c r="B1" s="160"/>
      <c r="C1" s="160"/>
      <c r="D1" s="160"/>
      <c r="E1" s="160"/>
      <c r="F1" s="160"/>
      <c r="G1" s="160"/>
    </row>
    <row r="2" spans="1:11" s="164" customFormat="1" ht="14" customHeight="1" x14ac:dyDescent="0.35">
      <c r="A2" s="162" t="s">
        <v>84</v>
      </c>
      <c r="B2" s="162"/>
      <c r="C2" s="180">
        <f>'Income Statement'!C2</f>
        <v>1</v>
      </c>
      <c r="D2" s="180">
        <f>'Income Statement'!D2</f>
        <v>2</v>
      </c>
      <c r="E2" s="180">
        <f>'Income Statement'!E2</f>
        <v>3</v>
      </c>
      <c r="F2" s="180">
        <f>'Income Statement'!F2</f>
        <v>4</v>
      </c>
      <c r="G2" s="180">
        <f>'Income Statement'!G2</f>
        <v>5</v>
      </c>
      <c r="H2" s="180">
        <f>'Income Statement'!H2</f>
        <v>6</v>
      </c>
      <c r="I2" s="180">
        <f>'Income Statement'!I2</f>
        <v>7</v>
      </c>
      <c r="J2" s="180">
        <f>'Income Statement'!J2</f>
        <v>8</v>
      </c>
      <c r="K2" s="180">
        <f>'Income Statement'!K2</f>
        <v>9</v>
      </c>
    </row>
    <row r="4" spans="1:11" x14ac:dyDescent="0.3">
      <c r="A4" s="184" t="s">
        <v>112</v>
      </c>
      <c r="B4" s="183"/>
    </row>
    <row r="5" spans="1:11" x14ac:dyDescent="0.3">
      <c r="A5" s="126" t="s">
        <v>88</v>
      </c>
    </row>
    <row r="6" spans="1:11" x14ac:dyDescent="0.3">
      <c r="A6" s="61" t="s">
        <v>85</v>
      </c>
      <c r="C6" s="59">
        <v>100000</v>
      </c>
      <c r="D6" s="59">
        <v>100000</v>
      </c>
      <c r="E6" s="59">
        <v>100000</v>
      </c>
      <c r="F6" s="59">
        <v>100000</v>
      </c>
      <c r="G6" s="59">
        <v>100000</v>
      </c>
      <c r="H6" s="59">
        <v>100000</v>
      </c>
      <c r="I6" s="59">
        <v>100000</v>
      </c>
      <c r="J6" s="59">
        <v>100000</v>
      </c>
      <c r="K6" s="59">
        <v>100000</v>
      </c>
    </row>
    <row r="7" spans="1:11" x14ac:dyDescent="0.3">
      <c r="A7" s="61" t="s">
        <v>86</v>
      </c>
      <c r="C7" s="59">
        <f>'Income Statement'!C27</f>
        <v>18759600</v>
      </c>
      <c r="D7" s="59">
        <f>'Income Statement'!D27+'Balance Sheet'!C7</f>
        <v>277512228</v>
      </c>
      <c r="E7" s="59">
        <f>'Income Statement'!E27+'Balance Sheet'!D7</f>
        <v>508684392.23999977</v>
      </c>
      <c r="F7" s="59">
        <f>'Income Statement'!F27+'Balance Sheet'!E7</f>
        <v>808633000.21919954</v>
      </c>
      <c r="G7" s="59">
        <f>'Income Statement'!G27+'Balance Sheet'!F7</f>
        <v>1186365284.0967352</v>
      </c>
      <c r="H7" s="59">
        <f>'Income Statement'!H27+'Balance Sheet'!G7</f>
        <v>1603632276.3504746</v>
      </c>
      <c r="I7" s="59">
        <f>'Income Statement'!I27+'Balance Sheet'!H7</f>
        <v>2069286333.9611123</v>
      </c>
      <c r="J7" s="59">
        <f>'Income Statement'!J27+'Balance Sheet'!I7</f>
        <v>2549620126.9500618</v>
      </c>
      <c r="K7" s="59">
        <f>'Income Statement'!K27+'Balance Sheet'!J7</f>
        <v>3065031042.5806928</v>
      </c>
    </row>
    <row r="8" spans="1:11" x14ac:dyDescent="0.3">
      <c r="A8" s="60" t="s">
        <v>87</v>
      </c>
      <c r="C8" s="127">
        <f>SUM(C6:C7)</f>
        <v>18859600</v>
      </c>
      <c r="D8" s="127">
        <f t="shared" ref="D8:G8" si="0">SUM(D6:D7)</f>
        <v>277612228</v>
      </c>
      <c r="E8" s="127">
        <f t="shared" si="0"/>
        <v>508784392.23999977</v>
      </c>
      <c r="F8" s="127">
        <f t="shared" si="0"/>
        <v>808733000.21919954</v>
      </c>
      <c r="G8" s="127">
        <f t="shared" si="0"/>
        <v>1186465284.0967352</v>
      </c>
      <c r="H8" s="127">
        <f t="shared" ref="H8:K8" si="1">SUM(H6:H7)</f>
        <v>1603732276.3504746</v>
      </c>
      <c r="I8" s="127">
        <f t="shared" si="1"/>
        <v>2069386333.9611123</v>
      </c>
      <c r="J8" s="127">
        <f t="shared" si="1"/>
        <v>2549720126.9500618</v>
      </c>
      <c r="K8" s="127">
        <f t="shared" si="1"/>
        <v>3065131042.5806928</v>
      </c>
    </row>
    <row r="10" spans="1:11" x14ac:dyDescent="0.3">
      <c r="A10" s="60" t="s">
        <v>89</v>
      </c>
    </row>
    <row r="11" spans="1:11" x14ac:dyDescent="0.3">
      <c r="A11" s="61" t="s">
        <v>90</v>
      </c>
      <c r="C11" s="129"/>
      <c r="D11" s="129"/>
      <c r="E11" s="129"/>
      <c r="F11" s="129"/>
      <c r="G11" s="129"/>
      <c r="H11" s="129"/>
      <c r="I11" s="129"/>
      <c r="J11" s="129"/>
      <c r="K11" s="129"/>
    </row>
    <row r="12" spans="1:11" x14ac:dyDescent="0.3">
      <c r="A12" s="61" t="s">
        <v>91</v>
      </c>
      <c r="C12" s="129"/>
      <c r="D12" s="129"/>
      <c r="E12" s="129"/>
      <c r="F12" s="129"/>
      <c r="G12" s="129"/>
      <c r="H12" s="129"/>
      <c r="I12" s="129"/>
      <c r="J12" s="129"/>
      <c r="K12" s="129"/>
    </row>
    <row r="13" spans="1:11" x14ac:dyDescent="0.3">
      <c r="A13" s="60" t="s">
        <v>92</v>
      </c>
      <c r="C13" s="127">
        <f>C11+C12</f>
        <v>0</v>
      </c>
      <c r="D13" s="127">
        <f t="shared" ref="D13:G13" si="2">D11+D12</f>
        <v>0</v>
      </c>
      <c r="E13" s="127">
        <f t="shared" si="2"/>
        <v>0</v>
      </c>
      <c r="F13" s="127">
        <f t="shared" si="2"/>
        <v>0</v>
      </c>
      <c r="G13" s="127">
        <f t="shared" si="2"/>
        <v>0</v>
      </c>
      <c r="H13" s="127">
        <f t="shared" ref="H13:K13" si="3">H11+H12</f>
        <v>0</v>
      </c>
      <c r="I13" s="127">
        <f t="shared" si="3"/>
        <v>0</v>
      </c>
      <c r="J13" s="127">
        <f t="shared" si="3"/>
        <v>0</v>
      </c>
      <c r="K13" s="127">
        <f t="shared" si="3"/>
        <v>0</v>
      </c>
    </row>
    <row r="15" spans="1:11" x14ac:dyDescent="0.3">
      <c r="A15" s="60" t="s">
        <v>93</v>
      </c>
    </row>
    <row r="16" spans="1:11" x14ac:dyDescent="0.3">
      <c r="A16" s="61" t="s">
        <v>95</v>
      </c>
      <c r="C16" s="129"/>
      <c r="D16" s="129"/>
      <c r="E16" s="129"/>
      <c r="F16" s="129"/>
      <c r="G16" s="129"/>
      <c r="H16" s="129"/>
      <c r="I16" s="129"/>
      <c r="J16" s="129"/>
      <c r="K16" s="129"/>
    </row>
    <row r="17" spans="1:11" x14ac:dyDescent="0.3">
      <c r="A17" s="61" t="s">
        <v>94</v>
      </c>
      <c r="C17" s="129"/>
      <c r="D17" s="129"/>
      <c r="E17" s="129"/>
      <c r="F17" s="129"/>
      <c r="G17" s="129"/>
      <c r="H17" s="129"/>
      <c r="I17" s="129"/>
      <c r="J17" s="129"/>
      <c r="K17" s="129"/>
    </row>
    <row r="18" spans="1:11" x14ac:dyDescent="0.3">
      <c r="A18" s="61" t="s">
        <v>96</v>
      </c>
      <c r="C18" s="129"/>
      <c r="D18" s="129"/>
      <c r="E18" s="129"/>
      <c r="F18" s="129"/>
      <c r="G18" s="129"/>
      <c r="H18" s="129"/>
      <c r="I18" s="129"/>
      <c r="J18" s="129"/>
      <c r="K18" s="129"/>
    </row>
    <row r="19" spans="1:11" x14ac:dyDescent="0.3">
      <c r="A19" s="61" t="s">
        <v>97</v>
      </c>
      <c r="C19" s="129"/>
      <c r="D19" s="129"/>
      <c r="E19" s="129"/>
      <c r="F19" s="129"/>
      <c r="G19" s="129"/>
      <c r="H19" s="129"/>
      <c r="I19" s="129"/>
      <c r="J19" s="129"/>
      <c r="K19" s="129"/>
    </row>
    <row r="20" spans="1:11" x14ac:dyDescent="0.3">
      <c r="A20" s="61" t="s">
        <v>98</v>
      </c>
      <c r="C20" s="59">
        <f>'Income Statement'!C25</f>
        <v>6253200</v>
      </c>
      <c r="D20" s="59">
        <f>'Income Statement'!D25</f>
        <v>86250876</v>
      </c>
      <c r="E20" s="59">
        <f>'Income Statement'!E25</f>
        <v>77057388.079999924</v>
      </c>
      <c r="F20" s="59">
        <f>'Income Statement'!F25</f>
        <v>99982869.326399922</v>
      </c>
      <c r="G20" s="59">
        <f>'Income Statement'!G25</f>
        <v>125910761.29251191</v>
      </c>
      <c r="H20" s="59">
        <f>'Income Statement'!H25</f>
        <v>139088997.41791311</v>
      </c>
      <c r="I20" s="59">
        <f>'Income Statement'!I25</f>
        <v>155218019.20354587</v>
      </c>
      <c r="J20" s="59">
        <f>'Income Statement'!J25</f>
        <v>160111264.32964987</v>
      </c>
      <c r="K20" s="59">
        <f>'Income Statement'!K25</f>
        <v>171803638.5435437</v>
      </c>
    </row>
    <row r="21" spans="1:11" x14ac:dyDescent="0.3">
      <c r="A21" s="60" t="s">
        <v>99</v>
      </c>
      <c r="C21" s="127">
        <f>SUM(C16:C20)</f>
        <v>6253200</v>
      </c>
      <c r="D21" s="127">
        <f t="shared" ref="D21:G21" si="4">SUM(D16:D20)</f>
        <v>86250876</v>
      </c>
      <c r="E21" s="127">
        <f t="shared" si="4"/>
        <v>77057388.079999924</v>
      </c>
      <c r="F21" s="127">
        <f t="shared" si="4"/>
        <v>99982869.326399922</v>
      </c>
      <c r="G21" s="127">
        <f t="shared" si="4"/>
        <v>125910761.29251191</v>
      </c>
      <c r="H21" s="127">
        <f t="shared" ref="H21:K21" si="5">SUM(H16:H20)</f>
        <v>139088997.41791311</v>
      </c>
      <c r="I21" s="127">
        <f t="shared" si="5"/>
        <v>155218019.20354587</v>
      </c>
      <c r="J21" s="127">
        <f t="shared" si="5"/>
        <v>160111264.32964987</v>
      </c>
      <c r="K21" s="127">
        <f t="shared" si="5"/>
        <v>171803638.5435437</v>
      </c>
    </row>
    <row r="23" spans="1:11" s="62" customFormat="1" ht="13.5" thickBot="1" x14ac:dyDescent="0.35">
      <c r="A23" s="60" t="s">
        <v>100</v>
      </c>
      <c r="B23" s="60"/>
      <c r="C23" s="128">
        <f>C8+C13+C21</f>
        <v>25112800</v>
      </c>
      <c r="D23" s="128">
        <f>D8+D13+D21</f>
        <v>363863104</v>
      </c>
      <c r="E23" s="128">
        <f>E8+E13+E21</f>
        <v>585841780.31999969</v>
      </c>
      <c r="F23" s="128">
        <f>F8+F13+F21</f>
        <v>908715869.54559946</v>
      </c>
      <c r="G23" s="128">
        <f>G8+G13+G21</f>
        <v>1312376045.3892472</v>
      </c>
      <c r="H23" s="128">
        <f t="shared" ref="H23:K23" si="6">H8+H13+H21</f>
        <v>1742821273.7683878</v>
      </c>
      <c r="I23" s="128">
        <f t="shared" si="6"/>
        <v>2224604353.1646581</v>
      </c>
      <c r="J23" s="128">
        <f t="shared" si="6"/>
        <v>2709831391.2797117</v>
      </c>
      <c r="K23" s="128">
        <f t="shared" si="6"/>
        <v>3236934681.1242366</v>
      </c>
    </row>
    <row r="24" spans="1:11" ht="13.5" thickTop="1" x14ac:dyDescent="0.3"/>
    <row r="25" spans="1:11" x14ac:dyDescent="0.3">
      <c r="A25" s="184" t="s">
        <v>60</v>
      </c>
      <c r="B25" s="183"/>
    </row>
    <row r="26" spans="1:11" x14ac:dyDescent="0.3">
      <c r="A26" s="126" t="s">
        <v>101</v>
      </c>
      <c r="B26" s="60"/>
      <c r="C26" s="62"/>
      <c r="D26" s="62"/>
      <c r="E26" s="62"/>
      <c r="F26" s="62"/>
      <c r="G26" s="62"/>
      <c r="H26" s="62"/>
      <c r="I26" s="62"/>
      <c r="J26" s="62"/>
      <c r="K26" s="62"/>
    </row>
    <row r="27" spans="1:11" x14ac:dyDescent="0.3">
      <c r="A27" s="1" t="s">
        <v>102</v>
      </c>
    </row>
    <row r="28" spans="1:11" x14ac:dyDescent="0.3">
      <c r="A28" s="61" t="s">
        <v>103</v>
      </c>
      <c r="C28" s="59">
        <f>Capex!D11</f>
        <v>796880000</v>
      </c>
      <c r="D28" s="59">
        <f>Capex!E11</f>
        <v>637504000</v>
      </c>
      <c r="E28" s="59">
        <f>Capex!F11</f>
        <v>510003200</v>
      </c>
      <c r="F28" s="59">
        <f>Capex!G11</f>
        <v>408002560</v>
      </c>
      <c r="G28" s="59">
        <f>Capex!H11</f>
        <v>326402048</v>
      </c>
      <c r="H28" s="59">
        <f>Capex!I11</f>
        <v>261121638.40000001</v>
      </c>
      <c r="I28" s="59">
        <f>Capex!J11</f>
        <v>208897310.72</v>
      </c>
      <c r="J28" s="59">
        <f>Capex!K11</f>
        <v>167117848.57600001</v>
      </c>
      <c r="K28" s="59">
        <f>Capex!L11</f>
        <v>133694278.8608</v>
      </c>
    </row>
    <row r="29" spans="1:11" x14ac:dyDescent="0.3">
      <c r="A29" s="61" t="s">
        <v>104</v>
      </c>
    </row>
    <row r="30" spans="1:11" x14ac:dyDescent="0.3">
      <c r="A30" s="61" t="s">
        <v>272</v>
      </c>
    </row>
    <row r="31" spans="1:11" x14ac:dyDescent="0.3">
      <c r="A31" s="126" t="s">
        <v>105</v>
      </c>
      <c r="C31" s="127">
        <f>SUM(C28:C30)</f>
        <v>796880000</v>
      </c>
      <c r="D31" s="127">
        <f t="shared" ref="D31:G31" si="7">SUM(D28:D30)</f>
        <v>637504000</v>
      </c>
      <c r="E31" s="127">
        <f t="shared" si="7"/>
        <v>510003200</v>
      </c>
      <c r="F31" s="127">
        <f t="shared" si="7"/>
        <v>408002560</v>
      </c>
      <c r="G31" s="127">
        <f t="shared" si="7"/>
        <v>326402048</v>
      </c>
      <c r="H31" s="127">
        <f t="shared" ref="H31:K31" si="8">SUM(H28:H30)</f>
        <v>261121638.40000001</v>
      </c>
      <c r="I31" s="127">
        <f t="shared" si="8"/>
        <v>208897310.72</v>
      </c>
      <c r="J31" s="127">
        <f t="shared" si="8"/>
        <v>167117848.57600001</v>
      </c>
      <c r="K31" s="127">
        <f t="shared" si="8"/>
        <v>133694278.8608</v>
      </c>
    </row>
    <row r="33" spans="1:11" x14ac:dyDescent="0.3">
      <c r="A33" s="60" t="s">
        <v>110</v>
      </c>
    </row>
    <row r="34" spans="1:11" x14ac:dyDescent="0.3">
      <c r="A34" s="61" t="s">
        <v>106</v>
      </c>
      <c r="C34" s="129">
        <f>'Cash Flow Statements'!C36</f>
        <v>-771767200</v>
      </c>
      <c r="D34" s="129">
        <f>'Cash Flow Statements'!D36</f>
        <v>-273640896</v>
      </c>
      <c r="E34" s="129">
        <f>'Cash Flow Statements'!E36</f>
        <v>75838580.319999695</v>
      </c>
      <c r="F34" s="129">
        <f>'Cash Flow Statements'!F36</f>
        <v>500713309.54559946</v>
      </c>
      <c r="G34" s="129">
        <f>'Cash Flow Statements'!G36</f>
        <v>985973997.38924718</v>
      </c>
      <c r="H34" s="129">
        <f>'Cash Flow Statements'!H36</f>
        <v>1481699635.3683877</v>
      </c>
      <c r="I34" s="129">
        <f>'Cash Flow Statements'!I36</f>
        <v>2015707042.4446583</v>
      </c>
      <c r="J34" s="129">
        <f>'Cash Flow Statements'!J36</f>
        <v>2542713542.703712</v>
      </c>
      <c r="K34" s="129">
        <f>'Cash Flow Statements'!K36</f>
        <v>3103240402.2634368</v>
      </c>
    </row>
    <row r="35" spans="1:11" x14ac:dyDescent="0.3">
      <c r="A35" s="61" t="s">
        <v>107</v>
      </c>
      <c r="C35" s="129"/>
      <c r="D35" s="129"/>
      <c r="E35" s="129"/>
      <c r="F35" s="129"/>
      <c r="G35" s="129"/>
      <c r="H35" s="129"/>
      <c r="I35" s="129"/>
      <c r="J35" s="129"/>
      <c r="K35" s="129"/>
    </row>
    <row r="36" spans="1:11" x14ac:dyDescent="0.3">
      <c r="A36" s="61" t="s">
        <v>108</v>
      </c>
      <c r="C36" s="129"/>
      <c r="D36" s="129"/>
      <c r="E36" s="129"/>
      <c r="F36" s="129"/>
      <c r="G36" s="129"/>
      <c r="H36" s="129"/>
      <c r="I36" s="129"/>
      <c r="J36" s="129"/>
      <c r="K36" s="129"/>
    </row>
    <row r="37" spans="1:11" x14ac:dyDescent="0.3">
      <c r="A37" s="61" t="s">
        <v>109</v>
      </c>
      <c r="C37" s="129"/>
      <c r="D37" s="129"/>
      <c r="E37" s="129"/>
      <c r="F37" s="129"/>
      <c r="G37" s="129"/>
      <c r="H37" s="129"/>
      <c r="I37" s="129"/>
      <c r="J37" s="129"/>
      <c r="K37" s="129"/>
    </row>
    <row r="38" spans="1:11" x14ac:dyDescent="0.3">
      <c r="A38" s="60" t="s">
        <v>111</v>
      </c>
      <c r="C38" s="127">
        <f>SUM(C34:C37)</f>
        <v>-771767200</v>
      </c>
      <c r="D38" s="127">
        <f t="shared" ref="D38:G38" si="9">SUM(D34:D37)</f>
        <v>-273640896</v>
      </c>
      <c r="E38" s="127">
        <f t="shared" si="9"/>
        <v>75838580.319999695</v>
      </c>
      <c r="F38" s="127">
        <f t="shared" si="9"/>
        <v>500713309.54559946</v>
      </c>
      <c r="G38" s="127">
        <f t="shared" si="9"/>
        <v>985973997.38924718</v>
      </c>
      <c r="H38" s="127">
        <f t="shared" ref="H38:K38" si="10">SUM(H34:H37)</f>
        <v>1481699635.3683877</v>
      </c>
      <c r="I38" s="127">
        <f t="shared" si="10"/>
        <v>2015707042.4446583</v>
      </c>
      <c r="J38" s="127">
        <f t="shared" si="10"/>
        <v>2542713542.703712</v>
      </c>
      <c r="K38" s="127">
        <f t="shared" si="10"/>
        <v>3103240402.2634368</v>
      </c>
    </row>
    <row r="40" spans="1:11" ht="13.5" thickBot="1" x14ac:dyDescent="0.35">
      <c r="A40" s="60" t="s">
        <v>113</v>
      </c>
      <c r="B40" s="60"/>
      <c r="C40" s="128">
        <f>C31+C38</f>
        <v>25112800</v>
      </c>
      <c r="D40" s="128">
        <f t="shared" ref="D40:G40" si="11">D31+D38</f>
        <v>363863104</v>
      </c>
      <c r="E40" s="128">
        <f t="shared" si="11"/>
        <v>585841780.31999969</v>
      </c>
      <c r="F40" s="128">
        <f t="shared" si="11"/>
        <v>908715869.54559946</v>
      </c>
      <c r="G40" s="128">
        <f t="shared" si="11"/>
        <v>1312376045.3892472</v>
      </c>
      <c r="H40" s="128">
        <f t="shared" ref="H40:K40" si="12">H31+H38</f>
        <v>1742821273.7683878</v>
      </c>
      <c r="I40" s="128">
        <f t="shared" si="12"/>
        <v>2224604353.1646581</v>
      </c>
      <c r="J40" s="128">
        <f t="shared" si="12"/>
        <v>2709831391.2797122</v>
      </c>
      <c r="K40" s="128">
        <f t="shared" si="12"/>
        <v>3236934681.1242366</v>
      </c>
    </row>
    <row r="41" spans="1:11" ht="13.5" thickTop="1" x14ac:dyDescent="0.3"/>
    <row r="42" spans="1:11" s="62" customFormat="1" x14ac:dyDescent="0.3">
      <c r="A42" s="60" t="s">
        <v>114</v>
      </c>
      <c r="B42" s="60"/>
      <c r="C42" s="124">
        <f>C38-C21</f>
        <v>-778020400</v>
      </c>
      <c r="D42" s="124">
        <f t="shared" ref="D42:G42" si="13">D38-D21</f>
        <v>-359891772</v>
      </c>
      <c r="E42" s="124">
        <f t="shared" si="13"/>
        <v>-1218807.7600002289</v>
      </c>
      <c r="F42" s="124">
        <f t="shared" si="13"/>
        <v>400730440.21919954</v>
      </c>
      <c r="G42" s="124">
        <f t="shared" si="13"/>
        <v>860063236.09673524</v>
      </c>
      <c r="H42" s="124">
        <f t="shared" ref="H42:K42" si="14">H38-H21</f>
        <v>1342610637.9504745</v>
      </c>
      <c r="I42" s="124">
        <f t="shared" si="14"/>
        <v>1860489023.2411125</v>
      </c>
      <c r="J42" s="124">
        <f t="shared" si="14"/>
        <v>2382602278.3740621</v>
      </c>
      <c r="K42" s="124">
        <f t="shared" si="14"/>
        <v>2931436763.719893</v>
      </c>
    </row>
    <row r="44" spans="1:11" s="62" customFormat="1" x14ac:dyDescent="0.3">
      <c r="A44" s="60" t="s">
        <v>115</v>
      </c>
      <c r="B44" s="60"/>
    </row>
    <row r="45" spans="1:11" x14ac:dyDescent="0.3">
      <c r="A45" s="61" t="s">
        <v>116</v>
      </c>
      <c r="C45" s="59">
        <f>SUM(C35:C37)</f>
        <v>0</v>
      </c>
      <c r="D45" s="59">
        <f t="shared" ref="D45:G45" si="15">SUM(D35:D37)</f>
        <v>0</v>
      </c>
      <c r="E45" s="59">
        <f t="shared" si="15"/>
        <v>0</v>
      </c>
      <c r="F45" s="59">
        <f t="shared" si="15"/>
        <v>0</v>
      </c>
      <c r="G45" s="59">
        <f t="shared" si="15"/>
        <v>0</v>
      </c>
      <c r="H45" s="59">
        <f t="shared" ref="H45:K45" si="16">SUM(H35:H37)</f>
        <v>0</v>
      </c>
      <c r="I45" s="59">
        <f t="shared" si="16"/>
        <v>0</v>
      </c>
      <c r="J45" s="59">
        <f t="shared" si="16"/>
        <v>0</v>
      </c>
      <c r="K45" s="59">
        <f t="shared" si="16"/>
        <v>0</v>
      </c>
    </row>
    <row r="46" spans="1:11" x14ac:dyDescent="0.3">
      <c r="A46" s="61" t="s">
        <v>117</v>
      </c>
      <c r="C46" s="59">
        <f>SUM(C18:C19)</f>
        <v>0</v>
      </c>
      <c r="D46" s="59">
        <f t="shared" ref="D46:G46" si="17">SUM(D18:D19)</f>
        <v>0</v>
      </c>
      <c r="E46" s="59">
        <f t="shared" si="17"/>
        <v>0</v>
      </c>
      <c r="F46" s="59">
        <f t="shared" si="17"/>
        <v>0</v>
      </c>
      <c r="G46" s="59">
        <f t="shared" si="17"/>
        <v>0</v>
      </c>
      <c r="H46" s="59">
        <f t="shared" ref="H46:K46" si="18">SUM(H18:H19)</f>
        <v>0</v>
      </c>
      <c r="I46" s="59">
        <f t="shared" si="18"/>
        <v>0</v>
      </c>
      <c r="J46" s="59">
        <f t="shared" si="18"/>
        <v>0</v>
      </c>
      <c r="K46" s="59">
        <f t="shared" si="18"/>
        <v>0</v>
      </c>
    </row>
    <row r="47" spans="1:11" s="62" customFormat="1" x14ac:dyDescent="0.3">
      <c r="A47" s="60" t="s">
        <v>118</v>
      </c>
      <c r="B47" s="60"/>
      <c r="C47" s="124">
        <f>C45-C46</f>
        <v>0</v>
      </c>
      <c r="D47" s="124">
        <f t="shared" ref="D47:G47" si="19">D45-D46</f>
        <v>0</v>
      </c>
      <c r="E47" s="124">
        <f t="shared" si="19"/>
        <v>0</v>
      </c>
      <c r="F47" s="124">
        <f t="shared" si="19"/>
        <v>0</v>
      </c>
      <c r="G47" s="124">
        <f t="shared" si="19"/>
        <v>0</v>
      </c>
      <c r="H47" s="124">
        <f t="shared" ref="H47:K47" si="20">H45-H46</f>
        <v>0</v>
      </c>
      <c r="I47" s="124">
        <f t="shared" si="20"/>
        <v>0</v>
      </c>
      <c r="J47" s="124">
        <f t="shared" si="20"/>
        <v>0</v>
      </c>
      <c r="K47" s="124">
        <f t="shared" si="20"/>
        <v>0</v>
      </c>
    </row>
    <row r="49" spans="1:11" s="62" customFormat="1" x14ac:dyDescent="0.3">
      <c r="A49" s="60" t="s">
        <v>41</v>
      </c>
      <c r="B49" s="60"/>
      <c r="C49" s="62">
        <f>C40-C23</f>
        <v>0</v>
      </c>
      <c r="D49" s="62">
        <f t="shared" ref="D49:G49" si="21">D40-D23</f>
        <v>0</v>
      </c>
      <c r="E49" s="62">
        <f t="shared" si="21"/>
        <v>0</v>
      </c>
      <c r="F49" s="62">
        <f t="shared" si="21"/>
        <v>0</v>
      </c>
      <c r="G49" s="62">
        <f t="shared" si="21"/>
        <v>0</v>
      </c>
      <c r="H49" s="62">
        <f t="shared" ref="H49:K49" si="22">H40-H23</f>
        <v>0</v>
      </c>
      <c r="I49" s="62">
        <f t="shared" si="22"/>
        <v>0</v>
      </c>
      <c r="J49" s="62">
        <f t="shared" si="22"/>
        <v>0</v>
      </c>
      <c r="K49" s="62">
        <f t="shared" si="22"/>
        <v>0</v>
      </c>
    </row>
  </sheetData>
  <conditionalFormatting sqref="C49:K49">
    <cfRule type="cellIs" dxfId="2" priority="1" operator="notEqual">
      <formula>0</formula>
    </cfRule>
    <cfRule type="cellIs" dxfId="1" priority="2" operator="notEqual">
      <formula>0</formula>
    </cfRule>
    <cfRule type="cellIs" dxfId="0" priority="3" operator="equal">
      <formula>0</formula>
    </cfRule>
  </conditionalFormatting>
  <pageMargins left="0.7" right="0.7" top="0.75" bottom="0.7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C685-D09F-481F-957B-20110A17F264}">
  <sheetPr>
    <tabColor theme="1"/>
  </sheetPr>
  <dimension ref="A1:K60"/>
  <sheetViews>
    <sheetView showGridLines="0" workbookViewId="0">
      <pane xSplit="2" ySplit="2" topLeftCell="C3" activePane="bottomRight" state="frozen"/>
      <selection activeCell="C22" sqref="C22"/>
      <selection pane="topRight" activeCell="C22" sqref="C22"/>
      <selection pane="bottomLeft" activeCell="C22" sqref="C22"/>
      <selection pane="bottomRight" activeCell="C3" sqref="C3"/>
    </sheetView>
  </sheetViews>
  <sheetFormatPr defaultRowHeight="13" x14ac:dyDescent="0.3"/>
  <cols>
    <col min="1" max="1" width="45.453125" style="1" customWidth="1"/>
    <col min="2" max="6" width="14.54296875" style="1" customWidth="1"/>
    <col min="7" max="11" width="14.7265625" style="1" customWidth="1"/>
    <col min="12" max="16384" width="8.7265625" style="1"/>
  </cols>
  <sheetData>
    <row r="1" spans="1:11" s="161" customFormat="1" ht="14.5" customHeight="1" x14ac:dyDescent="0.35">
      <c r="A1" s="159" t="s">
        <v>42</v>
      </c>
      <c r="B1" s="160"/>
      <c r="C1" s="160"/>
      <c r="D1" s="160"/>
      <c r="E1" s="160"/>
      <c r="F1" s="160"/>
      <c r="G1" s="160"/>
    </row>
    <row r="2" spans="1:11" s="164" customFormat="1" ht="14" customHeight="1" x14ac:dyDescent="0.35">
      <c r="A2" s="162" t="s">
        <v>119</v>
      </c>
      <c r="B2" s="162"/>
      <c r="C2" s="180">
        <f>'Income Statement'!C2</f>
        <v>1</v>
      </c>
      <c r="D2" s="180">
        <f>'Income Statement'!D2</f>
        <v>2</v>
      </c>
      <c r="E2" s="180">
        <f>'Income Statement'!E2</f>
        <v>3</v>
      </c>
      <c r="F2" s="180">
        <f>'Income Statement'!F2</f>
        <v>4</v>
      </c>
      <c r="G2" s="180">
        <f>'Income Statement'!G2</f>
        <v>5</v>
      </c>
      <c r="H2" s="180">
        <f>'Income Statement'!H2</f>
        <v>6</v>
      </c>
      <c r="I2" s="180">
        <f>'Income Statement'!I2</f>
        <v>7</v>
      </c>
      <c r="J2" s="180">
        <f>'Income Statement'!J2</f>
        <v>8</v>
      </c>
      <c r="K2" s="180">
        <f>'Income Statement'!K2</f>
        <v>9</v>
      </c>
    </row>
    <row r="4" spans="1:11" x14ac:dyDescent="0.3">
      <c r="A4" s="184" t="s">
        <v>141</v>
      </c>
      <c r="B4" s="183"/>
    </row>
    <row r="5" spans="1:11" s="60" customFormat="1" x14ac:dyDescent="0.3">
      <c r="A5" s="60" t="s">
        <v>120</v>
      </c>
      <c r="C5" s="62">
        <f>'Income Statement'!C27</f>
        <v>18759600</v>
      </c>
      <c r="D5" s="62">
        <f>'Income Statement'!D27</f>
        <v>258752628</v>
      </c>
      <c r="E5" s="62">
        <f>'Income Statement'!E27</f>
        <v>231172164.23999977</v>
      </c>
      <c r="F5" s="62">
        <f>'Income Statement'!F27</f>
        <v>299948607.97919977</v>
      </c>
      <c r="G5" s="62">
        <f>'Income Statement'!G27</f>
        <v>377732283.8775357</v>
      </c>
      <c r="H5" s="62">
        <f>'Income Statement'!H27</f>
        <v>417266992.25373936</v>
      </c>
      <c r="I5" s="62">
        <f>'Income Statement'!I27</f>
        <v>465654057.61063761</v>
      </c>
      <c r="J5" s="62">
        <f>'Income Statement'!J27</f>
        <v>480333792.9889496</v>
      </c>
      <c r="K5" s="62">
        <f>'Income Statement'!K27</f>
        <v>515410915.63063109</v>
      </c>
    </row>
    <row r="6" spans="1:11" x14ac:dyDescent="0.3">
      <c r="A6" s="60" t="s">
        <v>121</v>
      </c>
      <c r="C6" s="59"/>
      <c r="D6" s="59"/>
      <c r="E6" s="59"/>
      <c r="F6" s="59"/>
      <c r="G6" s="59"/>
      <c r="H6" s="59"/>
      <c r="I6" s="59"/>
      <c r="J6" s="59"/>
      <c r="K6" s="59"/>
    </row>
    <row r="7" spans="1:11" x14ac:dyDescent="0.3">
      <c r="A7" s="61" t="s">
        <v>124</v>
      </c>
      <c r="C7" s="59"/>
      <c r="D7" s="59"/>
      <c r="E7" s="59"/>
      <c r="F7" s="59"/>
      <c r="G7" s="59"/>
      <c r="H7" s="59"/>
      <c r="I7" s="59"/>
      <c r="J7" s="59"/>
      <c r="K7" s="59"/>
    </row>
    <row r="8" spans="1:11" x14ac:dyDescent="0.3">
      <c r="A8" s="61" t="s">
        <v>122</v>
      </c>
      <c r="C8" s="59">
        <f>'Balance Sheet'!C12</f>
        <v>0</v>
      </c>
      <c r="D8" s="59">
        <f>'Balance Sheet'!D12</f>
        <v>0</v>
      </c>
      <c r="E8" s="59">
        <f>'Balance Sheet'!E12</f>
        <v>0</v>
      </c>
      <c r="F8" s="59">
        <f>'Balance Sheet'!F12</f>
        <v>0</v>
      </c>
      <c r="G8" s="59">
        <f>'Balance Sheet'!G12</f>
        <v>0</v>
      </c>
      <c r="H8" s="59">
        <f>'Balance Sheet'!H12</f>
        <v>0</v>
      </c>
      <c r="I8" s="59">
        <f>'Balance Sheet'!I12</f>
        <v>0</v>
      </c>
      <c r="J8" s="59">
        <f>'Balance Sheet'!J12</f>
        <v>0</v>
      </c>
      <c r="K8" s="59">
        <f>'Balance Sheet'!K12</f>
        <v>0</v>
      </c>
    </row>
    <row r="9" spans="1:11" x14ac:dyDescent="0.3">
      <c r="A9" s="61" t="s">
        <v>123</v>
      </c>
      <c r="C9" s="59">
        <f>'Income Statement'!C17</f>
        <v>199220000</v>
      </c>
      <c r="D9" s="59">
        <f>'Income Statement'!D17</f>
        <v>159376000</v>
      </c>
      <c r="E9" s="59">
        <f>'Income Statement'!E17</f>
        <v>127500800</v>
      </c>
      <c r="F9" s="59">
        <f>'Income Statement'!F17</f>
        <v>102000640</v>
      </c>
      <c r="G9" s="59">
        <f>'Income Statement'!G17</f>
        <v>81600512</v>
      </c>
      <c r="H9" s="59">
        <f>'Income Statement'!H17</f>
        <v>65280409.600000001</v>
      </c>
      <c r="I9" s="59">
        <f>'Income Statement'!I17</f>
        <v>52224327.680000007</v>
      </c>
      <c r="J9" s="59">
        <f>'Income Statement'!J17</f>
        <v>41779462.144000001</v>
      </c>
      <c r="K9" s="59">
        <f>'Income Statement'!K17</f>
        <v>33423569.715200003</v>
      </c>
    </row>
    <row r="10" spans="1:11" x14ac:dyDescent="0.3">
      <c r="A10" s="61" t="s">
        <v>125</v>
      </c>
      <c r="C10" s="59">
        <f>-'Income Statement'!C21</f>
        <v>0</v>
      </c>
      <c r="D10" s="59">
        <f>-'Income Statement'!D21</f>
        <v>0</v>
      </c>
      <c r="E10" s="59">
        <f>-'Income Statement'!E21</f>
        <v>0</v>
      </c>
      <c r="F10" s="59">
        <f>-'Income Statement'!F21</f>
        <v>0</v>
      </c>
      <c r="G10" s="59">
        <f>-'Income Statement'!G21</f>
        <v>0</v>
      </c>
      <c r="H10" s="59">
        <f>-'Income Statement'!H21</f>
        <v>0</v>
      </c>
      <c r="I10" s="59">
        <f>-'Income Statement'!I21</f>
        <v>0</v>
      </c>
      <c r="J10" s="59">
        <f>-'Income Statement'!J21</f>
        <v>0</v>
      </c>
      <c r="K10" s="59">
        <f>-'Income Statement'!K21</f>
        <v>0</v>
      </c>
    </row>
    <row r="11" spans="1:11" x14ac:dyDescent="0.3">
      <c r="A11" s="61" t="s">
        <v>126</v>
      </c>
      <c r="C11" s="59"/>
      <c r="D11" s="59"/>
      <c r="E11" s="59"/>
      <c r="F11" s="59"/>
      <c r="G11" s="59"/>
      <c r="H11" s="59"/>
      <c r="I11" s="59"/>
      <c r="J11" s="59"/>
      <c r="K11" s="59"/>
    </row>
    <row r="12" spans="1:11" x14ac:dyDescent="0.3">
      <c r="A12" s="61" t="s">
        <v>80</v>
      </c>
      <c r="C12" s="59">
        <f>'Balance Sheet'!C20</f>
        <v>6253200</v>
      </c>
      <c r="D12" s="59">
        <f>'Balance Sheet'!D20</f>
        <v>86250876</v>
      </c>
      <c r="E12" s="59">
        <f>'Balance Sheet'!E20</f>
        <v>77057388.079999924</v>
      </c>
      <c r="F12" s="59">
        <f>'Balance Sheet'!F20</f>
        <v>99982869.326399922</v>
      </c>
      <c r="G12" s="59">
        <f>'Balance Sheet'!G20</f>
        <v>125910761.29251191</v>
      </c>
      <c r="H12" s="59">
        <f>'Balance Sheet'!H20</f>
        <v>139088997.41791311</v>
      </c>
      <c r="I12" s="59">
        <f>'Balance Sheet'!I20</f>
        <v>155218019.20354587</v>
      </c>
      <c r="J12" s="59">
        <f>'Balance Sheet'!J20</f>
        <v>160111264.32964987</v>
      </c>
      <c r="K12" s="59">
        <f>'Balance Sheet'!K20</f>
        <v>171803638.5435437</v>
      </c>
    </row>
    <row r="13" spans="1:11" s="60" customFormat="1" x14ac:dyDescent="0.3">
      <c r="A13" s="60" t="s">
        <v>127</v>
      </c>
      <c r="C13" s="124">
        <f>C5+SUM(C8:C12)</f>
        <v>224232800</v>
      </c>
      <c r="D13" s="124">
        <f t="shared" ref="D13:G13" si="0">D5+SUM(D8:D12)</f>
        <v>504379504</v>
      </c>
      <c r="E13" s="124">
        <f t="shared" si="0"/>
        <v>435730352.31999969</v>
      </c>
      <c r="F13" s="124">
        <f t="shared" si="0"/>
        <v>501932117.30559969</v>
      </c>
      <c r="G13" s="124">
        <f t="shared" si="0"/>
        <v>585243557.17004764</v>
      </c>
      <c r="H13" s="124">
        <f t="shared" ref="H13:K13" si="1">H5+SUM(H8:H12)</f>
        <v>621636399.27165246</v>
      </c>
      <c r="I13" s="124">
        <f t="shared" si="1"/>
        <v>673096404.49418354</v>
      </c>
      <c r="J13" s="124">
        <f t="shared" si="1"/>
        <v>682224519.46259952</v>
      </c>
      <c r="K13" s="124">
        <f t="shared" si="1"/>
        <v>720638123.88937473</v>
      </c>
    </row>
    <row r="14" spans="1:11" x14ac:dyDescent="0.3">
      <c r="A14" s="125" t="s">
        <v>128</v>
      </c>
      <c r="C14" s="59"/>
      <c r="D14" s="59"/>
      <c r="E14" s="59"/>
      <c r="F14" s="59"/>
      <c r="G14" s="59"/>
      <c r="H14" s="59"/>
      <c r="I14" s="59"/>
      <c r="J14" s="59"/>
      <c r="K14" s="59"/>
    </row>
    <row r="15" spans="1:11" x14ac:dyDescent="0.3">
      <c r="A15" s="61" t="s">
        <v>107</v>
      </c>
      <c r="C15" s="59">
        <f>-'Balance Sheet'!C35</f>
        <v>0</v>
      </c>
      <c r="D15" s="59">
        <f>'Balance Sheet'!C35-'Balance Sheet'!D35</f>
        <v>0</v>
      </c>
      <c r="E15" s="59">
        <f>'Balance Sheet'!D35-'Balance Sheet'!E35</f>
        <v>0</v>
      </c>
      <c r="F15" s="59">
        <f>'Balance Sheet'!E35-'Balance Sheet'!F35</f>
        <v>0</v>
      </c>
      <c r="G15" s="59">
        <f>'Balance Sheet'!F35-'Balance Sheet'!G35</f>
        <v>0</v>
      </c>
      <c r="H15" s="59">
        <f>'Balance Sheet'!G35-'Balance Sheet'!H35</f>
        <v>0</v>
      </c>
      <c r="I15" s="59">
        <f>'Balance Sheet'!H35-'Balance Sheet'!I35</f>
        <v>0</v>
      </c>
      <c r="J15" s="59">
        <f>'Balance Sheet'!I35-'Balance Sheet'!J35</f>
        <v>0</v>
      </c>
      <c r="K15" s="59">
        <f>'Balance Sheet'!J35-'Balance Sheet'!K35</f>
        <v>0</v>
      </c>
    </row>
    <row r="16" spans="1:11" x14ac:dyDescent="0.3">
      <c r="A16" s="61" t="s">
        <v>108</v>
      </c>
      <c r="C16" s="59">
        <f>-'Balance Sheet'!C36</f>
        <v>0</v>
      </c>
      <c r="D16" s="59">
        <f>'Balance Sheet'!C36-'Balance Sheet'!D36</f>
        <v>0</v>
      </c>
      <c r="E16" s="59">
        <f>'Balance Sheet'!D36-'Balance Sheet'!E36</f>
        <v>0</v>
      </c>
      <c r="F16" s="59">
        <f>'Balance Sheet'!E36-'Balance Sheet'!F36</f>
        <v>0</v>
      </c>
      <c r="G16" s="59">
        <f>'Balance Sheet'!F36-'Balance Sheet'!G36</f>
        <v>0</v>
      </c>
      <c r="H16" s="59">
        <f>'Balance Sheet'!G36-'Balance Sheet'!H36</f>
        <v>0</v>
      </c>
      <c r="I16" s="59">
        <f>'Balance Sheet'!H36-'Balance Sheet'!I36</f>
        <v>0</v>
      </c>
      <c r="J16" s="59">
        <f>'Balance Sheet'!I36-'Balance Sheet'!J36</f>
        <v>0</v>
      </c>
      <c r="K16" s="59">
        <f>'Balance Sheet'!J36-'Balance Sheet'!K36</f>
        <v>0</v>
      </c>
    </row>
    <row r="17" spans="1:11" x14ac:dyDescent="0.3">
      <c r="A17" s="61" t="s">
        <v>129</v>
      </c>
      <c r="C17" s="59">
        <f>-'Balance Sheet'!C37</f>
        <v>0</v>
      </c>
      <c r="D17" s="59">
        <f>'Balance Sheet'!C37-'Balance Sheet'!D37</f>
        <v>0</v>
      </c>
      <c r="E17" s="59">
        <f>'Balance Sheet'!D37-'Balance Sheet'!E37</f>
        <v>0</v>
      </c>
      <c r="F17" s="59">
        <f>'Balance Sheet'!E37-'Balance Sheet'!F37</f>
        <v>0</v>
      </c>
      <c r="G17" s="59">
        <f>'Balance Sheet'!F37-'Balance Sheet'!G37</f>
        <v>0</v>
      </c>
      <c r="H17" s="59">
        <f>'Balance Sheet'!G37-'Balance Sheet'!H37</f>
        <v>0</v>
      </c>
      <c r="I17" s="59">
        <f>'Balance Sheet'!H37-'Balance Sheet'!I37</f>
        <v>0</v>
      </c>
      <c r="J17" s="59">
        <f>'Balance Sheet'!I37-'Balance Sheet'!J37</f>
        <v>0</v>
      </c>
      <c r="K17" s="59">
        <f>'Balance Sheet'!J37-'Balance Sheet'!K37</f>
        <v>0</v>
      </c>
    </row>
    <row r="18" spans="1:11" x14ac:dyDescent="0.3">
      <c r="A18" s="61" t="s">
        <v>130</v>
      </c>
      <c r="C18" s="59"/>
      <c r="D18" s="59">
        <f>-C12</f>
        <v>-6253200</v>
      </c>
      <c r="E18" s="59">
        <f t="shared" ref="E18:G18" si="2">-D12</f>
        <v>-86250876</v>
      </c>
      <c r="F18" s="59">
        <f t="shared" si="2"/>
        <v>-77057388.079999924</v>
      </c>
      <c r="G18" s="59">
        <f t="shared" si="2"/>
        <v>-99982869.326399922</v>
      </c>
      <c r="H18" s="59">
        <f t="shared" ref="H18" si="3">-G12</f>
        <v>-125910761.29251191</v>
      </c>
      <c r="I18" s="59">
        <f t="shared" ref="I18" si="4">-H12</f>
        <v>-139088997.41791311</v>
      </c>
      <c r="J18" s="59">
        <f t="shared" ref="J18" si="5">-I12</f>
        <v>-155218019.20354587</v>
      </c>
      <c r="K18" s="59">
        <f t="shared" ref="K18" si="6">-J12</f>
        <v>-160111264.32964987</v>
      </c>
    </row>
    <row r="19" spans="1:11" x14ac:dyDescent="0.3">
      <c r="A19" s="61" t="s">
        <v>112</v>
      </c>
      <c r="C19" s="59">
        <f>SUM('Balance Sheet'!C17:C19)</f>
        <v>0</v>
      </c>
      <c r="D19" s="59">
        <f>SUM('Balance Sheet'!D17:D19)-SUM('Balance Sheet'!C17:C19)</f>
        <v>0</v>
      </c>
      <c r="E19" s="59">
        <f>SUM('Balance Sheet'!E17:E19)-SUM('Balance Sheet'!D17:D19)</f>
        <v>0</v>
      </c>
      <c r="F19" s="59">
        <f>SUM('Balance Sheet'!F17:F19)-SUM('Balance Sheet'!E17:E19)</f>
        <v>0</v>
      </c>
      <c r="G19" s="59">
        <f>SUM('Balance Sheet'!G17:G19)-SUM('Balance Sheet'!F17:F19)</f>
        <v>0</v>
      </c>
      <c r="H19" s="59">
        <f>SUM('Balance Sheet'!H17:H19)-SUM('Balance Sheet'!G17:G19)</f>
        <v>0</v>
      </c>
      <c r="I19" s="59">
        <f>SUM('Balance Sheet'!I17:I19)-SUM('Balance Sheet'!H17:H19)</f>
        <v>0</v>
      </c>
      <c r="J19" s="59">
        <f>SUM('Balance Sheet'!J17:J19)-SUM('Balance Sheet'!I17:I19)</f>
        <v>0</v>
      </c>
      <c r="K19" s="59">
        <f>SUM('Balance Sheet'!K17:K19)-SUM('Balance Sheet'!J17:J19)</f>
        <v>0</v>
      </c>
    </row>
    <row r="20" spans="1:11" s="60" customFormat="1" x14ac:dyDescent="0.3">
      <c r="A20" s="60" t="s">
        <v>134</v>
      </c>
      <c r="C20" s="124">
        <f>SUM(C13:C19)</f>
        <v>224232800</v>
      </c>
      <c r="D20" s="124">
        <f t="shared" ref="D20:G20" si="7">SUM(D13:D19)</f>
        <v>498126304</v>
      </c>
      <c r="E20" s="124">
        <f t="shared" si="7"/>
        <v>349479476.31999969</v>
      </c>
      <c r="F20" s="124">
        <f t="shared" si="7"/>
        <v>424874729.22559977</v>
      </c>
      <c r="G20" s="124">
        <f t="shared" si="7"/>
        <v>485260687.84364772</v>
      </c>
      <c r="H20" s="124">
        <f t="shared" ref="H20:K20" si="8">SUM(H13:H19)</f>
        <v>495725637.97914052</v>
      </c>
      <c r="I20" s="124">
        <f t="shared" si="8"/>
        <v>534007407.07627046</v>
      </c>
      <c r="J20" s="124">
        <f t="shared" si="8"/>
        <v>527006500.25905365</v>
      </c>
      <c r="K20" s="124">
        <f t="shared" si="8"/>
        <v>560526859.55972481</v>
      </c>
    </row>
    <row r="21" spans="1:11" x14ac:dyDescent="0.3">
      <c r="C21" s="59"/>
      <c r="D21" s="59"/>
      <c r="E21" s="59"/>
      <c r="F21" s="59"/>
      <c r="G21" s="59"/>
      <c r="H21" s="59"/>
      <c r="I21" s="59"/>
      <c r="J21" s="59"/>
      <c r="K21" s="59"/>
    </row>
    <row r="22" spans="1:11" x14ac:dyDescent="0.3">
      <c r="A22" s="184" t="s">
        <v>142</v>
      </c>
      <c r="B22" s="183"/>
      <c r="C22" s="59"/>
      <c r="D22" s="59"/>
      <c r="E22" s="59"/>
      <c r="F22" s="59"/>
      <c r="G22" s="59"/>
      <c r="H22" s="59"/>
      <c r="I22" s="59"/>
      <c r="J22" s="59"/>
      <c r="K22" s="59"/>
    </row>
    <row r="23" spans="1:11" x14ac:dyDescent="0.3">
      <c r="A23" s="1" t="s">
        <v>131</v>
      </c>
      <c r="C23" s="59">
        <f>-Capex!D9</f>
        <v>-996100000</v>
      </c>
      <c r="D23" s="59">
        <f>-Capex!E9</f>
        <v>0</v>
      </c>
      <c r="E23" s="59">
        <f>-Capex!F9</f>
        <v>0</v>
      </c>
      <c r="F23" s="59">
        <f>-Capex!G9</f>
        <v>0</v>
      </c>
      <c r="G23" s="59">
        <f>-Capex!H9</f>
        <v>0</v>
      </c>
      <c r="H23" s="59">
        <f>-Capex!I9</f>
        <v>0</v>
      </c>
      <c r="I23" s="59">
        <f>-Capex!J9</f>
        <v>0</v>
      </c>
      <c r="J23" s="59">
        <f>-Capex!K9</f>
        <v>0</v>
      </c>
      <c r="K23" s="59">
        <f>-Capex!L9</f>
        <v>0</v>
      </c>
    </row>
    <row r="24" spans="1:11" x14ac:dyDescent="0.3">
      <c r="A24" s="1" t="s">
        <v>132</v>
      </c>
      <c r="C24" s="59">
        <f>'Balance Sheet'!C30</f>
        <v>0</v>
      </c>
      <c r="D24" s="59">
        <f>'Balance Sheet'!C30-'Balance Sheet'!D30</f>
        <v>0</v>
      </c>
      <c r="E24" s="59">
        <f>'Balance Sheet'!D30-'Balance Sheet'!E30</f>
        <v>0</v>
      </c>
      <c r="F24" s="59">
        <f>'Balance Sheet'!E30-'Balance Sheet'!F30</f>
        <v>0</v>
      </c>
      <c r="G24" s="59">
        <f>'Balance Sheet'!F30-'Balance Sheet'!G30</f>
        <v>0</v>
      </c>
      <c r="H24" s="59">
        <f>'Balance Sheet'!G30-'Balance Sheet'!H30</f>
        <v>0</v>
      </c>
      <c r="I24" s="59">
        <f>'Balance Sheet'!H30-'Balance Sheet'!I30</f>
        <v>0</v>
      </c>
      <c r="J24" s="59">
        <f>'Balance Sheet'!I30-'Balance Sheet'!J30</f>
        <v>0</v>
      </c>
      <c r="K24" s="59">
        <f>'Balance Sheet'!J30-'Balance Sheet'!K30</f>
        <v>0</v>
      </c>
    </row>
    <row r="25" spans="1:11" x14ac:dyDescent="0.3">
      <c r="A25" s="1" t="s">
        <v>133</v>
      </c>
      <c r="C25" s="59"/>
      <c r="D25" s="59"/>
      <c r="E25" s="59"/>
      <c r="F25" s="59"/>
      <c r="G25" s="59"/>
      <c r="H25" s="59"/>
      <c r="I25" s="59"/>
      <c r="J25" s="59"/>
      <c r="K25" s="59"/>
    </row>
    <row r="26" spans="1:11" s="60" customFormat="1" x14ac:dyDescent="0.3">
      <c r="A26" s="60" t="s">
        <v>135</v>
      </c>
      <c r="C26" s="124">
        <f>SUM(C23:C25)</f>
        <v>-996100000</v>
      </c>
      <c r="D26" s="124">
        <f t="shared" ref="D26:G26" si="9">SUM(D23:D25)</f>
        <v>0</v>
      </c>
      <c r="E26" s="124">
        <f t="shared" si="9"/>
        <v>0</v>
      </c>
      <c r="F26" s="124">
        <f t="shared" si="9"/>
        <v>0</v>
      </c>
      <c r="G26" s="124">
        <f t="shared" si="9"/>
        <v>0</v>
      </c>
      <c r="H26" s="124">
        <f t="shared" ref="H26:K26" si="10">SUM(H23:H25)</f>
        <v>0</v>
      </c>
      <c r="I26" s="124">
        <f t="shared" si="10"/>
        <v>0</v>
      </c>
      <c r="J26" s="124">
        <f t="shared" si="10"/>
        <v>0</v>
      </c>
      <c r="K26" s="124">
        <f t="shared" si="10"/>
        <v>0</v>
      </c>
    </row>
    <row r="27" spans="1:11" x14ac:dyDescent="0.3">
      <c r="C27" s="59"/>
      <c r="D27" s="59"/>
      <c r="E27" s="59"/>
      <c r="F27" s="59"/>
      <c r="G27" s="59"/>
      <c r="H27" s="59"/>
      <c r="I27" s="59"/>
      <c r="J27" s="59"/>
      <c r="K27" s="59"/>
    </row>
    <row r="28" spans="1:11" x14ac:dyDescent="0.3">
      <c r="A28" s="184" t="s">
        <v>143</v>
      </c>
      <c r="B28" s="183"/>
      <c r="C28" s="59"/>
      <c r="D28" s="59"/>
      <c r="E28" s="59"/>
      <c r="F28" s="59"/>
      <c r="G28" s="59"/>
      <c r="H28" s="59"/>
      <c r="I28" s="59"/>
      <c r="J28" s="59"/>
      <c r="K28" s="59"/>
    </row>
    <row r="29" spans="1:11" x14ac:dyDescent="0.3">
      <c r="A29" s="1" t="s">
        <v>136</v>
      </c>
      <c r="C29" s="59">
        <f>'Balance Sheet'!C6</f>
        <v>100000</v>
      </c>
      <c r="D29" s="59"/>
      <c r="E29" s="59"/>
      <c r="F29" s="59"/>
      <c r="G29" s="59"/>
      <c r="H29" s="59"/>
      <c r="I29" s="59"/>
      <c r="J29" s="59"/>
      <c r="K29" s="59"/>
    </row>
    <row r="30" spans="1:11" x14ac:dyDescent="0.3">
      <c r="A30" s="1" t="s">
        <v>137</v>
      </c>
      <c r="C30" s="59">
        <f>'Balance Sheet'!C11</f>
        <v>0</v>
      </c>
      <c r="D30" s="59"/>
      <c r="E30" s="59"/>
      <c r="F30" s="59"/>
      <c r="G30" s="59"/>
      <c r="H30" s="59"/>
      <c r="I30" s="59"/>
      <c r="J30" s="59"/>
      <c r="K30" s="59"/>
    </row>
    <row r="31" spans="1:11" x14ac:dyDescent="0.3">
      <c r="A31" s="1" t="s">
        <v>138</v>
      </c>
      <c r="C31" s="59"/>
      <c r="D31" s="59"/>
      <c r="E31" s="59"/>
      <c r="F31" s="59"/>
      <c r="G31" s="59"/>
      <c r="H31" s="59"/>
      <c r="I31" s="59"/>
      <c r="J31" s="59"/>
      <c r="K31" s="59"/>
    </row>
    <row r="32" spans="1:11" s="60" customFormat="1" x14ac:dyDescent="0.3">
      <c r="A32" s="60" t="s">
        <v>139</v>
      </c>
      <c r="C32" s="124">
        <f>SUM(C29:C31)</f>
        <v>100000</v>
      </c>
      <c r="D32" s="124">
        <f t="shared" ref="D32:G32" si="11">SUM(D29:D31)</f>
        <v>0</v>
      </c>
      <c r="E32" s="124">
        <f t="shared" si="11"/>
        <v>0</v>
      </c>
      <c r="F32" s="124">
        <f t="shared" si="11"/>
        <v>0</v>
      </c>
      <c r="G32" s="124">
        <f t="shared" si="11"/>
        <v>0</v>
      </c>
      <c r="H32" s="124">
        <f t="shared" ref="H32:K32" si="12">SUM(H29:H31)</f>
        <v>0</v>
      </c>
      <c r="I32" s="124">
        <f t="shared" si="12"/>
        <v>0</v>
      </c>
      <c r="J32" s="124">
        <f t="shared" si="12"/>
        <v>0</v>
      </c>
      <c r="K32" s="124">
        <f t="shared" si="12"/>
        <v>0</v>
      </c>
    </row>
    <row r="33" spans="1:11" x14ac:dyDescent="0.3">
      <c r="A33" s="1" t="s">
        <v>140</v>
      </c>
      <c r="C33" s="59"/>
      <c r="D33" s="59"/>
      <c r="E33" s="59"/>
      <c r="F33" s="59"/>
      <c r="G33" s="59"/>
      <c r="H33" s="59"/>
      <c r="I33" s="59"/>
      <c r="J33" s="59"/>
      <c r="K33" s="59"/>
    </row>
    <row r="34" spans="1:11" x14ac:dyDescent="0.3">
      <c r="A34" s="60" t="s">
        <v>144</v>
      </c>
      <c r="C34" s="127">
        <f>C20+C26+C32</f>
        <v>-771767200</v>
      </c>
      <c r="D34" s="127">
        <f t="shared" ref="D34:G34" si="13">D20+D26+D32</f>
        <v>498126304</v>
      </c>
      <c r="E34" s="127">
        <f t="shared" si="13"/>
        <v>349479476.31999969</v>
      </c>
      <c r="F34" s="127">
        <f t="shared" si="13"/>
        <v>424874729.22559977</v>
      </c>
      <c r="G34" s="127">
        <f t="shared" si="13"/>
        <v>485260687.84364772</v>
      </c>
      <c r="H34" s="127">
        <f t="shared" ref="H34:K34" si="14">H20+H26+H32</f>
        <v>495725637.97914052</v>
      </c>
      <c r="I34" s="127">
        <f t="shared" si="14"/>
        <v>534007407.07627046</v>
      </c>
      <c r="J34" s="127">
        <f t="shared" si="14"/>
        <v>527006500.25905365</v>
      </c>
      <c r="K34" s="127">
        <f t="shared" si="14"/>
        <v>560526859.55972481</v>
      </c>
    </row>
    <row r="35" spans="1:11" x14ac:dyDescent="0.3">
      <c r="A35" s="1" t="s">
        <v>145</v>
      </c>
      <c r="C35" s="59"/>
      <c r="D35" s="59">
        <f>C36</f>
        <v>-771767200</v>
      </c>
      <c r="E35" s="59">
        <f t="shared" ref="E35:G35" si="15">D36</f>
        <v>-273640896</v>
      </c>
      <c r="F35" s="59">
        <f t="shared" si="15"/>
        <v>75838580.319999695</v>
      </c>
      <c r="G35" s="59">
        <f t="shared" si="15"/>
        <v>500713309.54559946</v>
      </c>
      <c r="H35" s="59">
        <f t="shared" ref="H35" si="16">G36</f>
        <v>985973997.38924718</v>
      </c>
      <c r="I35" s="59">
        <f t="shared" ref="I35" si="17">H36</f>
        <v>1481699635.3683877</v>
      </c>
      <c r="J35" s="59">
        <f t="shared" ref="J35" si="18">I36</f>
        <v>2015707042.4446583</v>
      </c>
      <c r="K35" s="59">
        <f t="shared" ref="K35" si="19">J36</f>
        <v>2542713542.703712</v>
      </c>
    </row>
    <row r="36" spans="1:11" ht="13.5" thickBot="1" x14ac:dyDescent="0.35">
      <c r="A36" s="60" t="s">
        <v>146</v>
      </c>
      <c r="C36" s="146">
        <f>SUM(C34:C35)</f>
        <v>-771767200</v>
      </c>
      <c r="D36" s="146">
        <f t="shared" ref="D36:G36" si="20">SUM(D34:D35)</f>
        <v>-273640896</v>
      </c>
      <c r="E36" s="146">
        <f t="shared" si="20"/>
        <v>75838580.319999695</v>
      </c>
      <c r="F36" s="146">
        <f t="shared" si="20"/>
        <v>500713309.54559946</v>
      </c>
      <c r="G36" s="146">
        <f t="shared" si="20"/>
        <v>985973997.38924718</v>
      </c>
      <c r="H36" s="146">
        <f t="shared" ref="H36:K36" si="21">SUM(H34:H35)</f>
        <v>1481699635.3683877</v>
      </c>
      <c r="I36" s="146">
        <f t="shared" si="21"/>
        <v>2015707042.4446583</v>
      </c>
      <c r="J36" s="146">
        <f t="shared" si="21"/>
        <v>2542713542.703712</v>
      </c>
      <c r="K36" s="146">
        <f t="shared" si="21"/>
        <v>3103240402.2634368</v>
      </c>
    </row>
    <row r="37" spans="1:11" ht="13.5" thickTop="1" x14ac:dyDescent="0.3"/>
    <row r="54" spans="1:11" x14ac:dyDescent="0.3">
      <c r="A54" s="61" t="str">
        <f>Assumptions!A12</f>
        <v>Hospital 1 - Clearmedi</v>
      </c>
    </row>
    <row r="55" spans="1:11" x14ac:dyDescent="0.3">
      <c r="A55" s="61" t="str">
        <f>Assumptions!A23</f>
        <v>Hospital 2 - Girik</v>
      </c>
    </row>
    <row r="56" spans="1:11" x14ac:dyDescent="0.3">
      <c r="A56" s="61" t="str">
        <f>Assumptions!A34</f>
        <v>Hospital 3 - Mann</v>
      </c>
      <c r="C56" s="221"/>
      <c r="D56" s="221"/>
      <c r="E56" s="221"/>
      <c r="F56" s="221"/>
      <c r="G56" s="221"/>
      <c r="H56" s="221"/>
      <c r="I56" s="221"/>
      <c r="J56" s="221"/>
      <c r="K56" s="221"/>
    </row>
    <row r="57" spans="1:11" x14ac:dyDescent="0.3">
      <c r="A57" s="61" t="str">
        <f>Assumptions!A45</f>
        <v>Hospital 4 - Le-crest</v>
      </c>
      <c r="C57" s="221"/>
      <c r="D57" s="221"/>
      <c r="E57" s="221"/>
      <c r="F57" s="221"/>
      <c r="G57" s="221"/>
      <c r="H57" s="221"/>
      <c r="I57" s="221"/>
      <c r="J57" s="221"/>
      <c r="K57" s="221"/>
    </row>
    <row r="58" spans="1:11" x14ac:dyDescent="0.3">
      <c r="A58" s="61" t="str">
        <f>Assumptions!A56</f>
        <v>Hospital 5 - Royal</v>
      </c>
      <c r="C58" s="221"/>
      <c r="D58" s="221"/>
      <c r="E58" s="221"/>
      <c r="F58" s="221"/>
      <c r="G58" s="221"/>
      <c r="H58" s="221"/>
      <c r="I58" s="221"/>
      <c r="J58" s="221"/>
      <c r="K58" s="221"/>
    </row>
    <row r="59" spans="1:11" x14ac:dyDescent="0.3">
      <c r="A59" s="61" t="str">
        <f>Assumptions!A67</f>
        <v>Hospital 6 - Pancham</v>
      </c>
      <c r="C59" s="229"/>
      <c r="D59" s="229"/>
      <c r="E59" s="229"/>
      <c r="F59" s="229"/>
      <c r="G59" s="229"/>
      <c r="H59" s="229"/>
      <c r="I59" s="229"/>
      <c r="J59" s="229"/>
      <c r="K59" s="229"/>
    </row>
    <row r="60" spans="1:11" s="60" customFormat="1" x14ac:dyDescent="0.3">
      <c r="A60" s="60" t="s">
        <v>273</v>
      </c>
      <c r="C60" s="123">
        <f>SUM(C54:C59)</f>
        <v>0</v>
      </c>
      <c r="D60" s="123">
        <f t="shared" ref="D60:K60" si="22">SUM(D54:D59)</f>
        <v>0</v>
      </c>
      <c r="E60" s="123">
        <f t="shared" si="22"/>
        <v>0</v>
      </c>
      <c r="F60" s="123">
        <f t="shared" si="22"/>
        <v>0</v>
      </c>
      <c r="G60" s="123">
        <f t="shared" si="22"/>
        <v>0</v>
      </c>
      <c r="H60" s="123">
        <f t="shared" si="22"/>
        <v>0</v>
      </c>
      <c r="I60" s="123">
        <f t="shared" si="22"/>
        <v>0</v>
      </c>
      <c r="J60" s="123">
        <f t="shared" si="22"/>
        <v>0</v>
      </c>
      <c r="K60" s="123">
        <f t="shared" si="22"/>
        <v>0</v>
      </c>
    </row>
  </sheetData>
  <pageMargins left="0.7" right="0.7" top="0.75" bottom="0.75" header="0.3" footer="0.3"/>
  <pageSetup paperSize="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6063-24D5-4088-91F4-FCF2FD839533}">
  <sheetPr>
    <tabColor rgb="FF002060"/>
  </sheetPr>
  <dimension ref="A1:H40"/>
  <sheetViews>
    <sheetView showGridLines="0" zoomScaleNormal="100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C37" sqref="C37:G37"/>
    </sheetView>
  </sheetViews>
  <sheetFormatPr defaultRowHeight="13" x14ac:dyDescent="0.3"/>
  <cols>
    <col min="1" max="1" width="47.26953125" style="155" customWidth="1"/>
    <col min="2" max="2" width="12.7265625" style="1" customWidth="1"/>
    <col min="3" max="7" width="14.54296875" style="1" customWidth="1"/>
    <col min="8" max="16384" width="8.7265625" style="1"/>
  </cols>
  <sheetData>
    <row r="1" spans="1:8" s="196" customFormat="1" ht="14.5" customHeight="1" x14ac:dyDescent="0.3">
      <c r="A1" s="194" t="s">
        <v>42</v>
      </c>
      <c r="B1" s="195"/>
      <c r="C1" s="195"/>
      <c r="D1" s="195"/>
      <c r="E1" s="195"/>
      <c r="F1" s="195"/>
      <c r="G1" s="195"/>
    </row>
    <row r="2" spans="1:8" s="195" customFormat="1" ht="14" customHeight="1" x14ac:dyDescent="0.3">
      <c r="A2" s="197" t="s">
        <v>152</v>
      </c>
      <c r="B2" s="185"/>
      <c r="C2" s="180">
        <v>1</v>
      </c>
      <c r="D2" s="180">
        <f>C2+1</f>
        <v>2</v>
      </c>
      <c r="E2" s="180">
        <f>D2+1</f>
        <v>3</v>
      </c>
      <c r="F2" s="180">
        <f>E2+1</f>
        <v>4</v>
      </c>
      <c r="G2" s="180">
        <f>F2+1</f>
        <v>5</v>
      </c>
    </row>
    <row r="3" spans="1:8" x14ac:dyDescent="0.3">
      <c r="A3" s="153" t="s">
        <v>153</v>
      </c>
      <c r="B3" s="137">
        <v>0.1</v>
      </c>
    </row>
    <row r="4" spans="1:8" x14ac:dyDescent="0.3">
      <c r="A4" s="154" t="s">
        <v>15</v>
      </c>
      <c r="B4" s="138" t="s">
        <v>154</v>
      </c>
      <c r="C4" s="139"/>
      <c r="D4" s="139"/>
      <c r="E4" s="139"/>
      <c r="F4" s="139"/>
      <c r="G4" s="139"/>
    </row>
    <row r="6" spans="1:8" x14ac:dyDescent="0.3">
      <c r="A6" s="250" t="s">
        <v>155</v>
      </c>
      <c r="B6" s="150" t="s">
        <v>156</v>
      </c>
      <c r="C6" s="151">
        <v>1</v>
      </c>
      <c r="D6" s="151">
        <v>1</v>
      </c>
      <c r="E6" s="151">
        <v>1</v>
      </c>
      <c r="F6" s="151">
        <v>1</v>
      </c>
      <c r="G6" s="151">
        <v>1</v>
      </c>
    </row>
    <row r="7" spans="1:8" x14ac:dyDescent="0.3">
      <c r="A7" s="250"/>
      <c r="B7" s="150" t="s">
        <v>157</v>
      </c>
      <c r="C7" s="140">
        <v>1500000</v>
      </c>
      <c r="D7" s="140">
        <f t="shared" ref="D7:F7" si="0">C7*(1+$B$3)</f>
        <v>1650000.0000000002</v>
      </c>
      <c r="E7" s="140">
        <f t="shared" si="0"/>
        <v>1815000.0000000005</v>
      </c>
      <c r="F7" s="140">
        <f t="shared" si="0"/>
        <v>1996500.0000000007</v>
      </c>
      <c r="G7" s="140">
        <f>F7*(1+$B$3)</f>
        <v>2196150.0000000009</v>
      </c>
    </row>
    <row r="8" spans="1:8" x14ac:dyDescent="0.3">
      <c r="A8" s="250"/>
      <c r="B8" s="152" t="s">
        <v>158</v>
      </c>
      <c r="C8" s="141">
        <f>C7*C6</f>
        <v>1500000</v>
      </c>
      <c r="D8" s="141">
        <f t="shared" ref="D8:G8" si="1">D7*D6</f>
        <v>1650000.0000000002</v>
      </c>
      <c r="E8" s="141">
        <f t="shared" si="1"/>
        <v>1815000.0000000005</v>
      </c>
      <c r="F8" s="141">
        <f t="shared" si="1"/>
        <v>1996500.0000000007</v>
      </c>
      <c r="G8" s="141">
        <f t="shared" si="1"/>
        <v>2196150.0000000009</v>
      </c>
    </row>
    <row r="9" spans="1:8" x14ac:dyDescent="0.3">
      <c r="A9" s="250" t="s">
        <v>171</v>
      </c>
      <c r="B9" s="150" t="s">
        <v>156</v>
      </c>
      <c r="C9" s="151">
        <v>1</v>
      </c>
      <c r="D9" s="151">
        <v>1</v>
      </c>
      <c r="E9" s="151">
        <v>1</v>
      </c>
      <c r="F9" s="151">
        <v>1</v>
      </c>
      <c r="G9" s="151">
        <v>1</v>
      </c>
    </row>
    <row r="10" spans="1:8" x14ac:dyDescent="0.3">
      <c r="A10" s="250"/>
      <c r="B10" s="150" t="s">
        <v>157</v>
      </c>
      <c r="C10" s="140">
        <v>1500000</v>
      </c>
      <c r="D10" s="140">
        <f t="shared" ref="D10" si="2">C10*(1+$B$3)</f>
        <v>1650000.0000000002</v>
      </c>
      <c r="E10" s="140">
        <f t="shared" ref="E10" si="3">D10*(1+$B$3)</f>
        <v>1815000.0000000005</v>
      </c>
      <c r="F10" s="140">
        <f t="shared" ref="F10" si="4">E10*(1+$B$3)</f>
        <v>1996500.0000000007</v>
      </c>
      <c r="G10" s="140">
        <f>F10*(1+$B$3)</f>
        <v>2196150.0000000009</v>
      </c>
    </row>
    <row r="11" spans="1:8" x14ac:dyDescent="0.3">
      <c r="A11" s="250"/>
      <c r="B11" s="152" t="s">
        <v>158</v>
      </c>
      <c r="C11" s="141">
        <f>C10*C9</f>
        <v>1500000</v>
      </c>
      <c r="D11" s="141">
        <f t="shared" ref="D11:G11" si="5">D10*D9</f>
        <v>1650000.0000000002</v>
      </c>
      <c r="E11" s="141">
        <f t="shared" si="5"/>
        <v>1815000.0000000005</v>
      </c>
      <c r="F11" s="141">
        <f t="shared" si="5"/>
        <v>1996500.0000000007</v>
      </c>
      <c r="G11" s="141">
        <f t="shared" si="5"/>
        <v>2196150.0000000009</v>
      </c>
    </row>
    <row r="12" spans="1:8" x14ac:dyDescent="0.3">
      <c r="A12" s="250" t="s">
        <v>172</v>
      </c>
      <c r="B12" s="187" t="s">
        <v>156</v>
      </c>
      <c r="C12" s="151">
        <v>1</v>
      </c>
      <c r="D12" s="151">
        <v>1</v>
      </c>
      <c r="E12" s="151">
        <v>1</v>
      </c>
      <c r="F12" s="151">
        <v>1</v>
      </c>
      <c r="G12" s="151">
        <v>1</v>
      </c>
    </row>
    <row r="13" spans="1:8" x14ac:dyDescent="0.3">
      <c r="A13" s="250"/>
      <c r="B13" s="187" t="s">
        <v>157</v>
      </c>
      <c r="C13" s="140">
        <v>1500000</v>
      </c>
      <c r="D13" s="140">
        <f t="shared" ref="D13:G13" si="6">C13*(1+$B$3)</f>
        <v>1650000.0000000002</v>
      </c>
      <c r="E13" s="140">
        <f t="shared" si="6"/>
        <v>1815000.0000000005</v>
      </c>
      <c r="F13" s="140">
        <f t="shared" si="6"/>
        <v>1996500.0000000007</v>
      </c>
      <c r="G13" s="140">
        <f t="shared" si="6"/>
        <v>2196150.0000000009</v>
      </c>
    </row>
    <row r="14" spans="1:8" x14ac:dyDescent="0.3">
      <c r="A14" s="250"/>
      <c r="B14" s="152" t="s">
        <v>158</v>
      </c>
      <c r="C14" s="141">
        <f>C13*C12</f>
        <v>1500000</v>
      </c>
      <c r="D14" s="141">
        <f t="shared" ref="D14:G14" si="7">D13*D12</f>
        <v>1650000.0000000002</v>
      </c>
      <c r="E14" s="141">
        <f t="shared" si="7"/>
        <v>1815000.0000000005</v>
      </c>
      <c r="F14" s="141">
        <f t="shared" si="7"/>
        <v>1996500.0000000007</v>
      </c>
      <c r="G14" s="141">
        <f t="shared" si="7"/>
        <v>2196150.0000000009</v>
      </c>
    </row>
    <row r="15" spans="1:8" x14ac:dyDescent="0.3">
      <c r="A15" s="251" t="s">
        <v>173</v>
      </c>
      <c r="B15" s="150" t="s">
        <v>156</v>
      </c>
      <c r="C15" s="151">
        <v>1</v>
      </c>
      <c r="D15" s="151">
        <v>1</v>
      </c>
      <c r="E15" s="151">
        <v>1</v>
      </c>
      <c r="F15" s="151">
        <v>1</v>
      </c>
      <c r="G15" s="151">
        <v>1</v>
      </c>
    </row>
    <row r="16" spans="1:8" x14ac:dyDescent="0.3">
      <c r="A16" s="251"/>
      <c r="B16" s="150" t="s">
        <v>157</v>
      </c>
      <c r="C16" s="140">
        <v>400000</v>
      </c>
      <c r="D16" s="140">
        <f t="shared" ref="D16:E16" si="8">C16*(1+$B$3)</f>
        <v>440000.00000000006</v>
      </c>
      <c r="E16" s="140">
        <f t="shared" si="8"/>
        <v>484000.00000000012</v>
      </c>
      <c r="F16" s="140">
        <f t="shared" ref="F16" si="9">E16*(1+$B$3)</f>
        <v>532400.00000000012</v>
      </c>
      <c r="G16" s="140">
        <f t="shared" ref="G16" si="10">F16*(1+$B$3)</f>
        <v>585640.00000000023</v>
      </c>
      <c r="H16" s="156"/>
    </row>
    <row r="17" spans="1:7" x14ac:dyDescent="0.3">
      <c r="A17" s="251"/>
      <c r="B17" s="152" t="s">
        <v>158</v>
      </c>
      <c r="C17" s="141">
        <f>C16*C15</f>
        <v>400000</v>
      </c>
      <c r="D17" s="141">
        <f t="shared" ref="D17:G17" si="11">D16*D15</f>
        <v>440000.00000000006</v>
      </c>
      <c r="E17" s="141">
        <f t="shared" si="11"/>
        <v>484000.00000000012</v>
      </c>
      <c r="F17" s="141">
        <f t="shared" si="11"/>
        <v>532400.00000000012</v>
      </c>
      <c r="G17" s="141">
        <f t="shared" si="11"/>
        <v>585640.00000000023</v>
      </c>
    </row>
    <row r="18" spans="1:7" x14ac:dyDescent="0.3">
      <c r="A18" s="251" t="s">
        <v>174</v>
      </c>
      <c r="B18" s="150" t="s">
        <v>156</v>
      </c>
      <c r="C18" s="151">
        <v>4</v>
      </c>
      <c r="D18" s="151">
        <v>4</v>
      </c>
      <c r="E18" s="151">
        <v>4</v>
      </c>
      <c r="F18" s="151">
        <v>7</v>
      </c>
      <c r="G18" s="151">
        <v>7</v>
      </c>
    </row>
    <row r="19" spans="1:7" x14ac:dyDescent="0.3">
      <c r="A19" s="251"/>
      <c r="B19" s="150" t="s">
        <v>157</v>
      </c>
      <c r="C19" s="140">
        <v>700000</v>
      </c>
      <c r="D19" s="140">
        <f t="shared" ref="D19" si="12">C19*(1+$B$3)</f>
        <v>770000.00000000012</v>
      </c>
      <c r="E19" s="140">
        <f t="shared" ref="E19" si="13">D19*(1+$B$3)</f>
        <v>847000.00000000023</v>
      </c>
      <c r="F19" s="140">
        <f t="shared" ref="F19" si="14">E19*(1+$B$3)</f>
        <v>931700.00000000035</v>
      </c>
      <c r="G19" s="140">
        <f t="shared" ref="G19" si="15">F19*(1+$B$3)</f>
        <v>1024870.0000000005</v>
      </c>
    </row>
    <row r="20" spans="1:7" x14ac:dyDescent="0.3">
      <c r="A20" s="251"/>
      <c r="B20" s="152" t="s">
        <v>158</v>
      </c>
      <c r="C20" s="141">
        <f>C19*C18</f>
        <v>2800000</v>
      </c>
      <c r="D20" s="141">
        <f t="shared" ref="D20:G20" si="16">D19*D18</f>
        <v>3080000.0000000005</v>
      </c>
      <c r="E20" s="141">
        <f t="shared" si="16"/>
        <v>3388000.0000000009</v>
      </c>
      <c r="F20" s="141">
        <f t="shared" si="16"/>
        <v>6521900.0000000028</v>
      </c>
      <c r="G20" s="141">
        <f t="shared" si="16"/>
        <v>7174090.0000000037</v>
      </c>
    </row>
    <row r="21" spans="1:7" x14ac:dyDescent="0.3">
      <c r="A21" s="250" t="s">
        <v>175</v>
      </c>
      <c r="B21" s="150" t="s">
        <v>156</v>
      </c>
      <c r="C21" s="151">
        <v>2</v>
      </c>
      <c r="D21" s="151">
        <v>2</v>
      </c>
      <c r="E21" s="151">
        <v>2</v>
      </c>
      <c r="F21" s="151">
        <v>4</v>
      </c>
      <c r="G21" s="151">
        <v>4</v>
      </c>
    </row>
    <row r="22" spans="1:7" x14ac:dyDescent="0.3">
      <c r="A22" s="250"/>
      <c r="B22" s="150" t="s">
        <v>157</v>
      </c>
      <c r="C22" s="140">
        <v>700000</v>
      </c>
      <c r="D22" s="140">
        <f t="shared" ref="D22" si="17">C22*(1+$B$3)</f>
        <v>770000.00000000012</v>
      </c>
      <c r="E22" s="140">
        <f t="shared" ref="E22" si="18">D22*(1+$B$3)</f>
        <v>847000.00000000023</v>
      </c>
      <c r="F22" s="140">
        <f t="shared" ref="F22" si="19">E22*(1+$B$3)</f>
        <v>931700.00000000035</v>
      </c>
      <c r="G22" s="140">
        <f t="shared" ref="G22" si="20">F22*(1+$B$3)</f>
        <v>1024870.0000000005</v>
      </c>
    </row>
    <row r="23" spans="1:7" x14ac:dyDescent="0.3">
      <c r="A23" s="250"/>
      <c r="B23" s="152" t="s">
        <v>158</v>
      </c>
      <c r="C23" s="141">
        <f>C22*C21</f>
        <v>1400000</v>
      </c>
      <c r="D23" s="141">
        <f t="shared" ref="D23:G23" si="21">D22*D21</f>
        <v>1540000.0000000002</v>
      </c>
      <c r="E23" s="141">
        <f t="shared" si="21"/>
        <v>1694000.0000000005</v>
      </c>
      <c r="F23" s="141">
        <f t="shared" si="21"/>
        <v>3726800.0000000014</v>
      </c>
      <c r="G23" s="141">
        <f t="shared" si="21"/>
        <v>4099480.0000000019</v>
      </c>
    </row>
    <row r="24" spans="1:7" x14ac:dyDescent="0.3">
      <c r="A24" s="250" t="s">
        <v>176</v>
      </c>
      <c r="B24" s="150" t="s">
        <v>156</v>
      </c>
      <c r="C24" s="151">
        <v>1</v>
      </c>
      <c r="D24" s="151">
        <v>1</v>
      </c>
      <c r="E24" s="151">
        <v>1</v>
      </c>
      <c r="F24" s="151">
        <v>3</v>
      </c>
      <c r="G24" s="151">
        <v>3</v>
      </c>
    </row>
    <row r="25" spans="1:7" x14ac:dyDescent="0.3">
      <c r="A25" s="250"/>
      <c r="B25" s="150" t="s">
        <v>157</v>
      </c>
      <c r="C25" s="140">
        <v>400000</v>
      </c>
      <c r="D25" s="140">
        <f t="shared" ref="D25" si="22">C25*(1+$B$3)</f>
        <v>440000.00000000006</v>
      </c>
      <c r="E25" s="140">
        <f t="shared" ref="E25" si="23">D25*(1+$B$3)</f>
        <v>484000.00000000012</v>
      </c>
      <c r="F25" s="140">
        <f t="shared" ref="F25" si="24">E25*(1+$B$3)</f>
        <v>532400.00000000012</v>
      </c>
      <c r="G25" s="140">
        <f t="shared" ref="G25" si="25">F25*(1+$B$3)</f>
        <v>585640.00000000023</v>
      </c>
    </row>
    <row r="26" spans="1:7" x14ac:dyDescent="0.3">
      <c r="A26" s="250"/>
      <c r="B26" s="152" t="s">
        <v>158</v>
      </c>
      <c r="C26" s="141">
        <f>C25*C24</f>
        <v>400000</v>
      </c>
      <c r="D26" s="141">
        <f t="shared" ref="D26:G26" si="26">D25*D24</f>
        <v>440000.00000000006</v>
      </c>
      <c r="E26" s="141">
        <f t="shared" si="26"/>
        <v>484000.00000000012</v>
      </c>
      <c r="F26" s="141">
        <f t="shared" si="26"/>
        <v>1597200.0000000005</v>
      </c>
      <c r="G26" s="141">
        <f t="shared" si="26"/>
        <v>1756920.0000000007</v>
      </c>
    </row>
    <row r="27" spans="1:7" x14ac:dyDescent="0.3">
      <c r="A27" s="250" t="s">
        <v>177</v>
      </c>
      <c r="B27" s="150" t="s">
        <v>156</v>
      </c>
      <c r="C27" s="151">
        <v>1</v>
      </c>
      <c r="D27" s="151">
        <v>1</v>
      </c>
      <c r="E27" s="151">
        <v>1</v>
      </c>
      <c r="F27" s="151">
        <v>2</v>
      </c>
      <c r="G27" s="151">
        <v>2</v>
      </c>
    </row>
    <row r="28" spans="1:7" x14ac:dyDescent="0.3">
      <c r="A28" s="250"/>
      <c r="B28" s="150" t="s">
        <v>157</v>
      </c>
      <c r="C28" s="140">
        <v>400000</v>
      </c>
      <c r="D28" s="140">
        <f t="shared" ref="D28" si="27">C28*(1+$B$3)</f>
        <v>440000.00000000006</v>
      </c>
      <c r="E28" s="140">
        <f t="shared" ref="E28" si="28">D28*(1+$B$3)</f>
        <v>484000.00000000012</v>
      </c>
      <c r="F28" s="140">
        <f t="shared" ref="F28" si="29">E28*(1+$B$3)</f>
        <v>532400.00000000012</v>
      </c>
      <c r="G28" s="140">
        <f t="shared" ref="G28" si="30">F28*(1+$B$3)</f>
        <v>585640.00000000023</v>
      </c>
    </row>
    <row r="29" spans="1:7" x14ac:dyDescent="0.3">
      <c r="A29" s="250"/>
      <c r="B29" s="152" t="s">
        <v>158</v>
      </c>
      <c r="C29" s="141">
        <f>C28*C27</f>
        <v>400000</v>
      </c>
      <c r="D29" s="141">
        <f t="shared" ref="D29:G29" si="31">D28*D27</f>
        <v>440000.00000000006</v>
      </c>
      <c r="E29" s="141">
        <f t="shared" si="31"/>
        <v>484000.00000000012</v>
      </c>
      <c r="F29" s="141">
        <f t="shared" si="31"/>
        <v>1064800.0000000002</v>
      </c>
      <c r="G29" s="141">
        <f t="shared" si="31"/>
        <v>1171280.0000000005</v>
      </c>
    </row>
    <row r="30" spans="1:7" x14ac:dyDescent="0.3">
      <c r="A30" s="250" t="s">
        <v>178</v>
      </c>
      <c r="B30" s="150" t="s">
        <v>156</v>
      </c>
      <c r="C30" s="151">
        <v>1</v>
      </c>
      <c r="D30" s="151">
        <v>1</v>
      </c>
      <c r="E30" s="151">
        <v>1</v>
      </c>
      <c r="F30" s="151">
        <v>2</v>
      </c>
      <c r="G30" s="151">
        <v>2</v>
      </c>
    </row>
    <row r="31" spans="1:7" x14ac:dyDescent="0.3">
      <c r="A31" s="250"/>
      <c r="B31" s="150" t="s">
        <v>157</v>
      </c>
      <c r="C31" s="140">
        <v>400000</v>
      </c>
      <c r="D31" s="140">
        <f t="shared" ref="D31" si="32">C31*(1+$B$3)</f>
        <v>440000.00000000006</v>
      </c>
      <c r="E31" s="140">
        <f t="shared" ref="E31" si="33">D31*(1+$B$3)</f>
        <v>484000.00000000012</v>
      </c>
      <c r="F31" s="140">
        <f t="shared" ref="F31" si="34">E31*(1+$B$3)</f>
        <v>532400.00000000012</v>
      </c>
      <c r="G31" s="140">
        <f t="shared" ref="G31" si="35">F31*(1+$B$3)</f>
        <v>585640.00000000023</v>
      </c>
    </row>
    <row r="32" spans="1:7" x14ac:dyDescent="0.3">
      <c r="A32" s="250"/>
      <c r="B32" s="152" t="s">
        <v>158</v>
      </c>
      <c r="C32" s="141">
        <f>C31*C30</f>
        <v>400000</v>
      </c>
      <c r="D32" s="141">
        <f t="shared" ref="D32:G32" si="36">D31*D30</f>
        <v>440000.00000000006</v>
      </c>
      <c r="E32" s="141">
        <f t="shared" si="36"/>
        <v>484000.00000000012</v>
      </c>
      <c r="F32" s="141">
        <f t="shared" si="36"/>
        <v>1064800.0000000002</v>
      </c>
      <c r="G32" s="141">
        <f t="shared" si="36"/>
        <v>1171280.0000000005</v>
      </c>
    </row>
    <row r="33" spans="1:7" x14ac:dyDescent="0.3">
      <c r="A33" s="250" t="s">
        <v>179</v>
      </c>
      <c r="B33" s="150" t="s">
        <v>156</v>
      </c>
      <c r="C33" s="151">
        <v>1</v>
      </c>
      <c r="D33" s="151">
        <v>1</v>
      </c>
      <c r="E33" s="151">
        <v>1</v>
      </c>
      <c r="F33" s="151">
        <v>2</v>
      </c>
      <c r="G33" s="151">
        <v>2</v>
      </c>
    </row>
    <row r="34" spans="1:7" x14ac:dyDescent="0.3">
      <c r="A34" s="250"/>
      <c r="B34" s="150" t="s">
        <v>157</v>
      </c>
      <c r="C34" s="140">
        <v>400000</v>
      </c>
      <c r="D34" s="140">
        <f t="shared" ref="D34" si="37">C34*(1+$B$3)</f>
        <v>440000.00000000006</v>
      </c>
      <c r="E34" s="140">
        <f t="shared" ref="E34" si="38">D34*(1+$B$3)</f>
        <v>484000.00000000012</v>
      </c>
      <c r="F34" s="140">
        <f t="shared" ref="F34" si="39">E34*(1+$B$3)</f>
        <v>532400.00000000012</v>
      </c>
      <c r="G34" s="140">
        <f t="shared" ref="G34" si="40">F34*(1+$B$3)</f>
        <v>585640.00000000023</v>
      </c>
    </row>
    <row r="35" spans="1:7" x14ac:dyDescent="0.3">
      <c r="A35" s="250"/>
      <c r="B35" s="152" t="s">
        <v>158</v>
      </c>
      <c r="C35" s="141">
        <f>C34*C33</f>
        <v>400000</v>
      </c>
      <c r="D35" s="141">
        <f t="shared" ref="D35:G35" si="41">D34*D33</f>
        <v>440000.00000000006</v>
      </c>
      <c r="E35" s="141">
        <f t="shared" si="41"/>
        <v>484000.00000000012</v>
      </c>
      <c r="F35" s="141">
        <f t="shared" si="41"/>
        <v>1064800.0000000002</v>
      </c>
      <c r="G35" s="141">
        <f t="shared" si="41"/>
        <v>1171280.0000000005</v>
      </c>
    </row>
    <row r="37" spans="1:7" x14ac:dyDescent="0.3">
      <c r="B37" s="142" t="s">
        <v>159</v>
      </c>
      <c r="C37" s="143"/>
      <c r="D37" s="143"/>
      <c r="E37" s="143"/>
      <c r="F37" s="143"/>
      <c r="G37" s="143"/>
    </row>
    <row r="39" spans="1:7" x14ac:dyDescent="0.3">
      <c r="B39" s="144" t="s">
        <v>160</v>
      </c>
      <c r="C39" s="145">
        <f>SUM(C6,C9,C12,C15,C18,C21,C24,C27,C30,C33)</f>
        <v>14</v>
      </c>
      <c r="D39" s="145">
        <f t="shared" ref="D39:F39" si="42">SUM(D6,D9,D12,D15,D18,D21,D24,D27,D30,D33)</f>
        <v>14</v>
      </c>
      <c r="E39" s="145">
        <f t="shared" si="42"/>
        <v>14</v>
      </c>
      <c r="F39" s="145">
        <f t="shared" si="42"/>
        <v>24</v>
      </c>
      <c r="G39" s="145">
        <f>SUM(G6,G9,G12,G15,G18,G21,G24,G27,G30,G33)</f>
        <v>24</v>
      </c>
    </row>
    <row r="40" spans="1:7" x14ac:dyDescent="0.3">
      <c r="B40" s="144" t="s">
        <v>161</v>
      </c>
      <c r="C40" s="145">
        <f>C39</f>
        <v>14</v>
      </c>
      <c r="D40" s="145">
        <f>D39-C39</f>
        <v>0</v>
      </c>
      <c r="E40" s="145">
        <f t="shared" ref="E40:G40" si="43">E39-D39</f>
        <v>0</v>
      </c>
      <c r="F40" s="145">
        <f t="shared" si="43"/>
        <v>10</v>
      </c>
      <c r="G40" s="145">
        <f t="shared" si="43"/>
        <v>0</v>
      </c>
    </row>
  </sheetData>
  <mergeCells count="10">
    <mergeCell ref="A33:A35"/>
    <mergeCell ref="A18:A20"/>
    <mergeCell ref="A21:A23"/>
    <mergeCell ref="A24:A26"/>
    <mergeCell ref="A6:A8"/>
    <mergeCell ref="A9:A11"/>
    <mergeCell ref="A15:A17"/>
    <mergeCell ref="A27:A29"/>
    <mergeCell ref="A30:A32"/>
    <mergeCell ref="A12:A14"/>
  </mergeCells>
  <pageMargins left="0.7" right="0.7" top="0.75" bottom="0.75" header="0.3" footer="0.3"/>
  <pageSetup paperSize="5" orientation="landscape" r:id="rId1"/>
  <ignoredErrors>
    <ignoredError sqref="D17:G1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W30"/>
  <sheetViews>
    <sheetView showGridLines="0" workbookViewId="0">
      <selection activeCell="D3" sqref="D3"/>
    </sheetView>
  </sheetViews>
  <sheetFormatPr defaultColWidth="8.81640625" defaultRowHeight="13" x14ac:dyDescent="0.25"/>
  <cols>
    <col min="1" max="1" width="8.81640625" style="5" customWidth="1"/>
    <col min="2" max="2" width="43.81640625" style="5" customWidth="1"/>
    <col min="3" max="11" width="13.6328125" style="5" customWidth="1"/>
    <col min="12" max="12" width="12.36328125" style="5" bestFit="1" customWidth="1"/>
    <col min="13" max="257" width="8.81640625" style="5"/>
    <col min="258" max="258" width="8.81640625" style="5" bestFit="1" customWidth="1"/>
    <col min="259" max="259" width="36.453125" style="5" bestFit="1" customWidth="1"/>
    <col min="260" max="261" width="11.1796875" style="5" bestFit="1" customWidth="1"/>
    <col min="262" max="265" width="8.54296875" style="5" bestFit="1" customWidth="1"/>
    <col min="266" max="266" width="8.1796875" style="5" bestFit="1" customWidth="1"/>
    <col min="267" max="513" width="8.81640625" style="5"/>
    <col min="514" max="514" width="8.81640625" style="5" bestFit="1" customWidth="1"/>
    <col min="515" max="515" width="36.453125" style="5" bestFit="1" customWidth="1"/>
    <col min="516" max="517" width="11.1796875" style="5" bestFit="1" customWidth="1"/>
    <col min="518" max="521" width="8.54296875" style="5" bestFit="1" customWidth="1"/>
    <col min="522" max="522" width="8.1796875" style="5" bestFit="1" customWidth="1"/>
    <col min="523" max="769" width="8.81640625" style="5"/>
    <col min="770" max="770" width="8.81640625" style="5" bestFit="1" customWidth="1"/>
    <col min="771" max="771" width="36.453125" style="5" bestFit="1" customWidth="1"/>
    <col min="772" max="773" width="11.1796875" style="5" bestFit="1" customWidth="1"/>
    <col min="774" max="777" width="8.54296875" style="5" bestFit="1" customWidth="1"/>
    <col min="778" max="778" width="8.1796875" style="5" bestFit="1" customWidth="1"/>
    <col min="779" max="1025" width="8.81640625" style="5"/>
    <col min="1026" max="1026" width="8.81640625" style="5" bestFit="1" customWidth="1"/>
    <col min="1027" max="1027" width="36.453125" style="5" bestFit="1" customWidth="1"/>
    <col min="1028" max="1029" width="11.1796875" style="5" bestFit="1" customWidth="1"/>
    <col min="1030" max="1033" width="8.54296875" style="5" bestFit="1" customWidth="1"/>
    <col min="1034" max="1034" width="8.1796875" style="5" bestFit="1" customWidth="1"/>
    <col min="1035" max="1281" width="8.81640625" style="5"/>
    <col min="1282" max="1282" width="8.81640625" style="5" bestFit="1" customWidth="1"/>
    <col min="1283" max="1283" width="36.453125" style="5" bestFit="1" customWidth="1"/>
    <col min="1284" max="1285" width="11.1796875" style="5" bestFit="1" customWidth="1"/>
    <col min="1286" max="1289" width="8.54296875" style="5" bestFit="1" customWidth="1"/>
    <col min="1290" max="1290" width="8.1796875" style="5" bestFit="1" customWidth="1"/>
    <col min="1291" max="1537" width="8.81640625" style="5"/>
    <col min="1538" max="1538" width="8.81640625" style="5" bestFit="1" customWidth="1"/>
    <col min="1539" max="1539" width="36.453125" style="5" bestFit="1" customWidth="1"/>
    <col min="1540" max="1541" width="11.1796875" style="5" bestFit="1" customWidth="1"/>
    <col min="1542" max="1545" width="8.54296875" style="5" bestFit="1" customWidth="1"/>
    <col min="1546" max="1546" width="8.1796875" style="5" bestFit="1" customWidth="1"/>
    <col min="1547" max="1793" width="8.81640625" style="5"/>
    <col min="1794" max="1794" width="8.81640625" style="5" bestFit="1" customWidth="1"/>
    <col min="1795" max="1795" width="36.453125" style="5" bestFit="1" customWidth="1"/>
    <col min="1796" max="1797" width="11.1796875" style="5" bestFit="1" customWidth="1"/>
    <col min="1798" max="1801" width="8.54296875" style="5" bestFit="1" customWidth="1"/>
    <col min="1802" max="1802" width="8.1796875" style="5" bestFit="1" customWidth="1"/>
    <col min="1803" max="2049" width="8.81640625" style="5"/>
    <col min="2050" max="2050" width="8.81640625" style="5" bestFit="1" customWidth="1"/>
    <col min="2051" max="2051" width="36.453125" style="5" bestFit="1" customWidth="1"/>
    <col min="2052" max="2053" width="11.1796875" style="5" bestFit="1" customWidth="1"/>
    <col min="2054" max="2057" width="8.54296875" style="5" bestFit="1" customWidth="1"/>
    <col min="2058" max="2058" width="8.1796875" style="5" bestFit="1" customWidth="1"/>
    <col min="2059" max="2305" width="8.81640625" style="5"/>
    <col min="2306" max="2306" width="8.81640625" style="5" bestFit="1" customWidth="1"/>
    <col min="2307" max="2307" width="36.453125" style="5" bestFit="1" customWidth="1"/>
    <col min="2308" max="2309" width="11.1796875" style="5" bestFit="1" customWidth="1"/>
    <col min="2310" max="2313" width="8.54296875" style="5" bestFit="1" customWidth="1"/>
    <col min="2314" max="2314" width="8.1796875" style="5" bestFit="1" customWidth="1"/>
    <col min="2315" max="2561" width="8.81640625" style="5"/>
    <col min="2562" max="2562" width="8.81640625" style="5" bestFit="1" customWidth="1"/>
    <col min="2563" max="2563" width="36.453125" style="5" bestFit="1" customWidth="1"/>
    <col min="2564" max="2565" width="11.1796875" style="5" bestFit="1" customWidth="1"/>
    <col min="2566" max="2569" width="8.54296875" style="5" bestFit="1" customWidth="1"/>
    <col min="2570" max="2570" width="8.1796875" style="5" bestFit="1" customWidth="1"/>
    <col min="2571" max="2817" width="8.81640625" style="5"/>
    <col min="2818" max="2818" width="8.81640625" style="5" bestFit="1" customWidth="1"/>
    <col min="2819" max="2819" width="36.453125" style="5" bestFit="1" customWidth="1"/>
    <col min="2820" max="2821" width="11.1796875" style="5" bestFit="1" customWidth="1"/>
    <col min="2822" max="2825" width="8.54296875" style="5" bestFit="1" customWidth="1"/>
    <col min="2826" max="2826" width="8.1796875" style="5" bestFit="1" customWidth="1"/>
    <col min="2827" max="3073" width="8.81640625" style="5"/>
    <col min="3074" max="3074" width="8.81640625" style="5" bestFit="1" customWidth="1"/>
    <col min="3075" max="3075" width="36.453125" style="5" bestFit="1" customWidth="1"/>
    <col min="3076" max="3077" width="11.1796875" style="5" bestFit="1" customWidth="1"/>
    <col min="3078" max="3081" width="8.54296875" style="5" bestFit="1" customWidth="1"/>
    <col min="3082" max="3082" width="8.1796875" style="5" bestFit="1" customWidth="1"/>
    <col min="3083" max="3329" width="8.81640625" style="5"/>
    <col min="3330" max="3330" width="8.81640625" style="5" bestFit="1" customWidth="1"/>
    <col min="3331" max="3331" width="36.453125" style="5" bestFit="1" customWidth="1"/>
    <col min="3332" max="3333" width="11.1796875" style="5" bestFit="1" customWidth="1"/>
    <col min="3334" max="3337" width="8.54296875" style="5" bestFit="1" customWidth="1"/>
    <col min="3338" max="3338" width="8.1796875" style="5" bestFit="1" customWidth="1"/>
    <col min="3339" max="3585" width="8.81640625" style="5"/>
    <col min="3586" max="3586" width="8.81640625" style="5" bestFit="1" customWidth="1"/>
    <col min="3587" max="3587" width="36.453125" style="5" bestFit="1" customWidth="1"/>
    <col min="3588" max="3589" width="11.1796875" style="5" bestFit="1" customWidth="1"/>
    <col min="3590" max="3593" width="8.54296875" style="5" bestFit="1" customWidth="1"/>
    <col min="3594" max="3594" width="8.1796875" style="5" bestFit="1" customWidth="1"/>
    <col min="3595" max="3841" width="8.81640625" style="5"/>
    <col min="3842" max="3842" width="8.81640625" style="5" bestFit="1" customWidth="1"/>
    <col min="3843" max="3843" width="36.453125" style="5" bestFit="1" customWidth="1"/>
    <col min="3844" max="3845" width="11.1796875" style="5" bestFit="1" customWidth="1"/>
    <col min="3846" max="3849" width="8.54296875" style="5" bestFit="1" customWidth="1"/>
    <col min="3850" max="3850" width="8.1796875" style="5" bestFit="1" customWidth="1"/>
    <col min="3851" max="4097" width="8.81640625" style="5"/>
    <col min="4098" max="4098" width="8.81640625" style="5" bestFit="1" customWidth="1"/>
    <col min="4099" max="4099" width="36.453125" style="5" bestFit="1" customWidth="1"/>
    <col min="4100" max="4101" width="11.1796875" style="5" bestFit="1" customWidth="1"/>
    <col min="4102" max="4105" width="8.54296875" style="5" bestFit="1" customWidth="1"/>
    <col min="4106" max="4106" width="8.1796875" style="5" bestFit="1" customWidth="1"/>
    <col min="4107" max="4353" width="8.81640625" style="5"/>
    <col min="4354" max="4354" width="8.81640625" style="5" bestFit="1" customWidth="1"/>
    <col min="4355" max="4355" width="36.453125" style="5" bestFit="1" customWidth="1"/>
    <col min="4356" max="4357" width="11.1796875" style="5" bestFit="1" customWidth="1"/>
    <col min="4358" max="4361" width="8.54296875" style="5" bestFit="1" customWidth="1"/>
    <col min="4362" max="4362" width="8.1796875" style="5" bestFit="1" customWidth="1"/>
    <col min="4363" max="4609" width="8.81640625" style="5"/>
    <col min="4610" max="4610" width="8.81640625" style="5" bestFit="1" customWidth="1"/>
    <col min="4611" max="4611" width="36.453125" style="5" bestFit="1" customWidth="1"/>
    <col min="4612" max="4613" width="11.1796875" style="5" bestFit="1" customWidth="1"/>
    <col min="4614" max="4617" width="8.54296875" style="5" bestFit="1" customWidth="1"/>
    <col min="4618" max="4618" width="8.1796875" style="5" bestFit="1" customWidth="1"/>
    <col min="4619" max="4865" width="8.81640625" style="5"/>
    <col min="4866" max="4866" width="8.81640625" style="5" bestFit="1" customWidth="1"/>
    <col min="4867" max="4867" width="36.453125" style="5" bestFit="1" customWidth="1"/>
    <col min="4868" max="4869" width="11.1796875" style="5" bestFit="1" customWidth="1"/>
    <col min="4870" max="4873" width="8.54296875" style="5" bestFit="1" customWidth="1"/>
    <col min="4874" max="4874" width="8.1796875" style="5" bestFit="1" customWidth="1"/>
    <col min="4875" max="5121" width="8.81640625" style="5"/>
    <col min="5122" max="5122" width="8.81640625" style="5" bestFit="1" customWidth="1"/>
    <col min="5123" max="5123" width="36.453125" style="5" bestFit="1" customWidth="1"/>
    <col min="5124" max="5125" width="11.1796875" style="5" bestFit="1" customWidth="1"/>
    <col min="5126" max="5129" width="8.54296875" style="5" bestFit="1" customWidth="1"/>
    <col min="5130" max="5130" width="8.1796875" style="5" bestFit="1" customWidth="1"/>
    <col min="5131" max="5377" width="8.81640625" style="5"/>
    <col min="5378" max="5378" width="8.81640625" style="5" bestFit="1" customWidth="1"/>
    <col min="5379" max="5379" width="36.453125" style="5" bestFit="1" customWidth="1"/>
    <col min="5380" max="5381" width="11.1796875" style="5" bestFit="1" customWidth="1"/>
    <col min="5382" max="5385" width="8.54296875" style="5" bestFit="1" customWidth="1"/>
    <col min="5386" max="5386" width="8.1796875" style="5" bestFit="1" customWidth="1"/>
    <col min="5387" max="5633" width="8.81640625" style="5"/>
    <col min="5634" max="5634" width="8.81640625" style="5" bestFit="1" customWidth="1"/>
    <col min="5635" max="5635" width="36.453125" style="5" bestFit="1" customWidth="1"/>
    <col min="5636" max="5637" width="11.1796875" style="5" bestFit="1" customWidth="1"/>
    <col min="5638" max="5641" width="8.54296875" style="5" bestFit="1" customWidth="1"/>
    <col min="5642" max="5642" width="8.1796875" style="5" bestFit="1" customWidth="1"/>
    <col min="5643" max="5889" width="8.81640625" style="5"/>
    <col min="5890" max="5890" width="8.81640625" style="5" bestFit="1" customWidth="1"/>
    <col min="5891" max="5891" width="36.453125" style="5" bestFit="1" customWidth="1"/>
    <col min="5892" max="5893" width="11.1796875" style="5" bestFit="1" customWidth="1"/>
    <col min="5894" max="5897" width="8.54296875" style="5" bestFit="1" customWidth="1"/>
    <col min="5898" max="5898" width="8.1796875" style="5" bestFit="1" customWidth="1"/>
    <col min="5899" max="6145" width="8.81640625" style="5"/>
    <col min="6146" max="6146" width="8.81640625" style="5" bestFit="1" customWidth="1"/>
    <col min="6147" max="6147" width="36.453125" style="5" bestFit="1" customWidth="1"/>
    <col min="6148" max="6149" width="11.1796875" style="5" bestFit="1" customWidth="1"/>
    <col min="6150" max="6153" width="8.54296875" style="5" bestFit="1" customWidth="1"/>
    <col min="6154" max="6154" width="8.1796875" style="5" bestFit="1" customWidth="1"/>
    <col min="6155" max="6401" width="8.81640625" style="5"/>
    <col min="6402" max="6402" width="8.81640625" style="5" bestFit="1" customWidth="1"/>
    <col min="6403" max="6403" width="36.453125" style="5" bestFit="1" customWidth="1"/>
    <col min="6404" max="6405" width="11.1796875" style="5" bestFit="1" customWidth="1"/>
    <col min="6406" max="6409" width="8.54296875" style="5" bestFit="1" customWidth="1"/>
    <col min="6410" max="6410" width="8.1796875" style="5" bestFit="1" customWidth="1"/>
    <col min="6411" max="6657" width="8.81640625" style="5"/>
    <col min="6658" max="6658" width="8.81640625" style="5" bestFit="1" customWidth="1"/>
    <col min="6659" max="6659" width="36.453125" style="5" bestFit="1" customWidth="1"/>
    <col min="6660" max="6661" width="11.1796875" style="5" bestFit="1" customWidth="1"/>
    <col min="6662" max="6665" width="8.54296875" style="5" bestFit="1" customWidth="1"/>
    <col min="6666" max="6666" width="8.1796875" style="5" bestFit="1" customWidth="1"/>
    <col min="6667" max="6913" width="8.81640625" style="5"/>
    <col min="6914" max="6914" width="8.81640625" style="5" bestFit="1" customWidth="1"/>
    <col min="6915" max="6915" width="36.453125" style="5" bestFit="1" customWidth="1"/>
    <col min="6916" max="6917" width="11.1796875" style="5" bestFit="1" customWidth="1"/>
    <col min="6918" max="6921" width="8.54296875" style="5" bestFit="1" customWidth="1"/>
    <col min="6922" max="6922" width="8.1796875" style="5" bestFit="1" customWidth="1"/>
    <col min="6923" max="7169" width="8.81640625" style="5"/>
    <col min="7170" max="7170" width="8.81640625" style="5" bestFit="1" customWidth="1"/>
    <col min="7171" max="7171" width="36.453125" style="5" bestFit="1" customWidth="1"/>
    <col min="7172" max="7173" width="11.1796875" style="5" bestFit="1" customWidth="1"/>
    <col min="7174" max="7177" width="8.54296875" style="5" bestFit="1" customWidth="1"/>
    <col min="7178" max="7178" width="8.1796875" style="5" bestFit="1" customWidth="1"/>
    <col min="7179" max="7425" width="8.81640625" style="5"/>
    <col min="7426" max="7426" width="8.81640625" style="5" bestFit="1" customWidth="1"/>
    <col min="7427" max="7427" width="36.453125" style="5" bestFit="1" customWidth="1"/>
    <col min="7428" max="7429" width="11.1796875" style="5" bestFit="1" customWidth="1"/>
    <col min="7430" max="7433" width="8.54296875" style="5" bestFit="1" customWidth="1"/>
    <col min="7434" max="7434" width="8.1796875" style="5" bestFit="1" customWidth="1"/>
    <col min="7435" max="7681" width="8.81640625" style="5"/>
    <col min="7682" max="7682" width="8.81640625" style="5" bestFit="1" customWidth="1"/>
    <col min="7683" max="7683" width="36.453125" style="5" bestFit="1" customWidth="1"/>
    <col min="7684" max="7685" width="11.1796875" style="5" bestFit="1" customWidth="1"/>
    <col min="7686" max="7689" width="8.54296875" style="5" bestFit="1" customWidth="1"/>
    <col min="7690" max="7690" width="8.1796875" style="5" bestFit="1" customWidth="1"/>
    <col min="7691" max="7937" width="8.81640625" style="5"/>
    <col min="7938" max="7938" width="8.81640625" style="5" bestFit="1" customWidth="1"/>
    <col min="7939" max="7939" width="36.453125" style="5" bestFit="1" customWidth="1"/>
    <col min="7940" max="7941" width="11.1796875" style="5" bestFit="1" customWidth="1"/>
    <col min="7942" max="7945" width="8.54296875" style="5" bestFit="1" customWidth="1"/>
    <col min="7946" max="7946" width="8.1796875" style="5" bestFit="1" customWidth="1"/>
    <col min="7947" max="8193" width="8.81640625" style="5"/>
    <col min="8194" max="8194" width="8.81640625" style="5" bestFit="1" customWidth="1"/>
    <col min="8195" max="8195" width="36.453125" style="5" bestFit="1" customWidth="1"/>
    <col min="8196" max="8197" width="11.1796875" style="5" bestFit="1" customWidth="1"/>
    <col min="8198" max="8201" width="8.54296875" style="5" bestFit="1" customWidth="1"/>
    <col min="8202" max="8202" width="8.1796875" style="5" bestFit="1" customWidth="1"/>
    <col min="8203" max="8449" width="8.81640625" style="5"/>
    <col min="8450" max="8450" width="8.81640625" style="5" bestFit="1" customWidth="1"/>
    <col min="8451" max="8451" width="36.453125" style="5" bestFit="1" customWidth="1"/>
    <col min="8452" max="8453" width="11.1796875" style="5" bestFit="1" customWidth="1"/>
    <col min="8454" max="8457" width="8.54296875" style="5" bestFit="1" customWidth="1"/>
    <col min="8458" max="8458" width="8.1796875" style="5" bestFit="1" customWidth="1"/>
    <col min="8459" max="8705" width="8.81640625" style="5"/>
    <col min="8706" max="8706" width="8.81640625" style="5" bestFit="1" customWidth="1"/>
    <col min="8707" max="8707" width="36.453125" style="5" bestFit="1" customWidth="1"/>
    <col min="8708" max="8709" width="11.1796875" style="5" bestFit="1" customWidth="1"/>
    <col min="8710" max="8713" width="8.54296875" style="5" bestFit="1" customWidth="1"/>
    <col min="8714" max="8714" width="8.1796875" style="5" bestFit="1" customWidth="1"/>
    <col min="8715" max="8961" width="8.81640625" style="5"/>
    <col min="8962" max="8962" width="8.81640625" style="5" bestFit="1" customWidth="1"/>
    <col min="8963" max="8963" width="36.453125" style="5" bestFit="1" customWidth="1"/>
    <col min="8964" max="8965" width="11.1796875" style="5" bestFit="1" customWidth="1"/>
    <col min="8966" max="8969" width="8.54296875" style="5" bestFit="1" customWidth="1"/>
    <col min="8970" max="8970" width="8.1796875" style="5" bestFit="1" customWidth="1"/>
    <col min="8971" max="9217" width="8.81640625" style="5"/>
    <col min="9218" max="9218" width="8.81640625" style="5" bestFit="1" customWidth="1"/>
    <col min="9219" max="9219" width="36.453125" style="5" bestFit="1" customWidth="1"/>
    <col min="9220" max="9221" width="11.1796875" style="5" bestFit="1" customWidth="1"/>
    <col min="9222" max="9225" width="8.54296875" style="5" bestFit="1" customWidth="1"/>
    <col min="9226" max="9226" width="8.1796875" style="5" bestFit="1" customWidth="1"/>
    <col min="9227" max="9473" width="8.81640625" style="5"/>
    <col min="9474" max="9474" width="8.81640625" style="5" bestFit="1" customWidth="1"/>
    <col min="9475" max="9475" width="36.453125" style="5" bestFit="1" customWidth="1"/>
    <col min="9476" max="9477" width="11.1796875" style="5" bestFit="1" customWidth="1"/>
    <col min="9478" max="9481" width="8.54296875" style="5" bestFit="1" customWidth="1"/>
    <col min="9482" max="9482" width="8.1796875" style="5" bestFit="1" customWidth="1"/>
    <col min="9483" max="9729" width="8.81640625" style="5"/>
    <col min="9730" max="9730" width="8.81640625" style="5" bestFit="1" customWidth="1"/>
    <col min="9731" max="9731" width="36.453125" style="5" bestFit="1" customWidth="1"/>
    <col min="9732" max="9733" width="11.1796875" style="5" bestFit="1" customWidth="1"/>
    <col min="9734" max="9737" width="8.54296875" style="5" bestFit="1" customWidth="1"/>
    <col min="9738" max="9738" width="8.1796875" style="5" bestFit="1" customWidth="1"/>
    <col min="9739" max="9985" width="8.81640625" style="5"/>
    <col min="9986" max="9986" width="8.81640625" style="5" bestFit="1" customWidth="1"/>
    <col min="9987" max="9987" width="36.453125" style="5" bestFit="1" customWidth="1"/>
    <col min="9988" max="9989" width="11.1796875" style="5" bestFit="1" customWidth="1"/>
    <col min="9990" max="9993" width="8.54296875" style="5" bestFit="1" customWidth="1"/>
    <col min="9994" max="9994" width="8.1796875" style="5" bestFit="1" customWidth="1"/>
    <col min="9995" max="10241" width="8.81640625" style="5"/>
    <col min="10242" max="10242" width="8.81640625" style="5" bestFit="1" customWidth="1"/>
    <col min="10243" max="10243" width="36.453125" style="5" bestFit="1" customWidth="1"/>
    <col min="10244" max="10245" width="11.1796875" style="5" bestFit="1" customWidth="1"/>
    <col min="10246" max="10249" width="8.54296875" style="5" bestFit="1" customWidth="1"/>
    <col min="10250" max="10250" width="8.1796875" style="5" bestFit="1" customWidth="1"/>
    <col min="10251" max="10497" width="8.81640625" style="5"/>
    <col min="10498" max="10498" width="8.81640625" style="5" bestFit="1" customWidth="1"/>
    <col min="10499" max="10499" width="36.453125" style="5" bestFit="1" customWidth="1"/>
    <col min="10500" max="10501" width="11.1796875" style="5" bestFit="1" customWidth="1"/>
    <col min="10502" max="10505" width="8.54296875" style="5" bestFit="1" customWidth="1"/>
    <col min="10506" max="10506" width="8.1796875" style="5" bestFit="1" customWidth="1"/>
    <col min="10507" max="10753" width="8.81640625" style="5"/>
    <col min="10754" max="10754" width="8.81640625" style="5" bestFit="1" customWidth="1"/>
    <col min="10755" max="10755" width="36.453125" style="5" bestFit="1" customWidth="1"/>
    <col min="10756" max="10757" width="11.1796875" style="5" bestFit="1" customWidth="1"/>
    <col min="10758" max="10761" width="8.54296875" style="5" bestFit="1" customWidth="1"/>
    <col min="10762" max="10762" width="8.1796875" style="5" bestFit="1" customWidth="1"/>
    <col min="10763" max="11009" width="8.81640625" style="5"/>
    <col min="11010" max="11010" width="8.81640625" style="5" bestFit="1" customWidth="1"/>
    <col min="11011" max="11011" width="36.453125" style="5" bestFit="1" customWidth="1"/>
    <col min="11012" max="11013" width="11.1796875" style="5" bestFit="1" customWidth="1"/>
    <col min="11014" max="11017" width="8.54296875" style="5" bestFit="1" customWidth="1"/>
    <col min="11018" max="11018" width="8.1796875" style="5" bestFit="1" customWidth="1"/>
    <col min="11019" max="11265" width="8.81640625" style="5"/>
    <col min="11266" max="11266" width="8.81640625" style="5" bestFit="1" customWidth="1"/>
    <col min="11267" max="11267" width="36.453125" style="5" bestFit="1" customWidth="1"/>
    <col min="11268" max="11269" width="11.1796875" style="5" bestFit="1" customWidth="1"/>
    <col min="11270" max="11273" width="8.54296875" style="5" bestFit="1" customWidth="1"/>
    <col min="11274" max="11274" width="8.1796875" style="5" bestFit="1" customWidth="1"/>
    <col min="11275" max="11521" width="8.81640625" style="5"/>
    <col min="11522" max="11522" width="8.81640625" style="5" bestFit="1" customWidth="1"/>
    <col min="11523" max="11523" width="36.453125" style="5" bestFit="1" customWidth="1"/>
    <col min="11524" max="11525" width="11.1796875" style="5" bestFit="1" customWidth="1"/>
    <col min="11526" max="11529" width="8.54296875" style="5" bestFit="1" customWidth="1"/>
    <col min="11530" max="11530" width="8.1796875" style="5" bestFit="1" customWidth="1"/>
    <col min="11531" max="11777" width="8.81640625" style="5"/>
    <col min="11778" max="11778" width="8.81640625" style="5" bestFit="1" customWidth="1"/>
    <col min="11779" max="11779" width="36.453125" style="5" bestFit="1" customWidth="1"/>
    <col min="11780" max="11781" width="11.1796875" style="5" bestFit="1" customWidth="1"/>
    <col min="11782" max="11785" width="8.54296875" style="5" bestFit="1" customWidth="1"/>
    <col min="11786" max="11786" width="8.1796875" style="5" bestFit="1" customWidth="1"/>
    <col min="11787" max="12033" width="8.81640625" style="5"/>
    <col min="12034" max="12034" width="8.81640625" style="5" bestFit="1" customWidth="1"/>
    <col min="12035" max="12035" width="36.453125" style="5" bestFit="1" customWidth="1"/>
    <col min="12036" max="12037" width="11.1796875" style="5" bestFit="1" customWidth="1"/>
    <col min="12038" max="12041" width="8.54296875" style="5" bestFit="1" customWidth="1"/>
    <col min="12042" max="12042" width="8.1796875" style="5" bestFit="1" customWidth="1"/>
    <col min="12043" max="12289" width="8.81640625" style="5"/>
    <col min="12290" max="12290" width="8.81640625" style="5" bestFit="1" customWidth="1"/>
    <col min="12291" max="12291" width="36.453125" style="5" bestFit="1" customWidth="1"/>
    <col min="12292" max="12293" width="11.1796875" style="5" bestFit="1" customWidth="1"/>
    <col min="12294" max="12297" width="8.54296875" style="5" bestFit="1" customWidth="1"/>
    <col min="12298" max="12298" width="8.1796875" style="5" bestFit="1" customWidth="1"/>
    <col min="12299" max="12545" width="8.81640625" style="5"/>
    <col min="12546" max="12546" width="8.81640625" style="5" bestFit="1" customWidth="1"/>
    <col min="12547" max="12547" width="36.453125" style="5" bestFit="1" customWidth="1"/>
    <col min="12548" max="12549" width="11.1796875" style="5" bestFit="1" customWidth="1"/>
    <col min="12550" max="12553" width="8.54296875" style="5" bestFit="1" customWidth="1"/>
    <col min="12554" max="12554" width="8.1796875" style="5" bestFit="1" customWidth="1"/>
    <col min="12555" max="12801" width="8.81640625" style="5"/>
    <col min="12802" max="12802" width="8.81640625" style="5" bestFit="1" customWidth="1"/>
    <col min="12803" max="12803" width="36.453125" style="5" bestFit="1" customWidth="1"/>
    <col min="12804" max="12805" width="11.1796875" style="5" bestFit="1" customWidth="1"/>
    <col min="12806" max="12809" width="8.54296875" style="5" bestFit="1" customWidth="1"/>
    <col min="12810" max="12810" width="8.1796875" style="5" bestFit="1" customWidth="1"/>
    <col min="12811" max="13057" width="8.81640625" style="5"/>
    <col min="13058" max="13058" width="8.81640625" style="5" bestFit="1" customWidth="1"/>
    <col min="13059" max="13059" width="36.453125" style="5" bestFit="1" customWidth="1"/>
    <col min="13060" max="13061" width="11.1796875" style="5" bestFit="1" customWidth="1"/>
    <col min="13062" max="13065" width="8.54296875" style="5" bestFit="1" customWidth="1"/>
    <col min="13066" max="13066" width="8.1796875" style="5" bestFit="1" customWidth="1"/>
    <col min="13067" max="13313" width="8.81640625" style="5"/>
    <col min="13314" max="13314" width="8.81640625" style="5" bestFit="1" customWidth="1"/>
    <col min="13315" max="13315" width="36.453125" style="5" bestFit="1" customWidth="1"/>
    <col min="13316" max="13317" width="11.1796875" style="5" bestFit="1" customWidth="1"/>
    <col min="13318" max="13321" width="8.54296875" style="5" bestFit="1" customWidth="1"/>
    <col min="13322" max="13322" width="8.1796875" style="5" bestFit="1" customWidth="1"/>
    <col min="13323" max="13569" width="8.81640625" style="5"/>
    <col min="13570" max="13570" width="8.81640625" style="5" bestFit="1" customWidth="1"/>
    <col min="13571" max="13571" width="36.453125" style="5" bestFit="1" customWidth="1"/>
    <col min="13572" max="13573" width="11.1796875" style="5" bestFit="1" customWidth="1"/>
    <col min="13574" max="13577" width="8.54296875" style="5" bestFit="1" customWidth="1"/>
    <col min="13578" max="13578" width="8.1796875" style="5" bestFit="1" customWidth="1"/>
    <col min="13579" max="13825" width="8.81640625" style="5"/>
    <col min="13826" max="13826" width="8.81640625" style="5" bestFit="1" customWidth="1"/>
    <col min="13827" max="13827" width="36.453125" style="5" bestFit="1" customWidth="1"/>
    <col min="13828" max="13829" width="11.1796875" style="5" bestFit="1" customWidth="1"/>
    <col min="13830" max="13833" width="8.54296875" style="5" bestFit="1" customWidth="1"/>
    <col min="13834" max="13834" width="8.1796875" style="5" bestFit="1" customWidth="1"/>
    <col min="13835" max="14081" width="8.81640625" style="5"/>
    <col min="14082" max="14082" width="8.81640625" style="5" bestFit="1" customWidth="1"/>
    <col min="14083" max="14083" width="36.453125" style="5" bestFit="1" customWidth="1"/>
    <col min="14084" max="14085" width="11.1796875" style="5" bestFit="1" customWidth="1"/>
    <col min="14086" max="14089" width="8.54296875" style="5" bestFit="1" customWidth="1"/>
    <col min="14090" max="14090" width="8.1796875" style="5" bestFit="1" customWidth="1"/>
    <col min="14091" max="14337" width="8.81640625" style="5"/>
    <col min="14338" max="14338" width="8.81640625" style="5" bestFit="1" customWidth="1"/>
    <col min="14339" max="14339" width="36.453125" style="5" bestFit="1" customWidth="1"/>
    <col min="14340" max="14341" width="11.1796875" style="5" bestFit="1" customWidth="1"/>
    <col min="14342" max="14345" width="8.54296875" style="5" bestFit="1" customWidth="1"/>
    <col min="14346" max="14346" width="8.1796875" style="5" bestFit="1" customWidth="1"/>
    <col min="14347" max="14593" width="8.81640625" style="5"/>
    <col min="14594" max="14594" width="8.81640625" style="5" bestFit="1" customWidth="1"/>
    <col min="14595" max="14595" width="36.453125" style="5" bestFit="1" customWidth="1"/>
    <col min="14596" max="14597" width="11.1796875" style="5" bestFit="1" customWidth="1"/>
    <col min="14598" max="14601" width="8.54296875" style="5" bestFit="1" customWidth="1"/>
    <col min="14602" max="14602" width="8.1796875" style="5" bestFit="1" customWidth="1"/>
    <col min="14603" max="14849" width="8.81640625" style="5"/>
    <col min="14850" max="14850" width="8.81640625" style="5" bestFit="1" customWidth="1"/>
    <col min="14851" max="14851" width="36.453125" style="5" bestFit="1" customWidth="1"/>
    <col min="14852" max="14853" width="11.1796875" style="5" bestFit="1" customWidth="1"/>
    <col min="14854" max="14857" width="8.54296875" style="5" bestFit="1" customWidth="1"/>
    <col min="14858" max="14858" width="8.1796875" style="5" bestFit="1" customWidth="1"/>
    <col min="14859" max="15105" width="8.81640625" style="5"/>
    <col min="15106" max="15106" width="8.81640625" style="5" bestFit="1" customWidth="1"/>
    <col min="15107" max="15107" width="36.453125" style="5" bestFit="1" customWidth="1"/>
    <col min="15108" max="15109" width="11.1796875" style="5" bestFit="1" customWidth="1"/>
    <col min="15110" max="15113" width="8.54296875" style="5" bestFit="1" customWidth="1"/>
    <col min="15114" max="15114" width="8.1796875" style="5" bestFit="1" customWidth="1"/>
    <col min="15115" max="15361" width="8.81640625" style="5"/>
    <col min="15362" max="15362" width="8.81640625" style="5" bestFit="1" customWidth="1"/>
    <col min="15363" max="15363" width="36.453125" style="5" bestFit="1" customWidth="1"/>
    <col min="15364" max="15365" width="11.1796875" style="5" bestFit="1" customWidth="1"/>
    <col min="15366" max="15369" width="8.54296875" style="5" bestFit="1" customWidth="1"/>
    <col min="15370" max="15370" width="8.1796875" style="5" bestFit="1" customWidth="1"/>
    <col min="15371" max="15617" width="8.81640625" style="5"/>
    <col min="15618" max="15618" width="8.81640625" style="5" bestFit="1" customWidth="1"/>
    <col min="15619" max="15619" width="36.453125" style="5" bestFit="1" customWidth="1"/>
    <col min="15620" max="15621" width="11.1796875" style="5" bestFit="1" customWidth="1"/>
    <col min="15622" max="15625" width="8.54296875" style="5" bestFit="1" customWidth="1"/>
    <col min="15626" max="15626" width="8.1796875" style="5" bestFit="1" customWidth="1"/>
    <col min="15627" max="15873" width="8.81640625" style="5"/>
    <col min="15874" max="15874" width="8.81640625" style="5" bestFit="1" customWidth="1"/>
    <col min="15875" max="15875" width="36.453125" style="5" bestFit="1" customWidth="1"/>
    <col min="15876" max="15877" width="11.1796875" style="5" bestFit="1" customWidth="1"/>
    <col min="15878" max="15881" width="8.54296875" style="5" bestFit="1" customWidth="1"/>
    <col min="15882" max="15882" width="8.1796875" style="5" bestFit="1" customWidth="1"/>
    <col min="15883" max="16129" width="8.81640625" style="5"/>
    <col min="16130" max="16130" width="8.81640625" style="5" bestFit="1" customWidth="1"/>
    <col min="16131" max="16131" width="36.453125" style="5" bestFit="1" customWidth="1"/>
    <col min="16132" max="16133" width="11.1796875" style="5" bestFit="1" customWidth="1"/>
    <col min="16134" max="16137" width="8.54296875" style="5" bestFit="1" customWidth="1"/>
    <col min="16138" max="16138" width="8.1796875" style="5" bestFit="1" customWidth="1"/>
    <col min="16139" max="16384" width="8.81640625" style="5"/>
  </cols>
  <sheetData>
    <row r="1" spans="1:20" x14ac:dyDescent="0.25">
      <c r="B1" s="211" t="s">
        <v>42</v>
      </c>
    </row>
    <row r="2" spans="1:20" x14ac:dyDescent="0.25">
      <c r="B2" s="29"/>
    </row>
    <row r="3" spans="1:20" s="24" customFormat="1" x14ac:dyDescent="0.25">
      <c r="B3" s="28" t="s">
        <v>0</v>
      </c>
      <c r="C3" s="130">
        <v>1</v>
      </c>
      <c r="D3" s="130">
        <f>C3+1</f>
        <v>2</v>
      </c>
      <c r="E3" s="130">
        <f>D3+1</f>
        <v>3</v>
      </c>
      <c r="F3" s="130">
        <f>E3+1</f>
        <v>4</v>
      </c>
      <c r="G3" s="130">
        <f>F3+1</f>
        <v>5</v>
      </c>
      <c r="H3" s="130">
        <f t="shared" ref="H3:K3" si="0">G3+1</f>
        <v>6</v>
      </c>
      <c r="I3" s="130">
        <f t="shared" si="0"/>
        <v>7</v>
      </c>
      <c r="J3" s="130">
        <f t="shared" si="0"/>
        <v>8</v>
      </c>
      <c r="K3" s="130">
        <f t="shared" si="0"/>
        <v>9</v>
      </c>
      <c r="L3" s="35"/>
      <c r="N3" s="5"/>
      <c r="O3" s="30"/>
    </row>
    <row r="4" spans="1:20" s="24" customFormat="1" x14ac:dyDescent="0.25">
      <c r="B4" s="28"/>
      <c r="C4" s="31"/>
      <c r="D4" s="31"/>
      <c r="E4" s="31"/>
      <c r="F4" s="31"/>
      <c r="G4" s="31"/>
      <c r="H4" s="31"/>
      <c r="I4" s="31"/>
      <c r="J4" s="31"/>
      <c r="K4" s="31"/>
      <c r="L4" s="35"/>
    </row>
    <row r="5" spans="1:20" x14ac:dyDescent="0.25">
      <c r="B5" s="5" t="s">
        <v>1</v>
      </c>
      <c r="C5" s="27">
        <f>'Income Statement'!C19</f>
        <v>25012800</v>
      </c>
      <c r="D5" s="27">
        <f>'Income Statement'!D19</f>
        <v>345003504</v>
      </c>
      <c r="E5" s="27">
        <f>'Income Statement'!E19</f>
        <v>308229552.31999969</v>
      </c>
      <c r="F5" s="27">
        <f>'Income Statement'!F19</f>
        <v>399931477.30559969</v>
      </c>
      <c r="G5" s="27">
        <f>'Income Statement'!G19</f>
        <v>503643045.17004764</v>
      </c>
      <c r="H5" s="27">
        <f>'Income Statement'!H19</f>
        <v>556355989.67165244</v>
      </c>
      <c r="I5" s="27">
        <f>'Income Statement'!I19</f>
        <v>620872076.81418347</v>
      </c>
      <c r="J5" s="27">
        <f>'Income Statement'!J19</f>
        <v>640445057.31859946</v>
      </c>
      <c r="K5" s="27">
        <f>'Income Statement'!K19</f>
        <v>687214554.17417479</v>
      </c>
      <c r="L5" s="27"/>
    </row>
    <row r="6" spans="1:20" x14ac:dyDescent="0.25">
      <c r="A6" s="45">
        <f>'Income Statement'!$B$25</f>
        <v>0.25</v>
      </c>
      <c r="B6" s="5" t="s">
        <v>36</v>
      </c>
      <c r="C6" s="132"/>
      <c r="D6" s="25"/>
      <c r="E6" s="25"/>
      <c r="F6" s="25"/>
      <c r="G6" s="25"/>
      <c r="H6" s="25"/>
      <c r="I6" s="25"/>
      <c r="J6" s="25"/>
      <c r="K6" s="25"/>
      <c r="L6" s="131"/>
    </row>
    <row r="7" spans="1:20" x14ac:dyDescent="0.25">
      <c r="B7" s="22" t="s">
        <v>2</v>
      </c>
      <c r="C7" s="33">
        <f>IF(C5&gt;0,-C5*$A$6,0)</f>
        <v>-6253200</v>
      </c>
      <c r="D7" s="33">
        <f t="shared" ref="D7:G7" si="1">IF(D5&gt;0,-D5*$A$6,0)</f>
        <v>-86250876</v>
      </c>
      <c r="E7" s="33">
        <f t="shared" si="1"/>
        <v>-77057388.079999924</v>
      </c>
      <c r="F7" s="33">
        <f t="shared" si="1"/>
        <v>-99982869.326399922</v>
      </c>
      <c r="G7" s="33">
        <f t="shared" si="1"/>
        <v>-125910761.29251191</v>
      </c>
      <c r="H7" s="33">
        <f t="shared" ref="H7:K7" si="2">IF(H5&gt;0,-H5*$A$6,0)</f>
        <v>-139088997.41791311</v>
      </c>
      <c r="I7" s="33">
        <f t="shared" si="2"/>
        <v>-155218019.20354587</v>
      </c>
      <c r="J7" s="33">
        <f t="shared" si="2"/>
        <v>-160111264.32964987</v>
      </c>
      <c r="K7" s="33">
        <f t="shared" si="2"/>
        <v>-171803638.5435437</v>
      </c>
      <c r="L7" s="33"/>
    </row>
    <row r="8" spans="1:20" s="24" customFormat="1" x14ac:dyDescent="0.25">
      <c r="B8" s="24" t="s">
        <v>3</v>
      </c>
      <c r="C8" s="36">
        <f>C5+C7</f>
        <v>18759600</v>
      </c>
      <c r="D8" s="36">
        <f t="shared" ref="D8:G8" si="3">D5+D7</f>
        <v>258752628</v>
      </c>
      <c r="E8" s="36">
        <f t="shared" si="3"/>
        <v>231172164.23999977</v>
      </c>
      <c r="F8" s="36">
        <f t="shared" si="3"/>
        <v>299948607.97919977</v>
      </c>
      <c r="G8" s="36">
        <f t="shared" si="3"/>
        <v>377732283.8775357</v>
      </c>
      <c r="H8" s="36">
        <f t="shared" ref="H8:K8" si="4">H5+H7</f>
        <v>417266992.25373936</v>
      </c>
      <c r="I8" s="36">
        <f t="shared" si="4"/>
        <v>465654057.61063761</v>
      </c>
      <c r="J8" s="36">
        <f t="shared" si="4"/>
        <v>480333792.9889496</v>
      </c>
      <c r="K8" s="36">
        <f t="shared" si="4"/>
        <v>515410915.63063109</v>
      </c>
      <c r="L8" s="55"/>
      <c r="M8" s="5"/>
    </row>
    <row r="9" spans="1:20" x14ac:dyDescent="0.25">
      <c r="B9" s="22" t="s">
        <v>4</v>
      </c>
      <c r="C9" s="33">
        <f>Capex!C10</f>
        <v>0</v>
      </c>
      <c r="D9" s="33">
        <f>Capex!D10</f>
        <v>199220000</v>
      </c>
      <c r="E9" s="33">
        <f>Capex!E10</f>
        <v>159376000</v>
      </c>
      <c r="F9" s="33">
        <f>Capex!F10</f>
        <v>127500800</v>
      </c>
      <c r="G9" s="33">
        <f>Capex!G10</f>
        <v>102000640</v>
      </c>
      <c r="H9" s="33">
        <f>Capex!H10</f>
        <v>81600512</v>
      </c>
      <c r="I9" s="33">
        <f>Capex!I10</f>
        <v>65280409.600000001</v>
      </c>
      <c r="J9" s="33">
        <f>Capex!J10</f>
        <v>52224327.680000007</v>
      </c>
      <c r="K9" s="33">
        <f>Capex!K10</f>
        <v>41779462.144000001</v>
      </c>
      <c r="L9" s="33"/>
      <c r="O9" s="25"/>
    </row>
    <row r="10" spans="1:20" x14ac:dyDescent="0.25">
      <c r="B10" s="22" t="s">
        <v>5</v>
      </c>
      <c r="C10" s="33">
        <f>'Balance Sheet'!C47</f>
        <v>0</v>
      </c>
      <c r="D10" s="33">
        <f>'Balance Sheet'!D47</f>
        <v>0</v>
      </c>
      <c r="E10" s="33">
        <f>'Balance Sheet'!E47</f>
        <v>0</v>
      </c>
      <c r="F10" s="33">
        <f>'Balance Sheet'!F47</f>
        <v>0</v>
      </c>
      <c r="G10" s="33">
        <f>'Balance Sheet'!G47</f>
        <v>0</v>
      </c>
      <c r="H10" s="33">
        <f>'Balance Sheet'!H47</f>
        <v>0</v>
      </c>
      <c r="I10" s="33">
        <f>'Balance Sheet'!I47</f>
        <v>0</v>
      </c>
      <c r="J10" s="33">
        <f>'Balance Sheet'!J47</f>
        <v>0</v>
      </c>
      <c r="K10" s="33">
        <f>'Balance Sheet'!K47</f>
        <v>0</v>
      </c>
      <c r="L10" s="27"/>
    </row>
    <row r="11" spans="1:20" x14ac:dyDescent="0.25">
      <c r="B11" s="22" t="s">
        <v>6</v>
      </c>
      <c r="C11" s="33">
        <f>'Cash Flow Statements'!C23</f>
        <v>-996100000</v>
      </c>
      <c r="D11" s="33">
        <f>'Cash Flow Statements'!D23</f>
        <v>0</v>
      </c>
      <c r="E11" s="33">
        <f>'Cash Flow Statements'!E23</f>
        <v>0</v>
      </c>
      <c r="F11" s="33">
        <f>'Cash Flow Statements'!F23</f>
        <v>0</v>
      </c>
      <c r="G11" s="33">
        <f>'Cash Flow Statements'!G23</f>
        <v>0</v>
      </c>
      <c r="H11" s="33">
        <f>'Cash Flow Statements'!H23</f>
        <v>0</v>
      </c>
      <c r="I11" s="33">
        <f>'Cash Flow Statements'!I23</f>
        <v>0</v>
      </c>
      <c r="J11" s="33">
        <f>'Cash Flow Statements'!J23</f>
        <v>0</v>
      </c>
      <c r="K11" s="33">
        <f>'Cash Flow Statements'!K23</f>
        <v>0</v>
      </c>
      <c r="L11" s="27"/>
    </row>
    <row r="12" spans="1:20" s="24" customFormat="1" x14ac:dyDescent="0.25">
      <c r="B12" s="24" t="s">
        <v>35</v>
      </c>
      <c r="C12" s="36">
        <f>SUM(C8:C11)</f>
        <v>-977340400</v>
      </c>
      <c r="D12" s="36">
        <f t="shared" ref="D12:G12" si="5">SUM(D8:D11)</f>
        <v>457972628</v>
      </c>
      <c r="E12" s="36">
        <f t="shared" si="5"/>
        <v>390548164.23999977</v>
      </c>
      <c r="F12" s="36">
        <f t="shared" si="5"/>
        <v>427449407.97919977</v>
      </c>
      <c r="G12" s="36">
        <f t="shared" si="5"/>
        <v>479732923.8775357</v>
      </c>
      <c r="H12" s="36">
        <f t="shared" ref="H12:K12" si="6">SUM(H8:H11)</f>
        <v>498867504.25373936</v>
      </c>
      <c r="I12" s="36">
        <f t="shared" si="6"/>
        <v>530934467.21063763</v>
      </c>
      <c r="J12" s="36">
        <f t="shared" si="6"/>
        <v>532558120.6689496</v>
      </c>
      <c r="K12" s="36">
        <f t="shared" si="6"/>
        <v>557190377.77463114</v>
      </c>
      <c r="L12" s="55">
        <f>K12*(1+D21)</f>
        <v>568334185.33012378</v>
      </c>
      <c r="M12" s="23"/>
    </row>
    <row r="13" spans="1:20" x14ac:dyDescent="0.25">
      <c r="A13" s="133">
        <f>WACC!F10</f>
        <v>0.25691987552904838</v>
      </c>
      <c r="B13" s="5" t="s">
        <v>7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N13" s="32"/>
      <c r="O13" s="32"/>
      <c r="P13" s="32"/>
    </row>
    <row r="14" spans="1:20" x14ac:dyDescent="0.25">
      <c r="A14" s="26"/>
      <c r="B14" s="5" t="s">
        <v>148</v>
      </c>
      <c r="C14" s="27">
        <v>1</v>
      </c>
      <c r="D14" s="27">
        <f>C14+1</f>
        <v>2</v>
      </c>
      <c r="E14" s="27">
        <f>D14+1</f>
        <v>3</v>
      </c>
      <c r="F14" s="27">
        <f>E14+1</f>
        <v>4</v>
      </c>
      <c r="G14" s="27">
        <f>F14+1</f>
        <v>5</v>
      </c>
      <c r="H14" s="27">
        <f t="shared" ref="H14:K14" si="7">G14+1</f>
        <v>6</v>
      </c>
      <c r="I14" s="27">
        <f t="shared" si="7"/>
        <v>7</v>
      </c>
      <c r="J14" s="27">
        <f t="shared" si="7"/>
        <v>8</v>
      </c>
      <c r="K14" s="27">
        <f t="shared" si="7"/>
        <v>9</v>
      </c>
      <c r="L14" s="41"/>
      <c r="M14" s="41"/>
    </row>
    <row r="15" spans="1:20" x14ac:dyDescent="0.25">
      <c r="B15" s="22" t="s">
        <v>147</v>
      </c>
      <c r="C15" s="48">
        <f>(1+$A$13)^(-C14)</f>
        <v>0.79559566164000028</v>
      </c>
      <c r="D15" s="48">
        <f t="shared" ref="D15:G15" si="8">(1+$A$13)^(-D14)</f>
        <v>0.63297245682038983</v>
      </c>
      <c r="E15" s="48">
        <f t="shared" si="8"/>
        <v>0.5035901405839146</v>
      </c>
      <c r="F15" s="48">
        <f t="shared" si="8"/>
        <v>0.40065413109324033</v>
      </c>
      <c r="G15" s="48">
        <f t="shared" si="8"/>
        <v>0.31875868851592598</v>
      </c>
      <c r="H15" s="48">
        <f t="shared" ref="H15:K15" si="9">(1+$A$13)^(-H14)</f>
        <v>0.25360302969332688</v>
      </c>
      <c r="I15" s="48">
        <f t="shared" si="9"/>
        <v>0.20176547020277105</v>
      </c>
      <c r="J15" s="48">
        <f t="shared" si="9"/>
        <v>0.16052373276207943</v>
      </c>
      <c r="K15" s="48">
        <f t="shared" si="9"/>
        <v>0.12771198537576917</v>
      </c>
      <c r="L15" s="27"/>
    </row>
    <row r="16" spans="1:20" x14ac:dyDescent="0.25">
      <c r="B16" s="5" t="s">
        <v>38</v>
      </c>
      <c r="C16" s="27">
        <f>C12*C15</f>
        <v>-777567782.18550253</v>
      </c>
      <c r="D16" s="27">
        <f t="shared" ref="D16:G16" si="10">D12*D15</f>
        <v>289884059.50165045</v>
      </c>
      <c r="E16" s="27">
        <f t="shared" si="10"/>
        <v>196676204.93441126</v>
      </c>
      <c r="F16" s="27">
        <f t="shared" si="10"/>
        <v>171259371.14022627</v>
      </c>
      <c r="G16" s="27">
        <f t="shared" si="10"/>
        <v>152919037.65311384</v>
      </c>
      <c r="H16" s="27">
        <f t="shared" ref="H16:K16" si="11">H12*H15</f>
        <v>126514310.49429694</v>
      </c>
      <c r="I16" s="27">
        <f t="shared" si="11"/>
        <v>107124242.42361203</v>
      </c>
      <c r="J16" s="27">
        <f t="shared" si="11"/>
        <v>85488217.44253771</v>
      </c>
      <c r="K16" s="27">
        <f t="shared" si="11"/>
        <v>71159889.377872989</v>
      </c>
      <c r="L16" s="42"/>
      <c r="O16" s="43"/>
      <c r="P16" s="43"/>
      <c r="Q16" s="43"/>
      <c r="R16" s="43"/>
      <c r="S16" s="43"/>
      <c r="T16" s="43"/>
    </row>
    <row r="17" spans="2:23" x14ac:dyDescent="0.25">
      <c r="C17" s="27"/>
      <c r="D17" s="42"/>
      <c r="E17" s="42"/>
      <c r="F17" s="42"/>
      <c r="G17" s="42"/>
      <c r="H17" s="42"/>
      <c r="I17" s="42"/>
      <c r="J17" s="42"/>
      <c r="K17" s="42"/>
      <c r="L17" s="42"/>
    </row>
    <row r="18" spans="2:23" x14ac:dyDescent="0.25">
      <c r="B18" s="5" t="s">
        <v>9</v>
      </c>
      <c r="D18" s="27">
        <f>SUM(C16:K16)</f>
        <v>423457550.78221899</v>
      </c>
      <c r="E18" s="42"/>
      <c r="F18" s="42"/>
      <c r="G18" s="42"/>
      <c r="H18" s="42"/>
      <c r="I18" s="42"/>
      <c r="J18" s="42"/>
      <c r="K18" s="42"/>
      <c r="L18" s="42"/>
    </row>
    <row r="19" spans="2:23" x14ac:dyDescent="0.25">
      <c r="D19" s="27"/>
      <c r="E19" s="42"/>
      <c r="F19" s="42"/>
      <c r="G19" s="42"/>
      <c r="H19" s="42"/>
      <c r="I19" s="42"/>
      <c r="J19" s="42"/>
      <c r="K19" s="42"/>
      <c r="L19" s="42"/>
      <c r="N19" s="252" t="s">
        <v>28</v>
      </c>
      <c r="O19" s="252"/>
      <c r="P19" s="252"/>
      <c r="Q19" s="252"/>
      <c r="R19" s="252"/>
      <c r="S19" s="252"/>
      <c r="T19" s="252"/>
      <c r="U19" s="252"/>
      <c r="V19" s="252"/>
    </row>
    <row r="20" spans="2:23" ht="15" customHeight="1" x14ac:dyDescent="0.25">
      <c r="B20" s="24" t="s">
        <v>8</v>
      </c>
      <c r="D20" s="34"/>
      <c r="E20" s="37"/>
      <c r="F20" s="27"/>
      <c r="G20" s="27"/>
      <c r="H20" s="27"/>
      <c r="I20" s="27"/>
      <c r="J20" s="27"/>
      <c r="K20" s="27"/>
      <c r="L20" s="27"/>
      <c r="M20" s="56">
        <f>D24</f>
        <v>729818876.53992701</v>
      </c>
      <c r="N20" s="46">
        <v>0.21</v>
      </c>
      <c r="O20" s="51">
        <f>N20+1%</f>
        <v>0.22</v>
      </c>
      <c r="P20" s="51">
        <f t="shared" ref="P20:V20" si="12">O20+1%</f>
        <v>0.23</v>
      </c>
      <c r="Q20" s="51">
        <f t="shared" si="12"/>
        <v>0.24000000000000002</v>
      </c>
      <c r="R20" s="51">
        <f t="shared" si="12"/>
        <v>0.25</v>
      </c>
      <c r="S20" s="51">
        <f t="shared" si="12"/>
        <v>0.26</v>
      </c>
      <c r="T20" s="51">
        <f t="shared" si="12"/>
        <v>0.27</v>
      </c>
      <c r="U20" s="51">
        <f t="shared" si="12"/>
        <v>0.28000000000000003</v>
      </c>
      <c r="V20" s="51">
        <f t="shared" si="12"/>
        <v>0.29000000000000004</v>
      </c>
      <c r="W20" s="30"/>
    </row>
    <row r="21" spans="2:23" x14ac:dyDescent="0.25">
      <c r="B21" s="5" t="s">
        <v>39</v>
      </c>
      <c r="D21" s="49">
        <v>0.02</v>
      </c>
      <c r="E21" s="37"/>
      <c r="F21" s="27"/>
      <c r="G21" s="27"/>
      <c r="H21" s="27"/>
      <c r="I21" s="27"/>
      <c r="J21" s="27"/>
      <c r="K21" s="27"/>
      <c r="L21" s="253" t="s">
        <v>40</v>
      </c>
      <c r="M21" s="52">
        <v>4.0000000000000001E-3</v>
      </c>
      <c r="N21" s="41">
        <f t="dataTable" ref="N21:V29" dt2D="1" dtr="1" r1="A13" r2="D21"/>
        <v>1113213815.3238902</v>
      </c>
      <c r="O21" s="41">
        <v>1009538223.7227328</v>
      </c>
      <c r="P21" s="41">
        <v>916127989.91622937</v>
      </c>
      <c r="Q21" s="41">
        <v>831638470.77973533</v>
      </c>
      <c r="R21" s="41">
        <v>754945761.30113006</v>
      </c>
      <c r="S21" s="41">
        <v>685103440.52143073</v>
      </c>
      <c r="T21" s="41">
        <v>621309085.24546576</v>
      </c>
      <c r="U21" s="53">
        <v>562878073.18260217</v>
      </c>
      <c r="V21" s="53">
        <v>509222890.51911098</v>
      </c>
    </row>
    <row r="22" spans="2:23" x14ac:dyDescent="0.25">
      <c r="B22" s="5" t="s">
        <v>10</v>
      </c>
      <c r="D22" s="27">
        <f>L12/(A13-D21)</f>
        <v>2398845534.0060363</v>
      </c>
      <c r="E22" s="27"/>
      <c r="F22" s="27"/>
      <c r="G22" s="27"/>
      <c r="H22" s="27"/>
      <c r="I22" s="27"/>
      <c r="J22" s="27"/>
      <c r="K22" s="27"/>
      <c r="L22" s="253"/>
      <c r="M22" s="52">
        <f>M21+0.4%</f>
        <v>8.0000000000000002E-3</v>
      </c>
      <c r="N22" s="41">
        <v>1124870151.0333662</v>
      </c>
      <c r="O22" s="41">
        <v>1019455566.9009748</v>
      </c>
      <c r="P22" s="41">
        <v>924607315.16357648</v>
      </c>
      <c r="Q22" s="41">
        <v>838921132.37648821</v>
      </c>
      <c r="R22" s="41">
        <v>761226822.45885813</v>
      </c>
      <c r="S22" s="41">
        <v>690541685.05780351</v>
      </c>
      <c r="T22" s="41">
        <v>626034619.3694123</v>
      </c>
      <c r="U22" s="53">
        <v>566998155.1472826</v>
      </c>
      <c r="V22" s="53">
        <v>512826442.36966836</v>
      </c>
    </row>
    <row r="23" spans="2:23" ht="13.5" thickBot="1" x14ac:dyDescent="0.3">
      <c r="B23" s="5" t="s">
        <v>11</v>
      </c>
      <c r="D23" s="27">
        <f>D22*K15</f>
        <v>306361325.75770807</v>
      </c>
      <c r="E23" s="27"/>
      <c r="F23" s="23"/>
      <c r="G23" s="27"/>
      <c r="H23" s="27"/>
      <c r="I23" s="27"/>
      <c r="J23" s="27"/>
      <c r="K23" s="27"/>
      <c r="L23" s="253"/>
      <c r="M23" s="52">
        <f t="shared" ref="M23:M29" si="13">M22+0.4%</f>
        <v>1.2E-2</v>
      </c>
      <c r="N23" s="41">
        <v>1136997449.8018112</v>
      </c>
      <c r="O23" s="41">
        <v>1029754346.3553029</v>
      </c>
      <c r="P23" s="57">
        <v>933397808.30990887</v>
      </c>
      <c r="Q23" s="57">
        <v>846459325.95909214</v>
      </c>
      <c r="R23" s="57">
        <v>767719011.72272825</v>
      </c>
      <c r="S23" s="57">
        <v>696155356.83728516</v>
      </c>
      <c r="T23" s="57">
        <v>630906681.68324876</v>
      </c>
      <c r="U23" s="53">
        <v>571241224.63329685</v>
      </c>
      <c r="V23" s="53">
        <v>516533693.55405486</v>
      </c>
    </row>
    <row r="24" spans="2:23" ht="13.5" thickBot="1" x14ac:dyDescent="0.3">
      <c r="B24" s="38" t="s">
        <v>32</v>
      </c>
      <c r="C24" s="39"/>
      <c r="D24" s="40">
        <f>D18+D23</f>
        <v>729818876.53992701</v>
      </c>
      <c r="E24" s="37"/>
      <c r="F24" s="27"/>
      <c r="G24" s="27"/>
      <c r="H24" s="27"/>
      <c r="I24" s="27"/>
      <c r="J24" s="27"/>
      <c r="K24" s="27"/>
      <c r="L24" s="253"/>
      <c r="M24" s="52">
        <f t="shared" si="13"/>
        <v>1.6E-2</v>
      </c>
      <c r="N24" s="41">
        <v>1149624843.364831</v>
      </c>
      <c r="O24" s="41">
        <v>1040456999.5137224</v>
      </c>
      <c r="P24" s="57">
        <v>942516918.02245903</v>
      </c>
      <c r="Q24" s="57">
        <v>854266740.7410748</v>
      </c>
      <c r="R24" s="57">
        <v>774433156.17510676</v>
      </c>
      <c r="S24" s="57">
        <v>701953083.42920876</v>
      </c>
      <c r="T24" s="57">
        <v>635932194.77862322</v>
      </c>
      <c r="U24" s="53">
        <v>575612871.98252356</v>
      </c>
      <c r="V24" s="53">
        <v>520349185.6489343</v>
      </c>
    </row>
    <row r="25" spans="2:23" x14ac:dyDescent="0.25">
      <c r="D25" s="27"/>
      <c r="E25" s="27"/>
      <c r="F25" s="27"/>
      <c r="G25" s="27"/>
      <c r="H25" s="27"/>
      <c r="I25" s="27"/>
      <c r="J25" s="27"/>
      <c r="K25" s="27"/>
      <c r="L25" s="253"/>
      <c r="M25" s="52">
        <f t="shared" si="13"/>
        <v>0.02</v>
      </c>
      <c r="N25" s="41">
        <v>1162783916.6568198</v>
      </c>
      <c r="O25" s="41">
        <v>1051587758.7984785</v>
      </c>
      <c r="P25" s="57">
        <v>951983422.39072561</v>
      </c>
      <c r="Q25" s="57">
        <v>862358061.51512957</v>
      </c>
      <c r="R25" s="57">
        <v>781380836.08669841</v>
      </c>
      <c r="S25" s="57">
        <v>707944067.57419646</v>
      </c>
      <c r="T25" s="57">
        <v>641118524.29304981</v>
      </c>
      <c r="U25" s="53">
        <v>580119031.5578804</v>
      </c>
      <c r="V25" s="53">
        <v>524277729.36143982</v>
      </c>
    </row>
    <row r="26" spans="2:23" s="24" customFormat="1" x14ac:dyDescent="0.25">
      <c r="D26" s="37"/>
      <c r="E26" s="37"/>
      <c r="F26" s="37"/>
      <c r="G26" s="37"/>
      <c r="H26" s="37"/>
      <c r="I26" s="37"/>
      <c r="J26" s="37"/>
      <c r="K26" s="37"/>
      <c r="L26" s="253"/>
      <c r="M26" s="52">
        <f t="shared" si="13"/>
        <v>2.4E-2</v>
      </c>
      <c r="N26" s="41">
        <v>1176508971.5957763</v>
      </c>
      <c r="O26" s="41">
        <v>1063172834.7887349</v>
      </c>
      <c r="P26" s="57">
        <v>961817557.99659479</v>
      </c>
      <c r="Q26" s="57">
        <v>870749060.83637142</v>
      </c>
      <c r="R26" s="57">
        <v>788574451.57038188</v>
      </c>
      <c r="S26" s="57">
        <v>714138135.9274888</v>
      </c>
      <c r="T26" s="57">
        <v>646473514.92989659</v>
      </c>
      <c r="U26" s="53">
        <v>584766008.6199671</v>
      </c>
      <c r="V26" s="53">
        <v>528324424.76454699</v>
      </c>
    </row>
    <row r="27" spans="2:23" x14ac:dyDescent="0.25">
      <c r="D27" s="27"/>
      <c r="E27" s="27"/>
      <c r="F27" s="27"/>
      <c r="G27" s="27"/>
      <c r="H27" s="27"/>
      <c r="I27" s="27"/>
      <c r="J27" s="27"/>
      <c r="K27" s="27"/>
      <c r="L27" s="253"/>
      <c r="M27" s="52">
        <f t="shared" si="13"/>
        <v>2.8000000000000001E-2</v>
      </c>
      <c r="N27" s="41">
        <v>1190837325.6529286</v>
      </c>
      <c r="O27" s="41">
        <v>1075240622.2785854</v>
      </c>
      <c r="P27" s="57">
        <v>972041164.31952798</v>
      </c>
      <c r="Q27" s="57">
        <v>879456701.64143384</v>
      </c>
      <c r="R27" s="57">
        <v>796027296.44086456</v>
      </c>
      <c r="S27" s="57">
        <v>720545792.84468782</v>
      </c>
      <c r="T27" s="57">
        <v>652005530.05060625</v>
      </c>
      <c r="U27" s="53">
        <v>589560508.76338995</v>
      </c>
      <c r="V27" s="53">
        <v>532494683.38606966</v>
      </c>
    </row>
    <row r="28" spans="2:23" x14ac:dyDescent="0.25">
      <c r="D28" s="27"/>
      <c r="E28" s="27"/>
      <c r="F28" s="27"/>
      <c r="G28" s="27"/>
      <c r="H28" s="27"/>
      <c r="I28" s="27"/>
      <c r="J28" s="27"/>
      <c r="K28" s="27"/>
      <c r="L28" s="253"/>
      <c r="M28" s="52">
        <f t="shared" si="13"/>
        <v>3.2000000000000001E-2</v>
      </c>
      <c r="N28" s="41">
        <v>1205809650.6789417</v>
      </c>
      <c r="O28" s="41">
        <v>1087821932.6403446</v>
      </c>
      <c r="P28" s="41">
        <v>982677845.64540815</v>
      </c>
      <c r="Q28" s="41">
        <v>888499251.70822954</v>
      </c>
      <c r="R28" s="41">
        <v>803753640.20567715</v>
      </c>
      <c r="S28" s="41">
        <v>727178279.82915711</v>
      </c>
      <c r="T28" s="41">
        <v>657723495.25940704</v>
      </c>
      <c r="U28" s="53">
        <v>594509670.20176196</v>
      </c>
      <c r="V28" s="53">
        <v>536794252.35244572</v>
      </c>
    </row>
    <row r="29" spans="2:23" x14ac:dyDescent="0.25">
      <c r="D29" s="27"/>
      <c r="E29" s="27"/>
      <c r="F29" s="27"/>
      <c r="G29" s="27"/>
      <c r="H29" s="27"/>
      <c r="I29" s="27"/>
      <c r="J29" s="27"/>
      <c r="K29" s="27"/>
      <c r="L29" s="253"/>
      <c r="M29" s="52">
        <f t="shared" si="13"/>
        <v>3.6000000000000004E-2</v>
      </c>
      <c r="N29" s="41">
        <v>1221470358.4647715</v>
      </c>
      <c r="O29" s="41">
        <v>1100950256.496093</v>
      </c>
      <c r="P29" s="41">
        <v>993753153.00534511</v>
      </c>
      <c r="Q29" s="41">
        <v>897896411.5815661</v>
      </c>
      <c r="R29" s="41">
        <v>811768819.25141716</v>
      </c>
      <c r="S29" s="41">
        <v>734047641.34878588</v>
      </c>
      <c r="T29" s="41">
        <v>663636946.45825219</v>
      </c>
      <c r="U29" s="53">
        <v>599621099.22827709</v>
      </c>
      <c r="V29" s="53">
        <v>541229240.81382585</v>
      </c>
    </row>
    <row r="30" spans="2:23" s="24" customFormat="1" x14ac:dyDescent="0.25">
      <c r="D30" s="37"/>
      <c r="E30" s="37"/>
      <c r="F30" s="37"/>
      <c r="G30" s="37"/>
      <c r="H30" s="37"/>
      <c r="I30" s="37"/>
      <c r="J30" s="37"/>
      <c r="K30" s="37"/>
      <c r="L30" s="37"/>
      <c r="M30" s="50"/>
    </row>
  </sheetData>
  <mergeCells count="2">
    <mergeCell ref="N19:V19"/>
    <mergeCell ref="L21:L2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F2E3-56A3-48D2-AF5D-EF3F056921AD}">
  <sheetPr>
    <tabColor theme="7" tint="0.79998168889431442"/>
    <pageSetUpPr fitToPage="1"/>
  </sheetPr>
  <dimension ref="A1:K24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26953125" defaultRowHeight="13" x14ac:dyDescent="0.3"/>
  <cols>
    <col min="1" max="1" width="12.90625" style="230" customWidth="1"/>
    <col min="2" max="2" width="47.08984375" style="230" customWidth="1"/>
    <col min="3" max="11" width="14.54296875" style="230" customWidth="1"/>
    <col min="12" max="16384" width="9.26953125" style="230"/>
  </cols>
  <sheetData>
    <row r="1" spans="1:11" s="241" customFormat="1" x14ac:dyDescent="0.3">
      <c r="A1" s="240" t="s">
        <v>282</v>
      </c>
    </row>
    <row r="2" spans="1:11" s="244" customFormat="1" ht="14" customHeight="1" x14ac:dyDescent="0.3">
      <c r="A2" s="242" t="s">
        <v>283</v>
      </c>
      <c r="B2" s="242"/>
      <c r="C2" s="243">
        <v>1</v>
      </c>
      <c r="D2" s="243">
        <f>C2+1</f>
        <v>2</v>
      </c>
      <c r="E2" s="243">
        <f>D2+1</f>
        <v>3</v>
      </c>
      <c r="F2" s="243">
        <f>E2+1</f>
        <v>4</v>
      </c>
      <c r="G2" s="243">
        <f>F2+1</f>
        <v>5</v>
      </c>
      <c r="H2" s="243">
        <f t="shared" ref="H2:K2" si="0">G2+1</f>
        <v>6</v>
      </c>
      <c r="I2" s="243">
        <f t="shared" si="0"/>
        <v>7</v>
      </c>
      <c r="J2" s="243">
        <f t="shared" si="0"/>
        <v>8</v>
      </c>
      <c r="K2" s="243">
        <f t="shared" si="0"/>
        <v>9</v>
      </c>
    </row>
    <row r="3" spans="1:11" x14ac:dyDescent="0.3">
      <c r="B3" s="231"/>
    </row>
    <row r="4" spans="1:11" x14ac:dyDescent="0.3">
      <c r="A4" s="245">
        <f>WACC!C25</f>
        <v>44736</v>
      </c>
      <c r="B4" s="5" t="s">
        <v>37</v>
      </c>
    </row>
    <row r="5" spans="1:11" x14ac:dyDescent="0.3">
      <c r="B5" s="231"/>
    </row>
    <row r="6" spans="1:11" x14ac:dyDescent="0.3">
      <c r="B6" s="238" t="s">
        <v>284</v>
      </c>
      <c r="C6" s="239">
        <f>Summary!M9</f>
        <v>375000000</v>
      </c>
      <c r="D6" s="148"/>
      <c r="E6" s="148"/>
      <c r="F6" s="148"/>
      <c r="G6" s="148"/>
      <c r="H6" s="148"/>
      <c r="I6" s="148"/>
      <c r="J6" s="148"/>
      <c r="K6" s="148"/>
    </row>
    <row r="7" spans="1:11" x14ac:dyDescent="0.3">
      <c r="C7" s="246">
        <v>1</v>
      </c>
      <c r="D7" s="246">
        <v>2</v>
      </c>
      <c r="E7" s="246">
        <v>3</v>
      </c>
      <c r="F7" s="246">
        <v>4</v>
      </c>
      <c r="G7" s="246">
        <v>5</v>
      </c>
      <c r="H7" s="247">
        <v>6</v>
      </c>
      <c r="I7" s="247">
        <v>7</v>
      </c>
      <c r="J7" s="247">
        <v>8</v>
      </c>
      <c r="K7" s="247">
        <v>9</v>
      </c>
    </row>
    <row r="8" spans="1:11" x14ac:dyDescent="0.3">
      <c r="B8" s="230" t="s">
        <v>164</v>
      </c>
      <c r="C8" s="59">
        <f>'Income Statement'!C4</f>
        <v>1453328800</v>
      </c>
      <c r="D8" s="59">
        <f>'Income Statement'!D4</f>
        <v>1798905104</v>
      </c>
      <c r="E8" s="59">
        <f>'Income Statement'!E4</f>
        <v>1820268512.3199999</v>
      </c>
      <c r="F8" s="59">
        <f>'Income Statement'!F4</f>
        <v>1985484093.3055999</v>
      </c>
      <c r="G8" s="59">
        <f>'Income Statement'!G4</f>
        <v>2177710730.7700481</v>
      </c>
      <c r="H8" s="59">
        <f>'Income Statement'!H4</f>
        <v>2333910290.2316527</v>
      </c>
      <c r="I8" s="59">
        <f>'Income Statement'!I4</f>
        <v>2517157684.5501847</v>
      </c>
      <c r="J8" s="59">
        <f>'Income Statement'!J4</f>
        <v>2671251927.5242</v>
      </c>
      <c r="K8" s="59">
        <f>'Income Statement'!K4</f>
        <v>2869128272.7571359</v>
      </c>
    </row>
    <row r="9" spans="1:11" x14ac:dyDescent="0.3">
      <c r="B9" s="230" t="s">
        <v>73</v>
      </c>
      <c r="C9" s="59">
        <f>'Income Statement'!C15</f>
        <v>224232800</v>
      </c>
      <c r="D9" s="59">
        <f>'Income Statement'!D15</f>
        <v>504379504</v>
      </c>
      <c r="E9" s="59">
        <f>'Income Statement'!E15</f>
        <v>435730352.31999969</v>
      </c>
      <c r="F9" s="59">
        <f>'Income Statement'!F15</f>
        <v>501932117.30559969</v>
      </c>
      <c r="G9" s="59">
        <f>'Income Statement'!G15</f>
        <v>585243557.17004764</v>
      </c>
      <c r="H9" s="59">
        <f>'Income Statement'!H15</f>
        <v>621636399.27165246</v>
      </c>
      <c r="I9" s="59">
        <f>'Income Statement'!I15</f>
        <v>673096404.49418354</v>
      </c>
      <c r="J9" s="59">
        <f>'Income Statement'!J15</f>
        <v>682224519.46259952</v>
      </c>
      <c r="K9" s="59">
        <f>'Income Statement'!K15</f>
        <v>720638123.88937473</v>
      </c>
    </row>
    <row r="10" spans="1:11" x14ac:dyDescent="0.3">
      <c r="B10" s="230" t="s">
        <v>274</v>
      </c>
      <c r="C10" s="59">
        <f>'Income Statement'!C27</f>
        <v>18759600</v>
      </c>
      <c r="D10" s="59">
        <f>'Income Statement'!D27</f>
        <v>258752628</v>
      </c>
      <c r="E10" s="59">
        <f>'Income Statement'!E27</f>
        <v>231172164.23999977</v>
      </c>
      <c r="F10" s="59">
        <f>'Income Statement'!F27</f>
        <v>299948607.97919977</v>
      </c>
      <c r="G10" s="59">
        <f>'Income Statement'!G27</f>
        <v>377732283.8775357</v>
      </c>
      <c r="H10" s="59">
        <f>'Income Statement'!H27</f>
        <v>417266992.25373936</v>
      </c>
      <c r="I10" s="59">
        <f>'Income Statement'!I27</f>
        <v>465654057.61063761</v>
      </c>
      <c r="J10" s="59">
        <f>'Income Statement'!J27</f>
        <v>480333792.9889496</v>
      </c>
      <c r="K10" s="59">
        <f>'Income Statement'!K27</f>
        <v>515410915.63063109</v>
      </c>
    </row>
    <row r="11" spans="1:11" x14ac:dyDescent="0.3">
      <c r="B11" s="231"/>
    </row>
    <row r="12" spans="1:11" x14ac:dyDescent="0.3">
      <c r="B12" s="238" t="s">
        <v>275</v>
      </c>
      <c r="C12" s="249">
        <v>3</v>
      </c>
    </row>
    <row r="14" spans="1:11" x14ac:dyDescent="0.3">
      <c r="B14" s="232" t="s">
        <v>285</v>
      </c>
      <c r="C14" s="232"/>
      <c r="D14" s="232"/>
      <c r="E14" s="232"/>
      <c r="F14" s="232"/>
      <c r="G14" s="232"/>
      <c r="H14" s="233"/>
      <c r="I14" s="233"/>
    </row>
    <row r="15" spans="1:11" x14ac:dyDescent="0.3">
      <c r="B15" s="230" t="s">
        <v>276</v>
      </c>
      <c r="C15" s="248" t="s">
        <v>73</v>
      </c>
    </row>
    <row r="16" spans="1:11" x14ac:dyDescent="0.3">
      <c r="B16" s="230" t="s">
        <v>277</v>
      </c>
      <c r="C16" s="234">
        <v>8</v>
      </c>
    </row>
    <row r="17" spans="1:9" x14ac:dyDescent="0.3">
      <c r="B17" s="230" t="s">
        <v>278</v>
      </c>
      <c r="C17" s="62">
        <f>IF(HLOOKUP(C12,C7:G10,MATCH(C15,B7:B10,0))*C16&gt;0,HLOOKUP(C12,C7:G10,MATCH(C15,B7:B10,0))*C16,"error, please pick a positive denominator")</f>
        <v>3485842818.5599976</v>
      </c>
    </row>
    <row r="19" spans="1:9" x14ac:dyDescent="0.3">
      <c r="A19" s="133">
        <f>WACC!F10</f>
        <v>0.25691987552904838</v>
      </c>
      <c r="B19" s="230" t="s">
        <v>286</v>
      </c>
      <c r="C19" s="235"/>
    </row>
    <row r="20" spans="1:9" x14ac:dyDescent="0.3">
      <c r="C20" s="235"/>
    </row>
    <row r="21" spans="1:9" x14ac:dyDescent="0.3">
      <c r="B21" s="232" t="s">
        <v>287</v>
      </c>
      <c r="C21" s="232"/>
      <c r="D21" s="232"/>
      <c r="E21" s="232"/>
      <c r="F21" s="232"/>
      <c r="G21" s="232"/>
      <c r="H21" s="233"/>
      <c r="I21" s="233"/>
    </row>
    <row r="22" spans="1:9" x14ac:dyDescent="0.3">
      <c r="B22" s="230" t="s">
        <v>279</v>
      </c>
      <c r="C22" s="59">
        <f>C17/(1+A19)^C12</f>
        <v>1755436075.0520585</v>
      </c>
    </row>
    <row r="23" spans="1:9" x14ac:dyDescent="0.3">
      <c r="B23" s="230" t="s">
        <v>280</v>
      </c>
      <c r="C23" s="59">
        <f>C22-C6</f>
        <v>1380436075.0520585</v>
      </c>
      <c r="D23" s="236" t="str">
        <f>"aka an "&amp;C6&amp;" on "&amp;TEXT(C23,"0")&amp;" round"</f>
        <v>aka an 375000000 on 1380436075 round</v>
      </c>
    </row>
    <row r="24" spans="1:9" x14ac:dyDescent="0.3">
      <c r="B24" s="230" t="s">
        <v>281</v>
      </c>
      <c r="C24" s="237">
        <f>C6/C22</f>
        <v>0.21362213374182776</v>
      </c>
    </row>
  </sheetData>
  <dataValidations count="2">
    <dataValidation type="list" allowBlank="1" showInputMessage="1" showErrorMessage="1" sqref="C12" xr:uid="{2FD9E083-16CF-4688-9B1F-5F0ED5B96923}">
      <formula1>$C$7:$K$7</formula1>
    </dataValidation>
    <dataValidation type="list" allowBlank="1" showInputMessage="1" showErrorMessage="1" sqref="C15" xr:uid="{209AFFB8-BCEC-4B3C-922C-9B7F4723143F}">
      <formula1>$B$8:$B$10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B1:K29"/>
  <sheetViews>
    <sheetView showGridLines="0" zoomScaleNormal="100" workbookViewId="0">
      <selection activeCell="F9" sqref="F9"/>
    </sheetView>
  </sheetViews>
  <sheetFormatPr defaultColWidth="8.81640625" defaultRowHeight="13" x14ac:dyDescent="0.25"/>
  <cols>
    <col min="1" max="1" width="8.81640625" style="5"/>
    <col min="2" max="2" width="30.54296875" style="5" customWidth="1"/>
    <col min="3" max="3" width="14.81640625" style="5" bestFit="1" customWidth="1"/>
    <col min="4" max="4" width="20.26953125" style="5" customWidth="1"/>
    <col min="5" max="5" width="6.453125" style="5" customWidth="1"/>
    <col min="6" max="6" width="18.81640625" style="5" customWidth="1"/>
    <col min="7" max="8" width="14.81640625" style="5" bestFit="1" customWidth="1"/>
    <col min="9" max="9" width="5.54296875" style="5" customWidth="1"/>
    <col min="10" max="10" width="26" style="5" bestFit="1" customWidth="1"/>
    <col min="11" max="11" width="11" style="63" bestFit="1" customWidth="1"/>
    <col min="12" max="12" width="17.453125" style="5" bestFit="1" customWidth="1"/>
    <col min="13" max="13" width="8.81640625" style="5"/>
    <col min="14" max="14" width="19.1796875" style="5" bestFit="1" customWidth="1"/>
    <col min="15" max="257" width="8.81640625" style="5"/>
    <col min="258" max="258" width="30.54296875" style="5" customWidth="1"/>
    <col min="259" max="259" width="14.81640625" style="5" bestFit="1" customWidth="1"/>
    <col min="260" max="260" width="20.453125" style="5" bestFit="1" customWidth="1"/>
    <col min="261" max="261" width="11.81640625" style="5" bestFit="1" customWidth="1"/>
    <col min="262" max="262" width="18.81640625" style="5" customWidth="1"/>
    <col min="263" max="264" width="14.81640625" style="5" bestFit="1" customWidth="1"/>
    <col min="265" max="265" width="17.54296875" style="5" bestFit="1" customWidth="1"/>
    <col min="266" max="266" width="11.54296875" style="5" customWidth="1"/>
    <col min="267" max="267" width="8.81640625" style="5"/>
    <col min="268" max="268" width="17.453125" style="5" bestFit="1" customWidth="1"/>
    <col min="269" max="269" width="8.81640625" style="5"/>
    <col min="270" max="270" width="7.1796875" style="5" bestFit="1" customWidth="1"/>
    <col min="271" max="513" width="8.81640625" style="5"/>
    <col min="514" max="514" width="30.54296875" style="5" customWidth="1"/>
    <col min="515" max="515" width="14.81640625" style="5" bestFit="1" customWidth="1"/>
    <col min="516" max="516" width="20.453125" style="5" bestFit="1" customWidth="1"/>
    <col min="517" max="517" width="11.81640625" style="5" bestFit="1" customWidth="1"/>
    <col min="518" max="518" width="18.81640625" style="5" customWidth="1"/>
    <col min="519" max="520" width="14.81640625" style="5" bestFit="1" customWidth="1"/>
    <col min="521" max="521" width="17.54296875" style="5" bestFit="1" customWidth="1"/>
    <col min="522" max="522" width="11.54296875" style="5" customWidth="1"/>
    <col min="523" max="523" width="8.81640625" style="5"/>
    <col min="524" max="524" width="17.453125" style="5" bestFit="1" customWidth="1"/>
    <col min="525" max="525" width="8.81640625" style="5"/>
    <col min="526" max="526" width="7.1796875" style="5" bestFit="1" customWidth="1"/>
    <col min="527" max="769" width="8.81640625" style="5"/>
    <col min="770" max="770" width="30.54296875" style="5" customWidth="1"/>
    <col min="771" max="771" width="14.81640625" style="5" bestFit="1" customWidth="1"/>
    <col min="772" max="772" width="20.453125" style="5" bestFit="1" customWidth="1"/>
    <col min="773" max="773" width="11.81640625" style="5" bestFit="1" customWidth="1"/>
    <col min="774" max="774" width="18.81640625" style="5" customWidth="1"/>
    <col min="775" max="776" width="14.81640625" style="5" bestFit="1" customWidth="1"/>
    <col min="777" max="777" width="17.54296875" style="5" bestFit="1" customWidth="1"/>
    <col min="778" max="778" width="11.54296875" style="5" customWidth="1"/>
    <col min="779" max="779" width="8.81640625" style="5"/>
    <col min="780" max="780" width="17.453125" style="5" bestFit="1" customWidth="1"/>
    <col min="781" max="781" width="8.81640625" style="5"/>
    <col min="782" max="782" width="7.1796875" style="5" bestFit="1" customWidth="1"/>
    <col min="783" max="1025" width="8.81640625" style="5"/>
    <col min="1026" max="1026" width="30.54296875" style="5" customWidth="1"/>
    <col min="1027" max="1027" width="14.81640625" style="5" bestFit="1" customWidth="1"/>
    <col min="1028" max="1028" width="20.453125" style="5" bestFit="1" customWidth="1"/>
    <col min="1029" max="1029" width="11.81640625" style="5" bestFit="1" customWidth="1"/>
    <col min="1030" max="1030" width="18.81640625" style="5" customWidth="1"/>
    <col min="1031" max="1032" width="14.81640625" style="5" bestFit="1" customWidth="1"/>
    <col min="1033" max="1033" width="17.54296875" style="5" bestFit="1" customWidth="1"/>
    <col min="1034" max="1034" width="11.54296875" style="5" customWidth="1"/>
    <col min="1035" max="1035" width="8.81640625" style="5"/>
    <col min="1036" max="1036" width="17.453125" style="5" bestFit="1" customWidth="1"/>
    <col min="1037" max="1037" width="8.81640625" style="5"/>
    <col min="1038" max="1038" width="7.1796875" style="5" bestFit="1" customWidth="1"/>
    <col min="1039" max="1281" width="8.81640625" style="5"/>
    <col min="1282" max="1282" width="30.54296875" style="5" customWidth="1"/>
    <col min="1283" max="1283" width="14.81640625" style="5" bestFit="1" customWidth="1"/>
    <col min="1284" max="1284" width="20.453125" style="5" bestFit="1" customWidth="1"/>
    <col min="1285" max="1285" width="11.81640625" style="5" bestFit="1" customWidth="1"/>
    <col min="1286" max="1286" width="18.81640625" style="5" customWidth="1"/>
    <col min="1287" max="1288" width="14.81640625" style="5" bestFit="1" customWidth="1"/>
    <col min="1289" max="1289" width="17.54296875" style="5" bestFit="1" customWidth="1"/>
    <col min="1290" max="1290" width="11.54296875" style="5" customWidth="1"/>
    <col min="1291" max="1291" width="8.81640625" style="5"/>
    <col min="1292" max="1292" width="17.453125" style="5" bestFit="1" customWidth="1"/>
    <col min="1293" max="1293" width="8.81640625" style="5"/>
    <col min="1294" max="1294" width="7.1796875" style="5" bestFit="1" customWidth="1"/>
    <col min="1295" max="1537" width="8.81640625" style="5"/>
    <col min="1538" max="1538" width="30.54296875" style="5" customWidth="1"/>
    <col min="1539" max="1539" width="14.81640625" style="5" bestFit="1" customWidth="1"/>
    <col min="1540" max="1540" width="20.453125" style="5" bestFit="1" customWidth="1"/>
    <col min="1541" max="1541" width="11.81640625" style="5" bestFit="1" customWidth="1"/>
    <col min="1542" max="1542" width="18.81640625" style="5" customWidth="1"/>
    <col min="1543" max="1544" width="14.81640625" style="5" bestFit="1" customWidth="1"/>
    <col min="1545" max="1545" width="17.54296875" style="5" bestFit="1" customWidth="1"/>
    <col min="1546" max="1546" width="11.54296875" style="5" customWidth="1"/>
    <col min="1547" max="1547" width="8.81640625" style="5"/>
    <col min="1548" max="1548" width="17.453125" style="5" bestFit="1" customWidth="1"/>
    <col min="1549" max="1549" width="8.81640625" style="5"/>
    <col min="1550" max="1550" width="7.1796875" style="5" bestFit="1" customWidth="1"/>
    <col min="1551" max="1793" width="8.81640625" style="5"/>
    <col min="1794" max="1794" width="30.54296875" style="5" customWidth="1"/>
    <col min="1795" max="1795" width="14.81640625" style="5" bestFit="1" customWidth="1"/>
    <col min="1796" max="1796" width="20.453125" style="5" bestFit="1" customWidth="1"/>
    <col min="1797" max="1797" width="11.81640625" style="5" bestFit="1" customWidth="1"/>
    <col min="1798" max="1798" width="18.81640625" style="5" customWidth="1"/>
    <col min="1799" max="1800" width="14.81640625" style="5" bestFit="1" customWidth="1"/>
    <col min="1801" max="1801" width="17.54296875" style="5" bestFit="1" customWidth="1"/>
    <col min="1802" max="1802" width="11.54296875" style="5" customWidth="1"/>
    <col min="1803" max="1803" width="8.81640625" style="5"/>
    <col min="1804" max="1804" width="17.453125" style="5" bestFit="1" customWidth="1"/>
    <col min="1805" max="1805" width="8.81640625" style="5"/>
    <col min="1806" max="1806" width="7.1796875" style="5" bestFit="1" customWidth="1"/>
    <col min="1807" max="2049" width="8.81640625" style="5"/>
    <col min="2050" max="2050" width="30.54296875" style="5" customWidth="1"/>
    <col min="2051" max="2051" width="14.81640625" style="5" bestFit="1" customWidth="1"/>
    <col min="2052" max="2052" width="20.453125" style="5" bestFit="1" customWidth="1"/>
    <col min="2053" max="2053" width="11.81640625" style="5" bestFit="1" customWidth="1"/>
    <col min="2054" max="2054" width="18.81640625" style="5" customWidth="1"/>
    <col min="2055" max="2056" width="14.81640625" style="5" bestFit="1" customWidth="1"/>
    <col min="2057" max="2057" width="17.54296875" style="5" bestFit="1" customWidth="1"/>
    <col min="2058" max="2058" width="11.54296875" style="5" customWidth="1"/>
    <col min="2059" max="2059" width="8.81640625" style="5"/>
    <col min="2060" max="2060" width="17.453125" style="5" bestFit="1" customWidth="1"/>
    <col min="2061" max="2061" width="8.81640625" style="5"/>
    <col min="2062" max="2062" width="7.1796875" style="5" bestFit="1" customWidth="1"/>
    <col min="2063" max="2305" width="8.81640625" style="5"/>
    <col min="2306" max="2306" width="30.54296875" style="5" customWidth="1"/>
    <col min="2307" max="2307" width="14.81640625" style="5" bestFit="1" customWidth="1"/>
    <col min="2308" max="2308" width="20.453125" style="5" bestFit="1" customWidth="1"/>
    <col min="2309" max="2309" width="11.81640625" style="5" bestFit="1" customWidth="1"/>
    <col min="2310" max="2310" width="18.81640625" style="5" customWidth="1"/>
    <col min="2311" max="2312" width="14.81640625" style="5" bestFit="1" customWidth="1"/>
    <col min="2313" max="2313" width="17.54296875" style="5" bestFit="1" customWidth="1"/>
    <col min="2314" max="2314" width="11.54296875" style="5" customWidth="1"/>
    <col min="2315" max="2315" width="8.81640625" style="5"/>
    <col min="2316" max="2316" width="17.453125" style="5" bestFit="1" customWidth="1"/>
    <col min="2317" max="2317" width="8.81640625" style="5"/>
    <col min="2318" max="2318" width="7.1796875" style="5" bestFit="1" customWidth="1"/>
    <col min="2319" max="2561" width="8.81640625" style="5"/>
    <col min="2562" max="2562" width="30.54296875" style="5" customWidth="1"/>
    <col min="2563" max="2563" width="14.81640625" style="5" bestFit="1" customWidth="1"/>
    <col min="2564" max="2564" width="20.453125" style="5" bestFit="1" customWidth="1"/>
    <col min="2565" max="2565" width="11.81640625" style="5" bestFit="1" customWidth="1"/>
    <col min="2566" max="2566" width="18.81640625" style="5" customWidth="1"/>
    <col min="2567" max="2568" width="14.81640625" style="5" bestFit="1" customWidth="1"/>
    <col min="2569" max="2569" width="17.54296875" style="5" bestFit="1" customWidth="1"/>
    <col min="2570" max="2570" width="11.54296875" style="5" customWidth="1"/>
    <col min="2571" max="2571" width="8.81640625" style="5"/>
    <col min="2572" max="2572" width="17.453125" style="5" bestFit="1" customWidth="1"/>
    <col min="2573" max="2573" width="8.81640625" style="5"/>
    <col min="2574" max="2574" width="7.1796875" style="5" bestFit="1" customWidth="1"/>
    <col min="2575" max="2817" width="8.81640625" style="5"/>
    <col min="2818" max="2818" width="30.54296875" style="5" customWidth="1"/>
    <col min="2819" max="2819" width="14.81640625" style="5" bestFit="1" customWidth="1"/>
    <col min="2820" max="2820" width="20.453125" style="5" bestFit="1" customWidth="1"/>
    <col min="2821" max="2821" width="11.81640625" style="5" bestFit="1" customWidth="1"/>
    <col min="2822" max="2822" width="18.81640625" style="5" customWidth="1"/>
    <col min="2823" max="2824" width="14.81640625" style="5" bestFit="1" customWidth="1"/>
    <col min="2825" max="2825" width="17.54296875" style="5" bestFit="1" customWidth="1"/>
    <col min="2826" max="2826" width="11.54296875" style="5" customWidth="1"/>
    <col min="2827" max="2827" width="8.81640625" style="5"/>
    <col min="2828" max="2828" width="17.453125" style="5" bestFit="1" customWidth="1"/>
    <col min="2829" max="2829" width="8.81640625" style="5"/>
    <col min="2830" max="2830" width="7.1796875" style="5" bestFit="1" customWidth="1"/>
    <col min="2831" max="3073" width="8.81640625" style="5"/>
    <col min="3074" max="3074" width="30.54296875" style="5" customWidth="1"/>
    <col min="3075" max="3075" width="14.81640625" style="5" bestFit="1" customWidth="1"/>
    <col min="3076" max="3076" width="20.453125" style="5" bestFit="1" customWidth="1"/>
    <col min="3077" max="3077" width="11.81640625" style="5" bestFit="1" customWidth="1"/>
    <col min="3078" max="3078" width="18.81640625" style="5" customWidth="1"/>
    <col min="3079" max="3080" width="14.81640625" style="5" bestFit="1" customWidth="1"/>
    <col min="3081" max="3081" width="17.54296875" style="5" bestFit="1" customWidth="1"/>
    <col min="3082" max="3082" width="11.54296875" style="5" customWidth="1"/>
    <col min="3083" max="3083" width="8.81640625" style="5"/>
    <col min="3084" max="3084" width="17.453125" style="5" bestFit="1" customWidth="1"/>
    <col min="3085" max="3085" width="8.81640625" style="5"/>
    <col min="3086" max="3086" width="7.1796875" style="5" bestFit="1" customWidth="1"/>
    <col min="3087" max="3329" width="8.81640625" style="5"/>
    <col min="3330" max="3330" width="30.54296875" style="5" customWidth="1"/>
    <col min="3331" max="3331" width="14.81640625" style="5" bestFit="1" customWidth="1"/>
    <col min="3332" max="3332" width="20.453125" style="5" bestFit="1" customWidth="1"/>
    <col min="3333" max="3333" width="11.81640625" style="5" bestFit="1" customWidth="1"/>
    <col min="3334" max="3334" width="18.81640625" style="5" customWidth="1"/>
    <col min="3335" max="3336" width="14.81640625" style="5" bestFit="1" customWidth="1"/>
    <col min="3337" max="3337" width="17.54296875" style="5" bestFit="1" customWidth="1"/>
    <col min="3338" max="3338" width="11.54296875" style="5" customWidth="1"/>
    <col min="3339" max="3339" width="8.81640625" style="5"/>
    <col min="3340" max="3340" width="17.453125" style="5" bestFit="1" customWidth="1"/>
    <col min="3341" max="3341" width="8.81640625" style="5"/>
    <col min="3342" max="3342" width="7.1796875" style="5" bestFit="1" customWidth="1"/>
    <col min="3343" max="3585" width="8.81640625" style="5"/>
    <col min="3586" max="3586" width="30.54296875" style="5" customWidth="1"/>
    <col min="3587" max="3587" width="14.81640625" style="5" bestFit="1" customWidth="1"/>
    <col min="3588" max="3588" width="20.453125" style="5" bestFit="1" customWidth="1"/>
    <col min="3589" max="3589" width="11.81640625" style="5" bestFit="1" customWidth="1"/>
    <col min="3590" max="3590" width="18.81640625" style="5" customWidth="1"/>
    <col min="3591" max="3592" width="14.81640625" style="5" bestFit="1" customWidth="1"/>
    <col min="3593" max="3593" width="17.54296875" style="5" bestFit="1" customWidth="1"/>
    <col min="3594" max="3594" width="11.54296875" style="5" customWidth="1"/>
    <col min="3595" max="3595" width="8.81640625" style="5"/>
    <col min="3596" max="3596" width="17.453125" style="5" bestFit="1" customWidth="1"/>
    <col min="3597" max="3597" width="8.81640625" style="5"/>
    <col min="3598" max="3598" width="7.1796875" style="5" bestFit="1" customWidth="1"/>
    <col min="3599" max="3841" width="8.81640625" style="5"/>
    <col min="3842" max="3842" width="30.54296875" style="5" customWidth="1"/>
    <col min="3843" max="3843" width="14.81640625" style="5" bestFit="1" customWidth="1"/>
    <col min="3844" max="3844" width="20.453125" style="5" bestFit="1" customWidth="1"/>
    <col min="3845" max="3845" width="11.81640625" style="5" bestFit="1" customWidth="1"/>
    <col min="3846" max="3846" width="18.81640625" style="5" customWidth="1"/>
    <col min="3847" max="3848" width="14.81640625" style="5" bestFit="1" customWidth="1"/>
    <col min="3849" max="3849" width="17.54296875" style="5" bestFit="1" customWidth="1"/>
    <col min="3850" max="3850" width="11.54296875" style="5" customWidth="1"/>
    <col min="3851" max="3851" width="8.81640625" style="5"/>
    <col min="3852" max="3852" width="17.453125" style="5" bestFit="1" customWidth="1"/>
    <col min="3853" max="3853" width="8.81640625" style="5"/>
    <col min="3854" max="3854" width="7.1796875" style="5" bestFit="1" customWidth="1"/>
    <col min="3855" max="4097" width="8.81640625" style="5"/>
    <col min="4098" max="4098" width="30.54296875" style="5" customWidth="1"/>
    <col min="4099" max="4099" width="14.81640625" style="5" bestFit="1" customWidth="1"/>
    <col min="4100" max="4100" width="20.453125" style="5" bestFit="1" customWidth="1"/>
    <col min="4101" max="4101" width="11.81640625" style="5" bestFit="1" customWidth="1"/>
    <col min="4102" max="4102" width="18.81640625" style="5" customWidth="1"/>
    <col min="4103" max="4104" width="14.81640625" style="5" bestFit="1" customWidth="1"/>
    <col min="4105" max="4105" width="17.54296875" style="5" bestFit="1" customWidth="1"/>
    <col min="4106" max="4106" width="11.54296875" style="5" customWidth="1"/>
    <col min="4107" max="4107" width="8.81640625" style="5"/>
    <col min="4108" max="4108" width="17.453125" style="5" bestFit="1" customWidth="1"/>
    <col min="4109" max="4109" width="8.81640625" style="5"/>
    <col min="4110" max="4110" width="7.1796875" style="5" bestFit="1" customWidth="1"/>
    <col min="4111" max="4353" width="8.81640625" style="5"/>
    <col min="4354" max="4354" width="30.54296875" style="5" customWidth="1"/>
    <col min="4355" max="4355" width="14.81640625" style="5" bestFit="1" customWidth="1"/>
    <col min="4356" max="4356" width="20.453125" style="5" bestFit="1" customWidth="1"/>
    <col min="4357" max="4357" width="11.81640625" style="5" bestFit="1" customWidth="1"/>
    <col min="4358" max="4358" width="18.81640625" style="5" customWidth="1"/>
    <col min="4359" max="4360" width="14.81640625" style="5" bestFit="1" customWidth="1"/>
    <col min="4361" max="4361" width="17.54296875" style="5" bestFit="1" customWidth="1"/>
    <col min="4362" max="4362" width="11.54296875" style="5" customWidth="1"/>
    <col min="4363" max="4363" width="8.81640625" style="5"/>
    <col min="4364" max="4364" width="17.453125" style="5" bestFit="1" customWidth="1"/>
    <col min="4365" max="4365" width="8.81640625" style="5"/>
    <col min="4366" max="4366" width="7.1796875" style="5" bestFit="1" customWidth="1"/>
    <col min="4367" max="4609" width="8.81640625" style="5"/>
    <col min="4610" max="4610" width="30.54296875" style="5" customWidth="1"/>
    <col min="4611" max="4611" width="14.81640625" style="5" bestFit="1" customWidth="1"/>
    <col min="4612" max="4612" width="20.453125" style="5" bestFit="1" customWidth="1"/>
    <col min="4613" max="4613" width="11.81640625" style="5" bestFit="1" customWidth="1"/>
    <col min="4614" max="4614" width="18.81640625" style="5" customWidth="1"/>
    <col min="4615" max="4616" width="14.81640625" style="5" bestFit="1" customWidth="1"/>
    <col min="4617" max="4617" width="17.54296875" style="5" bestFit="1" customWidth="1"/>
    <col min="4618" max="4618" width="11.54296875" style="5" customWidth="1"/>
    <col min="4619" max="4619" width="8.81640625" style="5"/>
    <col min="4620" max="4620" width="17.453125" style="5" bestFit="1" customWidth="1"/>
    <col min="4621" max="4621" width="8.81640625" style="5"/>
    <col min="4622" max="4622" width="7.1796875" style="5" bestFit="1" customWidth="1"/>
    <col min="4623" max="4865" width="8.81640625" style="5"/>
    <col min="4866" max="4866" width="30.54296875" style="5" customWidth="1"/>
    <col min="4867" max="4867" width="14.81640625" style="5" bestFit="1" customWidth="1"/>
    <col min="4868" max="4868" width="20.453125" style="5" bestFit="1" customWidth="1"/>
    <col min="4869" max="4869" width="11.81640625" style="5" bestFit="1" customWidth="1"/>
    <col min="4870" max="4870" width="18.81640625" style="5" customWidth="1"/>
    <col min="4871" max="4872" width="14.81640625" style="5" bestFit="1" customWidth="1"/>
    <col min="4873" max="4873" width="17.54296875" style="5" bestFit="1" customWidth="1"/>
    <col min="4874" max="4874" width="11.54296875" style="5" customWidth="1"/>
    <col min="4875" max="4875" width="8.81640625" style="5"/>
    <col min="4876" max="4876" width="17.453125" style="5" bestFit="1" customWidth="1"/>
    <col min="4877" max="4877" width="8.81640625" style="5"/>
    <col min="4878" max="4878" width="7.1796875" style="5" bestFit="1" customWidth="1"/>
    <col min="4879" max="5121" width="8.81640625" style="5"/>
    <col min="5122" max="5122" width="30.54296875" style="5" customWidth="1"/>
    <col min="5123" max="5123" width="14.81640625" style="5" bestFit="1" customWidth="1"/>
    <col min="5124" max="5124" width="20.453125" style="5" bestFit="1" customWidth="1"/>
    <col min="5125" max="5125" width="11.81640625" style="5" bestFit="1" customWidth="1"/>
    <col min="5126" max="5126" width="18.81640625" style="5" customWidth="1"/>
    <col min="5127" max="5128" width="14.81640625" style="5" bestFit="1" customWidth="1"/>
    <col min="5129" max="5129" width="17.54296875" style="5" bestFit="1" customWidth="1"/>
    <col min="5130" max="5130" width="11.54296875" style="5" customWidth="1"/>
    <col min="5131" max="5131" width="8.81640625" style="5"/>
    <col min="5132" max="5132" width="17.453125" style="5" bestFit="1" customWidth="1"/>
    <col min="5133" max="5133" width="8.81640625" style="5"/>
    <col min="5134" max="5134" width="7.1796875" style="5" bestFit="1" customWidth="1"/>
    <col min="5135" max="5377" width="8.81640625" style="5"/>
    <col min="5378" max="5378" width="30.54296875" style="5" customWidth="1"/>
    <col min="5379" max="5379" width="14.81640625" style="5" bestFit="1" customWidth="1"/>
    <col min="5380" max="5380" width="20.453125" style="5" bestFit="1" customWidth="1"/>
    <col min="5381" max="5381" width="11.81640625" style="5" bestFit="1" customWidth="1"/>
    <col min="5382" max="5382" width="18.81640625" style="5" customWidth="1"/>
    <col min="5383" max="5384" width="14.81640625" style="5" bestFit="1" customWidth="1"/>
    <col min="5385" max="5385" width="17.54296875" style="5" bestFit="1" customWidth="1"/>
    <col min="5386" max="5386" width="11.54296875" style="5" customWidth="1"/>
    <col min="5387" max="5387" width="8.81640625" style="5"/>
    <col min="5388" max="5388" width="17.453125" style="5" bestFit="1" customWidth="1"/>
    <col min="5389" max="5389" width="8.81640625" style="5"/>
    <col min="5390" max="5390" width="7.1796875" style="5" bestFit="1" customWidth="1"/>
    <col min="5391" max="5633" width="8.81640625" style="5"/>
    <col min="5634" max="5634" width="30.54296875" style="5" customWidth="1"/>
    <col min="5635" max="5635" width="14.81640625" style="5" bestFit="1" customWidth="1"/>
    <col min="5636" max="5636" width="20.453125" style="5" bestFit="1" customWidth="1"/>
    <col min="5637" max="5637" width="11.81640625" style="5" bestFit="1" customWidth="1"/>
    <col min="5638" max="5638" width="18.81640625" style="5" customWidth="1"/>
    <col min="5639" max="5640" width="14.81640625" style="5" bestFit="1" customWidth="1"/>
    <col min="5641" max="5641" width="17.54296875" style="5" bestFit="1" customWidth="1"/>
    <col min="5642" max="5642" width="11.54296875" style="5" customWidth="1"/>
    <col min="5643" max="5643" width="8.81640625" style="5"/>
    <col min="5644" max="5644" width="17.453125" style="5" bestFit="1" customWidth="1"/>
    <col min="5645" max="5645" width="8.81640625" style="5"/>
    <col min="5646" max="5646" width="7.1796875" style="5" bestFit="1" customWidth="1"/>
    <col min="5647" max="5889" width="8.81640625" style="5"/>
    <col min="5890" max="5890" width="30.54296875" style="5" customWidth="1"/>
    <col min="5891" max="5891" width="14.81640625" style="5" bestFit="1" customWidth="1"/>
    <col min="5892" max="5892" width="20.453125" style="5" bestFit="1" customWidth="1"/>
    <col min="5893" max="5893" width="11.81640625" style="5" bestFit="1" customWidth="1"/>
    <col min="5894" max="5894" width="18.81640625" style="5" customWidth="1"/>
    <col min="5895" max="5896" width="14.81640625" style="5" bestFit="1" customWidth="1"/>
    <col min="5897" max="5897" width="17.54296875" style="5" bestFit="1" customWidth="1"/>
    <col min="5898" max="5898" width="11.54296875" style="5" customWidth="1"/>
    <col min="5899" max="5899" width="8.81640625" style="5"/>
    <col min="5900" max="5900" width="17.453125" style="5" bestFit="1" customWidth="1"/>
    <col min="5901" max="5901" width="8.81640625" style="5"/>
    <col min="5902" max="5902" width="7.1796875" style="5" bestFit="1" customWidth="1"/>
    <col min="5903" max="6145" width="8.81640625" style="5"/>
    <col min="6146" max="6146" width="30.54296875" style="5" customWidth="1"/>
    <col min="6147" max="6147" width="14.81640625" style="5" bestFit="1" customWidth="1"/>
    <col min="6148" max="6148" width="20.453125" style="5" bestFit="1" customWidth="1"/>
    <col min="6149" max="6149" width="11.81640625" style="5" bestFit="1" customWidth="1"/>
    <col min="6150" max="6150" width="18.81640625" style="5" customWidth="1"/>
    <col min="6151" max="6152" width="14.81640625" style="5" bestFit="1" customWidth="1"/>
    <col min="6153" max="6153" width="17.54296875" style="5" bestFit="1" customWidth="1"/>
    <col min="6154" max="6154" width="11.54296875" style="5" customWidth="1"/>
    <col min="6155" max="6155" width="8.81640625" style="5"/>
    <col min="6156" max="6156" width="17.453125" style="5" bestFit="1" customWidth="1"/>
    <col min="6157" max="6157" width="8.81640625" style="5"/>
    <col min="6158" max="6158" width="7.1796875" style="5" bestFit="1" customWidth="1"/>
    <col min="6159" max="6401" width="8.81640625" style="5"/>
    <col min="6402" max="6402" width="30.54296875" style="5" customWidth="1"/>
    <col min="6403" max="6403" width="14.81640625" style="5" bestFit="1" customWidth="1"/>
    <col min="6404" max="6404" width="20.453125" style="5" bestFit="1" customWidth="1"/>
    <col min="6405" max="6405" width="11.81640625" style="5" bestFit="1" customWidth="1"/>
    <col min="6406" max="6406" width="18.81640625" style="5" customWidth="1"/>
    <col min="6407" max="6408" width="14.81640625" style="5" bestFit="1" customWidth="1"/>
    <col min="6409" max="6409" width="17.54296875" style="5" bestFit="1" customWidth="1"/>
    <col min="6410" max="6410" width="11.54296875" style="5" customWidth="1"/>
    <col min="6411" max="6411" width="8.81640625" style="5"/>
    <col min="6412" max="6412" width="17.453125" style="5" bestFit="1" customWidth="1"/>
    <col min="6413" max="6413" width="8.81640625" style="5"/>
    <col min="6414" max="6414" width="7.1796875" style="5" bestFit="1" customWidth="1"/>
    <col min="6415" max="6657" width="8.81640625" style="5"/>
    <col min="6658" max="6658" width="30.54296875" style="5" customWidth="1"/>
    <col min="6659" max="6659" width="14.81640625" style="5" bestFit="1" customWidth="1"/>
    <col min="6660" max="6660" width="20.453125" style="5" bestFit="1" customWidth="1"/>
    <col min="6661" max="6661" width="11.81640625" style="5" bestFit="1" customWidth="1"/>
    <col min="6662" max="6662" width="18.81640625" style="5" customWidth="1"/>
    <col min="6663" max="6664" width="14.81640625" style="5" bestFit="1" customWidth="1"/>
    <col min="6665" max="6665" width="17.54296875" style="5" bestFit="1" customWidth="1"/>
    <col min="6666" max="6666" width="11.54296875" style="5" customWidth="1"/>
    <col min="6667" max="6667" width="8.81640625" style="5"/>
    <col min="6668" max="6668" width="17.453125" style="5" bestFit="1" customWidth="1"/>
    <col min="6669" max="6669" width="8.81640625" style="5"/>
    <col min="6670" max="6670" width="7.1796875" style="5" bestFit="1" customWidth="1"/>
    <col min="6671" max="6913" width="8.81640625" style="5"/>
    <col min="6914" max="6914" width="30.54296875" style="5" customWidth="1"/>
    <col min="6915" max="6915" width="14.81640625" style="5" bestFit="1" customWidth="1"/>
    <col min="6916" max="6916" width="20.453125" style="5" bestFit="1" customWidth="1"/>
    <col min="6917" max="6917" width="11.81640625" style="5" bestFit="1" customWidth="1"/>
    <col min="6918" max="6918" width="18.81640625" style="5" customWidth="1"/>
    <col min="6919" max="6920" width="14.81640625" style="5" bestFit="1" customWidth="1"/>
    <col min="6921" max="6921" width="17.54296875" style="5" bestFit="1" customWidth="1"/>
    <col min="6922" max="6922" width="11.54296875" style="5" customWidth="1"/>
    <col min="6923" max="6923" width="8.81640625" style="5"/>
    <col min="6924" max="6924" width="17.453125" style="5" bestFit="1" customWidth="1"/>
    <col min="6925" max="6925" width="8.81640625" style="5"/>
    <col min="6926" max="6926" width="7.1796875" style="5" bestFit="1" customWidth="1"/>
    <col min="6927" max="7169" width="8.81640625" style="5"/>
    <col min="7170" max="7170" width="30.54296875" style="5" customWidth="1"/>
    <col min="7171" max="7171" width="14.81640625" style="5" bestFit="1" customWidth="1"/>
    <col min="7172" max="7172" width="20.453125" style="5" bestFit="1" customWidth="1"/>
    <col min="7173" max="7173" width="11.81640625" style="5" bestFit="1" customWidth="1"/>
    <col min="7174" max="7174" width="18.81640625" style="5" customWidth="1"/>
    <col min="7175" max="7176" width="14.81640625" style="5" bestFit="1" customWidth="1"/>
    <col min="7177" max="7177" width="17.54296875" style="5" bestFit="1" customWidth="1"/>
    <col min="7178" max="7178" width="11.54296875" style="5" customWidth="1"/>
    <col min="7179" max="7179" width="8.81640625" style="5"/>
    <col min="7180" max="7180" width="17.453125" style="5" bestFit="1" customWidth="1"/>
    <col min="7181" max="7181" width="8.81640625" style="5"/>
    <col min="7182" max="7182" width="7.1796875" style="5" bestFit="1" customWidth="1"/>
    <col min="7183" max="7425" width="8.81640625" style="5"/>
    <col min="7426" max="7426" width="30.54296875" style="5" customWidth="1"/>
    <col min="7427" max="7427" width="14.81640625" style="5" bestFit="1" customWidth="1"/>
    <col min="7428" max="7428" width="20.453125" style="5" bestFit="1" customWidth="1"/>
    <col min="7429" max="7429" width="11.81640625" style="5" bestFit="1" customWidth="1"/>
    <col min="7430" max="7430" width="18.81640625" style="5" customWidth="1"/>
    <col min="7431" max="7432" width="14.81640625" style="5" bestFit="1" customWidth="1"/>
    <col min="7433" max="7433" width="17.54296875" style="5" bestFit="1" customWidth="1"/>
    <col min="7434" max="7434" width="11.54296875" style="5" customWidth="1"/>
    <col min="7435" max="7435" width="8.81640625" style="5"/>
    <col min="7436" max="7436" width="17.453125" style="5" bestFit="1" customWidth="1"/>
    <col min="7437" max="7437" width="8.81640625" style="5"/>
    <col min="7438" max="7438" width="7.1796875" style="5" bestFit="1" customWidth="1"/>
    <col min="7439" max="7681" width="8.81640625" style="5"/>
    <col min="7682" max="7682" width="30.54296875" style="5" customWidth="1"/>
    <col min="7683" max="7683" width="14.81640625" style="5" bestFit="1" customWidth="1"/>
    <col min="7684" max="7684" width="20.453125" style="5" bestFit="1" customWidth="1"/>
    <col min="7685" max="7685" width="11.81640625" style="5" bestFit="1" customWidth="1"/>
    <col min="7686" max="7686" width="18.81640625" style="5" customWidth="1"/>
    <col min="7687" max="7688" width="14.81640625" style="5" bestFit="1" customWidth="1"/>
    <col min="7689" max="7689" width="17.54296875" style="5" bestFit="1" customWidth="1"/>
    <col min="7690" max="7690" width="11.54296875" style="5" customWidth="1"/>
    <col min="7691" max="7691" width="8.81640625" style="5"/>
    <col min="7692" max="7692" width="17.453125" style="5" bestFit="1" customWidth="1"/>
    <col min="7693" max="7693" width="8.81640625" style="5"/>
    <col min="7694" max="7694" width="7.1796875" style="5" bestFit="1" customWidth="1"/>
    <col min="7695" max="7937" width="8.81640625" style="5"/>
    <col min="7938" max="7938" width="30.54296875" style="5" customWidth="1"/>
    <col min="7939" max="7939" width="14.81640625" style="5" bestFit="1" customWidth="1"/>
    <col min="7940" max="7940" width="20.453125" style="5" bestFit="1" customWidth="1"/>
    <col min="7941" max="7941" width="11.81640625" style="5" bestFit="1" customWidth="1"/>
    <col min="7942" max="7942" width="18.81640625" style="5" customWidth="1"/>
    <col min="7943" max="7944" width="14.81640625" style="5" bestFit="1" customWidth="1"/>
    <col min="7945" max="7945" width="17.54296875" style="5" bestFit="1" customWidth="1"/>
    <col min="7946" max="7946" width="11.54296875" style="5" customWidth="1"/>
    <col min="7947" max="7947" width="8.81640625" style="5"/>
    <col min="7948" max="7948" width="17.453125" style="5" bestFit="1" customWidth="1"/>
    <col min="7949" max="7949" width="8.81640625" style="5"/>
    <col min="7950" max="7950" width="7.1796875" style="5" bestFit="1" customWidth="1"/>
    <col min="7951" max="8193" width="8.81640625" style="5"/>
    <col min="8194" max="8194" width="30.54296875" style="5" customWidth="1"/>
    <col min="8195" max="8195" width="14.81640625" style="5" bestFit="1" customWidth="1"/>
    <col min="8196" max="8196" width="20.453125" style="5" bestFit="1" customWidth="1"/>
    <col min="8197" max="8197" width="11.81640625" style="5" bestFit="1" customWidth="1"/>
    <col min="8198" max="8198" width="18.81640625" style="5" customWidth="1"/>
    <col min="8199" max="8200" width="14.81640625" style="5" bestFit="1" customWidth="1"/>
    <col min="8201" max="8201" width="17.54296875" style="5" bestFit="1" customWidth="1"/>
    <col min="8202" max="8202" width="11.54296875" style="5" customWidth="1"/>
    <col min="8203" max="8203" width="8.81640625" style="5"/>
    <col min="8204" max="8204" width="17.453125" style="5" bestFit="1" customWidth="1"/>
    <col min="8205" max="8205" width="8.81640625" style="5"/>
    <col min="8206" max="8206" width="7.1796875" style="5" bestFit="1" customWidth="1"/>
    <col min="8207" max="8449" width="8.81640625" style="5"/>
    <col min="8450" max="8450" width="30.54296875" style="5" customWidth="1"/>
    <col min="8451" max="8451" width="14.81640625" style="5" bestFit="1" customWidth="1"/>
    <col min="8452" max="8452" width="20.453125" style="5" bestFit="1" customWidth="1"/>
    <col min="8453" max="8453" width="11.81640625" style="5" bestFit="1" customWidth="1"/>
    <col min="8454" max="8454" width="18.81640625" style="5" customWidth="1"/>
    <col min="8455" max="8456" width="14.81640625" style="5" bestFit="1" customWidth="1"/>
    <col min="8457" max="8457" width="17.54296875" style="5" bestFit="1" customWidth="1"/>
    <col min="8458" max="8458" width="11.54296875" style="5" customWidth="1"/>
    <col min="8459" max="8459" width="8.81640625" style="5"/>
    <col min="8460" max="8460" width="17.453125" style="5" bestFit="1" customWidth="1"/>
    <col min="8461" max="8461" width="8.81640625" style="5"/>
    <col min="8462" max="8462" width="7.1796875" style="5" bestFit="1" customWidth="1"/>
    <col min="8463" max="8705" width="8.81640625" style="5"/>
    <col min="8706" max="8706" width="30.54296875" style="5" customWidth="1"/>
    <col min="8707" max="8707" width="14.81640625" style="5" bestFit="1" customWidth="1"/>
    <col min="8708" max="8708" width="20.453125" style="5" bestFit="1" customWidth="1"/>
    <col min="8709" max="8709" width="11.81640625" style="5" bestFit="1" customWidth="1"/>
    <col min="8710" max="8710" width="18.81640625" style="5" customWidth="1"/>
    <col min="8711" max="8712" width="14.81640625" style="5" bestFit="1" customWidth="1"/>
    <col min="8713" max="8713" width="17.54296875" style="5" bestFit="1" customWidth="1"/>
    <col min="8714" max="8714" width="11.54296875" style="5" customWidth="1"/>
    <col min="8715" max="8715" width="8.81640625" style="5"/>
    <col min="8716" max="8716" width="17.453125" style="5" bestFit="1" customWidth="1"/>
    <col min="8717" max="8717" width="8.81640625" style="5"/>
    <col min="8718" max="8718" width="7.1796875" style="5" bestFit="1" customWidth="1"/>
    <col min="8719" max="8961" width="8.81640625" style="5"/>
    <col min="8962" max="8962" width="30.54296875" style="5" customWidth="1"/>
    <col min="8963" max="8963" width="14.81640625" style="5" bestFit="1" customWidth="1"/>
    <col min="8964" max="8964" width="20.453125" style="5" bestFit="1" customWidth="1"/>
    <col min="8965" max="8965" width="11.81640625" style="5" bestFit="1" customWidth="1"/>
    <col min="8966" max="8966" width="18.81640625" style="5" customWidth="1"/>
    <col min="8967" max="8968" width="14.81640625" style="5" bestFit="1" customWidth="1"/>
    <col min="8969" max="8969" width="17.54296875" style="5" bestFit="1" customWidth="1"/>
    <col min="8970" max="8970" width="11.54296875" style="5" customWidth="1"/>
    <col min="8971" max="8971" width="8.81640625" style="5"/>
    <col min="8972" max="8972" width="17.453125" style="5" bestFit="1" customWidth="1"/>
    <col min="8973" max="8973" width="8.81640625" style="5"/>
    <col min="8974" max="8974" width="7.1796875" style="5" bestFit="1" customWidth="1"/>
    <col min="8975" max="9217" width="8.81640625" style="5"/>
    <col min="9218" max="9218" width="30.54296875" style="5" customWidth="1"/>
    <col min="9219" max="9219" width="14.81640625" style="5" bestFit="1" customWidth="1"/>
    <col min="9220" max="9220" width="20.453125" style="5" bestFit="1" customWidth="1"/>
    <col min="9221" max="9221" width="11.81640625" style="5" bestFit="1" customWidth="1"/>
    <col min="9222" max="9222" width="18.81640625" style="5" customWidth="1"/>
    <col min="9223" max="9224" width="14.81640625" style="5" bestFit="1" customWidth="1"/>
    <col min="9225" max="9225" width="17.54296875" style="5" bestFit="1" customWidth="1"/>
    <col min="9226" max="9226" width="11.54296875" style="5" customWidth="1"/>
    <col min="9227" max="9227" width="8.81640625" style="5"/>
    <col min="9228" max="9228" width="17.453125" style="5" bestFit="1" customWidth="1"/>
    <col min="9229" max="9229" width="8.81640625" style="5"/>
    <col min="9230" max="9230" width="7.1796875" style="5" bestFit="1" customWidth="1"/>
    <col min="9231" max="9473" width="8.81640625" style="5"/>
    <col min="9474" max="9474" width="30.54296875" style="5" customWidth="1"/>
    <col min="9475" max="9475" width="14.81640625" style="5" bestFit="1" customWidth="1"/>
    <col min="9476" max="9476" width="20.453125" style="5" bestFit="1" customWidth="1"/>
    <col min="9477" max="9477" width="11.81640625" style="5" bestFit="1" customWidth="1"/>
    <col min="9478" max="9478" width="18.81640625" style="5" customWidth="1"/>
    <col min="9479" max="9480" width="14.81640625" style="5" bestFit="1" customWidth="1"/>
    <col min="9481" max="9481" width="17.54296875" style="5" bestFit="1" customWidth="1"/>
    <col min="9482" max="9482" width="11.54296875" style="5" customWidth="1"/>
    <col min="9483" max="9483" width="8.81640625" style="5"/>
    <col min="9484" max="9484" width="17.453125" style="5" bestFit="1" customWidth="1"/>
    <col min="9485" max="9485" width="8.81640625" style="5"/>
    <col min="9486" max="9486" width="7.1796875" style="5" bestFit="1" customWidth="1"/>
    <col min="9487" max="9729" width="8.81640625" style="5"/>
    <col min="9730" max="9730" width="30.54296875" style="5" customWidth="1"/>
    <col min="9731" max="9731" width="14.81640625" style="5" bestFit="1" customWidth="1"/>
    <col min="9732" max="9732" width="20.453125" style="5" bestFit="1" customWidth="1"/>
    <col min="9733" max="9733" width="11.81640625" style="5" bestFit="1" customWidth="1"/>
    <col min="9734" max="9734" width="18.81640625" style="5" customWidth="1"/>
    <col min="9735" max="9736" width="14.81640625" style="5" bestFit="1" customWidth="1"/>
    <col min="9737" max="9737" width="17.54296875" style="5" bestFit="1" customWidth="1"/>
    <col min="9738" max="9738" width="11.54296875" style="5" customWidth="1"/>
    <col min="9739" max="9739" width="8.81640625" style="5"/>
    <col min="9740" max="9740" width="17.453125" style="5" bestFit="1" customWidth="1"/>
    <col min="9741" max="9741" width="8.81640625" style="5"/>
    <col min="9742" max="9742" width="7.1796875" style="5" bestFit="1" customWidth="1"/>
    <col min="9743" max="9985" width="8.81640625" style="5"/>
    <col min="9986" max="9986" width="30.54296875" style="5" customWidth="1"/>
    <col min="9987" max="9987" width="14.81640625" style="5" bestFit="1" customWidth="1"/>
    <col min="9988" max="9988" width="20.453125" style="5" bestFit="1" customWidth="1"/>
    <col min="9989" max="9989" width="11.81640625" style="5" bestFit="1" customWidth="1"/>
    <col min="9990" max="9990" width="18.81640625" style="5" customWidth="1"/>
    <col min="9991" max="9992" width="14.81640625" style="5" bestFit="1" customWidth="1"/>
    <col min="9993" max="9993" width="17.54296875" style="5" bestFit="1" customWidth="1"/>
    <col min="9994" max="9994" width="11.54296875" style="5" customWidth="1"/>
    <col min="9995" max="9995" width="8.81640625" style="5"/>
    <col min="9996" max="9996" width="17.453125" style="5" bestFit="1" customWidth="1"/>
    <col min="9997" max="9997" width="8.81640625" style="5"/>
    <col min="9998" max="9998" width="7.1796875" style="5" bestFit="1" customWidth="1"/>
    <col min="9999" max="10241" width="8.81640625" style="5"/>
    <col min="10242" max="10242" width="30.54296875" style="5" customWidth="1"/>
    <col min="10243" max="10243" width="14.81640625" style="5" bestFit="1" customWidth="1"/>
    <col min="10244" max="10244" width="20.453125" style="5" bestFit="1" customWidth="1"/>
    <col min="10245" max="10245" width="11.81640625" style="5" bestFit="1" customWidth="1"/>
    <col min="10246" max="10246" width="18.81640625" style="5" customWidth="1"/>
    <col min="10247" max="10248" width="14.81640625" style="5" bestFit="1" customWidth="1"/>
    <col min="10249" max="10249" width="17.54296875" style="5" bestFit="1" customWidth="1"/>
    <col min="10250" max="10250" width="11.54296875" style="5" customWidth="1"/>
    <col min="10251" max="10251" width="8.81640625" style="5"/>
    <col min="10252" max="10252" width="17.453125" style="5" bestFit="1" customWidth="1"/>
    <col min="10253" max="10253" width="8.81640625" style="5"/>
    <col min="10254" max="10254" width="7.1796875" style="5" bestFit="1" customWidth="1"/>
    <col min="10255" max="10497" width="8.81640625" style="5"/>
    <col min="10498" max="10498" width="30.54296875" style="5" customWidth="1"/>
    <col min="10499" max="10499" width="14.81640625" style="5" bestFit="1" customWidth="1"/>
    <col min="10500" max="10500" width="20.453125" style="5" bestFit="1" customWidth="1"/>
    <col min="10501" max="10501" width="11.81640625" style="5" bestFit="1" customWidth="1"/>
    <col min="10502" max="10502" width="18.81640625" style="5" customWidth="1"/>
    <col min="10503" max="10504" width="14.81640625" style="5" bestFit="1" customWidth="1"/>
    <col min="10505" max="10505" width="17.54296875" style="5" bestFit="1" customWidth="1"/>
    <col min="10506" max="10506" width="11.54296875" style="5" customWidth="1"/>
    <col min="10507" max="10507" width="8.81640625" style="5"/>
    <col min="10508" max="10508" width="17.453125" style="5" bestFit="1" customWidth="1"/>
    <col min="10509" max="10509" width="8.81640625" style="5"/>
    <col min="10510" max="10510" width="7.1796875" style="5" bestFit="1" customWidth="1"/>
    <col min="10511" max="10753" width="8.81640625" style="5"/>
    <col min="10754" max="10754" width="30.54296875" style="5" customWidth="1"/>
    <col min="10755" max="10755" width="14.81640625" style="5" bestFit="1" customWidth="1"/>
    <col min="10756" max="10756" width="20.453125" style="5" bestFit="1" customWidth="1"/>
    <col min="10757" max="10757" width="11.81640625" style="5" bestFit="1" customWidth="1"/>
    <col min="10758" max="10758" width="18.81640625" style="5" customWidth="1"/>
    <col min="10759" max="10760" width="14.81640625" style="5" bestFit="1" customWidth="1"/>
    <col min="10761" max="10761" width="17.54296875" style="5" bestFit="1" customWidth="1"/>
    <col min="10762" max="10762" width="11.54296875" style="5" customWidth="1"/>
    <col min="10763" max="10763" width="8.81640625" style="5"/>
    <col min="10764" max="10764" width="17.453125" style="5" bestFit="1" customWidth="1"/>
    <col min="10765" max="10765" width="8.81640625" style="5"/>
    <col min="10766" max="10766" width="7.1796875" style="5" bestFit="1" customWidth="1"/>
    <col min="10767" max="11009" width="8.81640625" style="5"/>
    <col min="11010" max="11010" width="30.54296875" style="5" customWidth="1"/>
    <col min="11011" max="11011" width="14.81640625" style="5" bestFit="1" customWidth="1"/>
    <col min="11012" max="11012" width="20.453125" style="5" bestFit="1" customWidth="1"/>
    <col min="11013" max="11013" width="11.81640625" style="5" bestFit="1" customWidth="1"/>
    <col min="11014" max="11014" width="18.81640625" style="5" customWidth="1"/>
    <col min="11015" max="11016" width="14.81640625" style="5" bestFit="1" customWidth="1"/>
    <col min="11017" max="11017" width="17.54296875" style="5" bestFit="1" customWidth="1"/>
    <col min="11018" max="11018" width="11.54296875" style="5" customWidth="1"/>
    <col min="11019" max="11019" width="8.81640625" style="5"/>
    <col min="11020" max="11020" width="17.453125" style="5" bestFit="1" customWidth="1"/>
    <col min="11021" max="11021" width="8.81640625" style="5"/>
    <col min="11022" max="11022" width="7.1796875" style="5" bestFit="1" customWidth="1"/>
    <col min="11023" max="11265" width="8.81640625" style="5"/>
    <col min="11266" max="11266" width="30.54296875" style="5" customWidth="1"/>
    <col min="11267" max="11267" width="14.81640625" style="5" bestFit="1" customWidth="1"/>
    <col min="11268" max="11268" width="20.453125" style="5" bestFit="1" customWidth="1"/>
    <col min="11269" max="11269" width="11.81640625" style="5" bestFit="1" customWidth="1"/>
    <col min="11270" max="11270" width="18.81640625" style="5" customWidth="1"/>
    <col min="11271" max="11272" width="14.81640625" style="5" bestFit="1" customWidth="1"/>
    <col min="11273" max="11273" width="17.54296875" style="5" bestFit="1" customWidth="1"/>
    <col min="11274" max="11274" width="11.54296875" style="5" customWidth="1"/>
    <col min="11275" max="11275" width="8.81640625" style="5"/>
    <col min="11276" max="11276" width="17.453125" style="5" bestFit="1" customWidth="1"/>
    <col min="11277" max="11277" width="8.81640625" style="5"/>
    <col min="11278" max="11278" width="7.1796875" style="5" bestFit="1" customWidth="1"/>
    <col min="11279" max="11521" width="8.81640625" style="5"/>
    <col min="11522" max="11522" width="30.54296875" style="5" customWidth="1"/>
    <col min="11523" max="11523" width="14.81640625" style="5" bestFit="1" customWidth="1"/>
    <col min="11524" max="11524" width="20.453125" style="5" bestFit="1" customWidth="1"/>
    <col min="11525" max="11525" width="11.81640625" style="5" bestFit="1" customWidth="1"/>
    <col min="11526" max="11526" width="18.81640625" style="5" customWidth="1"/>
    <col min="11527" max="11528" width="14.81640625" style="5" bestFit="1" customWidth="1"/>
    <col min="11529" max="11529" width="17.54296875" style="5" bestFit="1" customWidth="1"/>
    <col min="11530" max="11530" width="11.54296875" style="5" customWidth="1"/>
    <col min="11531" max="11531" width="8.81640625" style="5"/>
    <col min="11532" max="11532" width="17.453125" style="5" bestFit="1" customWidth="1"/>
    <col min="11533" max="11533" width="8.81640625" style="5"/>
    <col min="11534" max="11534" width="7.1796875" style="5" bestFit="1" customWidth="1"/>
    <col min="11535" max="11777" width="8.81640625" style="5"/>
    <col min="11778" max="11778" width="30.54296875" style="5" customWidth="1"/>
    <col min="11779" max="11779" width="14.81640625" style="5" bestFit="1" customWidth="1"/>
    <col min="11780" max="11780" width="20.453125" style="5" bestFit="1" customWidth="1"/>
    <col min="11781" max="11781" width="11.81640625" style="5" bestFit="1" customWidth="1"/>
    <col min="11782" max="11782" width="18.81640625" style="5" customWidth="1"/>
    <col min="11783" max="11784" width="14.81640625" style="5" bestFit="1" customWidth="1"/>
    <col min="11785" max="11785" width="17.54296875" style="5" bestFit="1" customWidth="1"/>
    <col min="11786" max="11786" width="11.54296875" style="5" customWidth="1"/>
    <col min="11787" max="11787" width="8.81640625" style="5"/>
    <col min="11788" max="11788" width="17.453125" style="5" bestFit="1" customWidth="1"/>
    <col min="11789" max="11789" width="8.81640625" style="5"/>
    <col min="11790" max="11790" width="7.1796875" style="5" bestFit="1" customWidth="1"/>
    <col min="11791" max="12033" width="8.81640625" style="5"/>
    <col min="12034" max="12034" width="30.54296875" style="5" customWidth="1"/>
    <col min="12035" max="12035" width="14.81640625" style="5" bestFit="1" customWidth="1"/>
    <col min="12036" max="12036" width="20.453125" style="5" bestFit="1" customWidth="1"/>
    <col min="12037" max="12037" width="11.81640625" style="5" bestFit="1" customWidth="1"/>
    <col min="12038" max="12038" width="18.81640625" style="5" customWidth="1"/>
    <col min="12039" max="12040" width="14.81640625" style="5" bestFit="1" customWidth="1"/>
    <col min="12041" max="12041" width="17.54296875" style="5" bestFit="1" customWidth="1"/>
    <col min="12042" max="12042" width="11.54296875" style="5" customWidth="1"/>
    <col min="12043" max="12043" width="8.81640625" style="5"/>
    <col min="12044" max="12044" width="17.453125" style="5" bestFit="1" customWidth="1"/>
    <col min="12045" max="12045" width="8.81640625" style="5"/>
    <col min="12046" max="12046" width="7.1796875" style="5" bestFit="1" customWidth="1"/>
    <col min="12047" max="12289" width="8.81640625" style="5"/>
    <col min="12290" max="12290" width="30.54296875" style="5" customWidth="1"/>
    <col min="12291" max="12291" width="14.81640625" style="5" bestFit="1" customWidth="1"/>
    <col min="12292" max="12292" width="20.453125" style="5" bestFit="1" customWidth="1"/>
    <col min="12293" max="12293" width="11.81640625" style="5" bestFit="1" customWidth="1"/>
    <col min="12294" max="12294" width="18.81640625" style="5" customWidth="1"/>
    <col min="12295" max="12296" width="14.81640625" style="5" bestFit="1" customWidth="1"/>
    <col min="12297" max="12297" width="17.54296875" style="5" bestFit="1" customWidth="1"/>
    <col min="12298" max="12298" width="11.54296875" style="5" customWidth="1"/>
    <col min="12299" max="12299" width="8.81640625" style="5"/>
    <col min="12300" max="12300" width="17.453125" style="5" bestFit="1" customWidth="1"/>
    <col min="12301" max="12301" width="8.81640625" style="5"/>
    <col min="12302" max="12302" width="7.1796875" style="5" bestFit="1" customWidth="1"/>
    <col min="12303" max="12545" width="8.81640625" style="5"/>
    <col min="12546" max="12546" width="30.54296875" style="5" customWidth="1"/>
    <col min="12547" max="12547" width="14.81640625" style="5" bestFit="1" customWidth="1"/>
    <col min="12548" max="12548" width="20.453125" style="5" bestFit="1" customWidth="1"/>
    <col min="12549" max="12549" width="11.81640625" style="5" bestFit="1" customWidth="1"/>
    <col min="12550" max="12550" width="18.81640625" style="5" customWidth="1"/>
    <col min="12551" max="12552" width="14.81640625" style="5" bestFit="1" customWidth="1"/>
    <col min="12553" max="12553" width="17.54296875" style="5" bestFit="1" customWidth="1"/>
    <col min="12554" max="12554" width="11.54296875" style="5" customWidth="1"/>
    <col min="12555" max="12555" width="8.81640625" style="5"/>
    <col min="12556" max="12556" width="17.453125" style="5" bestFit="1" customWidth="1"/>
    <col min="12557" max="12557" width="8.81640625" style="5"/>
    <col min="12558" max="12558" width="7.1796875" style="5" bestFit="1" customWidth="1"/>
    <col min="12559" max="12801" width="8.81640625" style="5"/>
    <col min="12802" max="12802" width="30.54296875" style="5" customWidth="1"/>
    <col min="12803" max="12803" width="14.81640625" style="5" bestFit="1" customWidth="1"/>
    <col min="12804" max="12804" width="20.453125" style="5" bestFit="1" customWidth="1"/>
    <col min="12805" max="12805" width="11.81640625" style="5" bestFit="1" customWidth="1"/>
    <col min="12806" max="12806" width="18.81640625" style="5" customWidth="1"/>
    <col min="12807" max="12808" width="14.81640625" style="5" bestFit="1" customWidth="1"/>
    <col min="12809" max="12809" width="17.54296875" style="5" bestFit="1" customWidth="1"/>
    <col min="12810" max="12810" width="11.54296875" style="5" customWidth="1"/>
    <col min="12811" max="12811" width="8.81640625" style="5"/>
    <col min="12812" max="12812" width="17.453125" style="5" bestFit="1" customWidth="1"/>
    <col min="12813" max="12813" width="8.81640625" style="5"/>
    <col min="12814" max="12814" width="7.1796875" style="5" bestFit="1" customWidth="1"/>
    <col min="12815" max="13057" width="8.81640625" style="5"/>
    <col min="13058" max="13058" width="30.54296875" style="5" customWidth="1"/>
    <col min="13059" max="13059" width="14.81640625" style="5" bestFit="1" customWidth="1"/>
    <col min="13060" max="13060" width="20.453125" style="5" bestFit="1" customWidth="1"/>
    <col min="13061" max="13061" width="11.81640625" style="5" bestFit="1" customWidth="1"/>
    <col min="13062" max="13062" width="18.81640625" style="5" customWidth="1"/>
    <col min="13063" max="13064" width="14.81640625" style="5" bestFit="1" customWidth="1"/>
    <col min="13065" max="13065" width="17.54296875" style="5" bestFit="1" customWidth="1"/>
    <col min="13066" max="13066" width="11.54296875" style="5" customWidth="1"/>
    <col min="13067" max="13067" width="8.81640625" style="5"/>
    <col min="13068" max="13068" width="17.453125" style="5" bestFit="1" customWidth="1"/>
    <col min="13069" max="13069" width="8.81640625" style="5"/>
    <col min="13070" max="13070" width="7.1796875" style="5" bestFit="1" customWidth="1"/>
    <col min="13071" max="13313" width="8.81640625" style="5"/>
    <col min="13314" max="13314" width="30.54296875" style="5" customWidth="1"/>
    <col min="13315" max="13315" width="14.81640625" style="5" bestFit="1" customWidth="1"/>
    <col min="13316" max="13316" width="20.453125" style="5" bestFit="1" customWidth="1"/>
    <col min="13317" max="13317" width="11.81640625" style="5" bestFit="1" customWidth="1"/>
    <col min="13318" max="13318" width="18.81640625" style="5" customWidth="1"/>
    <col min="13319" max="13320" width="14.81640625" style="5" bestFit="1" customWidth="1"/>
    <col min="13321" max="13321" width="17.54296875" style="5" bestFit="1" customWidth="1"/>
    <col min="13322" max="13322" width="11.54296875" style="5" customWidth="1"/>
    <col min="13323" max="13323" width="8.81640625" style="5"/>
    <col min="13324" max="13324" width="17.453125" style="5" bestFit="1" customWidth="1"/>
    <col min="13325" max="13325" width="8.81640625" style="5"/>
    <col min="13326" max="13326" width="7.1796875" style="5" bestFit="1" customWidth="1"/>
    <col min="13327" max="13569" width="8.81640625" style="5"/>
    <col min="13570" max="13570" width="30.54296875" style="5" customWidth="1"/>
    <col min="13571" max="13571" width="14.81640625" style="5" bestFit="1" customWidth="1"/>
    <col min="13572" max="13572" width="20.453125" style="5" bestFit="1" customWidth="1"/>
    <col min="13573" max="13573" width="11.81640625" style="5" bestFit="1" customWidth="1"/>
    <col min="13574" max="13574" width="18.81640625" style="5" customWidth="1"/>
    <col min="13575" max="13576" width="14.81640625" style="5" bestFit="1" customWidth="1"/>
    <col min="13577" max="13577" width="17.54296875" style="5" bestFit="1" customWidth="1"/>
    <col min="13578" max="13578" width="11.54296875" style="5" customWidth="1"/>
    <col min="13579" max="13579" width="8.81640625" style="5"/>
    <col min="13580" max="13580" width="17.453125" style="5" bestFit="1" customWidth="1"/>
    <col min="13581" max="13581" width="8.81640625" style="5"/>
    <col min="13582" max="13582" width="7.1796875" style="5" bestFit="1" customWidth="1"/>
    <col min="13583" max="13825" width="8.81640625" style="5"/>
    <col min="13826" max="13826" width="30.54296875" style="5" customWidth="1"/>
    <col min="13827" max="13827" width="14.81640625" style="5" bestFit="1" customWidth="1"/>
    <col min="13828" max="13828" width="20.453125" style="5" bestFit="1" customWidth="1"/>
    <col min="13829" max="13829" width="11.81640625" style="5" bestFit="1" customWidth="1"/>
    <col min="13830" max="13830" width="18.81640625" style="5" customWidth="1"/>
    <col min="13831" max="13832" width="14.81640625" style="5" bestFit="1" customWidth="1"/>
    <col min="13833" max="13833" width="17.54296875" style="5" bestFit="1" customWidth="1"/>
    <col min="13834" max="13834" width="11.54296875" style="5" customWidth="1"/>
    <col min="13835" max="13835" width="8.81640625" style="5"/>
    <col min="13836" max="13836" width="17.453125" style="5" bestFit="1" customWidth="1"/>
    <col min="13837" max="13837" width="8.81640625" style="5"/>
    <col min="13838" max="13838" width="7.1796875" style="5" bestFit="1" customWidth="1"/>
    <col min="13839" max="14081" width="8.81640625" style="5"/>
    <col min="14082" max="14082" width="30.54296875" style="5" customWidth="1"/>
    <col min="14083" max="14083" width="14.81640625" style="5" bestFit="1" customWidth="1"/>
    <col min="14084" max="14084" width="20.453125" style="5" bestFit="1" customWidth="1"/>
    <col min="14085" max="14085" width="11.81640625" style="5" bestFit="1" customWidth="1"/>
    <col min="14086" max="14086" width="18.81640625" style="5" customWidth="1"/>
    <col min="14087" max="14088" width="14.81640625" style="5" bestFit="1" customWidth="1"/>
    <col min="14089" max="14089" width="17.54296875" style="5" bestFit="1" customWidth="1"/>
    <col min="14090" max="14090" width="11.54296875" style="5" customWidth="1"/>
    <col min="14091" max="14091" width="8.81640625" style="5"/>
    <col min="14092" max="14092" width="17.453125" style="5" bestFit="1" customWidth="1"/>
    <col min="14093" max="14093" width="8.81640625" style="5"/>
    <col min="14094" max="14094" width="7.1796875" style="5" bestFit="1" customWidth="1"/>
    <col min="14095" max="14337" width="8.81640625" style="5"/>
    <col min="14338" max="14338" width="30.54296875" style="5" customWidth="1"/>
    <col min="14339" max="14339" width="14.81640625" style="5" bestFit="1" customWidth="1"/>
    <col min="14340" max="14340" width="20.453125" style="5" bestFit="1" customWidth="1"/>
    <col min="14341" max="14341" width="11.81640625" style="5" bestFit="1" customWidth="1"/>
    <col min="14342" max="14342" width="18.81640625" style="5" customWidth="1"/>
    <col min="14343" max="14344" width="14.81640625" style="5" bestFit="1" customWidth="1"/>
    <col min="14345" max="14345" width="17.54296875" style="5" bestFit="1" customWidth="1"/>
    <col min="14346" max="14346" width="11.54296875" style="5" customWidth="1"/>
    <col min="14347" max="14347" width="8.81640625" style="5"/>
    <col min="14348" max="14348" width="17.453125" style="5" bestFit="1" customWidth="1"/>
    <col min="14349" max="14349" width="8.81640625" style="5"/>
    <col min="14350" max="14350" width="7.1796875" style="5" bestFit="1" customWidth="1"/>
    <col min="14351" max="14593" width="8.81640625" style="5"/>
    <col min="14594" max="14594" width="30.54296875" style="5" customWidth="1"/>
    <col min="14595" max="14595" width="14.81640625" style="5" bestFit="1" customWidth="1"/>
    <col min="14596" max="14596" width="20.453125" style="5" bestFit="1" customWidth="1"/>
    <col min="14597" max="14597" width="11.81640625" style="5" bestFit="1" customWidth="1"/>
    <col min="14598" max="14598" width="18.81640625" style="5" customWidth="1"/>
    <col min="14599" max="14600" width="14.81640625" style="5" bestFit="1" customWidth="1"/>
    <col min="14601" max="14601" width="17.54296875" style="5" bestFit="1" customWidth="1"/>
    <col min="14602" max="14602" width="11.54296875" style="5" customWidth="1"/>
    <col min="14603" max="14603" width="8.81640625" style="5"/>
    <col min="14604" max="14604" width="17.453125" style="5" bestFit="1" customWidth="1"/>
    <col min="14605" max="14605" width="8.81640625" style="5"/>
    <col min="14606" max="14606" width="7.1796875" style="5" bestFit="1" customWidth="1"/>
    <col min="14607" max="14849" width="8.81640625" style="5"/>
    <col min="14850" max="14850" width="30.54296875" style="5" customWidth="1"/>
    <col min="14851" max="14851" width="14.81640625" style="5" bestFit="1" customWidth="1"/>
    <col min="14852" max="14852" width="20.453125" style="5" bestFit="1" customWidth="1"/>
    <col min="14853" max="14853" width="11.81640625" style="5" bestFit="1" customWidth="1"/>
    <col min="14854" max="14854" width="18.81640625" style="5" customWidth="1"/>
    <col min="14855" max="14856" width="14.81640625" style="5" bestFit="1" customWidth="1"/>
    <col min="14857" max="14857" width="17.54296875" style="5" bestFit="1" customWidth="1"/>
    <col min="14858" max="14858" width="11.54296875" style="5" customWidth="1"/>
    <col min="14859" max="14859" width="8.81640625" style="5"/>
    <col min="14860" max="14860" width="17.453125" style="5" bestFit="1" customWidth="1"/>
    <col min="14861" max="14861" width="8.81640625" style="5"/>
    <col min="14862" max="14862" width="7.1796875" style="5" bestFit="1" customWidth="1"/>
    <col min="14863" max="15105" width="8.81640625" style="5"/>
    <col min="15106" max="15106" width="30.54296875" style="5" customWidth="1"/>
    <col min="15107" max="15107" width="14.81640625" style="5" bestFit="1" customWidth="1"/>
    <col min="15108" max="15108" width="20.453125" style="5" bestFit="1" customWidth="1"/>
    <col min="15109" max="15109" width="11.81640625" style="5" bestFit="1" customWidth="1"/>
    <col min="15110" max="15110" width="18.81640625" style="5" customWidth="1"/>
    <col min="15111" max="15112" width="14.81640625" style="5" bestFit="1" customWidth="1"/>
    <col min="15113" max="15113" width="17.54296875" style="5" bestFit="1" customWidth="1"/>
    <col min="15114" max="15114" width="11.54296875" style="5" customWidth="1"/>
    <col min="15115" max="15115" width="8.81640625" style="5"/>
    <col min="15116" max="15116" width="17.453125" style="5" bestFit="1" customWidth="1"/>
    <col min="15117" max="15117" width="8.81640625" style="5"/>
    <col min="15118" max="15118" width="7.1796875" style="5" bestFit="1" customWidth="1"/>
    <col min="15119" max="15361" width="8.81640625" style="5"/>
    <col min="15362" max="15362" width="30.54296875" style="5" customWidth="1"/>
    <col min="15363" max="15363" width="14.81640625" style="5" bestFit="1" customWidth="1"/>
    <col min="15364" max="15364" width="20.453125" style="5" bestFit="1" customWidth="1"/>
    <col min="15365" max="15365" width="11.81640625" style="5" bestFit="1" customWidth="1"/>
    <col min="15366" max="15366" width="18.81640625" style="5" customWidth="1"/>
    <col min="15367" max="15368" width="14.81640625" style="5" bestFit="1" customWidth="1"/>
    <col min="15369" max="15369" width="17.54296875" style="5" bestFit="1" customWidth="1"/>
    <col min="15370" max="15370" width="11.54296875" style="5" customWidth="1"/>
    <col min="15371" max="15371" width="8.81640625" style="5"/>
    <col min="15372" max="15372" width="17.453125" style="5" bestFit="1" customWidth="1"/>
    <col min="15373" max="15373" width="8.81640625" style="5"/>
    <col min="15374" max="15374" width="7.1796875" style="5" bestFit="1" customWidth="1"/>
    <col min="15375" max="15617" width="8.81640625" style="5"/>
    <col min="15618" max="15618" width="30.54296875" style="5" customWidth="1"/>
    <col min="15619" max="15619" width="14.81640625" style="5" bestFit="1" customWidth="1"/>
    <col min="15620" max="15620" width="20.453125" style="5" bestFit="1" customWidth="1"/>
    <col min="15621" max="15621" width="11.81640625" style="5" bestFit="1" customWidth="1"/>
    <col min="15622" max="15622" width="18.81640625" style="5" customWidth="1"/>
    <col min="15623" max="15624" width="14.81640625" style="5" bestFit="1" customWidth="1"/>
    <col min="15625" max="15625" width="17.54296875" style="5" bestFit="1" customWidth="1"/>
    <col min="15626" max="15626" width="11.54296875" style="5" customWidth="1"/>
    <col min="15627" max="15627" width="8.81640625" style="5"/>
    <col min="15628" max="15628" width="17.453125" style="5" bestFit="1" customWidth="1"/>
    <col min="15629" max="15629" width="8.81640625" style="5"/>
    <col min="15630" max="15630" width="7.1796875" style="5" bestFit="1" customWidth="1"/>
    <col min="15631" max="15873" width="8.81640625" style="5"/>
    <col min="15874" max="15874" width="30.54296875" style="5" customWidth="1"/>
    <col min="15875" max="15875" width="14.81640625" style="5" bestFit="1" customWidth="1"/>
    <col min="15876" max="15876" width="20.453125" style="5" bestFit="1" customWidth="1"/>
    <col min="15877" max="15877" width="11.81640625" style="5" bestFit="1" customWidth="1"/>
    <col min="15878" max="15878" width="18.81640625" style="5" customWidth="1"/>
    <col min="15879" max="15880" width="14.81640625" style="5" bestFit="1" customWidth="1"/>
    <col min="15881" max="15881" width="17.54296875" style="5" bestFit="1" customWidth="1"/>
    <col min="15882" max="15882" width="11.54296875" style="5" customWidth="1"/>
    <col min="15883" max="15883" width="8.81640625" style="5"/>
    <col min="15884" max="15884" width="17.453125" style="5" bestFit="1" customWidth="1"/>
    <col min="15885" max="15885" width="8.81640625" style="5"/>
    <col min="15886" max="15886" width="7.1796875" style="5" bestFit="1" customWidth="1"/>
    <col min="15887" max="16129" width="8.81640625" style="5"/>
    <col min="16130" max="16130" width="30.54296875" style="5" customWidth="1"/>
    <col min="16131" max="16131" width="14.81640625" style="5" bestFit="1" customWidth="1"/>
    <col min="16132" max="16132" width="20.453125" style="5" bestFit="1" customWidth="1"/>
    <col min="16133" max="16133" width="11.81640625" style="5" bestFit="1" customWidth="1"/>
    <col min="16134" max="16134" width="18.81640625" style="5" customWidth="1"/>
    <col min="16135" max="16136" width="14.81640625" style="5" bestFit="1" customWidth="1"/>
    <col min="16137" max="16137" width="17.54296875" style="5" bestFit="1" customWidth="1"/>
    <col min="16138" max="16138" width="11.54296875" style="5" customWidth="1"/>
    <col min="16139" max="16139" width="8.81640625" style="5"/>
    <col min="16140" max="16140" width="17.453125" style="5" bestFit="1" customWidth="1"/>
    <col min="16141" max="16141" width="8.81640625" style="5"/>
    <col min="16142" max="16142" width="7.1796875" style="5" bestFit="1" customWidth="1"/>
    <col min="16143" max="16384" width="8.81640625" style="5"/>
  </cols>
  <sheetData>
    <row r="1" spans="2:11" x14ac:dyDescent="0.25">
      <c r="B1" s="198" t="s">
        <v>42</v>
      </c>
    </row>
    <row r="2" spans="2:11" x14ac:dyDescent="0.25">
      <c r="B2" s="29"/>
    </row>
    <row r="3" spans="2:11" x14ac:dyDescent="0.25">
      <c r="C3" s="3"/>
      <c r="D3" s="3"/>
    </row>
    <row r="4" spans="2:11" x14ac:dyDescent="0.25">
      <c r="B4" s="6" t="s">
        <v>14</v>
      </c>
      <c r="C4" s="63"/>
    </row>
    <row r="5" spans="2:11" x14ac:dyDescent="0.25">
      <c r="B5" s="89" t="s">
        <v>15</v>
      </c>
      <c r="C5" s="90" t="s">
        <v>18</v>
      </c>
      <c r="D5" s="89" t="s">
        <v>15</v>
      </c>
      <c r="E5" s="91" t="s">
        <v>19</v>
      </c>
      <c r="F5" s="91" t="s">
        <v>17</v>
      </c>
    </row>
    <row r="6" spans="2:11" x14ac:dyDescent="0.25">
      <c r="B6" s="10" t="s">
        <v>22</v>
      </c>
      <c r="C6" s="88">
        <f>1-C7</f>
        <v>0</v>
      </c>
      <c r="D6" s="15" t="s">
        <v>23</v>
      </c>
      <c r="E6" s="14">
        <f>H17</f>
        <v>0</v>
      </c>
      <c r="F6" s="14">
        <f>E6*C6</f>
        <v>0</v>
      </c>
    </row>
    <row r="7" spans="2:11" x14ac:dyDescent="0.25">
      <c r="B7" s="92" t="s">
        <v>25</v>
      </c>
      <c r="C7" s="93">
        <v>1</v>
      </c>
      <c r="D7" s="94" t="s">
        <v>26</v>
      </c>
      <c r="E7" s="95">
        <f>D19</f>
        <v>0.1569198755290484</v>
      </c>
      <c r="F7" s="95">
        <f>E7*C7</f>
        <v>0.1569198755290484</v>
      </c>
    </row>
    <row r="8" spans="2:11" x14ac:dyDescent="0.25">
      <c r="B8" s="98" t="s">
        <v>28</v>
      </c>
      <c r="C8" s="99"/>
      <c r="D8" s="100"/>
      <c r="E8" s="100"/>
      <c r="F8" s="107">
        <f>F6+F7</f>
        <v>0.1569198755290484</v>
      </c>
    </row>
    <row r="9" spans="2:11" x14ac:dyDescent="0.25">
      <c r="B9" s="104" t="s">
        <v>169</v>
      </c>
      <c r="C9" s="102"/>
      <c r="D9" s="101"/>
      <c r="E9" s="101"/>
      <c r="F9" s="103">
        <v>0.1</v>
      </c>
    </row>
    <row r="10" spans="2:11" x14ac:dyDescent="0.25">
      <c r="B10" s="96" t="s">
        <v>59</v>
      </c>
      <c r="C10" s="97"/>
      <c r="D10" s="54"/>
      <c r="E10" s="54"/>
      <c r="F10" s="106">
        <f>F8+F9</f>
        <v>0.25691987552904838</v>
      </c>
    </row>
    <row r="11" spans="2:11" s="116" customFormat="1" ht="12" x14ac:dyDescent="0.25">
      <c r="B11" s="118" t="s">
        <v>29</v>
      </c>
      <c r="C11" s="119"/>
      <c r="D11" s="120"/>
      <c r="E11" s="120"/>
      <c r="F11" s="120"/>
      <c r="K11" s="117"/>
    </row>
    <row r="12" spans="2:11" x14ac:dyDescent="0.25">
      <c r="J12" s="27"/>
      <c r="K12" s="84"/>
    </row>
    <row r="13" spans="2:11" x14ac:dyDescent="0.25">
      <c r="B13" s="2" t="s">
        <v>12</v>
      </c>
      <c r="C13" s="3"/>
      <c r="D13" s="3"/>
      <c r="E13" s="4"/>
      <c r="F13" s="2" t="s">
        <v>13</v>
      </c>
      <c r="G13" s="3"/>
    </row>
    <row r="14" spans="2:11" x14ac:dyDescent="0.25">
      <c r="B14" s="7" t="s">
        <v>15</v>
      </c>
      <c r="C14" s="8" t="s">
        <v>16</v>
      </c>
      <c r="D14" s="9" t="s">
        <v>17</v>
      </c>
      <c r="E14" s="4"/>
      <c r="F14" s="7" t="s">
        <v>15</v>
      </c>
      <c r="G14" s="8" t="s">
        <v>16</v>
      </c>
      <c r="H14" s="9" t="s">
        <v>17</v>
      </c>
    </row>
    <row r="15" spans="2:11" x14ac:dyDescent="0.25">
      <c r="B15" s="10" t="s">
        <v>20</v>
      </c>
      <c r="C15" s="47"/>
      <c r="D15" s="83">
        <v>6.5839999999999996E-2</v>
      </c>
      <c r="E15" s="4"/>
      <c r="F15" s="12" t="s">
        <v>21</v>
      </c>
      <c r="G15" s="13"/>
      <c r="H15" s="14"/>
    </row>
    <row r="16" spans="2:11" x14ac:dyDescent="0.25">
      <c r="B16" s="10" t="s">
        <v>50</v>
      </c>
      <c r="C16" s="11"/>
      <c r="D16" s="77">
        <v>1</v>
      </c>
      <c r="E16" s="4"/>
      <c r="F16" s="12" t="s">
        <v>24</v>
      </c>
      <c r="G16" s="13"/>
      <c r="H16" s="14"/>
    </row>
    <row r="17" spans="2:11" x14ac:dyDescent="0.25">
      <c r="B17" s="10" t="s">
        <v>51</v>
      </c>
      <c r="C17" s="11"/>
      <c r="D17" s="87">
        <f>D28</f>
        <v>0.1569198755290484</v>
      </c>
      <c r="E17" s="4"/>
      <c r="F17" s="24" t="s">
        <v>27</v>
      </c>
      <c r="G17" s="24"/>
      <c r="H17" s="24"/>
    </row>
    <row r="18" spans="2:11" x14ac:dyDescent="0.25">
      <c r="B18" s="58" t="s">
        <v>57</v>
      </c>
      <c r="C18" s="11"/>
      <c r="D18" s="44">
        <f>D17-D15</f>
        <v>9.1079875529048407E-2</v>
      </c>
      <c r="E18" s="4"/>
    </row>
    <row r="19" spans="2:11" x14ac:dyDescent="0.25">
      <c r="B19" s="108" t="s">
        <v>58</v>
      </c>
      <c r="C19" s="108"/>
      <c r="D19" s="111">
        <f>D15+D18*D16</f>
        <v>0.1569198755290484</v>
      </c>
      <c r="E19" s="4"/>
      <c r="F19" s="18"/>
      <c r="G19" s="19"/>
      <c r="H19" s="17"/>
    </row>
    <row r="20" spans="2:11" s="116" customFormat="1" ht="12" x14ac:dyDescent="0.25">
      <c r="B20" s="112" t="s">
        <v>29</v>
      </c>
      <c r="C20" s="113"/>
      <c r="D20" s="114"/>
      <c r="E20" s="115"/>
      <c r="F20" s="112" t="s">
        <v>29</v>
      </c>
      <c r="H20" s="114"/>
      <c r="K20" s="117"/>
    </row>
    <row r="21" spans="2:11" x14ac:dyDescent="0.25">
      <c r="B21" s="21"/>
      <c r="C21" s="10"/>
      <c r="D21" s="20"/>
      <c r="E21" s="4"/>
    </row>
    <row r="22" spans="2:11" x14ac:dyDescent="0.25">
      <c r="B22" s="2" t="s">
        <v>52</v>
      </c>
      <c r="C22" s="3"/>
      <c r="D22" s="3"/>
      <c r="E22" s="4"/>
    </row>
    <row r="23" spans="2:11" x14ac:dyDescent="0.25">
      <c r="B23" s="7" t="s">
        <v>15</v>
      </c>
      <c r="C23" s="8" t="s">
        <v>30</v>
      </c>
      <c r="D23" s="9" t="s">
        <v>17</v>
      </c>
    </row>
    <row r="24" spans="2:11" x14ac:dyDescent="0.25">
      <c r="B24" s="10" t="s">
        <v>53</v>
      </c>
      <c r="C24" s="47">
        <v>28946</v>
      </c>
      <c r="D24" s="78">
        <v>100</v>
      </c>
    </row>
    <row r="25" spans="2:11" x14ac:dyDescent="0.25">
      <c r="B25" s="10" t="s">
        <v>54</v>
      </c>
      <c r="C25" s="80">
        <v>44736</v>
      </c>
      <c r="D25" s="86">
        <v>52727.98</v>
      </c>
    </row>
    <row r="26" spans="2:11" x14ac:dyDescent="0.25">
      <c r="B26" s="10" t="s">
        <v>55</v>
      </c>
      <c r="C26" s="11"/>
      <c r="D26" s="79">
        <f>YEAR(C25)-YEAR(C24)</f>
        <v>43</v>
      </c>
    </row>
    <row r="27" spans="2:11" ht="13.5" thickBot="1" x14ac:dyDescent="0.3">
      <c r="B27" s="81" t="s">
        <v>56</v>
      </c>
      <c r="C27" s="82"/>
      <c r="D27" s="85">
        <f>D25/D24</f>
        <v>527.27980000000002</v>
      </c>
    </row>
    <row r="28" spans="2:11" x14ac:dyDescent="0.25">
      <c r="B28" s="16" t="s">
        <v>51</v>
      </c>
      <c r="C28" s="16"/>
      <c r="D28" s="105">
        <f>(D27)^(1/D26)-1</f>
        <v>0.1569198755290484</v>
      </c>
    </row>
    <row r="29" spans="2:11" s="116" customFormat="1" ht="12" x14ac:dyDescent="0.25">
      <c r="B29" s="112" t="s">
        <v>64</v>
      </c>
      <c r="C29" s="113"/>
      <c r="D29" s="114"/>
      <c r="K29" s="11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673F-79FD-442B-9F5A-F7B77C9AA6CE}">
  <dimension ref="A1:S38"/>
  <sheetViews>
    <sheetView showGridLines="0" tabSelected="1" topLeftCell="D1" zoomScaleNormal="100" workbookViewId="0">
      <pane ySplit="2" topLeftCell="A3" activePane="bottomLeft" state="frozen"/>
      <selection pane="bottomLeft" activeCell="M10" sqref="M10"/>
    </sheetView>
  </sheetViews>
  <sheetFormatPr defaultColWidth="8.90625" defaultRowHeight="13" x14ac:dyDescent="0.3"/>
  <cols>
    <col min="1" max="1" width="25.453125" style="69" customWidth="1"/>
    <col min="2" max="10" width="13.6328125" style="69" customWidth="1"/>
    <col min="11" max="11" width="7.26953125" style="69" customWidth="1"/>
    <col min="12" max="12" width="25.453125" style="69" customWidth="1"/>
    <col min="13" max="13" width="14.1796875" style="69" bestFit="1" customWidth="1"/>
    <col min="14" max="14" width="13.7265625" style="69" customWidth="1"/>
    <col min="15" max="15" width="14.90625" style="69" bestFit="1" customWidth="1"/>
    <col min="16" max="16" width="8.90625" style="69"/>
    <col min="17" max="17" width="11.90625" style="69" bestFit="1" customWidth="1"/>
    <col min="18" max="18" width="17.90625" style="69" bestFit="1" customWidth="1"/>
    <col min="19" max="16384" width="8.90625" style="69"/>
  </cols>
  <sheetData>
    <row r="1" spans="1:14" s="161" customFormat="1" ht="14.5" customHeight="1" x14ac:dyDescent="0.35">
      <c r="A1" s="159" t="s">
        <v>42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</row>
    <row r="2" spans="1:14" s="166" customFormat="1" ht="14" customHeight="1" x14ac:dyDescent="0.35">
      <c r="A2" s="162" t="s">
        <v>149</v>
      </c>
      <c r="B2" s="165">
        <v>1</v>
      </c>
      <c r="C2" s="165">
        <f>B2+1</f>
        <v>2</v>
      </c>
      <c r="D2" s="165">
        <f>C2+1</f>
        <v>3</v>
      </c>
      <c r="E2" s="165">
        <f>D2+1</f>
        <v>4</v>
      </c>
      <c r="F2" s="165">
        <f>E2+1</f>
        <v>5</v>
      </c>
      <c r="G2" s="165">
        <f t="shared" ref="G2:J2" si="0">F2+1</f>
        <v>6</v>
      </c>
      <c r="H2" s="165">
        <f t="shared" si="0"/>
        <v>7</v>
      </c>
      <c r="I2" s="165">
        <f t="shared" si="0"/>
        <v>8</v>
      </c>
      <c r="J2" s="165">
        <f t="shared" si="0"/>
        <v>9</v>
      </c>
      <c r="K2" s="163"/>
    </row>
    <row r="3" spans="1:14" ht="13" customHeight="1" x14ac:dyDescent="0.3">
      <c r="A3" s="109"/>
      <c r="B3" s="68"/>
      <c r="C3" s="68"/>
      <c r="D3" s="68"/>
    </row>
    <row r="4" spans="1:14" ht="13" customHeight="1" x14ac:dyDescent="0.3">
      <c r="A4" s="168" t="s">
        <v>43</v>
      </c>
      <c r="B4" s="170">
        <v>1</v>
      </c>
      <c r="C4" s="170">
        <f>B4+1</f>
        <v>2</v>
      </c>
      <c r="D4" s="170">
        <f>C4+1</f>
        <v>3</v>
      </c>
      <c r="E4" s="170">
        <f>D4+1</f>
        <v>4</v>
      </c>
      <c r="F4" s="170">
        <f>E4+1</f>
        <v>5</v>
      </c>
      <c r="G4" s="170">
        <f t="shared" ref="G4:J4" si="1">F4+1</f>
        <v>6</v>
      </c>
      <c r="H4" s="170">
        <f t="shared" si="1"/>
        <v>7</v>
      </c>
      <c r="I4" s="170">
        <f t="shared" si="1"/>
        <v>8</v>
      </c>
      <c r="J4" s="170">
        <f t="shared" si="1"/>
        <v>9</v>
      </c>
      <c r="L4" s="172" t="s">
        <v>150</v>
      </c>
      <c r="M4" s="173" t="s">
        <v>165</v>
      </c>
      <c r="N4" s="173" t="s">
        <v>168</v>
      </c>
    </row>
    <row r="5" spans="1:14" ht="13" customHeight="1" x14ac:dyDescent="0.3">
      <c r="A5" s="167" t="s">
        <v>44</v>
      </c>
      <c r="B5" s="135">
        <f>'Income Statement'!C4/10000000</f>
        <v>145.33287999999999</v>
      </c>
      <c r="C5" s="135">
        <f>'Income Statement'!D4/10000000</f>
        <v>179.89051040000001</v>
      </c>
      <c r="D5" s="135">
        <f>'Income Statement'!E4/10000000</f>
        <v>182.02685123199998</v>
      </c>
      <c r="E5" s="135">
        <f>'Income Statement'!F4/10000000</f>
        <v>198.54840933055999</v>
      </c>
      <c r="F5" s="135">
        <f>'Income Statement'!G4/10000000</f>
        <v>217.77107307700481</v>
      </c>
      <c r="G5" s="135">
        <f>'Income Statement'!H4/10000000</f>
        <v>233.39102902316526</v>
      </c>
      <c r="H5" s="135">
        <f>'Income Statement'!I4/10000000</f>
        <v>251.71576845501846</v>
      </c>
      <c r="I5" s="135">
        <f>'Income Statement'!J4/10000000</f>
        <v>267.12519275241999</v>
      </c>
      <c r="J5" s="135">
        <f>'Income Statement'!K4/10000000</f>
        <v>286.9128272757136</v>
      </c>
      <c r="L5" s="171" t="s">
        <v>151</v>
      </c>
      <c r="M5" s="174">
        <f>DCF!D24</f>
        <v>729818876.53992701</v>
      </c>
      <c r="N5" s="175">
        <f>M5/75</f>
        <v>9730918.3538656943</v>
      </c>
    </row>
    <row r="6" spans="1:14" ht="13" customHeight="1" x14ac:dyDescent="0.3">
      <c r="A6" s="167" t="s">
        <v>73</v>
      </c>
      <c r="B6" s="135">
        <f>'Income Statement'!C15/10000000</f>
        <v>22.423279999999998</v>
      </c>
      <c r="C6" s="135">
        <f>'Income Statement'!D15/10000000</f>
        <v>50.437950399999998</v>
      </c>
      <c r="D6" s="135">
        <f>'Income Statement'!E15/10000000</f>
        <v>43.573035231999967</v>
      </c>
      <c r="E6" s="135">
        <f>'Income Statement'!F15/10000000</f>
        <v>50.193211730559966</v>
      </c>
      <c r="F6" s="135">
        <f>'Income Statement'!G15/10000000</f>
        <v>58.524355717004767</v>
      </c>
      <c r="G6" s="135">
        <f>'Income Statement'!H15/10000000</f>
        <v>62.163639927165249</v>
      </c>
      <c r="H6" s="135">
        <f>'Income Statement'!I15/10000000</f>
        <v>67.309640449418353</v>
      </c>
      <c r="I6" s="135">
        <f>'Income Statement'!J15/10000000</f>
        <v>68.222451946259952</v>
      </c>
      <c r="J6" s="135">
        <f>'Income Statement'!K15/10000000</f>
        <v>72.063812388937478</v>
      </c>
      <c r="L6" s="69" t="s">
        <v>290</v>
      </c>
      <c r="M6" s="174">
        <f>'VC Valuation'!C23</f>
        <v>1380436075.0520585</v>
      </c>
      <c r="N6" s="175">
        <f>M6/75</f>
        <v>18405814.334027447</v>
      </c>
    </row>
    <row r="7" spans="1:14" ht="13" customHeight="1" x14ac:dyDescent="0.3">
      <c r="A7" s="167" t="s">
        <v>45</v>
      </c>
      <c r="B7" s="135">
        <f>'Income Statement'!C27/10000000</f>
        <v>1.8759600000000001</v>
      </c>
      <c r="C7" s="135">
        <f>'Income Statement'!D27/10000000</f>
        <v>25.875262800000002</v>
      </c>
      <c r="D7" s="135">
        <f>'Income Statement'!E27/10000000</f>
        <v>23.117216423999977</v>
      </c>
      <c r="E7" s="135">
        <f>'Income Statement'!F27/10000000</f>
        <v>29.994860797919976</v>
      </c>
      <c r="F7" s="135">
        <f>'Income Statement'!G27/10000000</f>
        <v>37.773228387753569</v>
      </c>
      <c r="G7" s="135">
        <f>'Income Statement'!H27/10000000</f>
        <v>41.726699225373935</v>
      </c>
      <c r="H7" s="135">
        <f>'Income Statement'!I27/10000000</f>
        <v>46.565405761063758</v>
      </c>
      <c r="I7" s="135">
        <f>'Income Statement'!J27/10000000</f>
        <v>48.033379298894957</v>
      </c>
      <c r="J7" s="135">
        <f>'Income Statement'!K27/10000000</f>
        <v>51.541091563063112</v>
      </c>
    </row>
    <row r="8" spans="1:14" ht="13" customHeight="1" x14ac:dyDescent="0.3">
      <c r="A8" s="109"/>
      <c r="B8" s="199"/>
      <c r="C8" s="199"/>
      <c r="D8" s="199"/>
      <c r="E8" s="199"/>
      <c r="F8" s="199"/>
      <c r="G8" s="199"/>
      <c r="H8" s="199"/>
      <c r="I8" s="199"/>
      <c r="J8" s="199"/>
    </row>
    <row r="9" spans="1:14" ht="13" customHeight="1" x14ac:dyDescent="0.35">
      <c r="A9" s="169" t="s">
        <v>46</v>
      </c>
      <c r="B9" s="170">
        <v>1</v>
      </c>
      <c r="C9" s="170">
        <f>B9+1</f>
        <v>2</v>
      </c>
      <c r="D9" s="170">
        <f>C9+1</f>
        <v>3</v>
      </c>
      <c r="E9" s="170">
        <f>D9+1</f>
        <v>4</v>
      </c>
      <c r="F9" s="170">
        <f>E9+1</f>
        <v>5</v>
      </c>
      <c r="G9" s="170">
        <f t="shared" ref="G9:J9" si="2">F9+1</f>
        <v>6</v>
      </c>
      <c r="H9" s="170">
        <f t="shared" si="2"/>
        <v>7</v>
      </c>
      <c r="I9" s="170">
        <f t="shared" si="2"/>
        <v>8</v>
      </c>
      <c r="J9" s="170">
        <f t="shared" si="2"/>
        <v>9</v>
      </c>
      <c r="L9" s="176" t="s">
        <v>170</v>
      </c>
      <c r="M9" s="176">
        <f>M10*75</f>
        <v>375000000</v>
      </c>
      <c r="N9" s="177"/>
    </row>
    <row r="10" spans="1:14" ht="13" customHeight="1" x14ac:dyDescent="0.35">
      <c r="A10" s="167" t="s">
        <v>47</v>
      </c>
      <c r="B10" s="136">
        <f>'Income Statement'!C20</f>
        <v>1.7210695886574326E-2</v>
      </c>
      <c r="C10" s="136">
        <f>'Income Statement'!D20</f>
        <v>0.191785271625979</v>
      </c>
      <c r="D10" s="136">
        <f>'Income Statement'!E20</f>
        <v>0.16933191462349126</v>
      </c>
      <c r="E10" s="136">
        <f>'Income Statement'!F20</f>
        <v>0.20142769144010633</v>
      </c>
      <c r="F10" s="136">
        <f>'Income Statement'!G20</f>
        <v>0.23127178373775897</v>
      </c>
      <c r="G10" s="136">
        <f>'Income Statement'!H20</f>
        <v>0.23837933788638946</v>
      </c>
      <c r="H10" s="136">
        <f>'Income Statement'!I20</f>
        <v>0.24665601230505871</v>
      </c>
      <c r="I10" s="136">
        <f>'Income Statement'!J20</f>
        <v>0.23975464489872508</v>
      </c>
      <c r="J10" s="136">
        <f>'Income Statement'!K20</f>
        <v>0.23952033120979449</v>
      </c>
      <c r="L10" s="176" t="s">
        <v>289</v>
      </c>
      <c r="M10" s="176">
        <v>5000000</v>
      </c>
      <c r="N10" s="177"/>
    </row>
    <row r="11" spans="1:14" ht="13" customHeight="1" x14ac:dyDescent="0.3">
      <c r="A11" s="167" t="s">
        <v>48</v>
      </c>
      <c r="B11" s="136">
        <f>'Income Statement'!C28</f>
        <v>1.2908021914930744E-2</v>
      </c>
      <c r="C11" s="136">
        <f>'Income Statement'!D28</f>
        <v>0.14383895371948424</v>
      </c>
      <c r="D11" s="136">
        <f>'Income Statement'!E28</f>
        <v>0.12699893596761846</v>
      </c>
      <c r="E11" s="136">
        <f>'Income Statement'!F28</f>
        <v>0.15107076858007976</v>
      </c>
      <c r="F11" s="136">
        <f>'Income Statement'!G28</f>
        <v>0.17345383780331922</v>
      </c>
      <c r="G11" s="136">
        <f>'Income Statement'!H28</f>
        <v>0.1787845034147921</v>
      </c>
      <c r="H11" s="136">
        <f>'Income Statement'!I28</f>
        <v>0.18499200922879402</v>
      </c>
      <c r="I11" s="136">
        <f>'Income Statement'!J28</f>
        <v>0.17981598367404381</v>
      </c>
      <c r="J11" s="136">
        <f>'Income Statement'!K28</f>
        <v>0.17964024840734588</v>
      </c>
      <c r="L11" s="178" t="s">
        <v>291</v>
      </c>
      <c r="M11" s="179">
        <f>M9/(M5+M9)</f>
        <v>0.33942215141582793</v>
      </c>
      <c r="N11" s="177"/>
    </row>
    <row r="12" spans="1:14" ht="13" customHeight="1" x14ac:dyDescent="0.3">
      <c r="A12" s="109"/>
      <c r="B12" s="68"/>
      <c r="C12" s="68"/>
      <c r="D12" s="68"/>
      <c r="L12" s="178" t="s">
        <v>292</v>
      </c>
      <c r="M12" s="179">
        <f>M9/(M9+M6)</f>
        <v>0.21362213374182776</v>
      </c>
      <c r="N12" s="177"/>
    </row>
    <row r="13" spans="1:14" s="68" customFormat="1" x14ac:dyDescent="0.3">
      <c r="A13" s="72"/>
      <c r="B13" s="72"/>
      <c r="C13" s="72"/>
      <c r="D13" s="72"/>
      <c r="E13" s="72"/>
      <c r="F13" s="72"/>
    </row>
    <row r="14" spans="1:14" ht="14.5" x14ac:dyDescent="0.35">
      <c r="L14" s="71"/>
      <c r="M14" s="71"/>
      <c r="N14" s="67"/>
    </row>
    <row r="15" spans="1:14" ht="14.5" x14ac:dyDescent="0.35">
      <c r="N15" s="67"/>
    </row>
    <row r="16" spans="1:14" ht="14.5" x14ac:dyDescent="0.35">
      <c r="N16" s="67"/>
    </row>
    <row r="17" spans="12:19" x14ac:dyDescent="0.3">
      <c r="L17" s="76"/>
      <c r="M17" s="157"/>
      <c r="N17" s="157"/>
    </row>
    <row r="19" spans="12:19" x14ac:dyDescent="0.3">
      <c r="M19" s="70"/>
    </row>
    <row r="20" spans="12:19" x14ac:dyDescent="0.3">
      <c r="M20" s="70"/>
    </row>
    <row r="21" spans="12:19" x14ac:dyDescent="0.3">
      <c r="M21" s="70"/>
      <c r="P21" s="73"/>
      <c r="Q21" s="74"/>
      <c r="S21" s="73"/>
    </row>
    <row r="22" spans="12:19" x14ac:dyDescent="0.3">
      <c r="P22" s="73"/>
      <c r="S22" s="73"/>
    </row>
    <row r="23" spans="12:19" ht="14.5" x14ac:dyDescent="0.35">
      <c r="O23" s="64"/>
      <c r="P23" s="75"/>
      <c r="Q23" s="72"/>
      <c r="R23" s="72"/>
      <c r="S23" s="75"/>
    </row>
    <row r="24" spans="12:19" ht="14.5" x14ac:dyDescent="0.35">
      <c r="O24" s="65"/>
      <c r="P24" s="75"/>
      <c r="Q24" s="72"/>
      <c r="R24" s="72"/>
      <c r="S24" s="75"/>
    </row>
    <row r="25" spans="12:19" ht="14.5" x14ac:dyDescent="0.35">
      <c r="O25" s="65"/>
      <c r="P25" s="75"/>
      <c r="Q25" s="72"/>
      <c r="R25" s="72"/>
      <c r="S25" s="75"/>
    </row>
    <row r="26" spans="12:19" ht="14.5" x14ac:dyDescent="0.35">
      <c r="O26" s="65"/>
      <c r="P26" s="254"/>
      <c r="Q26" s="254"/>
      <c r="R26" s="66"/>
      <c r="S26" s="72"/>
    </row>
    <row r="27" spans="12:19" ht="14.5" x14ac:dyDescent="0.35">
      <c r="O27" s="65"/>
      <c r="P27" s="72"/>
      <c r="Q27" s="72"/>
      <c r="R27" s="72"/>
      <c r="S27" s="72"/>
    </row>
    <row r="28" spans="12:19" ht="14.5" x14ac:dyDescent="0.35">
      <c r="O28" s="65"/>
      <c r="P28" s="72"/>
      <c r="Q28" s="72"/>
      <c r="R28" s="72"/>
      <c r="S28" s="72"/>
    </row>
    <row r="29" spans="12:19" ht="14.5" x14ac:dyDescent="0.35">
      <c r="O29" s="65"/>
      <c r="P29" s="72"/>
      <c r="Q29" s="72"/>
      <c r="R29" s="72"/>
      <c r="S29" s="72"/>
    </row>
    <row r="30" spans="12:19" x14ac:dyDescent="0.3">
      <c r="O30" s="72"/>
      <c r="P30" s="72"/>
      <c r="Q30" s="72"/>
      <c r="R30" s="75"/>
      <c r="S30" s="72"/>
    </row>
    <row r="38" spans="12:14" x14ac:dyDescent="0.3">
      <c r="L38" s="72"/>
      <c r="M38" s="71"/>
      <c r="N38" s="71"/>
    </row>
  </sheetData>
  <mergeCells count="1">
    <mergeCell ref="P26:Q26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Assumptions</vt:lpstr>
      <vt:lpstr>Revenue</vt:lpstr>
      <vt:lpstr>Cost</vt:lpstr>
      <vt:lpstr>Capex</vt:lpstr>
      <vt:lpstr>Income Statement</vt:lpstr>
      <vt:lpstr>Balance Sheet</vt:lpstr>
      <vt:lpstr>Cash Flow Statements</vt:lpstr>
      <vt:lpstr>Salary</vt:lpstr>
      <vt:lpstr>DCF</vt:lpstr>
      <vt:lpstr>VC Valuation</vt:lpstr>
      <vt:lpstr>WACC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Vohra</dc:creator>
  <cp:lastModifiedBy>Rishabh Juneja</cp:lastModifiedBy>
  <cp:lastPrinted>2022-04-19T07:07:28Z</cp:lastPrinted>
  <dcterms:created xsi:type="dcterms:W3CDTF">2018-05-17T07:31:57Z</dcterms:created>
  <dcterms:modified xsi:type="dcterms:W3CDTF">2022-06-28T11:41:27Z</dcterms:modified>
</cp:coreProperties>
</file>