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KB Data/PMS/"/>
    </mc:Choice>
  </mc:AlternateContent>
  <xr:revisionPtr revIDLastSave="0" documentId="13_ncr:1_{E4A40C41-A0EF-BB4D-A0BD-9A4C05AACAFA}" xr6:coauthVersionLast="47" xr6:coauthVersionMax="47" xr10:uidLastSave="{00000000-0000-0000-0000-000000000000}"/>
  <bookViews>
    <workbookView xWindow="0" yWindow="500" windowWidth="24360" windowHeight="16180" xr2:uid="{00FC3BA5-83CB-43F3-A748-F827E5CA2C24}"/>
  </bookViews>
  <sheets>
    <sheet name="First Four" sheetId="9" r:id="rId1"/>
    <sheet name="Sales Pipeline-Database" sheetId="4" r:id="rId2"/>
    <sheet name="Employability-Database" sheetId="5" r:id="rId3"/>
    <sheet name="Quality-Database" sheetId="6" r:id="rId4"/>
    <sheet name="Delivery-Database" sheetId="7" r:id="rId5"/>
    <sheet name="Reasons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Y7" i="9"/>
  <c r="Y8" i="9"/>
  <c r="Y5" i="9"/>
  <c r="J7" i="7"/>
  <c r="J8" i="7"/>
  <c r="J9" i="7"/>
  <c r="J10" i="7"/>
  <c r="J11" i="7"/>
  <c r="J12" i="7"/>
  <c r="J13" i="7"/>
  <c r="J14" i="7"/>
  <c r="J15" i="7"/>
  <c r="J16" i="7"/>
  <c r="J5" i="7"/>
  <c r="J6" i="7"/>
  <c r="J4" i="7"/>
  <c r="I4" i="7"/>
  <c r="I12" i="7"/>
  <c r="G6" i="7"/>
  <c r="G7" i="7"/>
  <c r="G10" i="7"/>
  <c r="G11" i="7"/>
  <c r="G14" i="7"/>
  <c r="G15" i="7"/>
  <c r="G4" i="7"/>
  <c r="H16" i="7"/>
  <c r="H4" i="7"/>
  <c r="F6" i="7"/>
  <c r="H6" i="7" s="1"/>
  <c r="F7" i="7"/>
  <c r="H7" i="7" s="1"/>
  <c r="F8" i="7"/>
  <c r="H8" i="7" s="1"/>
  <c r="F9" i="7"/>
  <c r="I9" i="7" s="1"/>
  <c r="F10" i="7"/>
  <c r="F11" i="7"/>
  <c r="I11" i="7" s="1"/>
  <c r="F12" i="7"/>
  <c r="H12" i="7" s="1"/>
  <c r="F13" i="7"/>
  <c r="H13" i="7" s="1"/>
  <c r="F14" i="7"/>
  <c r="H14" i="7" s="1"/>
  <c r="F15" i="7"/>
  <c r="H15" i="7" s="1"/>
  <c r="F16" i="7"/>
  <c r="I16" i="7" s="1"/>
  <c r="F5" i="7"/>
  <c r="H5" i="7" s="1"/>
  <c r="E12" i="7"/>
  <c r="E15" i="7"/>
  <c r="I15" i="7" s="1"/>
  <c r="E16" i="7"/>
  <c r="E14" i="7"/>
  <c r="E13" i="7"/>
  <c r="E11" i="7"/>
  <c r="E10" i="7"/>
  <c r="I10" i="7" s="1"/>
  <c r="E9" i="7"/>
  <c r="E8" i="7"/>
  <c r="E7" i="7"/>
  <c r="I7" i="7" s="1"/>
  <c r="E6" i="7"/>
  <c r="I6" i="7" s="1"/>
  <c r="E5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U5" i="9"/>
  <c r="T5" i="9"/>
  <c r="S5" i="9"/>
  <c r="C5" i="6"/>
  <c r="C6" i="6"/>
  <c r="C7" i="6"/>
  <c r="C8" i="6"/>
  <c r="C9" i="6"/>
  <c r="C10" i="6"/>
  <c r="C11" i="6"/>
  <c r="C12" i="6"/>
  <c r="C13" i="6"/>
  <c r="C14" i="6"/>
  <c r="C15" i="6"/>
  <c r="C16" i="6"/>
  <c r="C4" i="6"/>
  <c r="R5" i="9"/>
  <c r="I6" i="5"/>
  <c r="H12" i="9"/>
  <c r="F11" i="9"/>
  <c r="G11" i="9"/>
  <c r="C7" i="5"/>
  <c r="C8" i="5"/>
  <c r="C9" i="5"/>
  <c r="C10" i="5"/>
  <c r="C11" i="5"/>
  <c r="C12" i="5"/>
  <c r="C13" i="5"/>
  <c r="C14" i="5"/>
  <c r="C15" i="5"/>
  <c r="C16" i="5"/>
  <c r="C17" i="5"/>
  <c r="C18" i="5"/>
  <c r="C6" i="5"/>
  <c r="H13" i="9" s="1"/>
  <c r="G9" i="7" l="1"/>
  <c r="X7" i="9"/>
  <c r="G16" i="7"/>
  <c r="G8" i="7"/>
  <c r="I8" i="7"/>
  <c r="G13" i="7"/>
  <c r="G5" i="7"/>
  <c r="X6" i="9" s="1"/>
  <c r="I14" i="7"/>
  <c r="I5" i="7"/>
  <c r="G12" i="7"/>
  <c r="I13" i="7"/>
  <c r="H11" i="7"/>
  <c r="W5" i="9"/>
  <c r="H10" i="7"/>
  <c r="H9" i="7"/>
  <c r="G10" i="9"/>
  <c r="F10" i="9"/>
  <c r="H11" i="9"/>
  <c r="G9" i="9"/>
  <c r="F9" i="9"/>
  <c r="H10" i="9"/>
  <c r="G8" i="9"/>
  <c r="F8" i="9"/>
  <c r="H9" i="9"/>
  <c r="F5" i="9"/>
  <c r="G7" i="9"/>
  <c r="F7" i="9"/>
  <c r="H8" i="9"/>
  <c r="G5" i="9"/>
  <c r="G6" i="9"/>
  <c r="F6" i="9"/>
  <c r="H7" i="9"/>
  <c r="G13" i="9"/>
  <c r="F13" i="9"/>
  <c r="H5" i="9"/>
  <c r="H6" i="9"/>
  <c r="G12" i="9"/>
  <c r="F12" i="9"/>
  <c r="P10" i="4"/>
  <c r="P9" i="4"/>
  <c r="P8" i="4"/>
  <c r="P7" i="4"/>
  <c r="D11" i="9"/>
  <c r="D12" i="9"/>
  <c r="D13" i="9"/>
  <c r="D6" i="9"/>
  <c r="D7" i="9"/>
  <c r="D8" i="9"/>
  <c r="D9" i="9"/>
  <c r="D10" i="9"/>
  <c r="D5" i="9"/>
  <c r="G6" i="4"/>
  <c r="G7" i="4"/>
  <c r="G8" i="4"/>
  <c r="G10" i="4"/>
  <c r="G11" i="4"/>
  <c r="G12" i="4"/>
  <c r="G13" i="4"/>
  <c r="G14" i="4"/>
  <c r="G15" i="4"/>
  <c r="G17" i="4"/>
  <c r="G18" i="4"/>
  <c r="G19" i="4"/>
  <c r="G20" i="4"/>
  <c r="G21" i="4"/>
  <c r="G23" i="4"/>
  <c r="G24" i="4"/>
  <c r="G25" i="4"/>
  <c r="G26" i="4"/>
  <c r="G27" i="4"/>
  <c r="G28" i="4"/>
  <c r="G29" i="4"/>
  <c r="G30" i="4"/>
  <c r="G31" i="4"/>
  <c r="G33" i="4"/>
  <c r="G34" i="4"/>
  <c r="D22" i="4"/>
  <c r="D16" i="4"/>
  <c r="D9" i="4"/>
  <c r="H10" i="4"/>
  <c r="H11" i="4"/>
  <c r="H12" i="4"/>
  <c r="H13" i="4"/>
  <c r="H14" i="4"/>
  <c r="H15" i="4"/>
  <c r="H17" i="4"/>
  <c r="H18" i="4"/>
  <c r="H19" i="4"/>
  <c r="H20" i="4"/>
  <c r="H21" i="4"/>
  <c r="H23" i="4"/>
  <c r="H24" i="4"/>
  <c r="H25" i="4"/>
  <c r="H26" i="4"/>
  <c r="H27" i="4"/>
  <c r="H28" i="4"/>
  <c r="H29" i="4"/>
  <c r="H30" i="4"/>
  <c r="H31" i="4"/>
  <c r="H33" i="4"/>
  <c r="H34" i="4"/>
  <c r="H6" i="4"/>
  <c r="H7" i="4"/>
  <c r="H8" i="4"/>
  <c r="J6" i="4"/>
  <c r="J7" i="4"/>
  <c r="J8" i="4"/>
  <c r="J10" i="4"/>
  <c r="J11" i="4"/>
  <c r="J12" i="4"/>
  <c r="J13" i="4"/>
  <c r="J14" i="4"/>
  <c r="J15" i="4"/>
  <c r="J17" i="4"/>
  <c r="J18" i="4"/>
  <c r="J19" i="4"/>
  <c r="J20" i="4"/>
  <c r="J21" i="4"/>
  <c r="J23" i="4"/>
  <c r="J24" i="4"/>
  <c r="J25" i="4"/>
  <c r="J26" i="4"/>
  <c r="J27" i="4"/>
  <c r="J28" i="4"/>
  <c r="J29" i="4"/>
  <c r="J30" i="4"/>
  <c r="J31" i="4"/>
  <c r="J33" i="4"/>
  <c r="J34" i="4"/>
  <c r="X8" i="9" l="1"/>
  <c r="X5" i="9"/>
  <c r="D6" i="4"/>
  <c r="D7" i="4"/>
  <c r="D8" i="4"/>
  <c r="F9" i="4"/>
  <c r="G9" i="4" s="1"/>
  <c r="D10" i="4"/>
  <c r="D11" i="4"/>
  <c r="D12" i="4"/>
  <c r="D13" i="4"/>
  <c r="D14" i="4"/>
  <c r="D15" i="4"/>
  <c r="F16" i="4"/>
  <c r="G16" i="4" s="1"/>
  <c r="D17" i="4"/>
  <c r="D18" i="4"/>
  <c r="D19" i="4"/>
  <c r="D20" i="4"/>
  <c r="D21" i="4"/>
  <c r="F22" i="4"/>
  <c r="G22" i="4" s="1"/>
  <c r="D23" i="4"/>
  <c r="D24" i="4"/>
  <c r="D25" i="4"/>
  <c r="D26" i="4"/>
  <c r="D27" i="4"/>
  <c r="D28" i="4"/>
  <c r="D29" i="4"/>
  <c r="D30" i="4"/>
  <c r="D31" i="4"/>
  <c r="D32" i="4"/>
  <c r="F32" i="4" s="1"/>
  <c r="G32" i="4" s="1"/>
  <c r="D33" i="4"/>
  <c r="D34" i="4"/>
  <c r="D5" i="4"/>
  <c r="F5" i="4" s="1"/>
  <c r="G5" i="4" s="1"/>
  <c r="C11" i="9" l="1"/>
  <c r="C12" i="9"/>
  <c r="C13" i="9"/>
  <c r="C6" i="9"/>
  <c r="C7" i="9"/>
  <c r="C5" i="9"/>
  <c r="I5" i="4"/>
  <c r="J5" i="4" s="1"/>
  <c r="H5" i="4"/>
  <c r="C8" i="9" s="1"/>
  <c r="I32" i="4"/>
  <c r="J32" i="4" s="1"/>
  <c r="H32" i="4"/>
  <c r="I22" i="4"/>
  <c r="J22" i="4" s="1"/>
  <c r="H22" i="4"/>
  <c r="I16" i="4"/>
  <c r="J16" i="4" s="1"/>
  <c r="H16" i="4"/>
  <c r="C10" i="9" s="1"/>
  <c r="I9" i="4"/>
  <c r="J9" i="4" s="1"/>
  <c r="H9" i="4"/>
  <c r="C9" i="9" s="1"/>
  <c r="B9" i="9"/>
  <c r="B7" i="9" l="1"/>
  <c r="E6" i="9"/>
  <c r="E5" i="9"/>
  <c r="E7" i="9"/>
  <c r="B11" i="9"/>
  <c r="E8" i="9"/>
  <c r="B12" i="9"/>
  <c r="E9" i="9"/>
  <c r="B13" i="9"/>
  <c r="E10" i="9"/>
  <c r="E11" i="9"/>
  <c r="E12" i="9"/>
  <c r="E13" i="9"/>
  <c r="B6" i="9"/>
  <c r="B8" i="9"/>
  <c r="B5" i="9"/>
  <c r="B10" i="9"/>
</calcChain>
</file>

<file path=xl/sharedStrings.xml><?xml version="1.0" encoding="utf-8"?>
<sst xmlns="http://schemas.openxmlformats.org/spreadsheetml/2006/main" count="246" uniqueCount="111">
  <si>
    <t>ETO</t>
  </si>
  <si>
    <t>DATE</t>
  </si>
  <si>
    <t>ADMIN</t>
  </si>
  <si>
    <t>DL</t>
  </si>
  <si>
    <t>IDL</t>
  </si>
  <si>
    <t>Cuts &amp; Abrasions</t>
  </si>
  <si>
    <t>Manual Handling</t>
  </si>
  <si>
    <t>Slips, Trips &amp; Falls</t>
  </si>
  <si>
    <t>Eye Safety</t>
  </si>
  <si>
    <t>Chemical Exposure</t>
  </si>
  <si>
    <t>Noise Exposure</t>
  </si>
  <si>
    <t>Thermal Exposure</t>
  </si>
  <si>
    <t>Respiratory</t>
  </si>
  <si>
    <t>Sales Funnel</t>
  </si>
  <si>
    <t>Lead Conversion Rate (%)</t>
  </si>
  <si>
    <t>Sales Cycle
(Average Days)</t>
  </si>
  <si>
    <t>Average Value per Order (INR)</t>
  </si>
  <si>
    <t>YTD Sales (INR)</t>
  </si>
  <si>
    <t>Time to Recruit (Days)</t>
  </si>
  <si>
    <t>Total Headcount (No. of People)</t>
  </si>
  <si>
    <t>Department Headcount (No. of People)</t>
  </si>
  <si>
    <t>Return Rate (%)</t>
  </si>
  <si>
    <t>Repair Cost (INR)</t>
  </si>
  <si>
    <t>Reason for Rejection</t>
  </si>
  <si>
    <t>Remake Cost (INR)</t>
  </si>
  <si>
    <t>Avg Lead-time (Days)</t>
  </si>
  <si>
    <t>Orders Delayed (NO.)</t>
  </si>
  <si>
    <t>Value of Delayed Orders (INR)</t>
  </si>
  <si>
    <t>Reasons for Delay</t>
  </si>
  <si>
    <t>Reasons for Attrition</t>
  </si>
  <si>
    <t>Reasons for Rejection</t>
  </si>
  <si>
    <t>EMPLOYABILITY</t>
  </si>
  <si>
    <t>QUALITY</t>
  </si>
  <si>
    <t>DELIVERY</t>
  </si>
  <si>
    <t>SALES PIPELINE</t>
  </si>
  <si>
    <t>Retention Rate %</t>
  </si>
  <si>
    <t>Rejection Rate %</t>
  </si>
  <si>
    <t>On time Delivery</t>
  </si>
  <si>
    <t>HR &amp; IR</t>
  </si>
  <si>
    <t>Sales &amp; Marketing</t>
  </si>
  <si>
    <t>Operations</t>
  </si>
  <si>
    <t>Better Oppotutinity</t>
  </si>
  <si>
    <t>Termination</t>
  </si>
  <si>
    <t>IT</t>
  </si>
  <si>
    <t>Finance &amp; Account</t>
  </si>
  <si>
    <t>Workforce Management</t>
  </si>
  <si>
    <t>Health Challenges</t>
  </si>
  <si>
    <t>City</t>
  </si>
  <si>
    <t>State</t>
  </si>
  <si>
    <t>Equiry Date</t>
  </si>
  <si>
    <t>Lead Qualified Date</t>
  </si>
  <si>
    <t>Sales Order Date</t>
  </si>
  <si>
    <t>Invoice Date</t>
  </si>
  <si>
    <t>Invoice Value</t>
  </si>
  <si>
    <t>Present</t>
  </si>
  <si>
    <t>Leave</t>
  </si>
  <si>
    <t>Separated</t>
  </si>
  <si>
    <t>Employee Count</t>
  </si>
  <si>
    <t>Date</t>
  </si>
  <si>
    <t>Reason for Attrition</t>
  </si>
  <si>
    <t>Date of Replacement</t>
  </si>
  <si>
    <t>Cost of Remake</t>
  </si>
  <si>
    <t>Cost of Repair</t>
  </si>
  <si>
    <t>Reason for Rejction</t>
  </si>
  <si>
    <t>Product Produced</t>
  </si>
  <si>
    <t>Product Rejected</t>
  </si>
  <si>
    <t>Product Returned</t>
  </si>
  <si>
    <t>Product Remake</t>
  </si>
  <si>
    <t>Product Repaired</t>
  </si>
  <si>
    <t>Order Date</t>
  </si>
  <si>
    <t>Estimated Ship Date</t>
  </si>
  <si>
    <t>Actual Ship Date</t>
  </si>
  <si>
    <t>Order Value</t>
  </si>
  <si>
    <t>Reason for Delay</t>
  </si>
  <si>
    <t>Reason for Safety</t>
  </si>
  <si>
    <t>Yes</t>
  </si>
  <si>
    <t>No</t>
  </si>
  <si>
    <t>Ahmedabad</t>
  </si>
  <si>
    <t>Vadodara</t>
  </si>
  <si>
    <t>Indore</t>
  </si>
  <si>
    <t>Bhuvneshwar</t>
  </si>
  <si>
    <t>Mumbai</t>
  </si>
  <si>
    <t>Surat</t>
  </si>
  <si>
    <t>Nashik</t>
  </si>
  <si>
    <t>Delhi</t>
  </si>
  <si>
    <t>Jaypur</t>
  </si>
  <si>
    <t>Udaypur</t>
  </si>
  <si>
    <t>GJ</t>
  </si>
  <si>
    <t>MP</t>
  </si>
  <si>
    <t>OR</t>
  </si>
  <si>
    <t>MH</t>
  </si>
  <si>
    <t>RJ</t>
  </si>
  <si>
    <t>Month</t>
  </si>
  <si>
    <t>Sales Cycle</t>
  </si>
  <si>
    <t>Sales Order</t>
  </si>
  <si>
    <t>Won</t>
  </si>
  <si>
    <t>Lost</t>
  </si>
  <si>
    <t>Enquiries</t>
  </si>
  <si>
    <t>Lead</t>
  </si>
  <si>
    <t>Opportunities</t>
  </si>
  <si>
    <t>Leads</t>
  </si>
  <si>
    <t>Reason for Separation</t>
  </si>
  <si>
    <t>Better Opportunity</t>
  </si>
  <si>
    <t>Admin</t>
  </si>
  <si>
    <t>Total Days to Recruit</t>
  </si>
  <si>
    <t>Specification</t>
  </si>
  <si>
    <t>Product Shipped</t>
  </si>
  <si>
    <t>No RM</t>
  </si>
  <si>
    <t>Lead Time</t>
  </si>
  <si>
    <t>Delayed</t>
  </si>
  <si>
    <t>Delayed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</si>
</sst>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4009]dd\ mmmm\ yyyy;@"/>
    <numFmt numFmtId="165" formatCode="_(* #,##0_);_(* \(#,##0\);_(* &quot;-&quot;??_);_(@_)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6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65" fontId="0" fillId="0" borderId="1" xfId="1" applyNumberFormat="1" applyFont="1" applyBorder="1"/>
    <xf numFmtId="165" fontId="0" fillId="0" borderId="0" xfId="1" applyNumberFormat="1" applyFont="1"/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NumberFormat="1" applyBorder="1"/>
    <xf numFmtId="9" fontId="2" fillId="0" borderId="2" xfId="2" applyFont="1" applyBorder="1" applyAlignment="1">
      <alignment horizontal="center" vertical="center" wrapText="1"/>
    </xf>
    <xf numFmtId="15" fontId="0" fillId="0" borderId="0" xfId="0" applyNumberFormat="1"/>
    <xf numFmtId="0" fontId="6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3" fontId="2" fillId="0" borderId="2" xfId="1" applyFont="1" applyBorder="1" applyAlignment="1">
      <alignment horizontal="center" vertical="center" wrapText="1"/>
    </xf>
    <xf numFmtId="0" fontId="0" fillId="0" borderId="0" xfId="0" applyNumberFormat="1"/>
    <xf numFmtId="10" fontId="2" fillId="0" borderId="2" xfId="2" applyNumberFormat="1" applyFont="1" applyBorder="1" applyAlignment="1">
      <alignment horizontal="center" vertical="center" wrapText="1"/>
    </xf>
    <xf numFmtId="15" fontId="0" fillId="0" borderId="1" xfId="0" applyNumberFormat="1" applyBorder="1"/>
    <xf numFmtId="1" fontId="2" fillId="0" borderId="2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1146222114649459E-2"/>
          <c:y val="2.75E-2"/>
          <c:w val="0.93271656599884267"/>
          <c:h val="0.88749999999999996"/>
        </c:manualLayout>
      </c:layout>
      <c:areaChart>
        <c:grouping val="standard"/>
        <c:varyColors val="0"/>
        <c:ser>
          <c:idx val="0"/>
          <c:order val="0"/>
          <c:tx>
            <c:v>Section4</c:v>
          </c:tx>
          <c:spPr>
            <a:solidFill>
              <a:srgbClr val="5C6769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val>
            <c:numRef>
              <c:f>[1]ChartsDataSheet!$CNU$2:$CNU$6</c:f>
              <c:numCache>
                <c:formatCode>General</c:formatCode>
                <c:ptCount val="5"/>
                <c:pt idx="0">
                  <c:v>397</c:v>
                </c:pt>
                <c:pt idx="1">
                  <c:v>397</c:v>
                </c:pt>
                <c:pt idx="2">
                  <c:v>338.5</c:v>
                </c:pt>
                <c:pt idx="3">
                  <c:v>296</c:v>
                </c:pt>
                <c:pt idx="4">
                  <c:v>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E-BF42-A436-444542188C4D}"/>
            </c:ext>
          </c:extLst>
        </c:ser>
        <c:ser>
          <c:idx val="1"/>
          <c:order val="1"/>
          <c:tx>
            <c:v>Section3</c:v>
          </c:tx>
          <c:spPr>
            <a:solidFill>
              <a:srgbClr val="01B1A3"/>
            </a:solidFill>
            <a:ln w="25400">
              <a:noFill/>
            </a:ln>
          </c:spPr>
          <c:val>
            <c:numRef>
              <c:f>[1]ChartsDataSheet!$CNU$2:$CNU$5</c:f>
              <c:numCache>
                <c:formatCode>General</c:formatCode>
                <c:ptCount val="4"/>
                <c:pt idx="0">
                  <c:v>397</c:v>
                </c:pt>
                <c:pt idx="1">
                  <c:v>397</c:v>
                </c:pt>
                <c:pt idx="2">
                  <c:v>338.5</c:v>
                </c:pt>
                <c:pt idx="3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E-BF42-A436-444542188C4D}"/>
            </c:ext>
          </c:extLst>
        </c:ser>
        <c:ser>
          <c:idx val="2"/>
          <c:order val="2"/>
          <c:tx>
            <c:v>Section2</c:v>
          </c:tx>
          <c:spPr>
            <a:solidFill>
              <a:srgbClr val="5D90AF"/>
            </a:solidFill>
            <a:ln w="25400">
              <a:noFill/>
            </a:ln>
          </c:spPr>
          <c:val>
            <c:numRef>
              <c:f>[1]ChartsDataSheet!$CNU$2:$CNU$4</c:f>
              <c:numCache>
                <c:formatCode>General</c:formatCode>
                <c:ptCount val="3"/>
                <c:pt idx="0">
                  <c:v>397</c:v>
                </c:pt>
                <c:pt idx="1">
                  <c:v>397</c:v>
                </c:pt>
                <c:pt idx="2">
                  <c:v>338.5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E-BF42-A436-444542188C4D}"/>
            </c:ext>
          </c:extLst>
        </c:ser>
        <c:ser>
          <c:idx val="3"/>
          <c:order val="3"/>
          <c:tx>
            <c:v>Section1</c:v>
          </c:tx>
          <c:spPr>
            <a:solidFill>
              <a:srgbClr val="435361"/>
            </a:solidFill>
            <a:ln w="25400">
              <a:noFill/>
            </a:ln>
          </c:spPr>
          <c:val>
            <c:numRef>
              <c:f>[1]ChartsDataSheet!$CNU$2:$CNU$3</c:f>
              <c:numCache>
                <c:formatCode>General</c:formatCode>
                <c:ptCount val="2"/>
                <c:pt idx="0">
                  <c:v>397</c:v>
                </c:pt>
                <c:pt idx="1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E-BF42-A436-444542188C4D}"/>
            </c:ext>
          </c:extLst>
        </c:ser>
        <c:ser>
          <c:idx val="4"/>
          <c:order val="4"/>
          <c:tx>
            <c:v>Low</c:v>
          </c:tx>
          <c:spPr>
            <a:solidFill>
              <a:srgbClr val="FFFFFF"/>
            </a:solidFill>
            <a:ln w="25400">
              <a:noFill/>
            </a:ln>
          </c:spPr>
          <c:val>
            <c:numRef>
              <c:f>[1]ChartsDataSheet!$CNT$2:$CNT$6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101</c:v>
                </c:pt>
                <c:pt idx="4">
                  <c:v>167.5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E-BF42-A436-44454218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32959"/>
        <c:axId val="1338557375"/>
      </c:areaChart>
      <c:scatterChart>
        <c:scatterStyle val="lineMarker"/>
        <c:varyColors val="0"/>
        <c:ser>
          <c:idx val="5"/>
          <c:order val="5"/>
          <c:tx>
            <c:v>BUBBLE</c:v>
          </c:tx>
          <c:spPr>
            <a:ln w="28575">
              <a:noFill/>
            </a:ln>
            <a:effectLst/>
          </c:spPr>
          <c:marker>
            <c:symbol val="circle"/>
            <c:size val="27"/>
            <c:spPr>
              <a:solidFill>
                <a:srgbClr val="5C6769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029FD2-9D5E-2244-877A-B51C2A59D9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42E-BF42-A436-444542188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[1]ChartsDataSheet!$CNQ$7</c:f>
              <c:numCache>
                <c:formatCode>General</c:formatCode>
                <c:ptCount val="1"/>
                <c:pt idx="0">
                  <c:v>5.31</c:v>
                </c:pt>
              </c:numCache>
            </c:numRef>
          </c:xVal>
          <c:yVal>
            <c:numRef>
              <c:f>[1]ChartsDataSheet!$CNS$7</c:f>
              <c:numCache>
                <c:formatCode>General</c:formatCode>
                <c:ptCount val="1"/>
                <c:pt idx="0">
                  <c:v>198.5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[1]ChartsDataSheet!$CNR$7</c15:f>
                <c15:dlblRangeCache>
                  <c:ptCount val="1"/>
                  <c:pt idx="0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42E-BF42-A436-444542188C4D}"/>
            </c:ext>
          </c:extLst>
        </c:ser>
        <c:ser>
          <c:idx val="6"/>
          <c:order val="6"/>
          <c:tx>
            <c:v>Line_Low</c:v>
          </c:tx>
          <c:spPr>
            <a:ln w="25400">
              <a:solidFill>
                <a:srgbClr val="5C6769"/>
              </a:solidFill>
            </a:ln>
          </c:spPr>
          <c:marker>
            <c:symbol val="none"/>
          </c:marker>
          <c:xVal>
            <c:numRef>
              <c:f>[1]ChartsDataSheet!$CNQ$2:$CNQ$6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[1]ChartsDataSheet!$CNT$2:$CNT$6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58.5</c:v>
                </c:pt>
                <c:pt idx="3">
                  <c:v>101</c:v>
                </c:pt>
                <c:pt idx="4">
                  <c:v>167.5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2E-BF42-A436-444542188C4D}"/>
            </c:ext>
          </c:extLst>
        </c:ser>
        <c:ser>
          <c:idx val="7"/>
          <c:order val="7"/>
          <c:tx>
            <c:v>Line_High</c:v>
          </c:tx>
          <c:spPr>
            <a:ln w="22225">
              <a:solidFill>
                <a:srgbClr val="5C6769"/>
              </a:solidFill>
            </a:ln>
          </c:spPr>
          <c:marker>
            <c:symbol val="none"/>
          </c:marker>
          <c:xVal>
            <c:numRef>
              <c:f>[1]ChartsDataSheet!$CNQ$2:$CNQ$6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[1]ChartsDataSheet!$CNU$2:$CNU$6</c:f>
              <c:numCache>
                <c:formatCode>General</c:formatCode>
                <c:ptCount val="5"/>
                <c:pt idx="0">
                  <c:v>397</c:v>
                </c:pt>
                <c:pt idx="1">
                  <c:v>397</c:v>
                </c:pt>
                <c:pt idx="2">
                  <c:v>338.5</c:v>
                </c:pt>
                <c:pt idx="3">
                  <c:v>296</c:v>
                </c:pt>
                <c:pt idx="4">
                  <c:v>229.5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2E-BF42-A436-444542188C4D}"/>
            </c:ext>
          </c:extLst>
        </c:ser>
        <c:ser>
          <c:idx val="8"/>
          <c:order val="8"/>
          <c:tx>
            <c:v>Line_Labels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00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D9F5A2E-778B-AE4C-B1EA-06DE36B3B9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42E-BF42-A436-444542188C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66D1EC-3157-B147-8875-17857EF17F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42E-BF42-A436-444542188C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FB80C3-FBC3-8B44-B599-06C67D6AA6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42E-BF42-A436-444542188C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76D838-4FD7-404D-906D-D97D55C4CE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42E-BF42-A436-444542188C4D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[1]ChartsDataSheet!$CNV$3:$CNV$6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xVal>
          <c:yVal>
            <c:numRef>
              <c:f>[1]ChartsDataSheet!$CNW$3:$CNW$6</c:f>
              <c:numCache>
                <c:formatCode>General</c:formatCode>
                <c:ptCount val="4"/>
                <c:pt idx="0">
                  <c:v>186.59</c:v>
                </c:pt>
                <c:pt idx="1">
                  <c:v>186.59</c:v>
                </c:pt>
                <c:pt idx="2">
                  <c:v>186.59</c:v>
                </c:pt>
                <c:pt idx="3">
                  <c:v>186.59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[1]ChartsDataSheet!$CNR$3:$CNR$6</c15:f>
                <c15:dlblRangeCache>
                  <c:ptCount val="4"/>
                  <c:pt idx="0">
                    <c:v>Inquiries 397</c:v>
                  </c:pt>
                  <c:pt idx="1">
                    <c:v>Lead 280</c:v>
                  </c:pt>
                  <c:pt idx="2">
                    <c:v>Opportunity 195</c:v>
                  </c:pt>
                  <c:pt idx="3">
                    <c:v>Sales 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C42E-BF42-A436-444542188C4D}"/>
            </c:ext>
          </c:extLst>
        </c:ser>
        <c:ser>
          <c:idx val="9"/>
          <c:order val="9"/>
          <c:tx>
            <c:v>Line_Percentages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00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B283C7B-BE27-F34B-9CC5-D8D7EFB9E3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42E-BF42-A436-444542188C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90E5A-F957-1044-8874-6B4BF44F38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42E-BF42-A436-444542188C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A97302-DEC5-6149-B7BC-080EAA4CA0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42E-BF42-A436-444542188C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19EA54-B537-8C43-923C-C81EC7B0A3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42E-BF42-A436-444542188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[1]ChartsDataSheet!$CNV$3:$CNV$6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xVal>
          <c:yVal>
            <c:numRef>
              <c:f>[1]ChartsDataSheet!$CNX$3:$CNX$6</c:f>
              <c:numCache>
                <c:formatCode>General</c:formatCode>
                <c:ptCount val="4"/>
                <c:pt idx="0">
                  <c:v>212.39500000000001</c:v>
                </c:pt>
                <c:pt idx="1">
                  <c:v>212.39500000000001</c:v>
                </c:pt>
                <c:pt idx="2">
                  <c:v>212.39500000000001</c:v>
                </c:pt>
                <c:pt idx="3">
                  <c:v>212.39500000000001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[1]ChartsDataSheet!$CNY$3:$CNY$6</c15:f>
                <c15:dlblRangeCache>
                  <c:ptCount val="4"/>
                  <c:pt idx="0">
                    <c:v>1</c:v>
                  </c:pt>
                  <c:pt idx="1">
                    <c:v>0.705289673</c:v>
                  </c:pt>
                  <c:pt idx="2">
                    <c:v>0.491183879</c:v>
                  </c:pt>
                  <c:pt idx="3">
                    <c:v>0.156171285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C42E-BF42-A436-44454218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32959"/>
        <c:axId val="1338557375"/>
      </c:scatterChart>
      <c:catAx>
        <c:axId val="1338132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338557375"/>
        <c:crosses val="autoZero"/>
        <c:auto val="1"/>
        <c:lblAlgn val="ctr"/>
        <c:lblOffset val="100"/>
        <c:noMultiLvlLbl val="0"/>
      </c:catAx>
      <c:valAx>
        <c:axId val="1338557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3813295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8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722923</xdr:colOff>
      <xdr:row>3</xdr:row>
      <xdr:rowOff>146538</xdr:rowOff>
    </xdr:from>
    <xdr:to>
      <xdr:col>22</xdr:col>
      <xdr:colOff>737518</xdr:colOff>
      <xdr:row>14</xdr:row>
      <xdr:rowOff>75834</xdr:rowOff>
    </xdr:to>
    <xdr:graphicFrame macro="">
      <xdr:nvGraphicFramePr>
        <xdr:cNvPr id="3" name="SF2_1">
          <a:extLst>
            <a:ext uri="{FF2B5EF4-FFF2-40B4-BE49-F238E27FC236}">
              <a16:creationId xmlns:a16="http://schemas.microsoft.com/office/drawing/2014/main" id="{A855E0CD-9103-F548-B916-14EE3557B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pple/Downloads/SFDv2.xlsm" TargetMode="External"/><Relationship Id="rId1" Type="http://schemas.openxmlformats.org/officeDocument/2006/relationships/externalLinkPath" Target="/Users/apple/Downloads/SFD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DataSheet"/>
      <sheetName val="Data"/>
      <sheetName val="Dashboard"/>
      <sheetName val="calc"/>
    </sheetNames>
    <sheetDataSet>
      <sheetData sheetId="0">
        <row r="2">
          <cell r="CNQ2">
            <v>1</v>
          </cell>
          <cell r="CNT2">
            <v>0</v>
          </cell>
          <cell r="CNU2">
            <v>397</v>
          </cell>
        </row>
        <row r="3">
          <cell r="CNQ3">
            <v>2</v>
          </cell>
          <cell r="CNR3" t="str">
            <v>Inquiries 397</v>
          </cell>
          <cell r="CNT3">
            <v>0</v>
          </cell>
          <cell r="CNU3">
            <v>397</v>
          </cell>
          <cell r="CNV3">
            <v>1.5</v>
          </cell>
          <cell r="CNW3">
            <v>186.59</v>
          </cell>
          <cell r="CNX3">
            <v>212.39500000000001</v>
          </cell>
          <cell r="CNY3">
            <v>1</v>
          </cell>
        </row>
        <row r="4">
          <cell r="CNQ4">
            <v>3</v>
          </cell>
          <cell r="CNR4" t="str">
            <v>Lead 280</v>
          </cell>
          <cell r="CNT4">
            <v>58.5</v>
          </cell>
          <cell r="CNU4">
            <v>338.5</v>
          </cell>
          <cell r="CNV4">
            <v>2.5</v>
          </cell>
          <cell r="CNW4">
            <v>186.59</v>
          </cell>
          <cell r="CNX4">
            <v>212.39500000000001</v>
          </cell>
          <cell r="CNY4">
            <v>0.70528967254408059</v>
          </cell>
        </row>
        <row r="5">
          <cell r="CNQ5">
            <v>4</v>
          </cell>
          <cell r="CNR5" t="str">
            <v>Opportunity 195</v>
          </cell>
          <cell r="CNT5">
            <v>101</v>
          </cell>
          <cell r="CNU5">
            <v>296</v>
          </cell>
          <cell r="CNV5">
            <v>3.5</v>
          </cell>
          <cell r="CNW5">
            <v>186.59</v>
          </cell>
          <cell r="CNX5">
            <v>212.39500000000001</v>
          </cell>
          <cell r="CNY5">
            <v>0.49118387909319899</v>
          </cell>
        </row>
        <row r="6">
          <cell r="CNQ6">
            <v>5</v>
          </cell>
          <cell r="CNR6" t="str">
            <v>Sales 62</v>
          </cell>
          <cell r="CNT6">
            <v>167.5</v>
          </cell>
          <cell r="CNU6">
            <v>229.5</v>
          </cell>
          <cell r="CNV6">
            <v>4.5</v>
          </cell>
          <cell r="CNW6">
            <v>186.59</v>
          </cell>
          <cell r="CNX6">
            <v>212.39500000000001</v>
          </cell>
          <cell r="CNY6">
            <v>0.15617128463476071</v>
          </cell>
        </row>
        <row r="7">
          <cell r="CNQ7">
            <v>5.31</v>
          </cell>
          <cell r="CNR7">
            <v>62</v>
          </cell>
          <cell r="CNS7">
            <v>198.5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592C-E51D-8F48-91C6-BA5B331DF454}">
  <dimension ref="A1:Z40"/>
  <sheetViews>
    <sheetView tabSelected="1" zoomScaleNormal="100" workbookViewId="0">
      <selection activeCell="Z7" sqref="Z7"/>
    </sheetView>
  </sheetViews>
  <sheetFormatPr baseColWidth="10" defaultColWidth="8.6640625" defaultRowHeight="16" x14ac:dyDescent="0.2"/>
  <cols>
    <col min="1" max="1" width="16.5" style="4" customWidth="1"/>
    <col min="2" max="2" width="9.33203125" style="3" bestFit="1" customWidth="1"/>
    <col min="3" max="3" width="14" style="3" bestFit="1" customWidth="1"/>
    <col min="4" max="4" width="14.83203125" style="3" bestFit="1" customWidth="1"/>
    <col min="5" max="6" width="16.5" style="3" bestFit="1" customWidth="1"/>
    <col min="7" max="11" width="16.5" style="3" customWidth="1"/>
    <col min="12" max="12" width="21" style="3" bestFit="1" customWidth="1"/>
    <col min="13" max="16" width="21" style="3" customWidth="1"/>
    <col min="17" max="17" width="10.5" style="3" customWidth="1"/>
    <col min="18" max="18" width="14.5" style="3" customWidth="1"/>
    <col min="19" max="19" width="11.6640625" style="3" customWidth="1"/>
    <col min="20" max="20" width="14.5" style="3" customWidth="1"/>
    <col min="21" max="21" width="12" style="3" bestFit="1" customWidth="1"/>
    <col min="22" max="22" width="11.6640625" style="3" customWidth="1"/>
    <col min="23" max="23" width="13.1640625" style="3" bestFit="1" customWidth="1"/>
    <col min="24" max="24" width="15.6640625" style="3" customWidth="1"/>
    <col min="25" max="25" width="15.1640625" style="3" customWidth="1"/>
    <col min="26" max="16384" width="8.6640625" style="3"/>
  </cols>
  <sheetData>
    <row r="1" spans="1:26" s="1" customFormat="1" ht="19.5" customHeight="1" x14ac:dyDescent="0.2">
      <c r="A1" s="15" t="s">
        <v>1</v>
      </c>
      <c r="B1" s="16" t="s">
        <v>34</v>
      </c>
      <c r="C1" s="16"/>
      <c r="D1" s="16"/>
      <c r="E1" s="16"/>
      <c r="F1" s="13" t="s">
        <v>31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 t="s">
        <v>32</v>
      </c>
      <c r="T1" s="14"/>
      <c r="U1" s="14"/>
      <c r="V1" s="14"/>
      <c r="W1" s="17" t="s">
        <v>33</v>
      </c>
      <c r="X1" s="17"/>
      <c r="Y1" s="17"/>
      <c r="Z1" s="17"/>
    </row>
    <row r="2" spans="1:26" s="1" customFormat="1" ht="41" customHeight="1" x14ac:dyDescent="0.2">
      <c r="A2" s="15"/>
      <c r="B2" s="16" t="s">
        <v>13</v>
      </c>
      <c r="C2" s="16"/>
      <c r="D2" s="16"/>
      <c r="E2" s="16"/>
      <c r="F2" s="13" t="s">
        <v>35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 t="s">
        <v>36</v>
      </c>
      <c r="T2" s="14"/>
      <c r="U2" s="14"/>
      <c r="V2" s="14"/>
      <c r="W2" s="17" t="s">
        <v>37</v>
      </c>
      <c r="X2" s="17"/>
      <c r="Y2" s="17"/>
      <c r="Z2" s="17"/>
    </row>
    <row r="3" spans="1:26" s="1" customFormat="1" ht="52" customHeight="1" x14ac:dyDescent="0.2">
      <c r="A3" s="15"/>
      <c r="B3" s="16" t="s">
        <v>17</v>
      </c>
      <c r="C3" s="16" t="s">
        <v>15</v>
      </c>
      <c r="D3" s="16" t="s">
        <v>14</v>
      </c>
      <c r="E3" s="16" t="s">
        <v>16</v>
      </c>
      <c r="F3" s="13" t="s">
        <v>19</v>
      </c>
      <c r="G3" s="13"/>
      <c r="H3" s="13"/>
      <c r="I3" s="13" t="s">
        <v>20</v>
      </c>
      <c r="J3" s="13"/>
      <c r="K3" s="13"/>
      <c r="L3" s="13"/>
      <c r="M3" s="13"/>
      <c r="N3" s="13" t="s">
        <v>29</v>
      </c>
      <c r="O3" s="13"/>
      <c r="P3" s="13"/>
      <c r="Q3" s="13"/>
      <c r="R3" s="13" t="s">
        <v>18</v>
      </c>
      <c r="S3" s="14" t="s">
        <v>21</v>
      </c>
      <c r="T3" s="14" t="s">
        <v>22</v>
      </c>
      <c r="U3" s="14" t="s">
        <v>24</v>
      </c>
      <c r="V3" s="14" t="s">
        <v>30</v>
      </c>
      <c r="W3" s="13" t="s">
        <v>25</v>
      </c>
      <c r="X3" s="13" t="s">
        <v>26</v>
      </c>
      <c r="Y3" s="13" t="s">
        <v>27</v>
      </c>
      <c r="Z3" s="13" t="s">
        <v>28</v>
      </c>
    </row>
    <row r="4" spans="1:26" s="1" customFormat="1" ht="34" x14ac:dyDescent="0.2">
      <c r="A4" s="15"/>
      <c r="B4" s="16"/>
      <c r="C4" s="16"/>
      <c r="D4" s="16"/>
      <c r="E4" s="16"/>
      <c r="F4" s="6" t="s">
        <v>103</v>
      </c>
      <c r="G4" s="6" t="s">
        <v>3</v>
      </c>
      <c r="H4" s="6" t="s">
        <v>4</v>
      </c>
      <c r="I4" s="6" t="s">
        <v>38</v>
      </c>
      <c r="J4" s="6" t="s">
        <v>44</v>
      </c>
      <c r="K4" s="6" t="s">
        <v>39</v>
      </c>
      <c r="L4" s="6" t="s">
        <v>40</v>
      </c>
      <c r="M4" s="6" t="s">
        <v>43</v>
      </c>
      <c r="N4" s="6" t="s">
        <v>41</v>
      </c>
      <c r="O4" s="6" t="s">
        <v>42</v>
      </c>
      <c r="P4" s="6" t="s">
        <v>45</v>
      </c>
      <c r="Q4" s="6" t="s">
        <v>46</v>
      </c>
      <c r="R4" s="13"/>
      <c r="S4" s="14"/>
      <c r="T4" s="14"/>
      <c r="U4" s="14"/>
      <c r="V4" s="14"/>
      <c r="W4" s="13"/>
      <c r="X4" s="13"/>
      <c r="Y4" s="13"/>
      <c r="Z4" s="13"/>
    </row>
    <row r="5" spans="1:26" ht="17" x14ac:dyDescent="0.2">
      <c r="A5" s="9">
        <v>45658</v>
      </c>
      <c r="B5" s="7">
        <f>SUMIF('Sales Pipeline-Database'!J:J,'First Four'!A5,'Sales Pipeline-Database'!K:K)</f>
        <v>0</v>
      </c>
      <c r="C5" s="7" t="e">
        <f>AVERAGEIF('Sales Pipeline-Database'!G:G,'First Four'!A5,'Sales Pipeline-Database'!H:H)</f>
        <v>#DIV/0!</v>
      </c>
      <c r="D5" s="33">
        <f>COUNTIF('Sales Pipeline-Database'!E:E,"Won")/COUNTIF('Sales Pipeline-Database'!C:C,"Yes")</f>
        <v>0.25</v>
      </c>
      <c r="E5" s="7" t="e">
        <f>AVERAGEIF('Sales Pipeline-Database'!J:J,'First Four'!A5,'Sales Pipeline-Database'!K:K)</f>
        <v>#DIV/0!</v>
      </c>
      <c r="F5" s="38">
        <f>AVERAGEIF('Employability-Database'!$C:$C,'First Four'!$A5,'Employability-Database'!D:D)</f>
        <v>10.692307692307692</v>
      </c>
      <c r="G5" s="38">
        <f>AVERAGEIF('Employability-Database'!$C:$C,'First Four'!$A5,'Employability-Database'!J:J)</f>
        <v>10.692307692307692</v>
      </c>
      <c r="H5" s="38">
        <f>AVERAGEIF('Employability-Database'!$C:$C,'First Four'!$A5,'Employability-Database'!N:N)</f>
        <v>10.692307692307692</v>
      </c>
      <c r="I5" s="24">
        <v>2</v>
      </c>
      <c r="J5" s="24">
        <v>2</v>
      </c>
      <c r="K5" s="24">
        <v>4</v>
      </c>
      <c r="L5" s="24">
        <v>8</v>
      </c>
      <c r="M5" s="24">
        <v>1</v>
      </c>
      <c r="N5" s="7">
        <v>3</v>
      </c>
      <c r="O5" s="7"/>
      <c r="P5" s="7"/>
      <c r="Q5" s="7"/>
      <c r="R5" s="7">
        <f>AVERAGEIF('Employability-Database'!C:C,'First Four'!A5,'Employability-Database'!I:I)</f>
        <v>60</v>
      </c>
      <c r="S5" s="40">
        <f>'Quality-Database'!H4/'Quality-Database'!G4</f>
        <v>1.3333333333333333E-3</v>
      </c>
      <c r="T5" s="8">
        <f>SUMIF('Quality-Database'!C:C,'First Four'!$A5,'Quality-Database'!L:L)</f>
        <v>75000</v>
      </c>
      <c r="U5" s="8">
        <f>SUMIF('Quality-Database'!C:C,'First Four'!A5,'Quality-Database'!J:J)</f>
        <v>100000</v>
      </c>
      <c r="V5" s="7" t="s">
        <v>105</v>
      </c>
      <c r="W5" s="42">
        <f>AVERAGEIF('Delivery-Database'!C:C,'First Four'!A5,'Delivery-Database'!H:H)</f>
        <v>34.692307692307693</v>
      </c>
      <c r="X5" s="7">
        <f>SUMIF('Delivery-Database'!G:G,'First Four'!A5,'Delivery-Database'!I:I)</f>
        <v>0</v>
      </c>
      <c r="Y5" s="8">
        <f>SUMIF('Delivery-Database'!G:G,'First Four'!A5,'Delivery-Database'!J:J)</f>
        <v>0</v>
      </c>
      <c r="Z5" s="7"/>
    </row>
    <row r="6" spans="1:26" ht="17" x14ac:dyDescent="0.2">
      <c r="A6" s="9">
        <v>45689</v>
      </c>
      <c r="B6" s="7">
        <f>SUMIF('Sales Pipeline-Database'!J:J,'First Four'!A6,'Sales Pipeline-Database'!K:K)</f>
        <v>0</v>
      </c>
      <c r="C6" s="7" t="e">
        <f>AVERAGEIF('Sales Pipeline-Database'!G:G,'First Four'!A6,'Sales Pipeline-Database'!H:H)</f>
        <v>#DIV/0!</v>
      </c>
      <c r="D6" s="33">
        <f>COUNTIF('Sales Pipeline-Database'!E:E,"Won")/COUNTIF('Sales Pipeline-Database'!C:C,"Yes")</f>
        <v>0.25</v>
      </c>
      <c r="E6" s="7" t="e">
        <f>AVERAGEIF('Sales Pipeline-Database'!J:J,'First Four'!A6,'Sales Pipeline-Database'!K:K)</f>
        <v>#DIV/0!</v>
      </c>
      <c r="F6" s="38" t="e">
        <f>AVERAGEIF('Employability-Database'!$C:$C,'First Four'!$A6,'Employability-Database'!D:D)</f>
        <v>#DIV/0!</v>
      </c>
      <c r="G6" s="38" t="e">
        <f>AVERAGEIF('Employability-Database'!$C:$C,'First Four'!$A6,'Employability-Database'!J:J)</f>
        <v>#DIV/0!</v>
      </c>
      <c r="H6" s="38" t="e">
        <f>AVERAGEIF('Employability-Database'!$C:$C,'First Four'!$A6,'Employability-Database'!N:N)</f>
        <v>#DIV/0!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7">
        <f>SUMIF('Delivery-Database'!G:G,'First Four'!A6,'Delivery-Database'!I:I)</f>
        <v>3</v>
      </c>
      <c r="Y6" s="8">
        <f>SUMIF('Delivery-Database'!G:G,'First Four'!A6,'Delivery-Database'!J:J)</f>
        <v>2390000</v>
      </c>
      <c r="Z6" s="2" t="s">
        <v>107</v>
      </c>
    </row>
    <row r="7" spans="1:26" x14ac:dyDescent="0.2">
      <c r="A7" s="9">
        <v>45717</v>
      </c>
      <c r="B7" s="7">
        <f>SUMIF('Sales Pipeline-Database'!J:J,'First Four'!A7,'Sales Pipeline-Database'!K:K)</f>
        <v>0</v>
      </c>
      <c r="C7" s="7" t="e">
        <f>AVERAGEIF('Sales Pipeline-Database'!G:G,'First Four'!A7,'Sales Pipeline-Database'!H:H)</f>
        <v>#DIV/0!</v>
      </c>
      <c r="D7" s="33">
        <f>COUNTIF('Sales Pipeline-Database'!E:E,"Won")/COUNTIF('Sales Pipeline-Database'!C:C,"Yes")</f>
        <v>0.25</v>
      </c>
      <c r="E7" s="7" t="e">
        <f>AVERAGEIF('Sales Pipeline-Database'!J:J,'First Four'!A7,'Sales Pipeline-Database'!K:K)</f>
        <v>#DIV/0!</v>
      </c>
      <c r="F7" s="38" t="e">
        <f>AVERAGEIF('Employability-Database'!$C:$C,'First Four'!$A7,'Employability-Database'!D:D)</f>
        <v>#DIV/0!</v>
      </c>
      <c r="G7" s="38" t="e">
        <f>AVERAGEIF('Employability-Database'!$C:$C,'First Four'!$A7,'Employability-Database'!J:J)</f>
        <v>#DIV/0!</v>
      </c>
      <c r="H7" s="38" t="e">
        <f>AVERAGEIF('Employability-Database'!$C:$C,'First Four'!$A7,'Employability-Database'!N:N)</f>
        <v>#DIV/0!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7">
        <f>SUMIF('Delivery-Database'!G:G,'First Four'!A7,'Delivery-Database'!I:I)</f>
        <v>0</v>
      </c>
      <c r="Y7" s="8">
        <f>SUMIF('Delivery-Database'!G:G,'First Four'!A7,'Delivery-Database'!J:J)</f>
        <v>0</v>
      </c>
      <c r="Z7" s="2"/>
    </row>
    <row r="8" spans="1:26" x14ac:dyDescent="0.2">
      <c r="A8" s="9">
        <v>45748</v>
      </c>
      <c r="B8" s="7">
        <f>SUMIF('Sales Pipeline-Database'!J:J,'First Four'!A8,'Sales Pipeline-Database'!K:K)</f>
        <v>0</v>
      </c>
      <c r="C8" s="7">
        <f>AVERAGEIF('Sales Pipeline-Database'!G:G,'First Four'!A8,'Sales Pipeline-Database'!H:H)</f>
        <v>105</v>
      </c>
      <c r="D8" s="33">
        <f>COUNTIF('Sales Pipeline-Database'!E:E,"Won")/COUNTIF('Sales Pipeline-Database'!C:C,"Yes")</f>
        <v>0.25</v>
      </c>
      <c r="E8" s="7" t="e">
        <f>AVERAGEIF('Sales Pipeline-Database'!J:J,'First Four'!A8,'Sales Pipeline-Database'!K:K)</f>
        <v>#DIV/0!</v>
      </c>
      <c r="F8" s="38" t="e">
        <f>AVERAGEIF('Employability-Database'!$C:$C,'First Four'!$A8,'Employability-Database'!D:D)</f>
        <v>#DIV/0!</v>
      </c>
      <c r="G8" s="38" t="e">
        <f>AVERAGEIF('Employability-Database'!$C:$C,'First Four'!$A8,'Employability-Database'!J:J)</f>
        <v>#DIV/0!</v>
      </c>
      <c r="H8" s="38" t="e">
        <f>AVERAGEIF('Employability-Database'!$C:$C,'First Four'!$A8,'Employability-Database'!N:N)</f>
        <v>#DIV/0!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7">
        <f>SUMIF('Delivery-Database'!G:G,'First Four'!A8,'Delivery-Database'!I:I)</f>
        <v>0</v>
      </c>
      <c r="Y8" s="8">
        <f>SUMIF('Delivery-Database'!G:G,'First Four'!A8,'Delivery-Database'!J:J)</f>
        <v>0</v>
      </c>
      <c r="Z8" s="2"/>
    </row>
    <row r="9" spans="1:26" x14ac:dyDescent="0.2">
      <c r="A9" s="9">
        <v>45778</v>
      </c>
      <c r="B9" s="7">
        <f>SUMIF('Sales Pipeline-Database'!J:J,'First Four'!A9,'Sales Pipeline-Database'!K:K)</f>
        <v>0</v>
      </c>
      <c r="C9" s="7">
        <f>AVERAGEIF('Sales Pipeline-Database'!G:G,'First Four'!A9,'Sales Pipeline-Database'!H:H)</f>
        <v>120</v>
      </c>
      <c r="D9" s="33">
        <f>COUNTIF('Sales Pipeline-Database'!E:E,"Won")/COUNTIF('Sales Pipeline-Database'!C:C,"Yes")</f>
        <v>0.25</v>
      </c>
      <c r="E9" s="7" t="e">
        <f>AVERAGEIF('Sales Pipeline-Database'!J:J,'First Four'!A9,'Sales Pipeline-Database'!K:K)</f>
        <v>#DIV/0!</v>
      </c>
      <c r="F9" s="38" t="e">
        <f>AVERAGEIF('Employability-Database'!$C:$C,'First Four'!$A9,'Employability-Database'!D:D)</f>
        <v>#DIV/0!</v>
      </c>
      <c r="G9" s="38" t="e">
        <f>AVERAGEIF('Employability-Database'!$C:$C,'First Four'!$A9,'Employability-Database'!J:J)</f>
        <v>#DIV/0!</v>
      </c>
      <c r="H9" s="38" t="e">
        <f>AVERAGEIF('Employability-Database'!$C:$C,'First Four'!$A9,'Employability-Database'!N:N)</f>
        <v>#DIV/0!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9">
        <v>45809</v>
      </c>
      <c r="B10" s="7">
        <f>SUMIF('Sales Pipeline-Database'!J:J,'First Four'!A10,'Sales Pipeline-Database'!K:K)</f>
        <v>500000</v>
      </c>
      <c r="C10" s="7">
        <f>AVERAGEIF('Sales Pipeline-Database'!G:G,'First Four'!A10,'Sales Pipeline-Database'!H:H)</f>
        <v>160</v>
      </c>
      <c r="D10" s="33">
        <f>COUNTIF('Sales Pipeline-Database'!E:E,"Won")/COUNTIF('Sales Pipeline-Database'!C:C,"Yes")</f>
        <v>0.25</v>
      </c>
      <c r="E10" s="7">
        <f>AVERAGEIF('Sales Pipeline-Database'!J:J,'First Four'!A10,'Sales Pipeline-Database'!K:K)</f>
        <v>500000</v>
      </c>
      <c r="F10" s="38" t="e">
        <f>AVERAGEIF('Employability-Database'!$C:$C,'First Four'!$A10,'Employability-Database'!D:D)</f>
        <v>#DIV/0!</v>
      </c>
      <c r="G10" s="38" t="e">
        <f>AVERAGEIF('Employability-Database'!$C:$C,'First Four'!$A10,'Employability-Database'!J:J)</f>
        <v>#DIV/0!</v>
      </c>
      <c r="H10" s="38" t="e">
        <f>AVERAGEIF('Employability-Database'!$C:$C,'First Four'!$A10,'Employability-Database'!N:N)</f>
        <v>#DIV/0!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9">
        <v>45839</v>
      </c>
      <c r="B11" s="7">
        <f>SUMIF('Sales Pipeline-Database'!J:J,'First Four'!A11,'Sales Pipeline-Database'!K:K)</f>
        <v>1650000</v>
      </c>
      <c r="C11" s="7">
        <f>AVERAGEIF('Sales Pipeline-Database'!G:G,'First Four'!A11,'Sales Pipeline-Database'!H:H)</f>
        <v>165</v>
      </c>
      <c r="D11" s="33">
        <f>COUNTIF('Sales Pipeline-Database'!E:E,"Won")/COUNTIF('Sales Pipeline-Database'!C:C,"Yes")</f>
        <v>0.25</v>
      </c>
      <c r="E11" s="7">
        <f>AVERAGEIF('Sales Pipeline-Database'!J:J,'First Four'!A11,'Sales Pipeline-Database'!K:K)</f>
        <v>825000</v>
      </c>
      <c r="F11" s="38" t="e">
        <f>AVERAGEIF('Employability-Database'!$C:$C,'First Four'!$A11,'Employability-Database'!D:D)</f>
        <v>#DIV/0!</v>
      </c>
      <c r="G11" s="38" t="e">
        <f>AVERAGEIF('Employability-Database'!$C:$C,'First Four'!$A11,'Employability-Database'!J:J)</f>
        <v>#DIV/0!</v>
      </c>
      <c r="H11" s="38" t="e">
        <f>AVERAGEIF('Employability-Database'!$C:$C,'First Four'!$A11,'Employability-Database'!N:N)</f>
        <v>#DIV/0!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9">
        <v>45870</v>
      </c>
      <c r="B12" s="7">
        <f>SUMIF('Sales Pipeline-Database'!J:J,'First Four'!A12,'Sales Pipeline-Database'!K:K)</f>
        <v>1500000</v>
      </c>
      <c r="C12" s="7" t="e">
        <f>AVERAGEIF('Sales Pipeline-Database'!G:G,'First Four'!A12,'Sales Pipeline-Database'!H:H)</f>
        <v>#DIV/0!</v>
      </c>
      <c r="D12" s="33">
        <f>COUNTIF('Sales Pipeline-Database'!E:E,"Won")/COUNTIF('Sales Pipeline-Database'!C:C,"Yes")</f>
        <v>0.25</v>
      </c>
      <c r="E12" s="7">
        <f>AVERAGEIF('Sales Pipeline-Database'!J:J,'First Four'!A12,'Sales Pipeline-Database'!K:K)</f>
        <v>1500000</v>
      </c>
      <c r="F12" s="38" t="e">
        <f>AVERAGEIF('Employability-Database'!$C:$C,'First Four'!$A12,'Employability-Database'!D:D)</f>
        <v>#DIV/0!</v>
      </c>
      <c r="G12" s="38" t="e">
        <f>AVERAGEIF('Employability-Database'!$C:$C,'First Four'!$A12,'Employability-Database'!J:J)</f>
        <v>#DIV/0!</v>
      </c>
      <c r="H12" s="38" t="e">
        <f>AVERAGEIF('Employability-Database'!$C:$C,'First Four'!$A12,'Employability-Database'!N:N)</f>
        <v>#DIV/0!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9">
        <v>45901</v>
      </c>
      <c r="B13" s="7">
        <f>SUMIF('Sales Pipeline-Database'!J:J,'First Four'!A13,'Sales Pipeline-Database'!K:K)</f>
        <v>800000</v>
      </c>
      <c r="C13" s="7" t="e">
        <f>AVERAGEIF('Sales Pipeline-Database'!G:G,'First Four'!A13,'Sales Pipeline-Database'!H:H)</f>
        <v>#DIV/0!</v>
      </c>
      <c r="D13" s="33">
        <f>COUNTIF('Sales Pipeline-Database'!E:E,"Won")/COUNTIF('Sales Pipeline-Database'!C:C,"Yes")</f>
        <v>0.25</v>
      </c>
      <c r="E13" s="7">
        <f>AVERAGEIF('Sales Pipeline-Database'!J:J,'First Four'!A13,'Sales Pipeline-Database'!K:K)</f>
        <v>800000</v>
      </c>
      <c r="F13" s="38" t="e">
        <f>AVERAGEIF('Employability-Database'!$C:$C,'First Four'!$A13,'Employability-Database'!D:D)</f>
        <v>#DIV/0!</v>
      </c>
      <c r="G13" s="38" t="e">
        <f>AVERAGEIF('Employability-Database'!$C:$C,'First Four'!$A13,'Employability-Database'!J:J)</f>
        <v>#DIV/0!</v>
      </c>
      <c r="H13" s="38" t="e">
        <f>AVERAGEIF('Employability-Database'!$C:$C,'First Four'!$A13,'Employability-Database'!N:N)</f>
        <v>#DIV/0!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9">
        <v>45931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9">
        <v>45962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9">
        <v>45992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9">
        <v>46023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9">
        <v>46054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9">
        <v>46082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9">
        <v>46113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9">
        <v>46143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9">
        <v>46174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9">
        <v>46204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9">
        <v>46235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9">
        <v>46266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9">
        <v>46296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9">
        <v>46327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9">
        <v>46357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9">
        <v>46388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9">
        <v>46419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9">
        <v>46447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9">
        <v>46478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9">
        <v>46508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9">
        <v>46539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9">
        <v>46569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9">
        <v>46600</v>
      </c>
    </row>
    <row r="37" spans="1:26" x14ac:dyDescent="0.2">
      <c r="A37" s="9">
        <v>46631</v>
      </c>
    </row>
    <row r="38" spans="1:26" x14ac:dyDescent="0.2">
      <c r="A38" s="9">
        <v>46661</v>
      </c>
    </row>
    <row r="39" spans="1:26" x14ac:dyDescent="0.2">
      <c r="A39" s="9">
        <v>46692</v>
      </c>
    </row>
    <row r="40" spans="1:26" x14ac:dyDescent="0.2">
      <c r="A40" s="9">
        <v>46722</v>
      </c>
    </row>
  </sheetData>
  <mergeCells count="25">
    <mergeCell ref="S1:V1"/>
    <mergeCell ref="W1:Z1"/>
    <mergeCell ref="B2:E2"/>
    <mergeCell ref="F2:R2"/>
    <mergeCell ref="S2:V2"/>
    <mergeCell ref="W2:Z2"/>
    <mergeCell ref="I3:M3"/>
    <mergeCell ref="N3:Q3"/>
    <mergeCell ref="A1:A4"/>
    <mergeCell ref="B3:B4"/>
    <mergeCell ref="C3:C4"/>
    <mergeCell ref="D3:D4"/>
    <mergeCell ref="E3:E4"/>
    <mergeCell ref="B1:E1"/>
    <mergeCell ref="F1:R1"/>
    <mergeCell ref="F3:H3"/>
    <mergeCell ref="X3:X4"/>
    <mergeCell ref="Y3:Y4"/>
    <mergeCell ref="Z3:Z4"/>
    <mergeCell ref="R3:R4"/>
    <mergeCell ref="S3:S4"/>
    <mergeCell ref="T3:T4"/>
    <mergeCell ref="U3:U4"/>
    <mergeCell ref="V3:V4"/>
    <mergeCell ref="W3:W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3BB2-9405-F940-A2ED-38B87E270C2A}">
  <dimension ref="B3:P34"/>
  <sheetViews>
    <sheetView zoomScale="130" zoomScaleNormal="130" workbookViewId="0">
      <selection activeCell="J5" sqref="J5"/>
    </sheetView>
  </sheetViews>
  <sheetFormatPr baseColWidth="10" defaultRowHeight="16" x14ac:dyDescent="0.2"/>
  <cols>
    <col min="2" max="13" width="11.83203125" customWidth="1"/>
    <col min="15" max="15" width="12.33203125" bestFit="1" customWidth="1"/>
  </cols>
  <sheetData>
    <row r="3" spans="2:16" x14ac:dyDescent="0.2">
      <c r="B3" s="18" t="s">
        <v>49</v>
      </c>
      <c r="C3" s="18" t="s">
        <v>98</v>
      </c>
      <c r="D3" s="18" t="s">
        <v>50</v>
      </c>
      <c r="E3" s="11" t="s">
        <v>94</v>
      </c>
      <c r="F3" s="18" t="s">
        <v>51</v>
      </c>
      <c r="G3" s="30" t="s">
        <v>92</v>
      </c>
      <c r="H3" s="30" t="s">
        <v>93</v>
      </c>
      <c r="I3" s="18" t="s">
        <v>52</v>
      </c>
      <c r="J3" s="30" t="s">
        <v>92</v>
      </c>
      <c r="K3" s="18" t="s">
        <v>53</v>
      </c>
      <c r="L3" s="18" t="s">
        <v>47</v>
      </c>
      <c r="M3" s="18" t="s">
        <v>48</v>
      </c>
    </row>
    <row r="4" spans="2:16" x14ac:dyDescent="0.2">
      <c r="B4" s="18"/>
      <c r="C4" s="18"/>
      <c r="D4" s="18"/>
      <c r="E4" s="11"/>
      <c r="F4" s="18"/>
      <c r="G4" s="31"/>
      <c r="H4" s="31"/>
      <c r="I4" s="18"/>
      <c r="J4" s="31"/>
      <c r="K4" s="18"/>
      <c r="L4" s="18"/>
      <c r="M4" s="18"/>
    </row>
    <row r="5" spans="2:16" x14ac:dyDescent="0.2">
      <c r="B5" s="26">
        <v>45662</v>
      </c>
      <c r="C5" s="10" t="s">
        <v>75</v>
      </c>
      <c r="D5" s="27">
        <f>B5+45</f>
        <v>45707</v>
      </c>
      <c r="E5" s="27" t="s">
        <v>95</v>
      </c>
      <c r="F5" s="27">
        <f>D5+60</f>
        <v>45767</v>
      </c>
      <c r="G5" s="27" t="str">
        <f>TEXT(F5,"MMM")&amp;TEXT(F5,"-YY")</f>
        <v>Apr-25</v>
      </c>
      <c r="H5" s="32">
        <f>IF(F5="",0,F5-B5)</f>
        <v>105</v>
      </c>
      <c r="I5" s="27">
        <f>F5+60</f>
        <v>45827</v>
      </c>
      <c r="J5" s="27" t="str">
        <f>TEXT(I5,"MMM")&amp;TEXT(I5,"-YY")</f>
        <v>Jun-25</v>
      </c>
      <c r="K5" s="28">
        <v>500000</v>
      </c>
      <c r="L5" s="10" t="s">
        <v>77</v>
      </c>
      <c r="M5" s="10" t="s">
        <v>87</v>
      </c>
    </row>
    <row r="6" spans="2:16" x14ac:dyDescent="0.2">
      <c r="B6" s="26">
        <v>45667</v>
      </c>
      <c r="C6" s="10" t="s">
        <v>75</v>
      </c>
      <c r="D6" s="27">
        <f>B6+45</f>
        <v>45712</v>
      </c>
      <c r="E6" s="27" t="s">
        <v>76</v>
      </c>
      <c r="F6" s="10"/>
      <c r="G6" s="27" t="str">
        <f t="shared" ref="G6:G34" si="0">TEXT(F6,"MMM")&amp;TEXT(F6,"-YY")</f>
        <v>Jan-00</v>
      </c>
      <c r="H6" s="32">
        <f>IF(F6="",0,F6-B6)</f>
        <v>0</v>
      </c>
      <c r="I6" s="10"/>
      <c r="J6" s="27" t="str">
        <f t="shared" ref="J6:J34" si="1">TEXT(I6,"MMM")&amp;TEXT(I6,"-YY")</f>
        <v>Jan-00</v>
      </c>
      <c r="K6" s="28"/>
      <c r="L6" s="10" t="s">
        <v>78</v>
      </c>
      <c r="M6" s="10" t="s">
        <v>87</v>
      </c>
    </row>
    <row r="7" spans="2:16" x14ac:dyDescent="0.2">
      <c r="B7" s="26">
        <v>45671</v>
      </c>
      <c r="C7" s="10" t="s">
        <v>75</v>
      </c>
      <c r="D7" s="27">
        <f>B7+45</f>
        <v>45716</v>
      </c>
      <c r="E7" s="27" t="s">
        <v>76</v>
      </c>
      <c r="F7" s="10"/>
      <c r="G7" s="27" t="str">
        <f t="shared" si="0"/>
        <v>Jan-00</v>
      </c>
      <c r="H7" s="32">
        <f>IF(F7="",0,F7-B7)</f>
        <v>0</v>
      </c>
      <c r="I7" s="10"/>
      <c r="J7" s="27" t="str">
        <f t="shared" si="1"/>
        <v>Jan-00</v>
      </c>
      <c r="K7" s="28"/>
      <c r="L7" s="10" t="s">
        <v>79</v>
      </c>
      <c r="M7" s="10" t="s">
        <v>88</v>
      </c>
      <c r="O7" t="s">
        <v>97</v>
      </c>
      <c r="P7">
        <f>COUNT(B:B)</f>
        <v>30</v>
      </c>
    </row>
    <row r="8" spans="2:16" x14ac:dyDescent="0.2">
      <c r="B8" s="26">
        <v>45671</v>
      </c>
      <c r="C8" s="10" t="s">
        <v>75</v>
      </c>
      <c r="D8" s="27">
        <f>B8+45</f>
        <v>45716</v>
      </c>
      <c r="E8" s="27" t="s">
        <v>96</v>
      </c>
      <c r="F8" s="10"/>
      <c r="G8" s="27" t="str">
        <f t="shared" si="0"/>
        <v>Jan-00</v>
      </c>
      <c r="H8" s="32">
        <f>IF(F8="",0,F8-B8)</f>
        <v>0</v>
      </c>
      <c r="I8" s="10"/>
      <c r="J8" s="27" t="str">
        <f t="shared" si="1"/>
        <v>Jan-00</v>
      </c>
      <c r="K8" s="28"/>
      <c r="L8" s="10" t="s">
        <v>80</v>
      </c>
      <c r="M8" s="10" t="s">
        <v>89</v>
      </c>
      <c r="O8" t="s">
        <v>100</v>
      </c>
      <c r="P8">
        <f>COUNTIF(C:C,"Yes")</f>
        <v>20</v>
      </c>
    </row>
    <row r="9" spans="2:16" x14ac:dyDescent="0.2">
      <c r="B9" s="26">
        <v>45672</v>
      </c>
      <c r="C9" s="10" t="s">
        <v>75</v>
      </c>
      <c r="D9" s="27">
        <f>B9+75</f>
        <v>45747</v>
      </c>
      <c r="E9" s="27" t="s">
        <v>95</v>
      </c>
      <c r="F9" s="27">
        <f>D9+60</f>
        <v>45807</v>
      </c>
      <c r="G9" s="27" t="str">
        <f t="shared" si="0"/>
        <v>May-25</v>
      </c>
      <c r="H9" s="32">
        <f>IF(F9="",0,F9-B9)</f>
        <v>135</v>
      </c>
      <c r="I9" s="27">
        <f>F9+60</f>
        <v>45867</v>
      </c>
      <c r="J9" s="27" t="str">
        <f t="shared" si="1"/>
        <v>Jul-25</v>
      </c>
      <c r="K9" s="28">
        <v>750000</v>
      </c>
      <c r="L9" s="10" t="s">
        <v>81</v>
      </c>
      <c r="M9" s="10" t="s">
        <v>90</v>
      </c>
      <c r="O9" t="s">
        <v>99</v>
      </c>
      <c r="P9">
        <f>COUNTIF(E:E,"Won")+COUNTIF(E:E,"Lost")</f>
        <v>14</v>
      </c>
    </row>
    <row r="10" spans="2:16" x14ac:dyDescent="0.2">
      <c r="B10" s="26">
        <v>45672</v>
      </c>
      <c r="C10" s="10" t="s">
        <v>76</v>
      </c>
      <c r="D10" s="27">
        <f>B10+45</f>
        <v>45717</v>
      </c>
      <c r="E10" s="27" t="s">
        <v>76</v>
      </c>
      <c r="F10" s="10"/>
      <c r="G10" s="27" t="str">
        <f t="shared" si="0"/>
        <v>Jan-00</v>
      </c>
      <c r="H10" s="32">
        <f>IF(F10="",0,F10-B10)</f>
        <v>0</v>
      </c>
      <c r="I10" s="10"/>
      <c r="J10" s="27" t="str">
        <f t="shared" si="1"/>
        <v>Jan-00</v>
      </c>
      <c r="K10" s="28"/>
      <c r="L10" s="10" t="s">
        <v>82</v>
      </c>
      <c r="M10" s="10" t="s">
        <v>87</v>
      </c>
      <c r="O10" t="s">
        <v>95</v>
      </c>
      <c r="P10">
        <f>COUNTIF(E:E,"Won")</f>
        <v>5</v>
      </c>
    </row>
    <row r="11" spans="2:16" x14ac:dyDescent="0.2">
      <c r="B11" s="26">
        <v>45672</v>
      </c>
      <c r="C11" s="10" t="s">
        <v>75</v>
      </c>
      <c r="D11" s="27">
        <f>B11+45</f>
        <v>45717</v>
      </c>
      <c r="E11" s="27" t="s">
        <v>76</v>
      </c>
      <c r="F11" s="10"/>
      <c r="G11" s="27" t="str">
        <f t="shared" si="0"/>
        <v>Jan-00</v>
      </c>
      <c r="H11" s="32">
        <f>IF(F11="",0,F11-B11)</f>
        <v>0</v>
      </c>
      <c r="I11" s="10"/>
      <c r="J11" s="27" t="str">
        <f t="shared" si="1"/>
        <v>Jan-00</v>
      </c>
      <c r="K11" s="28"/>
      <c r="L11" s="10" t="s">
        <v>83</v>
      </c>
      <c r="M11" s="10" t="s">
        <v>90</v>
      </c>
    </row>
    <row r="12" spans="2:16" x14ac:dyDescent="0.2">
      <c r="B12" s="26">
        <v>45673</v>
      </c>
      <c r="C12" s="10" t="s">
        <v>75</v>
      </c>
      <c r="D12" s="27">
        <f>B12+45</f>
        <v>45718</v>
      </c>
      <c r="E12" s="27" t="s">
        <v>96</v>
      </c>
      <c r="F12" s="10"/>
      <c r="G12" s="27" t="str">
        <f t="shared" si="0"/>
        <v>Jan-00</v>
      </c>
      <c r="H12" s="32">
        <f>IF(F12="",0,F12-B12)</f>
        <v>0</v>
      </c>
      <c r="I12" s="10"/>
      <c r="J12" s="27" t="str">
        <f t="shared" si="1"/>
        <v>Jan-00</v>
      </c>
      <c r="K12" s="28"/>
      <c r="L12" s="10" t="s">
        <v>84</v>
      </c>
      <c r="M12" s="10" t="s">
        <v>3</v>
      </c>
    </row>
    <row r="13" spans="2:16" x14ac:dyDescent="0.2">
      <c r="B13" s="26">
        <v>45673</v>
      </c>
      <c r="C13" s="10" t="s">
        <v>75</v>
      </c>
      <c r="D13" s="27">
        <f>B13+45</f>
        <v>45718</v>
      </c>
      <c r="E13" s="27" t="s">
        <v>96</v>
      </c>
      <c r="F13" s="10"/>
      <c r="G13" s="27" t="str">
        <f t="shared" si="0"/>
        <v>Jan-00</v>
      </c>
      <c r="H13" s="32">
        <f>IF(F13="",0,F13-B13)</f>
        <v>0</v>
      </c>
      <c r="I13" s="10"/>
      <c r="J13" s="27" t="str">
        <f t="shared" si="1"/>
        <v>Jan-00</v>
      </c>
      <c r="K13" s="28"/>
      <c r="L13" s="10" t="s">
        <v>85</v>
      </c>
      <c r="M13" s="10" t="s">
        <v>91</v>
      </c>
    </row>
    <row r="14" spans="2:16" x14ac:dyDescent="0.2">
      <c r="B14" s="26">
        <v>45674</v>
      </c>
      <c r="C14" s="10" t="s">
        <v>76</v>
      </c>
      <c r="D14" s="27">
        <f>B14+45</f>
        <v>45719</v>
      </c>
      <c r="E14" s="27" t="s">
        <v>76</v>
      </c>
      <c r="F14" s="10"/>
      <c r="G14" s="27" t="str">
        <f t="shared" si="0"/>
        <v>Jan-00</v>
      </c>
      <c r="H14" s="32">
        <f>IF(F14="",0,F14-B14)</f>
        <v>0</v>
      </c>
      <c r="I14" s="10"/>
      <c r="J14" s="27" t="str">
        <f t="shared" si="1"/>
        <v>Jan-00</v>
      </c>
      <c r="K14" s="28"/>
      <c r="L14" s="10" t="s">
        <v>86</v>
      </c>
      <c r="M14" s="10" t="s">
        <v>91</v>
      </c>
    </row>
    <row r="15" spans="2:16" x14ac:dyDescent="0.2">
      <c r="B15" s="26">
        <v>45674</v>
      </c>
      <c r="C15" s="10" t="s">
        <v>75</v>
      </c>
      <c r="D15" s="27">
        <f>B15+45</f>
        <v>45719</v>
      </c>
      <c r="E15" s="27" t="s">
        <v>76</v>
      </c>
      <c r="F15" s="10"/>
      <c r="G15" s="27" t="str">
        <f t="shared" si="0"/>
        <v>Jan-00</v>
      </c>
      <c r="H15" s="32">
        <f>IF(F15="",0,F15-B15)</f>
        <v>0</v>
      </c>
      <c r="I15" s="10"/>
      <c r="J15" s="27" t="str">
        <f t="shared" si="1"/>
        <v>Jan-00</v>
      </c>
      <c r="K15" s="28"/>
      <c r="L15" s="10" t="s">
        <v>77</v>
      </c>
      <c r="M15" s="10" t="s">
        <v>87</v>
      </c>
    </row>
    <row r="16" spans="2:16" x14ac:dyDescent="0.2">
      <c r="B16" s="26">
        <v>45675</v>
      </c>
      <c r="C16" s="10" t="s">
        <v>75</v>
      </c>
      <c r="D16" s="27">
        <f>B16+100</f>
        <v>45775</v>
      </c>
      <c r="E16" s="27" t="s">
        <v>95</v>
      </c>
      <c r="F16" s="27">
        <f>D16+60</f>
        <v>45835</v>
      </c>
      <c r="G16" s="27" t="str">
        <f t="shared" si="0"/>
        <v>Jun-25</v>
      </c>
      <c r="H16" s="32">
        <f>IF(F16="",0,F16-B16)</f>
        <v>160</v>
      </c>
      <c r="I16" s="27">
        <f>F16+60</f>
        <v>45895</v>
      </c>
      <c r="J16" s="27" t="str">
        <f t="shared" si="1"/>
        <v>Aug-25</v>
      </c>
      <c r="K16" s="28">
        <v>1500000</v>
      </c>
      <c r="L16" s="10" t="s">
        <v>78</v>
      </c>
      <c r="M16" s="10" t="s">
        <v>87</v>
      </c>
    </row>
    <row r="17" spans="2:13" x14ac:dyDescent="0.2">
      <c r="B17" s="26">
        <v>45687</v>
      </c>
      <c r="C17" s="10" t="s">
        <v>76</v>
      </c>
      <c r="D17" s="27">
        <f>B17+45</f>
        <v>45732</v>
      </c>
      <c r="E17" s="27" t="s">
        <v>76</v>
      </c>
      <c r="F17" s="10"/>
      <c r="G17" s="27" t="str">
        <f t="shared" si="0"/>
        <v>Jan-00</v>
      </c>
      <c r="H17" s="32">
        <f>IF(F17="",0,F17-B17)</f>
        <v>0</v>
      </c>
      <c r="I17" s="10"/>
      <c r="J17" s="27" t="str">
        <f t="shared" si="1"/>
        <v>Jan-00</v>
      </c>
      <c r="K17" s="28"/>
      <c r="L17" s="10" t="s">
        <v>79</v>
      </c>
      <c r="M17" s="10" t="s">
        <v>88</v>
      </c>
    </row>
    <row r="18" spans="2:13" x14ac:dyDescent="0.2">
      <c r="B18" s="26">
        <v>45688</v>
      </c>
      <c r="C18" s="10" t="s">
        <v>75</v>
      </c>
      <c r="D18" s="27">
        <f>B18+45</f>
        <v>45733</v>
      </c>
      <c r="E18" s="27" t="s">
        <v>96</v>
      </c>
      <c r="F18" s="10"/>
      <c r="G18" s="27" t="str">
        <f t="shared" si="0"/>
        <v>Jan-00</v>
      </c>
      <c r="H18" s="32">
        <f>IF(F18="",0,F18-B18)</f>
        <v>0</v>
      </c>
      <c r="I18" s="10"/>
      <c r="J18" s="27" t="str">
        <f t="shared" si="1"/>
        <v>Jan-00</v>
      </c>
      <c r="K18" s="28"/>
      <c r="L18" s="10" t="s">
        <v>80</v>
      </c>
      <c r="M18" s="10" t="s">
        <v>89</v>
      </c>
    </row>
    <row r="19" spans="2:13" x14ac:dyDescent="0.2">
      <c r="B19" s="26">
        <v>45691</v>
      </c>
      <c r="C19" s="10" t="s">
        <v>76</v>
      </c>
      <c r="D19" s="27">
        <f>B19+45</f>
        <v>45736</v>
      </c>
      <c r="E19" s="27" t="s">
        <v>76</v>
      </c>
      <c r="F19" s="10"/>
      <c r="G19" s="27" t="str">
        <f t="shared" si="0"/>
        <v>Jan-00</v>
      </c>
      <c r="H19" s="32">
        <f>IF(F19="",0,F19-B19)</f>
        <v>0</v>
      </c>
      <c r="I19" s="10"/>
      <c r="J19" s="27" t="str">
        <f t="shared" si="1"/>
        <v>Jan-00</v>
      </c>
      <c r="K19" s="28"/>
      <c r="L19" s="10" t="s">
        <v>81</v>
      </c>
      <c r="M19" s="10" t="s">
        <v>90</v>
      </c>
    </row>
    <row r="20" spans="2:13" x14ac:dyDescent="0.2">
      <c r="B20" s="26">
        <v>45691</v>
      </c>
      <c r="C20" s="10" t="s">
        <v>76</v>
      </c>
      <c r="D20" s="27">
        <f>B20+45</f>
        <v>45736</v>
      </c>
      <c r="E20" s="27" t="s">
        <v>76</v>
      </c>
      <c r="F20" s="10"/>
      <c r="G20" s="27" t="str">
        <f t="shared" si="0"/>
        <v>Jan-00</v>
      </c>
      <c r="H20" s="32">
        <f>IF(F20="",0,F20-B20)</f>
        <v>0</v>
      </c>
      <c r="I20" s="10"/>
      <c r="J20" s="27" t="str">
        <f t="shared" si="1"/>
        <v>Jan-00</v>
      </c>
      <c r="K20" s="28"/>
      <c r="L20" s="10" t="s">
        <v>82</v>
      </c>
      <c r="M20" s="10" t="s">
        <v>87</v>
      </c>
    </row>
    <row r="21" spans="2:13" x14ac:dyDescent="0.2">
      <c r="B21" s="26">
        <v>45691</v>
      </c>
      <c r="C21" s="10" t="s">
        <v>75</v>
      </c>
      <c r="D21" s="27">
        <f>B21+45</f>
        <v>45736</v>
      </c>
      <c r="E21" s="27" t="s">
        <v>96</v>
      </c>
      <c r="F21" s="10"/>
      <c r="G21" s="27" t="str">
        <f t="shared" si="0"/>
        <v>Jan-00</v>
      </c>
      <c r="H21" s="32">
        <f>IF(F21="",0,F21-B21)</f>
        <v>0</v>
      </c>
      <c r="I21" s="10"/>
      <c r="J21" s="27" t="str">
        <f t="shared" si="1"/>
        <v>Jan-00</v>
      </c>
      <c r="K21" s="28"/>
      <c r="L21" s="10" t="s">
        <v>83</v>
      </c>
      <c r="M21" s="10" t="s">
        <v>90</v>
      </c>
    </row>
    <row r="22" spans="2:13" x14ac:dyDescent="0.2">
      <c r="B22" s="26">
        <v>45692</v>
      </c>
      <c r="C22" s="10" t="s">
        <v>75</v>
      </c>
      <c r="D22" s="27">
        <f>B22+105</f>
        <v>45797</v>
      </c>
      <c r="E22" s="27" t="s">
        <v>95</v>
      </c>
      <c r="F22" s="27">
        <f>D22+60</f>
        <v>45857</v>
      </c>
      <c r="G22" s="27" t="str">
        <f t="shared" si="0"/>
        <v>Jul-25</v>
      </c>
      <c r="H22" s="32">
        <f>IF(F22="",0,F22-B22)</f>
        <v>165</v>
      </c>
      <c r="I22" s="27">
        <f>F22+60</f>
        <v>45917</v>
      </c>
      <c r="J22" s="27" t="str">
        <f t="shared" si="1"/>
        <v>Sep-25</v>
      </c>
      <c r="K22" s="28">
        <v>800000</v>
      </c>
      <c r="L22" s="10" t="s">
        <v>84</v>
      </c>
      <c r="M22" s="10" t="s">
        <v>3</v>
      </c>
    </row>
    <row r="23" spans="2:13" x14ac:dyDescent="0.2">
      <c r="B23" s="26">
        <v>45692</v>
      </c>
      <c r="C23" s="10" t="s">
        <v>75</v>
      </c>
      <c r="D23" s="27">
        <f>B23+45</f>
        <v>45737</v>
      </c>
      <c r="E23" s="27" t="s">
        <v>96</v>
      </c>
      <c r="F23" s="10"/>
      <c r="G23" s="27" t="str">
        <f t="shared" si="0"/>
        <v>Jan-00</v>
      </c>
      <c r="H23" s="32">
        <f>IF(F23="",0,F23-B23)</f>
        <v>0</v>
      </c>
      <c r="I23" s="10"/>
      <c r="J23" s="27" t="str">
        <f t="shared" si="1"/>
        <v>Jan-00</v>
      </c>
      <c r="K23" s="28"/>
      <c r="L23" s="10" t="s">
        <v>85</v>
      </c>
      <c r="M23" s="10" t="s">
        <v>91</v>
      </c>
    </row>
    <row r="24" spans="2:13" x14ac:dyDescent="0.2">
      <c r="B24" s="26">
        <v>45692</v>
      </c>
      <c r="C24" s="10" t="s">
        <v>76</v>
      </c>
      <c r="D24" s="27">
        <f>B24+45</f>
        <v>45737</v>
      </c>
      <c r="E24" s="27" t="s">
        <v>76</v>
      </c>
      <c r="F24" s="10"/>
      <c r="G24" s="27" t="str">
        <f t="shared" si="0"/>
        <v>Jan-00</v>
      </c>
      <c r="H24" s="32">
        <f>IF(F24="",0,F24-B24)</f>
        <v>0</v>
      </c>
      <c r="I24" s="10"/>
      <c r="J24" s="27" t="str">
        <f t="shared" si="1"/>
        <v>Jan-00</v>
      </c>
      <c r="K24" s="28"/>
      <c r="L24" s="10" t="s">
        <v>86</v>
      </c>
      <c r="M24" s="10" t="s">
        <v>91</v>
      </c>
    </row>
    <row r="25" spans="2:13" x14ac:dyDescent="0.2">
      <c r="B25" s="26">
        <v>45692</v>
      </c>
      <c r="C25" s="10" t="s">
        <v>75</v>
      </c>
      <c r="D25" s="27">
        <f>B25+45</f>
        <v>45737</v>
      </c>
      <c r="E25" s="27" t="s">
        <v>76</v>
      </c>
      <c r="F25" s="10"/>
      <c r="G25" s="27" t="str">
        <f t="shared" si="0"/>
        <v>Jan-00</v>
      </c>
      <c r="H25" s="32">
        <f>IF(F25="",0,F25-B25)</f>
        <v>0</v>
      </c>
      <c r="I25" s="10"/>
      <c r="J25" s="27" t="str">
        <f t="shared" si="1"/>
        <v>Jan-00</v>
      </c>
      <c r="K25" s="28"/>
      <c r="L25" s="10" t="s">
        <v>77</v>
      </c>
      <c r="M25" s="10" t="s">
        <v>87</v>
      </c>
    </row>
    <row r="26" spans="2:13" x14ac:dyDescent="0.2">
      <c r="B26" s="26">
        <v>45692</v>
      </c>
      <c r="C26" s="10" t="s">
        <v>76</v>
      </c>
      <c r="D26" s="27">
        <f>B26+45</f>
        <v>45737</v>
      </c>
      <c r="E26" s="27" t="s">
        <v>76</v>
      </c>
      <c r="F26" s="10"/>
      <c r="G26" s="27" t="str">
        <f t="shared" si="0"/>
        <v>Jan-00</v>
      </c>
      <c r="H26" s="32">
        <f>IF(F26="",0,F26-B26)</f>
        <v>0</v>
      </c>
      <c r="I26" s="10"/>
      <c r="J26" s="27" t="str">
        <f t="shared" si="1"/>
        <v>Jan-00</v>
      </c>
      <c r="K26" s="28"/>
      <c r="L26" s="10" t="s">
        <v>78</v>
      </c>
      <c r="M26" s="10" t="s">
        <v>87</v>
      </c>
    </row>
    <row r="27" spans="2:13" x14ac:dyDescent="0.2">
      <c r="B27" s="26">
        <v>45692</v>
      </c>
      <c r="C27" s="10" t="s">
        <v>75</v>
      </c>
      <c r="D27" s="27">
        <f>B27+45</f>
        <v>45737</v>
      </c>
      <c r="E27" s="27" t="s">
        <v>96</v>
      </c>
      <c r="F27" s="10"/>
      <c r="G27" s="27" t="str">
        <f t="shared" si="0"/>
        <v>Jan-00</v>
      </c>
      <c r="H27" s="32">
        <f>IF(F27="",0,F27-B27)</f>
        <v>0</v>
      </c>
      <c r="I27" s="10"/>
      <c r="J27" s="27" t="str">
        <f t="shared" si="1"/>
        <v>Jan-00</v>
      </c>
      <c r="K27" s="28"/>
      <c r="L27" s="10" t="s">
        <v>79</v>
      </c>
      <c r="M27" s="10" t="s">
        <v>88</v>
      </c>
    </row>
    <row r="28" spans="2:13" x14ac:dyDescent="0.2">
      <c r="B28" s="26">
        <v>45693</v>
      </c>
      <c r="C28" s="10" t="s">
        <v>75</v>
      </c>
      <c r="D28" s="27">
        <f>B28+45</f>
        <v>45738</v>
      </c>
      <c r="E28" s="27" t="s">
        <v>96</v>
      </c>
      <c r="F28" s="10"/>
      <c r="G28" s="27" t="str">
        <f t="shared" si="0"/>
        <v>Jan-00</v>
      </c>
      <c r="H28" s="32">
        <f>IF(F28="",0,F28-B28)</f>
        <v>0</v>
      </c>
      <c r="I28" s="10"/>
      <c r="J28" s="27" t="str">
        <f t="shared" si="1"/>
        <v>Jan-00</v>
      </c>
      <c r="K28" s="28"/>
      <c r="L28" s="10" t="s">
        <v>80</v>
      </c>
      <c r="M28" s="10" t="s">
        <v>89</v>
      </c>
    </row>
    <row r="29" spans="2:13" x14ac:dyDescent="0.2">
      <c r="B29" s="26">
        <v>45693</v>
      </c>
      <c r="C29" s="10" t="s">
        <v>76</v>
      </c>
      <c r="D29" s="27">
        <f>B29+45</f>
        <v>45738</v>
      </c>
      <c r="E29" s="27" t="s">
        <v>76</v>
      </c>
      <c r="F29" s="10"/>
      <c r="G29" s="27" t="str">
        <f t="shared" si="0"/>
        <v>Jan-00</v>
      </c>
      <c r="H29" s="32">
        <f>IF(F29="",0,F29-B29)</f>
        <v>0</v>
      </c>
      <c r="I29" s="10"/>
      <c r="J29" s="27" t="str">
        <f t="shared" si="1"/>
        <v>Jan-00</v>
      </c>
      <c r="K29" s="28"/>
      <c r="L29" s="10" t="s">
        <v>81</v>
      </c>
      <c r="M29" s="10" t="s">
        <v>90</v>
      </c>
    </row>
    <row r="30" spans="2:13" x14ac:dyDescent="0.2">
      <c r="B30" s="26">
        <v>45699</v>
      </c>
      <c r="C30" s="10" t="s">
        <v>75</v>
      </c>
      <c r="D30" s="27">
        <f>B30+45</f>
        <v>45744</v>
      </c>
      <c r="E30" s="27" t="s">
        <v>76</v>
      </c>
      <c r="G30" s="27" t="str">
        <f t="shared" si="0"/>
        <v>Jan-00</v>
      </c>
      <c r="H30" s="32">
        <f>IF(F30="",0,F30-B30)</f>
        <v>0</v>
      </c>
      <c r="J30" s="27" t="str">
        <f t="shared" si="1"/>
        <v>Jan-00</v>
      </c>
      <c r="K30" s="29"/>
      <c r="L30" s="10" t="s">
        <v>82</v>
      </c>
      <c r="M30" s="10" t="s">
        <v>87</v>
      </c>
    </row>
    <row r="31" spans="2:13" x14ac:dyDescent="0.2">
      <c r="B31" s="26">
        <v>45699</v>
      </c>
      <c r="C31" s="10" t="s">
        <v>76</v>
      </c>
      <c r="D31" s="27">
        <f>B31+45</f>
        <v>45744</v>
      </c>
      <c r="E31" s="27" t="s">
        <v>76</v>
      </c>
      <c r="G31" s="27" t="str">
        <f t="shared" si="0"/>
        <v>Jan-00</v>
      </c>
      <c r="H31" s="32">
        <f>IF(F31="",0,F31-B31)</f>
        <v>0</v>
      </c>
      <c r="J31" s="27" t="str">
        <f t="shared" si="1"/>
        <v>Jan-00</v>
      </c>
      <c r="K31" s="29"/>
      <c r="L31" s="10" t="s">
        <v>83</v>
      </c>
      <c r="M31" s="10" t="s">
        <v>90</v>
      </c>
    </row>
    <row r="32" spans="2:13" x14ac:dyDescent="0.2">
      <c r="B32" s="26">
        <v>45699</v>
      </c>
      <c r="C32" s="10" t="s">
        <v>75</v>
      </c>
      <c r="D32" s="27">
        <f>B32+45</f>
        <v>45744</v>
      </c>
      <c r="E32" s="27" t="s">
        <v>95</v>
      </c>
      <c r="F32" s="27">
        <f>D32+60</f>
        <v>45804</v>
      </c>
      <c r="G32" s="27" t="str">
        <f t="shared" si="0"/>
        <v>May-25</v>
      </c>
      <c r="H32" s="32">
        <f>IF(F32="",0,F32-B32)</f>
        <v>105</v>
      </c>
      <c r="I32" s="27">
        <f>F32+60</f>
        <v>45864</v>
      </c>
      <c r="J32" s="27" t="str">
        <f t="shared" si="1"/>
        <v>Jul-25</v>
      </c>
      <c r="K32" s="29">
        <v>900000</v>
      </c>
      <c r="L32" s="10" t="s">
        <v>84</v>
      </c>
      <c r="M32" s="10" t="s">
        <v>3</v>
      </c>
    </row>
    <row r="33" spans="2:13" x14ac:dyDescent="0.2">
      <c r="B33" s="26">
        <v>45699</v>
      </c>
      <c r="C33" s="10" t="s">
        <v>76</v>
      </c>
      <c r="D33" s="27">
        <f>B33+45</f>
        <v>45744</v>
      </c>
      <c r="E33" s="27" t="s">
        <v>76</v>
      </c>
      <c r="G33" s="27" t="str">
        <f t="shared" si="0"/>
        <v>Jan-00</v>
      </c>
      <c r="H33" s="32">
        <f>IF(F33="",0,F33-B33)</f>
        <v>0</v>
      </c>
      <c r="J33" s="27" t="str">
        <f t="shared" si="1"/>
        <v>Jan-00</v>
      </c>
      <c r="K33" s="29"/>
      <c r="L33" s="10" t="s">
        <v>85</v>
      </c>
      <c r="M33" s="10" t="s">
        <v>91</v>
      </c>
    </row>
    <row r="34" spans="2:13" x14ac:dyDescent="0.2">
      <c r="B34" s="26">
        <v>45699</v>
      </c>
      <c r="C34" s="10" t="s">
        <v>75</v>
      </c>
      <c r="D34" s="27">
        <f>B34+45</f>
        <v>45744</v>
      </c>
      <c r="E34" s="27" t="s">
        <v>96</v>
      </c>
      <c r="G34" s="27" t="str">
        <f t="shared" si="0"/>
        <v>Jan-00</v>
      </c>
      <c r="H34" s="32">
        <f>IF(F34="",0,F34-B34)</f>
        <v>0</v>
      </c>
      <c r="J34" s="27" t="str">
        <f t="shared" si="1"/>
        <v>Jan-00</v>
      </c>
      <c r="K34" s="29"/>
      <c r="L34" s="10" t="s">
        <v>86</v>
      </c>
      <c r="M34" s="10" t="s">
        <v>91</v>
      </c>
    </row>
  </sheetData>
  <mergeCells count="11">
    <mergeCell ref="D3:D4"/>
    <mergeCell ref="C3:C4"/>
    <mergeCell ref="B3:B4"/>
    <mergeCell ref="J3:J4"/>
    <mergeCell ref="G3:G4"/>
    <mergeCell ref="H3:H4"/>
    <mergeCell ref="L3:L4"/>
    <mergeCell ref="M3:M4"/>
    <mergeCell ref="F3:F4"/>
    <mergeCell ref="I3:I4"/>
    <mergeCell ref="K3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CE49-24E2-2A41-A50B-65CDBE324D42}">
  <dimension ref="B3:V18"/>
  <sheetViews>
    <sheetView zoomScale="120" zoomScaleNormal="120" workbookViewId="0">
      <selection activeCell="C6" sqref="C6"/>
    </sheetView>
  </sheetViews>
  <sheetFormatPr baseColWidth="10" defaultRowHeight="16" x14ac:dyDescent="0.2"/>
  <cols>
    <col min="7" max="7" width="16.5" bestFit="1" customWidth="1"/>
    <col min="8" max="9" width="14.1640625" customWidth="1"/>
  </cols>
  <sheetData>
    <row r="3" spans="2:22" ht="16" customHeight="1" x14ac:dyDescent="0.2">
      <c r="B3" s="13" t="s">
        <v>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2:22" ht="16" customHeight="1" x14ac:dyDescent="0.2">
      <c r="B4" s="19" t="s">
        <v>58</v>
      </c>
      <c r="C4" s="35" t="s">
        <v>92</v>
      </c>
      <c r="D4" s="20" t="s">
        <v>2</v>
      </c>
      <c r="E4" s="21"/>
      <c r="F4" s="21"/>
      <c r="G4" s="21"/>
      <c r="H4" s="21"/>
      <c r="I4" s="22"/>
      <c r="J4" s="20" t="s">
        <v>3</v>
      </c>
      <c r="K4" s="21"/>
      <c r="L4" s="21"/>
      <c r="M4" s="22"/>
      <c r="N4" s="20" t="s">
        <v>4</v>
      </c>
      <c r="O4" s="21"/>
      <c r="P4" s="21"/>
      <c r="Q4" s="22"/>
      <c r="R4" s="23" t="s">
        <v>57</v>
      </c>
      <c r="S4" s="23"/>
      <c r="T4" s="23"/>
      <c r="U4" s="23"/>
      <c r="V4" s="23"/>
    </row>
    <row r="5" spans="2:22" ht="34" x14ac:dyDescent="0.2">
      <c r="B5" s="19"/>
      <c r="C5" s="36"/>
      <c r="D5" s="6" t="s">
        <v>54</v>
      </c>
      <c r="E5" s="6" t="s">
        <v>55</v>
      </c>
      <c r="F5" s="6" t="s">
        <v>56</v>
      </c>
      <c r="G5" s="6" t="s">
        <v>59</v>
      </c>
      <c r="H5" s="6" t="s">
        <v>60</v>
      </c>
      <c r="I5" s="6" t="s">
        <v>104</v>
      </c>
      <c r="J5" s="6" t="s">
        <v>54</v>
      </c>
      <c r="K5" s="6" t="s">
        <v>55</v>
      </c>
      <c r="L5" s="6" t="s">
        <v>56</v>
      </c>
      <c r="M5" s="6" t="s">
        <v>59</v>
      </c>
      <c r="N5" s="6" t="s">
        <v>54</v>
      </c>
      <c r="O5" s="6" t="s">
        <v>55</v>
      </c>
      <c r="P5" s="6" t="s">
        <v>56</v>
      </c>
      <c r="Q5" s="6" t="s">
        <v>59</v>
      </c>
      <c r="R5" s="6" t="s">
        <v>38</v>
      </c>
      <c r="S5" s="6" t="s">
        <v>44</v>
      </c>
      <c r="T5" s="6" t="s">
        <v>39</v>
      </c>
      <c r="U5" s="6" t="s">
        <v>40</v>
      </c>
      <c r="V5" s="6" t="s">
        <v>43</v>
      </c>
    </row>
    <row r="6" spans="2:22" x14ac:dyDescent="0.2">
      <c r="B6" s="34">
        <v>45658</v>
      </c>
      <c r="C6" s="27" t="str">
        <f>TEXT(B6,"MMM")&amp;TEXT(B6,"-YY")</f>
        <v>Jan-25</v>
      </c>
      <c r="D6">
        <v>10</v>
      </c>
      <c r="E6">
        <v>1</v>
      </c>
      <c r="F6">
        <v>1</v>
      </c>
      <c r="G6" t="s">
        <v>102</v>
      </c>
      <c r="H6" s="34">
        <v>45718</v>
      </c>
      <c r="I6" s="39">
        <f>H6-B6</f>
        <v>60</v>
      </c>
      <c r="J6">
        <v>10</v>
      </c>
      <c r="K6">
        <v>1</v>
      </c>
      <c r="L6">
        <v>1</v>
      </c>
      <c r="M6" t="s">
        <v>102</v>
      </c>
      <c r="N6">
        <v>10</v>
      </c>
      <c r="O6">
        <v>1</v>
      </c>
      <c r="P6">
        <v>1</v>
      </c>
      <c r="Q6" t="s">
        <v>102</v>
      </c>
      <c r="R6">
        <v>2</v>
      </c>
      <c r="S6">
        <v>2</v>
      </c>
      <c r="T6">
        <v>4</v>
      </c>
      <c r="U6">
        <v>8</v>
      </c>
      <c r="V6">
        <v>1</v>
      </c>
    </row>
    <row r="7" spans="2:22" x14ac:dyDescent="0.2">
      <c r="B7" s="34">
        <v>45659</v>
      </c>
      <c r="C7" s="27" t="str">
        <f t="shared" ref="C7:C18" si="0">TEXT(B7,"MMM")&amp;TEXT(B7,"-YY")</f>
        <v>Jan-25</v>
      </c>
      <c r="D7">
        <v>11</v>
      </c>
      <c r="E7">
        <v>0</v>
      </c>
      <c r="F7">
        <v>0</v>
      </c>
      <c r="J7">
        <v>11</v>
      </c>
      <c r="K7">
        <v>0</v>
      </c>
      <c r="L7">
        <v>0</v>
      </c>
      <c r="N7">
        <v>11</v>
      </c>
      <c r="O7">
        <v>0</v>
      </c>
      <c r="P7">
        <v>0</v>
      </c>
      <c r="R7">
        <v>2</v>
      </c>
      <c r="S7">
        <v>2</v>
      </c>
      <c r="T7">
        <v>4</v>
      </c>
      <c r="U7">
        <v>8</v>
      </c>
      <c r="V7">
        <v>1</v>
      </c>
    </row>
    <row r="8" spans="2:22" x14ac:dyDescent="0.2">
      <c r="B8" s="34">
        <v>45660</v>
      </c>
      <c r="C8" s="27" t="str">
        <f t="shared" si="0"/>
        <v>Jan-25</v>
      </c>
      <c r="D8">
        <v>10</v>
      </c>
      <c r="E8">
        <v>1</v>
      </c>
      <c r="F8">
        <v>0</v>
      </c>
      <c r="J8">
        <v>10</v>
      </c>
      <c r="K8">
        <v>1</v>
      </c>
      <c r="L8">
        <v>0</v>
      </c>
      <c r="N8">
        <v>10</v>
      </c>
      <c r="O8">
        <v>1</v>
      </c>
      <c r="P8">
        <v>0</v>
      </c>
      <c r="R8">
        <v>2</v>
      </c>
      <c r="S8">
        <v>2</v>
      </c>
      <c r="T8">
        <v>4</v>
      </c>
      <c r="U8">
        <v>8</v>
      </c>
      <c r="V8">
        <v>1</v>
      </c>
    </row>
    <row r="9" spans="2:22" x14ac:dyDescent="0.2">
      <c r="B9" s="34">
        <v>45661</v>
      </c>
      <c r="C9" s="27" t="str">
        <f t="shared" si="0"/>
        <v>Jan-25</v>
      </c>
      <c r="D9">
        <v>11</v>
      </c>
      <c r="E9">
        <v>0</v>
      </c>
      <c r="F9">
        <v>0</v>
      </c>
      <c r="J9">
        <v>11</v>
      </c>
      <c r="K9">
        <v>0</v>
      </c>
      <c r="L9">
        <v>0</v>
      </c>
      <c r="N9">
        <v>11</v>
      </c>
      <c r="O9">
        <v>0</v>
      </c>
      <c r="P9">
        <v>0</v>
      </c>
      <c r="R9">
        <v>2</v>
      </c>
      <c r="S9">
        <v>2</v>
      </c>
      <c r="T9">
        <v>4</v>
      </c>
      <c r="U9">
        <v>8</v>
      </c>
      <c r="V9">
        <v>1</v>
      </c>
    </row>
    <row r="10" spans="2:22" x14ac:dyDescent="0.2">
      <c r="B10" s="34">
        <v>45662</v>
      </c>
      <c r="C10" s="27" t="str">
        <f t="shared" si="0"/>
        <v>Jan-25</v>
      </c>
      <c r="D10">
        <v>11</v>
      </c>
      <c r="E10">
        <v>0</v>
      </c>
      <c r="F10">
        <v>0</v>
      </c>
      <c r="J10">
        <v>11</v>
      </c>
      <c r="K10">
        <v>0</v>
      </c>
      <c r="L10">
        <v>0</v>
      </c>
      <c r="N10">
        <v>11</v>
      </c>
      <c r="O10">
        <v>0</v>
      </c>
      <c r="P10">
        <v>0</v>
      </c>
      <c r="R10">
        <v>2</v>
      </c>
      <c r="S10">
        <v>2</v>
      </c>
      <c r="T10">
        <v>4</v>
      </c>
      <c r="U10">
        <v>8</v>
      </c>
      <c r="V10">
        <v>1</v>
      </c>
    </row>
    <row r="11" spans="2:22" x14ac:dyDescent="0.2">
      <c r="B11" s="34">
        <v>45663</v>
      </c>
      <c r="C11" s="27" t="str">
        <f t="shared" si="0"/>
        <v>Jan-25</v>
      </c>
      <c r="D11">
        <v>10</v>
      </c>
      <c r="E11">
        <v>1</v>
      </c>
      <c r="F11">
        <v>0</v>
      </c>
      <c r="J11">
        <v>10</v>
      </c>
      <c r="K11">
        <v>1</v>
      </c>
      <c r="L11">
        <v>0</v>
      </c>
      <c r="N11">
        <v>10</v>
      </c>
      <c r="O11">
        <v>1</v>
      </c>
      <c r="P11">
        <v>0</v>
      </c>
      <c r="R11">
        <v>2</v>
      </c>
      <c r="S11">
        <v>2</v>
      </c>
      <c r="T11">
        <v>4</v>
      </c>
      <c r="U11">
        <v>8</v>
      </c>
      <c r="V11">
        <v>1</v>
      </c>
    </row>
    <row r="12" spans="2:22" x14ac:dyDescent="0.2">
      <c r="B12" s="34">
        <v>45664</v>
      </c>
      <c r="C12" s="27" t="str">
        <f t="shared" si="0"/>
        <v>Jan-25</v>
      </c>
      <c r="D12">
        <v>11</v>
      </c>
      <c r="E12">
        <v>0</v>
      </c>
      <c r="F12">
        <v>0</v>
      </c>
      <c r="J12">
        <v>11</v>
      </c>
      <c r="K12">
        <v>0</v>
      </c>
      <c r="L12">
        <v>0</v>
      </c>
      <c r="N12">
        <v>11</v>
      </c>
      <c r="O12">
        <v>0</v>
      </c>
      <c r="P12">
        <v>0</v>
      </c>
      <c r="R12">
        <v>2</v>
      </c>
      <c r="S12">
        <v>2</v>
      </c>
      <c r="T12">
        <v>4</v>
      </c>
      <c r="U12">
        <v>8</v>
      </c>
      <c r="V12">
        <v>1</v>
      </c>
    </row>
    <row r="13" spans="2:22" x14ac:dyDescent="0.2">
      <c r="B13" s="34">
        <v>45665</v>
      </c>
      <c r="C13" s="27" t="str">
        <f t="shared" si="0"/>
        <v>Jan-25</v>
      </c>
      <c r="D13">
        <v>11</v>
      </c>
      <c r="E13">
        <v>0</v>
      </c>
      <c r="F13">
        <v>0</v>
      </c>
      <c r="J13">
        <v>11</v>
      </c>
      <c r="K13">
        <v>0</v>
      </c>
      <c r="L13">
        <v>0</v>
      </c>
      <c r="N13">
        <v>11</v>
      </c>
      <c r="O13">
        <v>0</v>
      </c>
      <c r="P13">
        <v>0</v>
      </c>
      <c r="R13">
        <v>2</v>
      </c>
      <c r="S13">
        <v>2</v>
      </c>
      <c r="T13">
        <v>4</v>
      </c>
      <c r="U13">
        <v>8</v>
      </c>
      <c r="V13">
        <v>1</v>
      </c>
    </row>
    <row r="14" spans="2:22" x14ac:dyDescent="0.2">
      <c r="B14" s="34">
        <v>45666</v>
      </c>
      <c r="C14" s="27" t="str">
        <f t="shared" si="0"/>
        <v>Jan-25</v>
      </c>
      <c r="D14">
        <v>11</v>
      </c>
      <c r="E14">
        <v>0</v>
      </c>
      <c r="F14">
        <v>0</v>
      </c>
      <c r="J14">
        <v>11</v>
      </c>
      <c r="K14">
        <v>0</v>
      </c>
      <c r="L14">
        <v>0</v>
      </c>
      <c r="N14">
        <v>11</v>
      </c>
      <c r="O14">
        <v>0</v>
      </c>
      <c r="P14">
        <v>0</v>
      </c>
      <c r="R14">
        <v>2</v>
      </c>
      <c r="S14">
        <v>2</v>
      </c>
      <c r="T14">
        <v>4</v>
      </c>
      <c r="U14">
        <v>8</v>
      </c>
      <c r="V14">
        <v>1</v>
      </c>
    </row>
    <row r="15" spans="2:22" x14ac:dyDescent="0.2">
      <c r="B15" s="34">
        <v>45667</v>
      </c>
      <c r="C15" s="27" t="str">
        <f t="shared" si="0"/>
        <v>Jan-25</v>
      </c>
      <c r="D15">
        <v>11</v>
      </c>
      <c r="E15">
        <v>0</v>
      </c>
      <c r="F15">
        <v>0</v>
      </c>
      <c r="J15">
        <v>11</v>
      </c>
      <c r="K15">
        <v>0</v>
      </c>
      <c r="L15">
        <v>0</v>
      </c>
      <c r="N15">
        <v>11</v>
      </c>
      <c r="O15">
        <v>0</v>
      </c>
      <c r="P15">
        <v>0</v>
      </c>
      <c r="R15">
        <v>2</v>
      </c>
      <c r="S15">
        <v>2</v>
      </c>
      <c r="T15">
        <v>4</v>
      </c>
      <c r="U15">
        <v>8</v>
      </c>
      <c r="V15">
        <v>1</v>
      </c>
    </row>
    <row r="16" spans="2:22" x14ac:dyDescent="0.2">
      <c r="B16" s="34">
        <v>45668</v>
      </c>
      <c r="C16" s="27" t="str">
        <f t="shared" si="0"/>
        <v>Jan-25</v>
      </c>
      <c r="D16">
        <v>10</v>
      </c>
      <c r="E16">
        <v>1</v>
      </c>
      <c r="F16">
        <v>0</v>
      </c>
      <c r="J16">
        <v>10</v>
      </c>
      <c r="K16">
        <v>1</v>
      </c>
      <c r="L16">
        <v>0</v>
      </c>
      <c r="N16">
        <v>10</v>
      </c>
      <c r="O16">
        <v>1</v>
      </c>
      <c r="P16">
        <v>0</v>
      </c>
      <c r="R16">
        <v>2</v>
      </c>
      <c r="S16">
        <v>2</v>
      </c>
      <c r="T16">
        <v>4</v>
      </c>
      <c r="U16">
        <v>8</v>
      </c>
      <c r="V16">
        <v>1</v>
      </c>
    </row>
    <row r="17" spans="2:22" x14ac:dyDescent="0.2">
      <c r="B17" s="34">
        <v>45669</v>
      </c>
      <c r="C17" s="27" t="str">
        <f t="shared" si="0"/>
        <v>Jan-25</v>
      </c>
      <c r="D17">
        <v>11</v>
      </c>
      <c r="E17">
        <v>0</v>
      </c>
      <c r="F17">
        <v>0</v>
      </c>
      <c r="J17">
        <v>11</v>
      </c>
      <c r="K17">
        <v>0</v>
      </c>
      <c r="L17">
        <v>0</v>
      </c>
      <c r="N17">
        <v>11</v>
      </c>
      <c r="O17">
        <v>0</v>
      </c>
      <c r="P17">
        <v>0</v>
      </c>
      <c r="R17">
        <v>2</v>
      </c>
      <c r="S17">
        <v>2</v>
      </c>
      <c r="T17">
        <v>4</v>
      </c>
      <c r="U17">
        <v>8</v>
      </c>
      <c r="V17">
        <v>1</v>
      </c>
    </row>
    <row r="18" spans="2:22" x14ac:dyDescent="0.2">
      <c r="B18" s="34">
        <v>45670</v>
      </c>
      <c r="C18" s="27" t="str">
        <f t="shared" si="0"/>
        <v>Jan-25</v>
      </c>
      <c r="D18">
        <v>11</v>
      </c>
      <c r="E18">
        <v>0</v>
      </c>
      <c r="F18">
        <v>0</v>
      </c>
      <c r="J18">
        <v>11</v>
      </c>
      <c r="K18">
        <v>0</v>
      </c>
      <c r="L18">
        <v>0</v>
      </c>
      <c r="N18">
        <v>11</v>
      </c>
      <c r="O18">
        <v>0</v>
      </c>
      <c r="P18">
        <v>0</v>
      </c>
      <c r="R18">
        <v>2</v>
      </c>
      <c r="S18">
        <v>2</v>
      </c>
      <c r="T18">
        <v>4</v>
      </c>
      <c r="U18">
        <v>8</v>
      </c>
      <c r="V18">
        <v>1</v>
      </c>
    </row>
  </sheetData>
  <mergeCells count="7">
    <mergeCell ref="B4:B5"/>
    <mergeCell ref="B3:V3"/>
    <mergeCell ref="J4:M4"/>
    <mergeCell ref="N4:Q4"/>
    <mergeCell ref="R4:V4"/>
    <mergeCell ref="C4:C5"/>
    <mergeCell ref="D4:I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6780C3-6DD1-C74E-A188-412C1CB50973}">
          <x14:formula1>
            <xm:f>Reasons!$F$4:$F$11</xm:f>
          </x14:formula1>
          <xm:sqref>G6 M6 Q6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08D9-9389-2240-9278-3E124B10E10B}">
  <dimension ref="B3:L25"/>
  <sheetViews>
    <sheetView zoomScale="130" zoomScaleNormal="130" workbookViewId="0">
      <selection activeCell="C4" sqref="C4:C16"/>
    </sheetView>
  </sheetViews>
  <sheetFormatPr baseColWidth="10" defaultRowHeight="16" x14ac:dyDescent="0.2"/>
  <cols>
    <col min="4" max="4" width="11.6640625" customWidth="1"/>
    <col min="5" max="5" width="11" customWidth="1"/>
    <col min="8" max="8" width="11" customWidth="1"/>
    <col min="10" max="10" width="12" bestFit="1" customWidth="1"/>
  </cols>
  <sheetData>
    <row r="3" spans="2:12" ht="36" customHeight="1" x14ac:dyDescent="0.2">
      <c r="B3" s="12" t="s">
        <v>58</v>
      </c>
      <c r="C3" s="12" t="s">
        <v>92</v>
      </c>
      <c r="D3" s="12" t="s">
        <v>64</v>
      </c>
      <c r="E3" s="12" t="s">
        <v>65</v>
      </c>
      <c r="F3" s="12" t="s">
        <v>63</v>
      </c>
      <c r="G3" s="12" t="s">
        <v>106</v>
      </c>
      <c r="H3" s="12" t="s">
        <v>66</v>
      </c>
      <c r="I3" s="12" t="s">
        <v>67</v>
      </c>
      <c r="J3" s="12" t="s">
        <v>61</v>
      </c>
      <c r="K3" s="12" t="s">
        <v>68</v>
      </c>
      <c r="L3" s="12" t="s">
        <v>62</v>
      </c>
    </row>
    <row r="4" spans="2:12" x14ac:dyDescent="0.2">
      <c r="B4" s="34">
        <v>45658</v>
      </c>
      <c r="C4" s="27" t="str">
        <f>TEXT(B4,"MMM")&amp;TEXT(B4,"-YY")</f>
        <v>Jan-25</v>
      </c>
      <c r="D4" s="10">
        <v>1200</v>
      </c>
      <c r="E4" s="10">
        <v>20</v>
      </c>
      <c r="F4" s="10" t="s">
        <v>105</v>
      </c>
      <c r="G4" s="10">
        <v>1500</v>
      </c>
      <c r="H4" s="10">
        <v>2</v>
      </c>
      <c r="I4" s="10">
        <v>1</v>
      </c>
      <c r="J4" s="28">
        <v>100000</v>
      </c>
      <c r="K4" s="10">
        <v>3</v>
      </c>
      <c r="L4" s="28">
        <v>75000</v>
      </c>
    </row>
    <row r="5" spans="2:12" x14ac:dyDescent="0.2">
      <c r="B5" s="34">
        <v>45659</v>
      </c>
      <c r="C5" s="27" t="str">
        <f t="shared" ref="C5:C16" si="0">TEXT(B5,"MMM")&amp;TEXT(B5,"-YY")</f>
        <v>Jan-25</v>
      </c>
      <c r="D5" s="10">
        <v>1000</v>
      </c>
      <c r="E5" s="10">
        <v>22</v>
      </c>
      <c r="F5" s="10"/>
      <c r="G5" s="10"/>
      <c r="H5" s="10"/>
      <c r="I5" s="10"/>
      <c r="J5" s="10"/>
      <c r="K5" s="10"/>
      <c r="L5" s="10"/>
    </row>
    <row r="6" spans="2:12" x14ac:dyDescent="0.2">
      <c r="B6" s="34">
        <v>45660</v>
      </c>
      <c r="C6" s="27" t="str">
        <f t="shared" si="0"/>
        <v>Jan-25</v>
      </c>
      <c r="D6" s="10">
        <v>1250</v>
      </c>
      <c r="E6" s="10">
        <v>23</v>
      </c>
      <c r="F6" s="10"/>
      <c r="G6" s="10"/>
      <c r="H6" s="10"/>
      <c r="I6" s="10"/>
      <c r="J6" s="10"/>
      <c r="K6" s="10"/>
      <c r="L6" s="10"/>
    </row>
    <row r="7" spans="2:12" x14ac:dyDescent="0.2">
      <c r="B7" s="34">
        <v>45661</v>
      </c>
      <c r="C7" s="27" t="str">
        <f t="shared" si="0"/>
        <v>Jan-25</v>
      </c>
      <c r="D7" s="10">
        <v>1100</v>
      </c>
      <c r="E7" s="10">
        <v>25</v>
      </c>
      <c r="F7" s="10"/>
      <c r="G7" s="10"/>
      <c r="H7" s="10"/>
      <c r="I7" s="10"/>
      <c r="J7" s="10"/>
      <c r="K7" s="10"/>
      <c r="L7" s="10"/>
    </row>
    <row r="8" spans="2:12" x14ac:dyDescent="0.2">
      <c r="B8" s="34">
        <v>45662</v>
      </c>
      <c r="C8" s="27" t="str">
        <f t="shared" si="0"/>
        <v>Jan-25</v>
      </c>
      <c r="D8" s="10">
        <v>1200</v>
      </c>
      <c r="E8" s="10">
        <v>40</v>
      </c>
      <c r="F8" s="10"/>
      <c r="G8" s="10"/>
      <c r="H8" s="10"/>
      <c r="I8" s="10"/>
      <c r="J8" s="10"/>
      <c r="K8" s="10"/>
      <c r="L8" s="10"/>
    </row>
    <row r="9" spans="2:12" x14ac:dyDescent="0.2">
      <c r="B9" s="34">
        <v>45663</v>
      </c>
      <c r="C9" s="27" t="str">
        <f t="shared" si="0"/>
        <v>Jan-25</v>
      </c>
      <c r="D9" s="10">
        <v>1000</v>
      </c>
      <c r="E9" s="10">
        <v>13</v>
      </c>
      <c r="F9" s="10"/>
      <c r="G9" s="10"/>
      <c r="H9" s="10"/>
      <c r="I9" s="10"/>
      <c r="J9" s="10"/>
      <c r="K9" s="10"/>
      <c r="L9" s="10"/>
    </row>
    <row r="10" spans="2:12" x14ac:dyDescent="0.2">
      <c r="B10" s="34">
        <v>45664</v>
      </c>
      <c r="C10" s="27" t="str">
        <f t="shared" si="0"/>
        <v>Jan-25</v>
      </c>
      <c r="D10" s="10">
        <v>1250</v>
      </c>
      <c r="E10" s="10">
        <v>18</v>
      </c>
      <c r="F10" s="10"/>
      <c r="G10" s="10"/>
      <c r="H10" s="10"/>
      <c r="I10" s="10"/>
      <c r="J10" s="10"/>
      <c r="K10" s="10"/>
      <c r="L10" s="10"/>
    </row>
    <row r="11" spans="2:12" x14ac:dyDescent="0.2">
      <c r="B11" s="34">
        <v>45665</v>
      </c>
      <c r="C11" s="27" t="str">
        <f t="shared" si="0"/>
        <v>Jan-25</v>
      </c>
      <c r="D11" s="10">
        <v>1100</v>
      </c>
      <c r="E11" s="10">
        <v>20</v>
      </c>
      <c r="F11" s="10"/>
      <c r="G11" s="10"/>
      <c r="H11" s="10"/>
      <c r="I11" s="10"/>
      <c r="J11" s="10"/>
      <c r="K11" s="10"/>
      <c r="L11" s="10"/>
    </row>
    <row r="12" spans="2:12" x14ac:dyDescent="0.2">
      <c r="B12" s="34">
        <v>45666</v>
      </c>
      <c r="C12" s="27" t="str">
        <f t="shared" si="0"/>
        <v>Jan-25</v>
      </c>
      <c r="D12" s="10">
        <v>1200</v>
      </c>
      <c r="E12" s="10">
        <v>23</v>
      </c>
      <c r="F12" s="10"/>
      <c r="G12" s="10"/>
      <c r="H12" s="10"/>
      <c r="I12" s="10"/>
      <c r="J12" s="10"/>
      <c r="K12" s="10"/>
      <c r="L12" s="10"/>
    </row>
    <row r="13" spans="2:12" x14ac:dyDescent="0.2">
      <c r="B13" s="34">
        <v>45667</v>
      </c>
      <c r="C13" s="27" t="str">
        <f t="shared" si="0"/>
        <v>Jan-25</v>
      </c>
      <c r="D13" s="10">
        <v>1000</v>
      </c>
      <c r="E13" s="10">
        <v>25</v>
      </c>
      <c r="F13" s="10"/>
      <c r="G13" s="10"/>
      <c r="H13" s="10"/>
      <c r="I13" s="10"/>
      <c r="J13" s="10"/>
      <c r="K13" s="10"/>
      <c r="L13" s="10"/>
    </row>
    <row r="14" spans="2:12" x14ac:dyDescent="0.2">
      <c r="B14" s="34">
        <v>45668</v>
      </c>
      <c r="C14" s="27" t="str">
        <f t="shared" si="0"/>
        <v>Jan-25</v>
      </c>
      <c r="D14" s="10">
        <v>1250</v>
      </c>
      <c r="E14" s="10">
        <v>40</v>
      </c>
      <c r="F14" s="10"/>
      <c r="G14" s="10"/>
      <c r="H14" s="10"/>
      <c r="I14" s="10"/>
      <c r="J14" s="10"/>
      <c r="K14" s="10"/>
      <c r="L14" s="10"/>
    </row>
    <row r="15" spans="2:12" x14ac:dyDescent="0.2">
      <c r="B15" s="34">
        <v>45669</v>
      </c>
      <c r="C15" s="27" t="str">
        <f t="shared" si="0"/>
        <v>Jan-25</v>
      </c>
      <c r="D15" s="10">
        <v>1100</v>
      </c>
      <c r="E15" s="10">
        <v>13</v>
      </c>
      <c r="F15" s="10"/>
      <c r="G15" s="10"/>
      <c r="H15" s="10"/>
      <c r="I15" s="10"/>
      <c r="J15" s="10"/>
      <c r="K15" s="10"/>
      <c r="L15" s="10"/>
    </row>
    <row r="16" spans="2:12" x14ac:dyDescent="0.2">
      <c r="B16" s="34">
        <v>45670</v>
      </c>
      <c r="C16" s="27" t="str">
        <f t="shared" si="0"/>
        <v>Jan-25</v>
      </c>
      <c r="D16" s="10">
        <v>1250</v>
      </c>
      <c r="E16" s="10">
        <v>18</v>
      </c>
      <c r="F16" s="10"/>
      <c r="G16" s="10"/>
      <c r="H16" s="10"/>
      <c r="I16" s="10"/>
      <c r="J16" s="10"/>
      <c r="K16" s="10"/>
      <c r="L16" s="10"/>
    </row>
    <row r="17" spans="2:12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2:12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2:12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2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2:12" x14ac:dyDescent="0.2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2:12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42B5AD-CBEE-4244-B6C4-F14473B1DED7}">
          <x14:formula1>
            <xm:f>Reasons!$D$4:$D$15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ACEF-B936-0047-AF5C-B97C9474DF2B}">
  <dimension ref="B3:K25"/>
  <sheetViews>
    <sheetView zoomScale="130" zoomScaleNormal="130" workbookViewId="0">
      <selection activeCell="J4" sqref="J4:J16"/>
    </sheetView>
  </sheetViews>
  <sheetFormatPr baseColWidth="10" defaultRowHeight="16" x14ac:dyDescent="0.2"/>
  <sheetData>
    <row r="3" spans="2:11" ht="34" x14ac:dyDescent="0.2">
      <c r="B3" s="12" t="s">
        <v>69</v>
      </c>
      <c r="C3" s="12" t="s">
        <v>92</v>
      </c>
      <c r="D3" s="12" t="s">
        <v>72</v>
      </c>
      <c r="E3" s="12" t="s">
        <v>70</v>
      </c>
      <c r="F3" s="12" t="s">
        <v>71</v>
      </c>
      <c r="G3" s="12" t="s">
        <v>92</v>
      </c>
      <c r="H3" s="12" t="s">
        <v>108</v>
      </c>
      <c r="I3" s="12" t="s">
        <v>109</v>
      </c>
      <c r="J3" s="12" t="s">
        <v>110</v>
      </c>
      <c r="K3" s="12" t="s">
        <v>73</v>
      </c>
    </row>
    <row r="4" spans="2:11" x14ac:dyDescent="0.2">
      <c r="B4" s="34">
        <v>45658</v>
      </c>
      <c r="C4" s="27" t="str">
        <f>TEXT(B4,"MMM")&amp;TEXT(B4,"-YY")</f>
        <v>Jan-25</v>
      </c>
      <c r="D4" s="10">
        <v>500000</v>
      </c>
      <c r="E4" s="34">
        <v>45689</v>
      </c>
      <c r="F4" s="34">
        <v>45689</v>
      </c>
      <c r="G4" s="27" t="str">
        <f>TEXT(F4,"MMM")&amp;TEXT(F4,"-YY")</f>
        <v>Feb-25</v>
      </c>
      <c r="H4" s="39">
        <f>F4-B4</f>
        <v>31</v>
      </c>
      <c r="I4" s="39">
        <f t="shared" ref="I4:I5" si="0">IF(F4&lt;=E4,0,1)</f>
        <v>0</v>
      </c>
      <c r="J4" s="39">
        <f>I4*D4</f>
        <v>0</v>
      </c>
      <c r="K4" s="10"/>
    </row>
    <row r="5" spans="2:11" x14ac:dyDescent="0.2">
      <c r="B5" s="34">
        <v>45659</v>
      </c>
      <c r="C5" s="27" t="str">
        <f t="shared" ref="C5:C16" si="1">TEXT(B5,"MMM")&amp;TEXT(B5,"-YY")</f>
        <v>Jan-25</v>
      </c>
      <c r="D5" s="10">
        <v>650000</v>
      </c>
      <c r="E5" s="41">
        <f>B5+35</f>
        <v>45694</v>
      </c>
      <c r="F5" s="41">
        <f>B5+35</f>
        <v>45694</v>
      </c>
      <c r="G5" s="27" t="str">
        <f t="shared" ref="G5:G16" si="2">TEXT(F5,"MMM")&amp;TEXT(F5,"-YY")</f>
        <v>Feb-25</v>
      </c>
      <c r="H5" s="39">
        <f t="shared" ref="H5:H16" si="3">F5-B5</f>
        <v>35</v>
      </c>
      <c r="I5" s="39">
        <f t="shared" si="0"/>
        <v>0</v>
      </c>
      <c r="J5" s="39">
        <f t="shared" ref="J5:J16" si="4">I5*D5</f>
        <v>0</v>
      </c>
      <c r="K5" s="10"/>
    </row>
    <row r="6" spans="2:11" x14ac:dyDescent="0.2">
      <c r="B6" s="34">
        <v>45660</v>
      </c>
      <c r="C6" s="27" t="str">
        <f t="shared" si="1"/>
        <v>Jan-25</v>
      </c>
      <c r="D6" s="10">
        <v>890000</v>
      </c>
      <c r="E6" s="41">
        <f>B6+32</f>
        <v>45692</v>
      </c>
      <c r="F6" s="41">
        <f t="shared" ref="F6:F16" si="5">B6+35</f>
        <v>45695</v>
      </c>
      <c r="G6" s="27" t="str">
        <f t="shared" si="2"/>
        <v>Feb-25</v>
      </c>
      <c r="H6" s="39">
        <f t="shared" si="3"/>
        <v>35</v>
      </c>
      <c r="I6" s="39">
        <f>IF(F6&lt;=E6,0,1)</f>
        <v>1</v>
      </c>
      <c r="J6" s="39">
        <f t="shared" si="4"/>
        <v>890000</v>
      </c>
      <c r="K6" s="10" t="s">
        <v>107</v>
      </c>
    </row>
    <row r="7" spans="2:11" x14ac:dyDescent="0.2">
      <c r="B7" s="34">
        <v>45661</v>
      </c>
      <c r="C7" s="27" t="str">
        <f t="shared" si="1"/>
        <v>Jan-25</v>
      </c>
      <c r="D7" s="10">
        <v>1000000</v>
      </c>
      <c r="E7" s="41">
        <f>B7+36</f>
        <v>45697</v>
      </c>
      <c r="F7" s="41">
        <f t="shared" si="5"/>
        <v>45696</v>
      </c>
      <c r="G7" s="27" t="str">
        <f t="shared" si="2"/>
        <v>Feb-25</v>
      </c>
      <c r="H7" s="39">
        <f t="shared" si="3"/>
        <v>35</v>
      </c>
      <c r="I7" s="39">
        <f t="shared" ref="I7:I16" si="6">IF(F7&lt;=E7,0,1)</f>
        <v>0</v>
      </c>
      <c r="J7" s="39">
        <f t="shared" si="4"/>
        <v>0</v>
      </c>
      <c r="K7" s="10"/>
    </row>
    <row r="8" spans="2:11" x14ac:dyDescent="0.2">
      <c r="B8" s="34">
        <v>45662</v>
      </c>
      <c r="C8" s="27" t="str">
        <f t="shared" si="1"/>
        <v>Jan-25</v>
      </c>
      <c r="D8" s="10">
        <v>500000</v>
      </c>
      <c r="E8" s="41">
        <f>B8+36</f>
        <v>45698</v>
      </c>
      <c r="F8" s="41">
        <f t="shared" si="5"/>
        <v>45697</v>
      </c>
      <c r="G8" s="27" t="str">
        <f t="shared" si="2"/>
        <v>Feb-25</v>
      </c>
      <c r="H8" s="39">
        <f t="shared" si="3"/>
        <v>35</v>
      </c>
      <c r="I8" s="39">
        <f t="shared" si="6"/>
        <v>0</v>
      </c>
      <c r="J8" s="39">
        <f t="shared" si="4"/>
        <v>0</v>
      </c>
      <c r="K8" s="10"/>
    </row>
    <row r="9" spans="2:11" x14ac:dyDescent="0.2">
      <c r="B9" s="34">
        <v>45663</v>
      </c>
      <c r="C9" s="27" t="str">
        <f t="shared" si="1"/>
        <v>Jan-25</v>
      </c>
      <c r="D9" s="10">
        <v>650000</v>
      </c>
      <c r="E9" s="41">
        <f>B9+36</f>
        <v>45699</v>
      </c>
      <c r="F9" s="41">
        <f t="shared" si="5"/>
        <v>45698</v>
      </c>
      <c r="G9" s="27" t="str">
        <f t="shared" si="2"/>
        <v>Feb-25</v>
      </c>
      <c r="H9" s="39">
        <f t="shared" si="3"/>
        <v>35</v>
      </c>
      <c r="I9" s="39">
        <f t="shared" si="6"/>
        <v>0</v>
      </c>
      <c r="J9" s="39">
        <f t="shared" si="4"/>
        <v>0</v>
      </c>
      <c r="K9" s="10"/>
    </row>
    <row r="10" spans="2:11" x14ac:dyDescent="0.2">
      <c r="B10" s="34">
        <v>45664</v>
      </c>
      <c r="C10" s="27" t="str">
        <f t="shared" si="1"/>
        <v>Jan-25</v>
      </c>
      <c r="D10" s="10">
        <v>890000</v>
      </c>
      <c r="E10" s="41">
        <f>B10+36</f>
        <v>45700</v>
      </c>
      <c r="F10" s="41">
        <f t="shared" si="5"/>
        <v>45699</v>
      </c>
      <c r="G10" s="27" t="str">
        <f t="shared" si="2"/>
        <v>Feb-25</v>
      </c>
      <c r="H10" s="39">
        <f t="shared" si="3"/>
        <v>35</v>
      </c>
      <c r="I10" s="39">
        <f t="shared" si="6"/>
        <v>0</v>
      </c>
      <c r="J10" s="39">
        <f t="shared" si="4"/>
        <v>0</v>
      </c>
      <c r="K10" s="10"/>
    </row>
    <row r="11" spans="2:11" x14ac:dyDescent="0.2">
      <c r="B11" s="34">
        <v>45665</v>
      </c>
      <c r="C11" s="27" t="str">
        <f t="shared" si="1"/>
        <v>Jan-25</v>
      </c>
      <c r="D11" s="10">
        <v>1000000</v>
      </c>
      <c r="E11" s="41">
        <f>B11+36</f>
        <v>45701</v>
      </c>
      <c r="F11" s="41">
        <f t="shared" si="5"/>
        <v>45700</v>
      </c>
      <c r="G11" s="27" t="str">
        <f t="shared" si="2"/>
        <v>Feb-25</v>
      </c>
      <c r="H11" s="39">
        <f t="shared" si="3"/>
        <v>35</v>
      </c>
      <c r="I11" s="39">
        <f t="shared" si="6"/>
        <v>0</v>
      </c>
      <c r="J11" s="39">
        <f t="shared" si="4"/>
        <v>0</v>
      </c>
      <c r="K11" s="10"/>
    </row>
    <row r="12" spans="2:11" x14ac:dyDescent="0.2">
      <c r="B12" s="34">
        <v>45666</v>
      </c>
      <c r="C12" s="27" t="str">
        <f t="shared" si="1"/>
        <v>Jan-25</v>
      </c>
      <c r="D12" s="10">
        <v>500000</v>
      </c>
      <c r="E12" s="41">
        <f>B12+34</f>
        <v>45700</v>
      </c>
      <c r="F12" s="41">
        <f t="shared" si="5"/>
        <v>45701</v>
      </c>
      <c r="G12" s="27" t="str">
        <f t="shared" si="2"/>
        <v>Feb-25</v>
      </c>
      <c r="H12" s="39">
        <f t="shared" si="3"/>
        <v>35</v>
      </c>
      <c r="I12" s="39">
        <f t="shared" si="6"/>
        <v>1</v>
      </c>
      <c r="J12" s="39">
        <f t="shared" si="4"/>
        <v>500000</v>
      </c>
      <c r="K12" s="10" t="s">
        <v>107</v>
      </c>
    </row>
    <row r="13" spans="2:11" x14ac:dyDescent="0.2">
      <c r="B13" s="34">
        <v>45667</v>
      </c>
      <c r="C13" s="27" t="str">
        <f t="shared" si="1"/>
        <v>Jan-25</v>
      </c>
      <c r="D13" s="10">
        <v>650000</v>
      </c>
      <c r="E13" s="41">
        <f>B13+36</f>
        <v>45703</v>
      </c>
      <c r="F13" s="41">
        <f t="shared" si="5"/>
        <v>45702</v>
      </c>
      <c r="G13" s="27" t="str">
        <f t="shared" si="2"/>
        <v>Feb-25</v>
      </c>
      <c r="H13" s="39">
        <f t="shared" si="3"/>
        <v>35</v>
      </c>
      <c r="I13" s="39">
        <f t="shared" si="6"/>
        <v>0</v>
      </c>
      <c r="J13" s="39">
        <f t="shared" si="4"/>
        <v>0</v>
      </c>
      <c r="K13" s="10"/>
    </row>
    <row r="14" spans="2:11" x14ac:dyDescent="0.2">
      <c r="B14" s="34">
        <v>45668</v>
      </c>
      <c r="C14" s="27" t="str">
        <f t="shared" si="1"/>
        <v>Jan-25</v>
      </c>
      <c r="D14" s="10">
        <v>890000</v>
      </c>
      <c r="E14" s="41">
        <f>B14+36</f>
        <v>45704</v>
      </c>
      <c r="F14" s="41">
        <f t="shared" si="5"/>
        <v>45703</v>
      </c>
      <c r="G14" s="27" t="str">
        <f t="shared" si="2"/>
        <v>Feb-25</v>
      </c>
      <c r="H14" s="39">
        <f t="shared" si="3"/>
        <v>35</v>
      </c>
      <c r="I14" s="39">
        <f t="shared" si="6"/>
        <v>0</v>
      </c>
      <c r="J14" s="39">
        <f t="shared" si="4"/>
        <v>0</v>
      </c>
      <c r="K14" s="10"/>
    </row>
    <row r="15" spans="2:11" x14ac:dyDescent="0.2">
      <c r="B15" s="34">
        <v>45669</v>
      </c>
      <c r="C15" s="27" t="str">
        <f t="shared" si="1"/>
        <v>Jan-25</v>
      </c>
      <c r="D15" s="10">
        <v>1000000</v>
      </c>
      <c r="E15" s="41">
        <f>B15+34</f>
        <v>45703</v>
      </c>
      <c r="F15" s="41">
        <f t="shared" si="5"/>
        <v>45704</v>
      </c>
      <c r="G15" s="27" t="str">
        <f t="shared" si="2"/>
        <v>Feb-25</v>
      </c>
      <c r="H15" s="39">
        <f t="shared" si="3"/>
        <v>35</v>
      </c>
      <c r="I15" s="39">
        <f t="shared" si="6"/>
        <v>1</v>
      </c>
      <c r="J15" s="39">
        <f t="shared" si="4"/>
        <v>1000000</v>
      </c>
      <c r="K15" s="10" t="s">
        <v>107</v>
      </c>
    </row>
    <row r="16" spans="2:11" x14ac:dyDescent="0.2">
      <c r="B16" s="34">
        <v>45670</v>
      </c>
      <c r="C16" s="27" t="str">
        <f t="shared" si="1"/>
        <v>Jan-25</v>
      </c>
      <c r="D16" s="10">
        <v>1200000</v>
      </c>
      <c r="E16" s="41">
        <f>B16+35</f>
        <v>45705</v>
      </c>
      <c r="F16" s="41">
        <f t="shared" si="5"/>
        <v>45705</v>
      </c>
      <c r="G16" s="27" t="str">
        <f t="shared" si="2"/>
        <v>Feb-25</v>
      </c>
      <c r="H16" s="39">
        <f t="shared" si="3"/>
        <v>35</v>
      </c>
      <c r="I16" s="39">
        <f t="shared" si="6"/>
        <v>0</v>
      </c>
      <c r="J16" s="39">
        <f t="shared" si="4"/>
        <v>0</v>
      </c>
      <c r="K16" s="10"/>
    </row>
    <row r="17" spans="2:1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2:1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2:1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2:1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2:1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2:1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2:1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2:11" x14ac:dyDescent="0.2"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2:1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B079-692D-824A-9F26-8DBC2278AF75}">
  <dimension ref="C3:F11"/>
  <sheetViews>
    <sheetView workbookViewId="0">
      <selection activeCell="D5" sqref="D5"/>
    </sheetView>
  </sheetViews>
  <sheetFormatPr baseColWidth="10" defaultRowHeight="16" x14ac:dyDescent="0.2"/>
  <cols>
    <col min="3" max="5" width="35.6640625" customWidth="1"/>
  </cols>
  <sheetData>
    <row r="3" spans="3:6" ht="34" customHeight="1" x14ac:dyDescent="0.2">
      <c r="C3" s="25" t="s">
        <v>74</v>
      </c>
      <c r="D3" s="25" t="s">
        <v>23</v>
      </c>
      <c r="E3" s="25" t="s">
        <v>73</v>
      </c>
      <c r="F3" s="37" t="s">
        <v>101</v>
      </c>
    </row>
    <row r="4" spans="3:6" x14ac:dyDescent="0.2">
      <c r="C4" s="5" t="s">
        <v>5</v>
      </c>
      <c r="D4" t="s">
        <v>105</v>
      </c>
      <c r="F4" t="s">
        <v>102</v>
      </c>
    </row>
    <row r="5" spans="3:6" x14ac:dyDescent="0.2">
      <c r="C5" s="5" t="s">
        <v>6</v>
      </c>
      <c r="F5" t="s">
        <v>42</v>
      </c>
    </row>
    <row r="6" spans="3:6" x14ac:dyDescent="0.2">
      <c r="C6" s="5" t="s">
        <v>7</v>
      </c>
      <c r="F6" t="s">
        <v>45</v>
      </c>
    </row>
    <row r="7" spans="3:6" x14ac:dyDescent="0.2">
      <c r="C7" s="5" t="s">
        <v>8</v>
      </c>
      <c r="F7" t="s">
        <v>46</v>
      </c>
    </row>
    <row r="8" spans="3:6" x14ac:dyDescent="0.2">
      <c r="C8" s="5" t="s">
        <v>9</v>
      </c>
    </row>
    <row r="9" spans="3:6" x14ac:dyDescent="0.2">
      <c r="C9" s="5" t="s">
        <v>10</v>
      </c>
    </row>
    <row r="10" spans="3:6" x14ac:dyDescent="0.2">
      <c r="C10" s="5" t="s">
        <v>11</v>
      </c>
    </row>
    <row r="11" spans="3:6" x14ac:dyDescent="0.2">
      <c r="C11" s="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 Four</vt:lpstr>
      <vt:lpstr>Sales Pipeline-Database</vt:lpstr>
      <vt:lpstr>Employability-Database</vt:lpstr>
      <vt:lpstr>Quality-Database</vt:lpstr>
      <vt:lpstr>Delivery-Database</vt:lpstr>
      <vt:lpstr>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Kansupda</dc:creator>
  <cp:lastModifiedBy>Kamlesh Barot</cp:lastModifiedBy>
  <dcterms:created xsi:type="dcterms:W3CDTF">2025-07-18T10:31:58Z</dcterms:created>
  <dcterms:modified xsi:type="dcterms:W3CDTF">2025-08-12T18:09:08Z</dcterms:modified>
</cp:coreProperties>
</file>