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5" windowWidth="19320" windowHeight="7995" activeTab="4"/>
  </bookViews>
  <sheets>
    <sheet name="13 pt XRA TiN ER" sheetId="4" r:id="rId1"/>
    <sheet name="RUN_code" sheetId="9" r:id="rId2"/>
    <sheet name="Al_ER_XRA01_MTRS1" sheetId="10" r:id="rId3"/>
    <sheet name="Sheet3" sheetId="11" r:id="rId4"/>
    <sheet name="MTRS1_49pt_vals" sheetId="12" r:id="rId5"/>
  </sheets>
  <definedNames>
    <definedName name="_xlnm._FilterDatabase" localSheetId="0" hidden="1">'13 pt XRA TiN ER'!$A$12:$AD$15</definedName>
  </definedNames>
  <calcPr calcId="125725"/>
</workbook>
</file>

<file path=xl/calcChain.xml><?xml version="1.0" encoding="utf-8"?>
<calcChain xmlns="http://schemas.openxmlformats.org/spreadsheetml/2006/main">
  <c r="C50" i="12"/>
  <c r="B50"/>
  <c r="C49"/>
  <c r="B49"/>
  <c r="C48"/>
  <c r="B48"/>
  <c r="C47"/>
  <c r="B47"/>
  <c r="C46"/>
  <c r="B46"/>
  <c r="C44"/>
  <c r="B44"/>
  <c r="C43"/>
  <c r="B43"/>
  <c r="C42"/>
  <c r="B42"/>
  <c r="C41"/>
  <c r="B41"/>
  <c r="C40"/>
  <c r="B40"/>
  <c r="C38"/>
  <c r="B38"/>
  <c r="C37"/>
  <c r="B37"/>
  <c r="C36"/>
  <c r="B36"/>
  <c r="C35"/>
  <c r="B35"/>
  <c r="C34"/>
  <c r="B34"/>
  <c r="C32"/>
  <c r="B32"/>
  <c r="C31"/>
  <c r="B31"/>
  <c r="C30"/>
  <c r="B30"/>
  <c r="C29"/>
  <c r="B29"/>
  <c r="C28"/>
  <c r="B28"/>
  <c r="C26"/>
  <c r="B26"/>
  <c r="C25"/>
  <c r="B25"/>
  <c r="C24"/>
  <c r="B24"/>
  <c r="C22"/>
  <c r="B22"/>
  <c r="C21"/>
  <c r="B21"/>
  <c r="C20"/>
  <c r="B20"/>
  <c r="C18"/>
  <c r="B18"/>
  <c r="C17"/>
  <c r="B17"/>
  <c r="C16"/>
  <c r="B16"/>
  <c r="C14"/>
  <c r="B14"/>
  <c r="C13"/>
  <c r="B13"/>
  <c r="C12"/>
  <c r="B12"/>
  <c r="C10"/>
  <c r="B10"/>
  <c r="C8"/>
  <c r="B8"/>
  <c r="C6"/>
  <c r="B6"/>
  <c r="C4"/>
  <c r="B4"/>
  <c r="N18" i="4"/>
  <c r="O18"/>
  <c r="M18"/>
  <c r="L18"/>
  <c r="K18"/>
  <c r="J18"/>
  <c r="I18"/>
  <c r="H18"/>
  <c r="G18"/>
  <c r="F18"/>
  <c r="E18"/>
  <c r="D18"/>
  <c r="C18"/>
  <c r="D15"/>
  <c r="E15"/>
  <c r="F15"/>
  <c r="G15"/>
  <c r="H15"/>
  <c r="I15"/>
  <c r="J15"/>
  <c r="K15"/>
  <c r="L15"/>
  <c r="M15"/>
  <c r="N15"/>
  <c r="O15"/>
  <c r="C15"/>
  <c r="B1" i="11"/>
  <c r="Q16" i="4" l="1"/>
  <c r="P16"/>
  <c r="T16" s="1"/>
  <c r="R16"/>
  <c r="S16"/>
  <c r="S13"/>
  <c r="R13"/>
  <c r="Q13"/>
  <c r="P13"/>
  <c r="T13" l="1"/>
</calcChain>
</file>

<file path=xl/sharedStrings.xml><?xml version="1.0" encoding="utf-8"?>
<sst xmlns="http://schemas.openxmlformats.org/spreadsheetml/2006/main" count="81" uniqueCount="73">
  <si>
    <t>Pre</t>
  </si>
  <si>
    <t>Post</t>
  </si>
  <si>
    <t>LSL</t>
  </si>
  <si>
    <t>USL</t>
  </si>
  <si>
    <t>QC LOG BOOK</t>
  </si>
  <si>
    <r>
      <t>Area</t>
    </r>
    <r>
      <rPr>
        <b/>
        <sz val="12"/>
        <rFont val="Calibri"/>
        <family val="2"/>
        <scheme val="minor"/>
      </rPr>
      <t>: Dry Etch</t>
    </r>
  </si>
  <si>
    <t xml:space="preserve">Pass Criteria for Uniformity: &lt;15% </t>
  </si>
  <si>
    <t>Thickness  (Å)</t>
  </si>
  <si>
    <t>Date (MM/DD/YYYY)</t>
  </si>
  <si>
    <t>Site</t>
  </si>
  <si>
    <t>site_1</t>
  </si>
  <si>
    <t>site_2</t>
  </si>
  <si>
    <t>site_3</t>
  </si>
  <si>
    <t>site_4</t>
  </si>
  <si>
    <t>site_5</t>
  </si>
  <si>
    <t>site_6</t>
  </si>
  <si>
    <t>site_7</t>
  </si>
  <si>
    <t>site_8</t>
  </si>
  <si>
    <t>site_9</t>
  </si>
  <si>
    <t>site_10</t>
  </si>
  <si>
    <t>site_11</t>
  </si>
  <si>
    <t>site_12</t>
  </si>
  <si>
    <t>site_13</t>
  </si>
  <si>
    <t>Max Etch Rate</t>
  </si>
  <si>
    <t>Min Etch Rate</t>
  </si>
  <si>
    <t>Etch Rate (A/Min)</t>
  </si>
  <si>
    <t>STDEV</t>
  </si>
  <si>
    <t>% Uni</t>
  </si>
  <si>
    <t>Result</t>
  </si>
  <si>
    <t>Tech EC</t>
  </si>
  <si>
    <t>Lot ID</t>
  </si>
  <si>
    <t>Remarks</t>
  </si>
  <si>
    <t>LCL</t>
  </si>
  <si>
    <t>UCL</t>
  </si>
  <si>
    <t>% Uni USL</t>
  </si>
  <si>
    <t>% Uni UCL</t>
  </si>
  <si>
    <t xml:space="preserve">ER_point
</t>
  </si>
  <si>
    <r>
      <t>Tool</t>
    </r>
    <r>
      <rPr>
        <b/>
        <sz val="12"/>
        <rFont val="Calibri"/>
        <family val="2"/>
        <scheme val="minor"/>
      </rPr>
      <t>: REML1A</t>
    </r>
  </si>
  <si>
    <r>
      <t>Pass Criteria for Etch rate</t>
    </r>
    <r>
      <rPr>
        <b/>
        <sz val="12"/>
        <rFont val="Calibri"/>
        <family val="2"/>
        <scheme val="minor"/>
      </rPr>
      <t xml:space="preserve">: LSL: USL: Å /Min </t>
    </r>
  </si>
  <si>
    <t>RUN 1</t>
  </si>
  <si>
    <t>Run</t>
  </si>
  <si>
    <t>Polar (r, theta)</t>
  </si>
  <si>
    <t>(30, 0)</t>
  </si>
  <si>
    <t>Note:</t>
  </si>
  <si>
    <t>As per XRA tool,
y' --&gt; 0 degree axis
x --&gt; 90 degree axis
y --&gt;  180 degree axis
x' --&gt; 270 degree axis</t>
  </si>
  <si>
    <t>(0, 0)</t>
  </si>
  <si>
    <t>(30, 90)</t>
  </si>
  <si>
    <t>(30, 180)</t>
  </si>
  <si>
    <t>(30, 270)</t>
  </si>
  <si>
    <t>(60, 0)</t>
  </si>
  <si>
    <t>(60, 90)</t>
  </si>
  <si>
    <t>(60, 180)</t>
  </si>
  <si>
    <t>(60, 270)</t>
  </si>
  <si>
    <t>(90, 0)</t>
  </si>
  <si>
    <t>(90, 90)</t>
  </si>
  <si>
    <t>(90, 180)</t>
  </si>
  <si>
    <r>
      <rPr>
        <b/>
        <u/>
        <sz val="12"/>
        <rFont val="Calibri"/>
        <family val="2"/>
        <scheme val="minor"/>
      </rPr>
      <t xml:space="preserve">Frequency: </t>
    </r>
    <r>
      <rPr>
        <b/>
        <sz val="12"/>
        <rFont val="Calibri"/>
        <family val="2"/>
        <scheme val="minor"/>
      </rPr>
      <t/>
    </r>
  </si>
  <si>
    <t xml:space="preserve">Date </t>
  </si>
  <si>
    <t>Al etch rate (A/min)</t>
  </si>
  <si>
    <t xml:space="preserve">Uniformity(%) </t>
  </si>
  <si>
    <t xml:space="preserve">Uniformity (%) </t>
  </si>
  <si>
    <t>XRA01</t>
  </si>
  <si>
    <t>MTRS1</t>
  </si>
  <si>
    <t>(90, 270)</t>
  </si>
  <si>
    <r>
      <t>Wafer Type</t>
    </r>
    <r>
      <rPr>
        <b/>
        <sz val="12"/>
        <rFont val="Calibri"/>
        <family val="2"/>
        <scheme val="minor"/>
      </rPr>
      <t>:  TiN 900</t>
    </r>
  </si>
  <si>
    <t>Measurment Tool (XRA01) Recipe: TIN-XRA1</t>
  </si>
  <si>
    <t>Recipe: QC-TIN-ER</t>
  </si>
  <si>
    <r>
      <t>QC Name</t>
    </r>
    <r>
      <rPr>
        <sz val="11"/>
        <color theme="1"/>
        <rFont val="Calibri"/>
        <family val="2"/>
        <scheme val="minor"/>
      </rPr>
      <t>: TiN Etch Rate</t>
    </r>
  </si>
  <si>
    <t>RUN 2</t>
  </si>
  <si>
    <t>x</t>
  </si>
  <si>
    <t>y</t>
  </si>
  <si>
    <t>Cartesian</t>
  </si>
  <si>
    <t>sites</t>
  </si>
</sst>
</file>

<file path=xl/styles.xml><?xml version="1.0" encoding="utf-8"?>
<styleSheet xmlns="http://schemas.openxmlformats.org/spreadsheetml/2006/main">
  <numFmts count="2">
    <numFmt numFmtId="164" formatCode="m/d/yyyy;@"/>
    <numFmt numFmtId="165" formatCode="mm\/dd\/yyyy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indexed="1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3">
    <xf numFmtId="0" fontId="0" fillId="0" borderId="0" xfId="0"/>
    <xf numFmtId="0" fontId="0" fillId="0" borderId="13" xfId="0" applyBorder="1"/>
    <xf numFmtId="14" fontId="18" fillId="33" borderId="14" xfId="0" applyNumberFormat="1" applyFont="1" applyFill="1" applyBorder="1" applyAlignment="1"/>
    <xf numFmtId="0" fontId="18" fillId="33" borderId="15" xfId="0" applyFont="1" applyFill="1" applyBorder="1" applyAlignment="1"/>
    <xf numFmtId="0" fontId="18" fillId="33" borderId="16" xfId="0" applyFont="1" applyFill="1" applyBorder="1" applyAlignment="1"/>
    <xf numFmtId="0" fontId="0" fillId="0" borderId="0" xfId="0" applyFont="1" applyBorder="1" applyAlignment="1">
      <alignment horizontal="center" vertical="center"/>
    </xf>
    <xf numFmtId="2" fontId="18" fillId="33" borderId="15" xfId="0" applyNumberFormat="1" applyFont="1" applyFill="1" applyBorder="1" applyAlignment="1"/>
    <xf numFmtId="0" fontId="18" fillId="33" borderId="15" xfId="0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18" fillId="33" borderId="0" xfId="0" applyFont="1" applyFill="1" applyAlignment="1">
      <alignment horizontal="center" vertical="center"/>
    </xf>
    <xf numFmtId="0" fontId="18" fillId="33" borderId="0" xfId="0" applyFont="1" applyFill="1" applyAlignment="1"/>
    <xf numFmtId="14" fontId="18" fillId="33" borderId="17" xfId="0" applyNumberFormat="1" applyFont="1" applyFill="1" applyBorder="1" applyAlignment="1"/>
    <xf numFmtId="0" fontId="22" fillId="0" borderId="0" xfId="0" applyFont="1" applyBorder="1"/>
    <xf numFmtId="0" fontId="22" fillId="33" borderId="0" xfId="0" applyFont="1" applyFill="1" applyBorder="1"/>
    <xf numFmtId="0" fontId="18" fillId="33" borderId="0" xfId="0" applyFont="1" applyFill="1" applyBorder="1" applyAlignment="1"/>
    <xf numFmtId="0" fontId="18" fillId="33" borderId="18" xfId="0" applyFont="1" applyFill="1" applyBorder="1" applyAlignment="1"/>
    <xf numFmtId="0" fontId="21" fillId="33" borderId="0" xfId="0" applyFont="1" applyFill="1" applyBorder="1" applyAlignment="1"/>
    <xf numFmtId="0" fontId="22" fillId="0" borderId="0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14" fontId="18" fillId="33" borderId="17" xfId="0" applyNumberFormat="1" applyFont="1" applyFill="1" applyBorder="1" applyAlignment="1">
      <alignment horizontal="left"/>
    </xf>
    <xf numFmtId="0" fontId="21" fillId="33" borderId="0" xfId="0" applyFont="1" applyFill="1" applyBorder="1"/>
    <xf numFmtId="0" fontId="21" fillId="33" borderId="18" xfId="0" applyFont="1" applyFill="1" applyBorder="1" applyAlignment="1"/>
    <xf numFmtId="2" fontId="21" fillId="33" borderId="0" xfId="0" applyNumberFormat="1" applyFont="1" applyFill="1" applyBorder="1" applyAlignment="1"/>
    <xf numFmtId="0" fontId="21" fillId="33" borderId="0" xfId="0" applyFont="1" applyFill="1" applyBorder="1" applyAlignment="1">
      <alignment horizontal="center"/>
    </xf>
    <xf numFmtId="0" fontId="23" fillId="33" borderId="0" xfId="0" applyFont="1" applyFill="1" applyBorder="1" applyAlignment="1">
      <alignment horizontal="left" vertical="center"/>
    </xf>
    <xf numFmtId="0" fontId="0" fillId="33" borderId="0" xfId="0" applyFont="1" applyFill="1" applyBorder="1" applyAlignment="1">
      <alignment horizontal="center" vertical="center"/>
    </xf>
    <xf numFmtId="0" fontId="0" fillId="0" borderId="18" xfId="0" applyFont="1" applyBorder="1" applyAlignment="1"/>
    <xf numFmtId="14" fontId="21" fillId="33" borderId="17" xfId="0" applyNumberFormat="1" applyFont="1" applyFill="1" applyBorder="1" applyAlignment="1"/>
    <xf numFmtId="14" fontId="22" fillId="0" borderId="20" xfId="0" applyNumberFormat="1" applyFont="1" applyBorder="1" applyAlignment="1">
      <alignment horizontal="center" vertical="top" wrapText="1"/>
    </xf>
    <xf numFmtId="0" fontId="22" fillId="0" borderId="14" xfId="0" applyFont="1" applyBorder="1" applyAlignment="1">
      <alignment horizontal="center" vertical="top" wrapText="1"/>
    </xf>
    <xf numFmtId="0" fontId="0" fillId="0" borderId="15" xfId="0" applyFont="1" applyBorder="1"/>
    <xf numFmtId="2" fontId="0" fillId="0" borderId="0" xfId="0" applyNumberFormat="1" applyFont="1"/>
    <xf numFmtId="0" fontId="0" fillId="0" borderId="0" xfId="0" applyFont="1" applyAlignment="1"/>
    <xf numFmtId="0" fontId="21" fillId="0" borderId="23" xfId="0" applyFont="1" applyBorder="1" applyAlignment="1">
      <alignment horizontal="center" vertical="top" wrapText="1"/>
    </xf>
    <xf numFmtId="0" fontId="21" fillId="0" borderId="12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top"/>
    </xf>
    <xf numFmtId="2" fontId="21" fillId="0" borderId="23" xfId="0" applyNumberFormat="1" applyFont="1" applyBorder="1" applyAlignment="1">
      <alignment horizontal="center" vertical="top" wrapText="1"/>
    </xf>
    <xf numFmtId="0" fontId="21" fillId="0" borderId="23" xfId="0" applyFont="1" applyBorder="1" applyAlignment="1"/>
    <xf numFmtId="0" fontId="24" fillId="0" borderId="12" xfId="0" applyFont="1" applyFill="1" applyBorder="1" applyAlignment="1">
      <alignment horizontal="center" vertical="top"/>
    </xf>
    <xf numFmtId="0" fontId="24" fillId="0" borderId="12" xfId="0" applyFont="1" applyBorder="1" applyAlignment="1">
      <alignment horizontal="center" vertical="top"/>
    </xf>
    <xf numFmtId="0" fontId="24" fillId="0" borderId="10" xfId="0" applyFont="1" applyBorder="1" applyAlignment="1">
      <alignment horizontal="center" vertical="top"/>
    </xf>
    <xf numFmtId="0" fontId="25" fillId="0" borderId="0" xfId="0" applyFont="1" applyAlignment="1">
      <alignment horizontal="center" vertical="top"/>
    </xf>
    <xf numFmtId="0" fontId="22" fillId="0" borderId="24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0" fillId="0" borderId="0" xfId="0" applyFont="1" applyBorder="1" applyAlignment="1">
      <alignment vertical="center"/>
    </xf>
    <xf numFmtId="2" fontId="22" fillId="0" borderId="24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/>
    </xf>
    <xf numFmtId="0" fontId="0" fillId="0" borderId="24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19" fillId="0" borderId="0" xfId="0" applyNumberFormat="1" applyFont="1" applyAlignment="1">
      <alignment vertical="center"/>
    </xf>
    <xf numFmtId="0" fontId="19" fillId="0" borderId="0" xfId="0" applyFont="1" applyAlignment="1">
      <alignment horizontal="center" vertical="center"/>
    </xf>
    <xf numFmtId="0" fontId="0" fillId="0" borderId="26" xfId="0" applyFont="1" applyBorder="1"/>
    <xf numFmtId="0" fontId="0" fillId="0" borderId="13" xfId="0" applyFont="1" applyBorder="1"/>
    <xf numFmtId="2" fontId="0" fillId="0" borderId="13" xfId="0" applyNumberFormat="1" applyFont="1" applyBorder="1"/>
    <xf numFmtId="0" fontId="0" fillId="0" borderId="13" xfId="0" applyFont="1" applyBorder="1" applyAlignment="1">
      <alignment horizontal="right"/>
    </xf>
    <xf numFmtId="0" fontId="0" fillId="0" borderId="0" xfId="0" applyFont="1" applyAlignment="1">
      <alignment horizontal="left" vertical="top"/>
    </xf>
    <xf numFmtId="0" fontId="0" fillId="0" borderId="27" xfId="0" applyFont="1" applyBorder="1"/>
    <xf numFmtId="0" fontId="0" fillId="0" borderId="28" xfId="0" applyFont="1" applyBorder="1"/>
    <xf numFmtId="0" fontId="0" fillId="0" borderId="29" xfId="0" applyFont="1" applyBorder="1" applyAlignment="1">
      <alignment horizontal="center" vertical="center"/>
    </xf>
    <xf numFmtId="2" fontId="0" fillId="0" borderId="27" xfId="0" applyNumberFormat="1" applyFont="1" applyBorder="1"/>
    <xf numFmtId="0" fontId="0" fillId="0" borderId="27" xfId="0" applyFont="1" applyBorder="1" applyAlignment="1">
      <alignment horizontal="right"/>
    </xf>
    <xf numFmtId="0" fontId="0" fillId="0" borderId="0" xfId="0" applyFont="1" applyAlignment="1">
      <alignment horizontal="center"/>
    </xf>
    <xf numFmtId="14" fontId="0" fillId="0" borderId="0" xfId="0" applyNumberFormat="1" applyFont="1"/>
    <xf numFmtId="0" fontId="0" fillId="0" borderId="15" xfId="0" applyFont="1" applyBorder="1" applyAlignment="1">
      <alignment horizontal="center" vertical="center"/>
    </xf>
    <xf numFmtId="0" fontId="0" fillId="0" borderId="0" xfId="0" applyAlignment="1"/>
    <xf numFmtId="164" fontId="21" fillId="0" borderId="30" xfId="0" applyNumberFormat="1" applyFont="1" applyBorder="1" applyAlignment="1">
      <alignment horizontal="center" vertical="top" wrapText="1"/>
    </xf>
    <xf numFmtId="0" fontId="22" fillId="0" borderId="19" xfId="0" applyFont="1" applyBorder="1" applyAlignment="1">
      <alignment vertical="top" wrapText="1"/>
    </xf>
    <xf numFmtId="0" fontId="22" fillId="0" borderId="31" xfId="0" applyFont="1" applyBorder="1" applyAlignment="1">
      <alignment vertical="top" wrapText="1"/>
    </xf>
    <xf numFmtId="0" fontId="22" fillId="0" borderId="32" xfId="0" applyFont="1" applyBorder="1" applyAlignment="1">
      <alignment vertical="top" wrapText="1"/>
    </xf>
    <xf numFmtId="165" fontId="22" fillId="0" borderId="20" xfId="0" applyNumberFormat="1" applyFont="1" applyBorder="1" applyAlignment="1">
      <alignment horizontal="center" vertical="center"/>
    </xf>
    <xf numFmtId="0" fontId="0" fillId="0" borderId="33" xfId="0" applyFont="1" applyBorder="1"/>
    <xf numFmtId="0" fontId="0" fillId="0" borderId="24" xfId="0" applyFont="1" applyBorder="1"/>
    <xf numFmtId="14" fontId="22" fillId="0" borderId="18" xfId="0" applyNumberFormat="1" applyFont="1" applyBorder="1" applyAlignment="1">
      <alignment horizontal="center" vertical="top" wrapText="1"/>
    </xf>
    <xf numFmtId="0" fontId="22" fillId="0" borderId="17" xfId="0" applyFont="1" applyBorder="1" applyAlignment="1">
      <alignment horizontal="center" vertical="top" wrapText="1"/>
    </xf>
    <xf numFmtId="14" fontId="22" fillId="0" borderId="34" xfId="0" applyNumberFormat="1" applyFont="1" applyBorder="1" applyAlignment="1">
      <alignment horizontal="center" vertical="top" wrapText="1"/>
    </xf>
    <xf numFmtId="14" fontId="22" fillId="0" borderId="29" xfId="0" applyNumberFormat="1" applyFont="1" applyBorder="1" applyAlignment="1">
      <alignment horizontal="center" vertical="top" wrapText="1"/>
    </xf>
    <xf numFmtId="0" fontId="0" fillId="0" borderId="0" xfId="0" applyFont="1" applyBorder="1"/>
    <xf numFmtId="0" fontId="18" fillId="33" borderId="0" xfId="0" applyFont="1" applyFill="1" applyBorder="1" applyAlignment="1">
      <alignment vertical="center"/>
    </xf>
    <xf numFmtId="0" fontId="18" fillId="33" borderId="35" xfId="0" applyFont="1" applyFill="1" applyBorder="1" applyAlignment="1"/>
    <xf numFmtId="0" fontId="21" fillId="33" borderId="38" xfId="0" applyFont="1" applyFill="1" applyBorder="1" applyAlignment="1"/>
    <xf numFmtId="0" fontId="21" fillId="33" borderId="40" xfId="0" applyFont="1" applyFill="1" applyBorder="1" applyAlignment="1"/>
    <xf numFmtId="14" fontId="22" fillId="0" borderId="41" xfId="0" applyNumberFormat="1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0" borderId="33" xfId="0" applyFont="1" applyFill="1" applyBorder="1"/>
    <xf numFmtId="14" fontId="22" fillId="0" borderId="21" xfId="0" applyNumberFormat="1" applyFont="1" applyBorder="1" applyAlignment="1">
      <alignment horizontal="center" vertical="top" wrapText="1"/>
    </xf>
    <xf numFmtId="14" fontId="22" fillId="0" borderId="22" xfId="0" applyNumberFormat="1" applyFont="1" applyBorder="1" applyAlignment="1">
      <alignment horizontal="center" vertical="top" wrapText="1"/>
    </xf>
    <xf numFmtId="14" fontId="22" fillId="0" borderId="32" xfId="0" applyNumberFormat="1" applyFont="1" applyBorder="1" applyAlignment="1">
      <alignment horizontal="center" vertical="top" wrapText="1"/>
    </xf>
    <xf numFmtId="0" fontId="22" fillId="33" borderId="36" xfId="0" applyFont="1" applyFill="1" applyBorder="1" applyAlignment="1">
      <alignment horizontal="left" vertical="top" wrapText="1"/>
    </xf>
    <xf numFmtId="0" fontId="22" fillId="33" borderId="37" xfId="0" applyFont="1" applyFill="1" applyBorder="1" applyAlignment="1">
      <alignment horizontal="left" vertical="top" wrapText="1"/>
    </xf>
    <xf numFmtId="0" fontId="22" fillId="33" borderId="0" xfId="0" applyFont="1" applyFill="1" applyBorder="1" applyAlignment="1">
      <alignment horizontal="left" vertical="top" wrapText="1"/>
    </xf>
    <xf numFmtId="0" fontId="22" fillId="33" borderId="39" xfId="0" applyFont="1" applyFill="1" applyBorder="1" applyAlignment="1">
      <alignment horizontal="left" vertical="top" wrapText="1"/>
    </xf>
    <xf numFmtId="0" fontId="22" fillId="33" borderId="29" xfId="0" applyFont="1" applyFill="1" applyBorder="1" applyAlignment="1">
      <alignment horizontal="left" vertical="top" wrapText="1"/>
    </xf>
    <xf numFmtId="0" fontId="22" fillId="33" borderId="11" xfId="0" applyFont="1" applyFill="1" applyBorder="1" applyAlignment="1">
      <alignment horizontal="left" vertical="top" wrapText="1"/>
    </xf>
    <xf numFmtId="14" fontId="21" fillId="0" borderId="18" xfId="0" applyNumberFormat="1" applyFont="1" applyBorder="1" applyAlignment="1">
      <alignment horizontal="center" vertical="center" wrapText="1"/>
    </xf>
    <xf numFmtId="14" fontId="21" fillId="0" borderId="41" xfId="0" applyNumberFormat="1" applyFont="1" applyBorder="1" applyAlignment="1">
      <alignment horizontal="center" vertical="center" wrapText="1"/>
    </xf>
    <xf numFmtId="0" fontId="26" fillId="0" borderId="42" xfId="0" applyFont="1" applyBorder="1" applyAlignment="1">
      <alignment horizontal="center"/>
    </xf>
    <xf numFmtId="0" fontId="26" fillId="0" borderId="43" xfId="0" applyFont="1" applyBorder="1" applyAlignment="1">
      <alignment horizontal="center"/>
    </xf>
    <xf numFmtId="0" fontId="26" fillId="0" borderId="31" xfId="0" applyFont="1" applyBorder="1" applyAlignment="1">
      <alignment horizontal="center"/>
    </xf>
    <xf numFmtId="0" fontId="16" fillId="0" borderId="13" xfId="0" applyFont="1" applyBorder="1"/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4"/>
    <cellStyle name="Normal 2" xfId="43"/>
    <cellStyle name="Normal 3" xfId="45"/>
    <cellStyle name="Normal 4" xfId="46"/>
    <cellStyle name="Normal 5" xfId="42"/>
    <cellStyle name="Normal 6" xfId="47"/>
    <cellStyle name="Normal 7" xfId="48"/>
    <cellStyle name="Normal 8" xfId="49"/>
    <cellStyle name="Normal 9" xfId="5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Al_ER_XRA01_MTRS1!$E$5</c:f>
              <c:strCache>
                <c:ptCount val="1"/>
                <c:pt idx="0">
                  <c:v>Al etch rate (A/min)</c:v>
                </c:pt>
              </c:strCache>
            </c:strRef>
          </c:tx>
          <c:val>
            <c:numRef>
              <c:f>Al_ER_XRA01_MTRS1!$E$6:$E$10</c:f>
              <c:numCache>
                <c:formatCode>General</c:formatCode>
                <c:ptCount val="5"/>
                <c:pt idx="0">
                  <c:v>2777.9</c:v>
                </c:pt>
                <c:pt idx="1">
                  <c:v>2872.3</c:v>
                </c:pt>
                <c:pt idx="2">
                  <c:v>2939</c:v>
                </c:pt>
                <c:pt idx="3">
                  <c:v>2941.7</c:v>
                </c:pt>
                <c:pt idx="4">
                  <c:v>2931.9</c:v>
                </c:pt>
              </c:numCache>
            </c:numRef>
          </c:val>
        </c:ser>
        <c:marker val="1"/>
        <c:axId val="102900864"/>
        <c:axId val="102902400"/>
      </c:lineChart>
      <c:catAx>
        <c:axId val="102900864"/>
        <c:scaling>
          <c:orientation val="minMax"/>
        </c:scaling>
        <c:axPos val="b"/>
        <c:numFmt formatCode="General" sourceLinked="1"/>
        <c:tickLblPos val="nextTo"/>
        <c:crossAx val="102902400"/>
        <c:crosses val="autoZero"/>
        <c:auto val="1"/>
        <c:lblAlgn val="ctr"/>
        <c:lblOffset val="100"/>
      </c:catAx>
      <c:valAx>
        <c:axId val="102902400"/>
        <c:scaling>
          <c:orientation val="minMax"/>
          <c:max val="4000"/>
          <c:min val="2000"/>
        </c:scaling>
        <c:axPos val="l"/>
        <c:majorGridlines/>
        <c:numFmt formatCode="General" sourceLinked="1"/>
        <c:tickLblPos val="nextTo"/>
        <c:crossAx val="102900864"/>
        <c:crosses val="autoZero"/>
        <c:crossBetween val="between"/>
      </c:valAx>
    </c:plotArea>
    <c:legend>
      <c:legendPos val="r"/>
    </c:legend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ER Uniformity</a:t>
            </a:r>
          </a:p>
        </c:rich>
      </c:tx>
      <c:spPr>
        <a:ln w="3175" cmpd="sng">
          <a:solidFill>
            <a:schemeClr val="accent1"/>
          </a:solidFill>
        </a:ln>
      </c:spPr>
    </c:title>
    <c:plotArea>
      <c:layout/>
      <c:lineChart>
        <c:grouping val="standard"/>
        <c:ser>
          <c:idx val="0"/>
          <c:order val="0"/>
          <c:tx>
            <c:strRef>
              <c:f>Al_ER_XRA01_MTRS1!$F$5</c:f>
              <c:strCache>
                <c:ptCount val="1"/>
                <c:pt idx="0">
                  <c:v>Uniformity (%) </c:v>
                </c:pt>
              </c:strCache>
            </c:strRef>
          </c:tx>
          <c:val>
            <c:numRef>
              <c:f>Al_ER_XRA01_MTRS1!$F$6:$F$10</c:f>
              <c:numCache>
                <c:formatCode>General</c:formatCode>
                <c:ptCount val="5"/>
                <c:pt idx="0">
                  <c:v>2.27</c:v>
                </c:pt>
                <c:pt idx="1">
                  <c:v>3.1</c:v>
                </c:pt>
                <c:pt idx="2">
                  <c:v>3.46</c:v>
                </c:pt>
                <c:pt idx="3">
                  <c:v>2.79</c:v>
                </c:pt>
                <c:pt idx="4">
                  <c:v>2.84</c:v>
                </c:pt>
              </c:numCache>
            </c:numRef>
          </c:val>
        </c:ser>
        <c:marker val="1"/>
        <c:axId val="102926592"/>
        <c:axId val="102944768"/>
      </c:lineChart>
      <c:catAx>
        <c:axId val="102926592"/>
        <c:scaling>
          <c:orientation val="minMax"/>
        </c:scaling>
        <c:axPos val="b"/>
        <c:numFmt formatCode="General" sourceLinked="1"/>
        <c:tickLblPos val="nextTo"/>
        <c:crossAx val="102944768"/>
        <c:crosses val="autoZero"/>
        <c:auto val="1"/>
        <c:lblAlgn val="ctr"/>
        <c:lblOffset val="100"/>
      </c:catAx>
      <c:valAx>
        <c:axId val="102944768"/>
        <c:scaling>
          <c:orientation val="minMax"/>
          <c:max val="10"/>
          <c:min val="0"/>
        </c:scaling>
        <c:axPos val="l"/>
        <c:majorGridlines/>
        <c:numFmt formatCode="General" sourceLinked="1"/>
        <c:tickLblPos val="nextTo"/>
        <c:crossAx val="102926592"/>
        <c:crosses val="autoZero"/>
        <c:crossBetween val="between"/>
        <c:minorUnit val="1"/>
      </c:valAx>
    </c:plotArea>
    <c:legend>
      <c:legendPos val="r"/>
    </c:legend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ER Uniformity</a:t>
            </a:r>
          </a:p>
        </c:rich>
      </c:tx>
      <c:spPr>
        <a:ln w="3175" cmpd="sng">
          <a:solidFill>
            <a:schemeClr val="accent1"/>
          </a:solidFill>
        </a:ln>
      </c:spPr>
    </c:title>
    <c:plotArea>
      <c:layout/>
      <c:lineChart>
        <c:grouping val="standard"/>
        <c:ser>
          <c:idx val="0"/>
          <c:order val="0"/>
          <c:val>
            <c:numRef>
              <c:f>Al_ER_XRA01_MTRS1!$F$26:$F$29</c:f>
              <c:numCache>
                <c:formatCode>General</c:formatCode>
                <c:ptCount val="4"/>
                <c:pt idx="0">
                  <c:v>3.74</c:v>
                </c:pt>
                <c:pt idx="1">
                  <c:v>4.75</c:v>
                </c:pt>
                <c:pt idx="2">
                  <c:v>3.29</c:v>
                </c:pt>
                <c:pt idx="3">
                  <c:v>3.46</c:v>
                </c:pt>
              </c:numCache>
            </c:numRef>
          </c:val>
        </c:ser>
        <c:marker val="1"/>
        <c:axId val="102952320"/>
        <c:axId val="102962304"/>
      </c:lineChart>
      <c:catAx>
        <c:axId val="102952320"/>
        <c:scaling>
          <c:orientation val="minMax"/>
        </c:scaling>
        <c:axPos val="b"/>
        <c:numFmt formatCode="General" sourceLinked="1"/>
        <c:tickLblPos val="nextTo"/>
        <c:crossAx val="102962304"/>
        <c:crosses val="autoZero"/>
        <c:auto val="1"/>
        <c:lblAlgn val="ctr"/>
        <c:lblOffset val="100"/>
      </c:catAx>
      <c:valAx>
        <c:axId val="102962304"/>
        <c:scaling>
          <c:orientation val="minMax"/>
          <c:max val="10"/>
          <c:min val="0"/>
        </c:scaling>
        <c:axPos val="l"/>
        <c:majorGridlines/>
        <c:numFmt formatCode="General" sourceLinked="1"/>
        <c:tickLblPos val="nextTo"/>
        <c:crossAx val="102952320"/>
        <c:crosses val="autoZero"/>
        <c:crossBetween val="between"/>
        <c:minorUnit val="1"/>
      </c:valAx>
    </c:plotArea>
    <c:legend>
      <c:legendPos val="r"/>
    </c:legend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Al_ER_XRA01_MTRS1!$E$26:$E$29</c:f>
              <c:numCache>
                <c:formatCode>General</c:formatCode>
                <c:ptCount val="4"/>
                <c:pt idx="0">
                  <c:v>2873.6</c:v>
                </c:pt>
                <c:pt idx="1">
                  <c:v>2940.6</c:v>
                </c:pt>
                <c:pt idx="2">
                  <c:v>2917.6</c:v>
                </c:pt>
                <c:pt idx="3">
                  <c:v>2917.1</c:v>
                </c:pt>
              </c:numCache>
            </c:numRef>
          </c:val>
        </c:ser>
        <c:marker val="1"/>
        <c:axId val="102998400"/>
        <c:axId val="102999936"/>
      </c:lineChart>
      <c:catAx>
        <c:axId val="102998400"/>
        <c:scaling>
          <c:orientation val="minMax"/>
        </c:scaling>
        <c:axPos val="b"/>
        <c:numFmt formatCode="General" sourceLinked="1"/>
        <c:tickLblPos val="nextTo"/>
        <c:crossAx val="102999936"/>
        <c:crosses val="autoZero"/>
        <c:auto val="1"/>
        <c:lblAlgn val="ctr"/>
        <c:lblOffset val="100"/>
      </c:catAx>
      <c:valAx>
        <c:axId val="102999936"/>
        <c:scaling>
          <c:orientation val="minMax"/>
          <c:max val="4000"/>
          <c:min val="2000"/>
        </c:scaling>
        <c:axPos val="l"/>
        <c:majorGridlines/>
        <c:numFmt formatCode="General" sourceLinked="1"/>
        <c:tickLblPos val="nextTo"/>
        <c:crossAx val="102998400"/>
        <c:crosses val="autoZero"/>
        <c:crossBetween val="between"/>
      </c:valAx>
    </c:plotArea>
    <c:legend>
      <c:legendPos val="r"/>
    </c:legend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66676</xdr:colOff>
      <xdr:row>0</xdr:row>
      <xdr:rowOff>114300</xdr:rowOff>
    </xdr:from>
    <xdr:to>
      <xdr:col>15</xdr:col>
      <xdr:colOff>390526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</xdr:colOff>
      <xdr:row>10</xdr:row>
      <xdr:rowOff>76200</xdr:rowOff>
    </xdr:from>
    <xdr:to>
      <xdr:col>15</xdr:col>
      <xdr:colOff>390524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33</xdr:row>
      <xdr:rowOff>171450</xdr:rowOff>
    </xdr:from>
    <xdr:to>
      <xdr:col>15</xdr:col>
      <xdr:colOff>323850</xdr:colOff>
      <xdr:row>43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66675</xdr:colOff>
      <xdr:row>23</xdr:row>
      <xdr:rowOff>133350</xdr:rowOff>
    </xdr:from>
    <xdr:to>
      <xdr:col>15</xdr:col>
      <xdr:colOff>390525</xdr:colOff>
      <xdr:row>32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D28"/>
  <sheetViews>
    <sheetView topLeftCell="A7" zoomScale="69" zoomScaleNormal="69" workbookViewId="0">
      <selection activeCell="C23" sqref="C23:D35"/>
    </sheetView>
  </sheetViews>
  <sheetFormatPr defaultColWidth="8.42578125" defaultRowHeight="15.75"/>
  <cols>
    <col min="1" max="1" width="16.28515625" style="64" customWidth="1"/>
    <col min="2" max="2" width="16.42578125" style="20" customWidth="1"/>
    <col min="3" max="3" width="12.5703125" style="20" bestFit="1" customWidth="1"/>
    <col min="4" max="5" width="8.42578125" style="20"/>
    <col min="6" max="6" width="9.5703125" style="20" customWidth="1"/>
    <col min="7" max="15" width="9.42578125" style="20" customWidth="1"/>
    <col min="16" max="16" width="9.140625" style="20" bestFit="1" customWidth="1"/>
    <col min="17" max="18" width="8.42578125" style="20"/>
    <col min="19" max="19" width="8.42578125" style="65"/>
    <col min="20" max="20" width="8.42578125" style="33"/>
    <col min="21" max="21" width="8.42578125" style="20"/>
    <col min="22" max="23" width="8.42578125" style="63"/>
    <col min="24" max="24" width="12.5703125" style="34" bestFit="1" customWidth="1"/>
    <col min="25" max="28" width="8.42578125" style="8"/>
    <col min="29" max="30" width="8.42578125" style="19"/>
    <col min="31" max="16384" width="8.42578125" style="20"/>
  </cols>
  <sheetData>
    <row r="1" spans="1:30" s="11" customFormat="1" ht="16.5" thickBot="1">
      <c r="A1" s="2" t="s">
        <v>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5"/>
      <c r="T1" s="6"/>
      <c r="U1" s="3"/>
      <c r="V1" s="7"/>
      <c r="W1" s="7"/>
      <c r="X1" s="4"/>
      <c r="Y1" s="8"/>
      <c r="Z1" s="8"/>
      <c r="AA1" s="9"/>
      <c r="AB1" s="9"/>
      <c r="AC1" s="10"/>
      <c r="AD1" s="10"/>
    </row>
    <row r="2" spans="1:30" ht="15.75" customHeight="1">
      <c r="A2" s="12" t="s">
        <v>5</v>
      </c>
      <c r="B2" s="13"/>
      <c r="C2" s="14"/>
      <c r="D2" s="14"/>
      <c r="E2" s="15"/>
      <c r="F2" s="15"/>
      <c r="G2" s="15"/>
      <c r="H2" s="15"/>
      <c r="I2" s="15" t="s">
        <v>37</v>
      </c>
      <c r="J2" s="15"/>
      <c r="K2" s="15"/>
      <c r="L2" s="15"/>
      <c r="M2" s="80" t="s">
        <v>43</v>
      </c>
      <c r="N2" s="91" t="s">
        <v>44</v>
      </c>
      <c r="O2" s="91"/>
      <c r="P2" s="91"/>
      <c r="Q2" s="92"/>
      <c r="R2" s="79"/>
      <c r="S2" s="79"/>
      <c r="T2" s="79"/>
      <c r="U2" s="17"/>
      <c r="V2" s="18"/>
      <c r="W2" s="18"/>
      <c r="X2" s="16"/>
    </row>
    <row r="3" spans="1:30">
      <c r="A3" s="21" t="s">
        <v>67</v>
      </c>
      <c r="B3" s="22"/>
      <c r="C3" s="22"/>
      <c r="D3" s="22"/>
      <c r="E3" s="17"/>
      <c r="F3" s="17" t="s">
        <v>56</v>
      </c>
      <c r="G3" s="17"/>
      <c r="H3" s="17"/>
      <c r="I3" s="17"/>
      <c r="J3" s="17"/>
      <c r="K3" s="17"/>
      <c r="L3" s="17"/>
      <c r="M3" s="81"/>
      <c r="N3" s="93"/>
      <c r="O3" s="93"/>
      <c r="P3" s="93"/>
      <c r="Q3" s="94"/>
      <c r="R3" s="79"/>
      <c r="S3" s="79"/>
      <c r="T3" s="79"/>
      <c r="U3" s="17"/>
      <c r="V3" s="25"/>
      <c r="W3" s="25"/>
      <c r="X3" s="23"/>
    </row>
    <row r="4" spans="1:30">
      <c r="A4" s="12" t="s">
        <v>64</v>
      </c>
      <c r="B4" s="14"/>
      <c r="C4" s="14"/>
      <c r="D4" s="14"/>
      <c r="E4" s="17"/>
      <c r="F4" s="15" t="s">
        <v>65</v>
      </c>
      <c r="G4" s="17"/>
      <c r="H4" s="17"/>
      <c r="I4" s="17"/>
      <c r="J4" s="17"/>
      <c r="K4" s="17"/>
      <c r="L4" s="17"/>
      <c r="M4" s="81"/>
      <c r="N4" s="93"/>
      <c r="O4" s="93"/>
      <c r="P4" s="93"/>
      <c r="Q4" s="94"/>
      <c r="R4" s="79"/>
      <c r="S4" s="79"/>
      <c r="T4" s="79"/>
      <c r="U4" s="17"/>
      <c r="V4" s="25"/>
      <c r="W4" s="25"/>
      <c r="X4" s="23"/>
    </row>
    <row r="5" spans="1:30">
      <c r="A5" s="12" t="s">
        <v>66</v>
      </c>
      <c r="B5" s="14"/>
      <c r="C5" s="14"/>
      <c r="D5" s="14"/>
      <c r="E5" s="17"/>
      <c r="F5" s="17"/>
      <c r="G5" s="17"/>
      <c r="H5" s="17"/>
      <c r="I5" s="17"/>
      <c r="J5" s="17"/>
      <c r="K5" s="17"/>
      <c r="L5" s="17"/>
      <c r="M5" s="81"/>
      <c r="N5" s="93"/>
      <c r="O5" s="93"/>
      <c r="P5" s="93"/>
      <c r="Q5" s="94"/>
      <c r="R5" s="79"/>
      <c r="S5" s="79"/>
      <c r="T5" s="79"/>
      <c r="U5" s="17"/>
      <c r="V5" s="25"/>
      <c r="W5" s="25"/>
      <c r="X5" s="23"/>
    </row>
    <row r="6" spans="1:30" ht="16.5" thickBot="1">
      <c r="A6" s="12" t="s">
        <v>38</v>
      </c>
      <c r="B6" s="14"/>
      <c r="C6" s="14"/>
      <c r="D6" s="14"/>
      <c r="E6" s="17"/>
      <c r="F6" s="17"/>
      <c r="G6" s="17"/>
      <c r="H6" s="17"/>
      <c r="I6" s="17"/>
      <c r="J6" s="17"/>
      <c r="K6" s="17"/>
      <c r="L6" s="17"/>
      <c r="M6" s="82"/>
      <c r="N6" s="95"/>
      <c r="O6" s="95"/>
      <c r="P6" s="95"/>
      <c r="Q6" s="96"/>
      <c r="R6" s="79"/>
      <c r="S6" s="79"/>
      <c r="T6" s="79"/>
      <c r="U6" s="26"/>
      <c r="V6" s="27"/>
      <c r="W6" s="27"/>
      <c r="X6" s="28"/>
    </row>
    <row r="7" spans="1:30">
      <c r="A7" s="29" t="s">
        <v>6</v>
      </c>
      <c r="B7" s="14"/>
      <c r="C7" s="14"/>
      <c r="D7" s="14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4"/>
      <c r="Q7" s="14"/>
      <c r="R7" s="17"/>
      <c r="S7" s="5"/>
      <c r="T7" s="24"/>
      <c r="U7" s="17"/>
      <c r="V7" s="25"/>
      <c r="W7" s="25"/>
      <c r="X7" s="23"/>
    </row>
    <row r="8" spans="1:30" ht="16.5" thickBot="1">
      <c r="A8" s="30"/>
      <c r="B8" s="31"/>
      <c r="C8" s="88" t="s">
        <v>7</v>
      </c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90"/>
      <c r="S8" s="32"/>
      <c r="V8" s="20"/>
      <c r="W8" s="20"/>
      <c r="Y8" s="20"/>
      <c r="Z8" s="20"/>
      <c r="AA8" s="20"/>
      <c r="AB8" s="20"/>
      <c r="AC8" s="20"/>
      <c r="AD8" s="20"/>
    </row>
    <row r="9" spans="1:30" ht="16.5" thickBot="1">
      <c r="A9" s="74"/>
      <c r="B9" s="75" t="s">
        <v>41</v>
      </c>
      <c r="C9" s="76" t="s">
        <v>45</v>
      </c>
      <c r="D9" s="77" t="s">
        <v>42</v>
      </c>
      <c r="E9" s="77" t="s">
        <v>46</v>
      </c>
      <c r="F9" s="77" t="s">
        <v>47</v>
      </c>
      <c r="G9" s="77" t="s">
        <v>48</v>
      </c>
      <c r="H9" s="77" t="s">
        <v>49</v>
      </c>
      <c r="I9" s="77" t="s">
        <v>50</v>
      </c>
      <c r="J9" s="77" t="s">
        <v>51</v>
      </c>
      <c r="K9" s="77" t="s">
        <v>52</v>
      </c>
      <c r="L9" s="77" t="s">
        <v>53</v>
      </c>
      <c r="M9" s="77" t="s">
        <v>54</v>
      </c>
      <c r="N9" s="77" t="s">
        <v>55</v>
      </c>
      <c r="O9" s="83" t="s">
        <v>63</v>
      </c>
      <c r="S9" s="78"/>
      <c r="V9" s="20"/>
      <c r="W9" s="20"/>
      <c r="Y9" s="20"/>
      <c r="Z9" s="20"/>
      <c r="AA9" s="20"/>
      <c r="AB9" s="20"/>
      <c r="AC9" s="20"/>
      <c r="AD9" s="20"/>
    </row>
    <row r="10" spans="1:30">
      <c r="A10" s="97" t="s">
        <v>71</v>
      </c>
      <c r="B10" s="75" t="s">
        <v>69</v>
      </c>
      <c r="C10" s="20">
        <v>0</v>
      </c>
      <c r="D10" s="20">
        <v>0</v>
      </c>
      <c r="E10" s="20">
        <v>30</v>
      </c>
      <c r="F10" s="20">
        <v>0</v>
      </c>
      <c r="G10" s="20">
        <v>-30</v>
      </c>
      <c r="H10">
        <v>0</v>
      </c>
      <c r="I10" s="20">
        <v>60</v>
      </c>
      <c r="J10" s="20">
        <v>0</v>
      </c>
      <c r="K10" s="20">
        <v>-60</v>
      </c>
      <c r="L10" s="20">
        <v>0</v>
      </c>
      <c r="M10" s="20">
        <v>90</v>
      </c>
      <c r="N10" s="20">
        <v>0</v>
      </c>
      <c r="O10" s="20">
        <v>-90</v>
      </c>
      <c r="S10" s="78"/>
      <c r="V10" s="20"/>
      <c r="W10" s="20"/>
      <c r="Y10" s="20"/>
      <c r="Z10" s="20"/>
      <c r="AA10" s="20"/>
      <c r="AB10" s="20"/>
      <c r="AC10" s="20"/>
      <c r="AD10" s="20"/>
    </row>
    <row r="11" spans="1:30" ht="16.5" thickBot="1">
      <c r="A11" s="98"/>
      <c r="B11" s="75" t="s">
        <v>70</v>
      </c>
      <c r="C11" s="20">
        <v>0</v>
      </c>
      <c r="D11" s="20">
        <v>-30</v>
      </c>
      <c r="E11" s="20">
        <v>0</v>
      </c>
      <c r="F11" s="20">
        <v>30</v>
      </c>
      <c r="G11" s="20">
        <v>0</v>
      </c>
      <c r="H11" s="20">
        <v>-60</v>
      </c>
      <c r="I11" s="20">
        <v>0</v>
      </c>
      <c r="J11" s="20">
        <v>60</v>
      </c>
      <c r="K11" s="20">
        <v>0</v>
      </c>
      <c r="L11" s="20">
        <v>-90</v>
      </c>
      <c r="M11" s="20">
        <v>0</v>
      </c>
      <c r="N11" s="20">
        <v>90</v>
      </c>
      <c r="O11" s="20">
        <v>0</v>
      </c>
      <c r="S11" s="78"/>
      <c r="V11" s="20"/>
      <c r="W11" s="20"/>
      <c r="Y11" s="20"/>
      <c r="Z11" s="20"/>
      <c r="AA11" s="20"/>
      <c r="AB11" s="20"/>
      <c r="AC11" s="20"/>
      <c r="AD11" s="20"/>
    </row>
    <row r="12" spans="1:30" s="43" customFormat="1" ht="63.75" thickBot="1">
      <c r="A12" s="67" t="s">
        <v>8</v>
      </c>
      <c r="B12" s="35" t="s">
        <v>9</v>
      </c>
      <c r="C12" s="35" t="s">
        <v>10</v>
      </c>
      <c r="D12" s="35" t="s">
        <v>11</v>
      </c>
      <c r="E12" s="35" t="s">
        <v>12</v>
      </c>
      <c r="F12" s="35" t="s">
        <v>13</v>
      </c>
      <c r="G12" s="35" t="s">
        <v>14</v>
      </c>
      <c r="H12" s="35" t="s">
        <v>15</v>
      </c>
      <c r="I12" s="35" t="s">
        <v>16</v>
      </c>
      <c r="J12" s="35" t="s">
        <v>17</v>
      </c>
      <c r="K12" s="35" t="s">
        <v>18</v>
      </c>
      <c r="L12" s="35" t="s">
        <v>19</v>
      </c>
      <c r="M12" s="35" t="s">
        <v>20</v>
      </c>
      <c r="N12" s="35" t="s">
        <v>21</v>
      </c>
      <c r="O12" s="35" t="s">
        <v>22</v>
      </c>
      <c r="P12" s="36" t="s">
        <v>23</v>
      </c>
      <c r="Q12" s="36" t="s">
        <v>24</v>
      </c>
      <c r="R12" s="35" t="s">
        <v>25</v>
      </c>
      <c r="S12" s="37" t="s">
        <v>26</v>
      </c>
      <c r="T12" s="38" t="s">
        <v>27</v>
      </c>
      <c r="U12" s="37" t="s">
        <v>28</v>
      </c>
      <c r="V12" s="35" t="s">
        <v>29</v>
      </c>
      <c r="W12" s="35" t="s">
        <v>30</v>
      </c>
      <c r="X12" s="39" t="s">
        <v>31</v>
      </c>
      <c r="Y12" s="40" t="s">
        <v>2</v>
      </c>
      <c r="Z12" s="40" t="s">
        <v>3</v>
      </c>
      <c r="AA12" s="41" t="s">
        <v>32</v>
      </c>
      <c r="AB12" s="41" t="s">
        <v>33</v>
      </c>
      <c r="AC12" s="41" t="s">
        <v>34</v>
      </c>
      <c r="AD12" s="42" t="s">
        <v>35</v>
      </c>
    </row>
    <row r="13" spans="1:30">
      <c r="A13" s="71">
        <v>43956</v>
      </c>
      <c r="B13" s="68" t="s">
        <v>0</v>
      </c>
      <c r="C13" s="1">
        <v>966.6</v>
      </c>
      <c r="D13" s="1">
        <v>942.8</v>
      </c>
      <c r="E13" s="1">
        <v>943.5</v>
      </c>
      <c r="F13" s="1">
        <v>945.1</v>
      </c>
      <c r="G13" s="1">
        <v>946.6</v>
      </c>
      <c r="H13" s="1">
        <v>911.6</v>
      </c>
      <c r="I13" s="1">
        <v>909.7</v>
      </c>
      <c r="J13" s="1">
        <v>916.1</v>
      </c>
      <c r="K13" s="1">
        <v>914.1</v>
      </c>
      <c r="L13" s="1">
        <v>852.6</v>
      </c>
      <c r="M13" s="1">
        <v>851.3</v>
      </c>
      <c r="N13" s="1">
        <v>860.3</v>
      </c>
      <c r="O13" s="1">
        <v>859.7</v>
      </c>
      <c r="P13" s="45">
        <f>IF((O14=""),"",MAX(C15:O15))</f>
        <v>2494.8000000000002</v>
      </c>
      <c r="Q13" s="44">
        <f>IF(O14="","",MIN(C15:O15))</f>
        <v>2047.6000000000001</v>
      </c>
      <c r="R13" s="44">
        <f>IF((O15=""),"",AVERAGE(C15:O15))</f>
        <v>2255.6923076923076</v>
      </c>
      <c r="S13" s="46">
        <f>STDEV(C15:O15)</f>
        <v>164.72248612712065</v>
      </c>
      <c r="T13" s="47">
        <f>IF((O14=""),"",((P13-Q13)/(P13+Q13))*100)</f>
        <v>9.8450158506516381</v>
      </c>
      <c r="U13" s="48"/>
      <c r="V13" s="49">
        <v>102</v>
      </c>
      <c r="W13" s="50"/>
      <c r="X13" s="66" t="s">
        <v>39</v>
      </c>
      <c r="AA13" s="51"/>
      <c r="AB13" s="51"/>
      <c r="AC13" s="52"/>
      <c r="AD13" s="52"/>
    </row>
    <row r="14" spans="1:30">
      <c r="A14" s="72"/>
      <c r="B14" s="69" t="s">
        <v>1</v>
      </c>
      <c r="C14" s="1">
        <v>454.7</v>
      </c>
      <c r="D14" s="1">
        <v>418.6</v>
      </c>
      <c r="E14" s="1">
        <v>419.7</v>
      </c>
      <c r="F14" s="1">
        <v>424.9</v>
      </c>
      <c r="G14" s="1">
        <v>420.8</v>
      </c>
      <c r="H14" s="1">
        <v>342.5</v>
      </c>
      <c r="I14" s="1">
        <v>346.8</v>
      </c>
      <c r="J14" s="1">
        <v>355.4</v>
      </c>
      <c r="K14" s="1">
        <v>346.2</v>
      </c>
      <c r="L14" s="1">
        <v>232.7</v>
      </c>
      <c r="M14" s="1">
        <v>240.3</v>
      </c>
      <c r="N14" s="1">
        <v>250.4</v>
      </c>
      <c r="O14" s="1">
        <v>236</v>
      </c>
      <c r="P14" s="53"/>
      <c r="Q14" s="54"/>
      <c r="R14" s="54"/>
      <c r="S14" s="46"/>
      <c r="T14" s="55"/>
      <c r="U14" s="54"/>
      <c r="V14" s="56"/>
      <c r="W14" s="50"/>
      <c r="X14" s="57"/>
    </row>
    <row r="15" spans="1:30" ht="32.25" thickBot="1">
      <c r="A15" s="73"/>
      <c r="B15" s="70" t="s">
        <v>36</v>
      </c>
      <c r="C15" s="58">
        <f>IF(((C13="")*AND(C14="")),"",(C13-C14)*4)</f>
        <v>2047.6000000000001</v>
      </c>
      <c r="D15" s="58">
        <f t="shared" ref="D15:O15" si="0">IF(((D13="")*AND(D14="")),"",(D13-D14)*4)</f>
        <v>2096.7999999999997</v>
      </c>
      <c r="E15" s="58">
        <f t="shared" si="0"/>
        <v>2095.1999999999998</v>
      </c>
      <c r="F15" s="58">
        <f t="shared" si="0"/>
        <v>2080.8000000000002</v>
      </c>
      <c r="G15" s="58">
        <f t="shared" si="0"/>
        <v>2103.1999999999998</v>
      </c>
      <c r="H15" s="58">
        <f t="shared" si="0"/>
        <v>2276.4</v>
      </c>
      <c r="I15" s="58">
        <f t="shared" si="0"/>
        <v>2251.6000000000004</v>
      </c>
      <c r="J15" s="58">
        <f t="shared" si="0"/>
        <v>2242.8000000000002</v>
      </c>
      <c r="K15" s="58">
        <f t="shared" si="0"/>
        <v>2271.6000000000004</v>
      </c>
      <c r="L15" s="58">
        <f t="shared" si="0"/>
        <v>2479.6000000000004</v>
      </c>
      <c r="M15" s="58">
        <f t="shared" si="0"/>
        <v>2444</v>
      </c>
      <c r="N15" s="58">
        <f t="shared" si="0"/>
        <v>2439.6</v>
      </c>
      <c r="O15" s="58">
        <f t="shared" si="0"/>
        <v>2494.8000000000002</v>
      </c>
      <c r="P15" s="59"/>
      <c r="Q15" s="58"/>
      <c r="R15" s="58"/>
      <c r="S15" s="60"/>
      <c r="T15" s="61"/>
      <c r="U15" s="58"/>
      <c r="V15" s="62"/>
      <c r="W15" s="50"/>
      <c r="X15" s="57"/>
    </row>
    <row r="16" spans="1:30">
      <c r="A16" s="71">
        <v>43957</v>
      </c>
      <c r="B16" s="68" t="s">
        <v>0</v>
      </c>
      <c r="C16" s="1">
        <v>958.7</v>
      </c>
      <c r="D16" s="1">
        <v>934.9</v>
      </c>
      <c r="E16" s="1">
        <v>937.2</v>
      </c>
      <c r="F16" s="87">
        <v>937.7</v>
      </c>
      <c r="G16" s="1">
        <v>935.6</v>
      </c>
      <c r="H16" s="1">
        <v>900.4</v>
      </c>
      <c r="I16" s="1">
        <v>900.3</v>
      </c>
      <c r="J16" s="1">
        <v>903.8</v>
      </c>
      <c r="K16" s="1">
        <v>906.6</v>
      </c>
      <c r="L16" s="1">
        <v>846.1</v>
      </c>
      <c r="M16" s="1">
        <v>842.9</v>
      </c>
      <c r="N16" s="1">
        <v>851.2</v>
      </c>
      <c r="O16" s="1">
        <v>854.3</v>
      </c>
      <c r="P16" s="45">
        <f>IF((O17=""),"",MAX(C18:O18))</f>
        <v>2484.3999999999996</v>
      </c>
      <c r="Q16" s="44">
        <f>IF(O17="","",MIN(C18:O18))</f>
        <v>1933.6</v>
      </c>
      <c r="R16" s="44">
        <f>IF((O18=""),"",AVERAGE(C18:O18))</f>
        <v>2213.2307692307691</v>
      </c>
      <c r="S16" s="46">
        <f>STDEV(C18:O18)</f>
        <v>194.0283458012222</v>
      </c>
      <c r="T16" s="47">
        <f>IF((O17=""),"",((P16-Q16)/(P16+Q16))*100)</f>
        <v>12.467179719330007</v>
      </c>
      <c r="U16" s="48"/>
      <c r="V16" s="49">
        <v>102</v>
      </c>
      <c r="W16" s="50"/>
      <c r="X16" s="66" t="s">
        <v>68</v>
      </c>
      <c r="AA16" s="51"/>
      <c r="AB16" s="51"/>
      <c r="AC16" s="52"/>
      <c r="AD16" s="52"/>
    </row>
    <row r="17" spans="1:24">
      <c r="A17" s="72"/>
      <c r="B17" s="69" t="s">
        <v>1</v>
      </c>
      <c r="C17" s="1">
        <v>448.8</v>
      </c>
      <c r="D17" s="1">
        <v>412.5</v>
      </c>
      <c r="E17" s="1">
        <v>415.9</v>
      </c>
      <c r="F17" s="1">
        <v>420.9</v>
      </c>
      <c r="G17" s="1">
        <v>417</v>
      </c>
      <c r="H17" s="1">
        <v>338.1</v>
      </c>
      <c r="I17" s="1">
        <v>342.1</v>
      </c>
      <c r="J17" s="1">
        <v>352.3</v>
      </c>
      <c r="K17" s="1">
        <v>342.9</v>
      </c>
      <c r="L17" s="1">
        <v>225.4</v>
      </c>
      <c r="M17" s="1">
        <v>236.1</v>
      </c>
      <c r="N17" s="1">
        <v>248.1</v>
      </c>
      <c r="O17" s="1">
        <v>233.2</v>
      </c>
      <c r="P17" s="53"/>
      <c r="Q17" s="54"/>
      <c r="R17" s="54"/>
      <c r="S17" s="46"/>
      <c r="T17" s="55"/>
      <c r="U17" s="54"/>
      <c r="V17" s="56"/>
      <c r="W17" s="50"/>
      <c r="X17" s="57"/>
    </row>
    <row r="18" spans="1:24" ht="32.25" thickBot="1">
      <c r="A18" s="73"/>
      <c r="B18" s="70" t="s">
        <v>36</v>
      </c>
      <c r="C18" s="58">
        <f>IF(((C16="")*AND(C17="")),"",(C16-C17)*4)</f>
        <v>2039.6000000000001</v>
      </c>
      <c r="D18" s="58">
        <f t="shared" ref="D18" si="1">IF(((D16="")*AND(D17="")),"",(D16-D17)*4)</f>
        <v>2089.6</v>
      </c>
      <c r="E18" s="58">
        <f t="shared" ref="E18" si="2">IF(((E16="")*AND(E17="")),"",(E16-E17)*4)</f>
        <v>2085.2000000000003</v>
      </c>
      <c r="F18" s="58">
        <f t="shared" ref="F18:N18" si="3">IF(((G16="")*AND(F17="")),"",(G16-F17)*4)</f>
        <v>2058.8000000000002</v>
      </c>
      <c r="G18" s="58">
        <f t="shared" si="3"/>
        <v>1933.6</v>
      </c>
      <c r="H18" s="58">
        <f t="shared" si="3"/>
        <v>2248.7999999999997</v>
      </c>
      <c r="I18" s="58">
        <f t="shared" si="3"/>
        <v>2246.7999999999997</v>
      </c>
      <c r="J18" s="58">
        <f t="shared" si="3"/>
        <v>2217.1999999999998</v>
      </c>
      <c r="K18" s="58">
        <f t="shared" si="3"/>
        <v>2012.8000000000002</v>
      </c>
      <c r="L18" s="58">
        <f t="shared" si="3"/>
        <v>2470</v>
      </c>
      <c r="M18" s="58">
        <f t="shared" si="3"/>
        <v>2460.4</v>
      </c>
      <c r="N18" s="58">
        <f t="shared" si="3"/>
        <v>2424.7999999999997</v>
      </c>
      <c r="O18" s="58">
        <f t="shared" ref="O18" si="4">IF(((O16="")*AND(O17="")),"",(O16-O17)*4)</f>
        <v>2484.3999999999996</v>
      </c>
      <c r="P18" s="59"/>
      <c r="Q18" s="58"/>
      <c r="R18" s="58"/>
      <c r="S18" s="60"/>
      <c r="T18" s="61"/>
      <c r="U18" s="58"/>
      <c r="V18" s="62"/>
      <c r="W18" s="50"/>
      <c r="X18" s="57"/>
    </row>
    <row r="28" spans="1:24">
      <c r="C28"/>
    </row>
  </sheetData>
  <autoFilter ref="A12:AD15"/>
  <mergeCells count="3">
    <mergeCell ref="C8:O8"/>
    <mergeCell ref="N2:Q6"/>
    <mergeCell ref="A10:A11"/>
  </mergeCells>
  <conditionalFormatting sqref="U13 U16">
    <cfRule type="cellIs" dxfId="1" priority="17" stopIfTrue="1" operator="equal">
      <formula>"Fail"</formula>
    </cfRule>
    <cfRule type="cellIs" dxfId="0" priority="18" stopIfTrue="1" operator="equal">
      <formula>"Pass"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"/>
  <sheetViews>
    <sheetView workbookViewId="0">
      <selection activeCell="F20" sqref="F20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4:F29"/>
  <sheetViews>
    <sheetView workbookViewId="0">
      <selection activeCell="S25" sqref="S25"/>
    </sheetView>
  </sheetViews>
  <sheetFormatPr defaultRowHeight="15"/>
  <cols>
    <col min="4" max="4" width="10.42578125" bestFit="1" customWidth="1"/>
    <col min="5" max="5" width="22.7109375" customWidth="1"/>
    <col min="6" max="6" width="14.140625" customWidth="1"/>
  </cols>
  <sheetData>
    <row r="4" spans="3:6" ht="23.25">
      <c r="C4" s="99" t="s">
        <v>61</v>
      </c>
      <c r="D4" s="100"/>
      <c r="E4" s="100"/>
      <c r="F4" s="101"/>
    </row>
    <row r="5" spans="3:6">
      <c r="C5" s="84" t="s">
        <v>40</v>
      </c>
      <c r="D5" s="84" t="s">
        <v>57</v>
      </c>
      <c r="E5" s="84" t="s">
        <v>58</v>
      </c>
      <c r="F5" s="84" t="s">
        <v>60</v>
      </c>
    </row>
    <row r="6" spans="3:6">
      <c r="C6" s="85">
        <v>1</v>
      </c>
      <c r="D6" s="86">
        <v>43763</v>
      </c>
      <c r="E6" s="85">
        <v>2777.9</v>
      </c>
      <c r="F6" s="85">
        <v>2.27</v>
      </c>
    </row>
    <row r="7" spans="3:6">
      <c r="C7" s="85">
        <v>2</v>
      </c>
      <c r="D7" s="86">
        <v>43777</v>
      </c>
      <c r="E7" s="85">
        <v>2872.3</v>
      </c>
      <c r="F7" s="85">
        <v>3.1</v>
      </c>
    </row>
    <row r="8" spans="3:6">
      <c r="C8" s="85">
        <v>3</v>
      </c>
      <c r="D8" s="86">
        <v>43780</v>
      </c>
      <c r="E8" s="85">
        <v>2939</v>
      </c>
      <c r="F8" s="85">
        <v>3.46</v>
      </c>
    </row>
    <row r="9" spans="3:6">
      <c r="C9" s="85">
        <v>4</v>
      </c>
      <c r="D9" s="86">
        <v>43780</v>
      </c>
      <c r="E9" s="85">
        <v>2941.7</v>
      </c>
      <c r="F9" s="85">
        <v>2.79</v>
      </c>
    </row>
    <row r="10" spans="3:6">
      <c r="C10" s="85">
        <v>5</v>
      </c>
      <c r="D10" s="86">
        <v>43782</v>
      </c>
      <c r="E10" s="85">
        <v>2931.9</v>
      </c>
      <c r="F10" s="85">
        <v>2.84</v>
      </c>
    </row>
    <row r="24" spans="3:6" ht="23.25">
      <c r="C24" s="99" t="s">
        <v>62</v>
      </c>
      <c r="D24" s="100"/>
      <c r="E24" s="100"/>
      <c r="F24" s="101"/>
    </row>
    <row r="25" spans="3:6">
      <c r="C25" s="84" t="s">
        <v>40</v>
      </c>
      <c r="D25" s="84" t="s">
        <v>57</v>
      </c>
      <c r="E25" s="84" t="s">
        <v>58</v>
      </c>
      <c r="F25" s="84" t="s">
        <v>59</v>
      </c>
    </row>
    <row r="26" spans="3:6">
      <c r="C26" s="85">
        <v>1</v>
      </c>
      <c r="D26" s="86">
        <v>43777</v>
      </c>
      <c r="E26" s="85">
        <v>2873.6</v>
      </c>
      <c r="F26" s="85">
        <v>3.74</v>
      </c>
    </row>
    <row r="27" spans="3:6">
      <c r="C27" s="85">
        <v>2</v>
      </c>
      <c r="D27" s="86">
        <v>43780</v>
      </c>
      <c r="E27" s="85">
        <v>2940.6</v>
      </c>
      <c r="F27" s="85">
        <v>4.75</v>
      </c>
    </row>
    <row r="28" spans="3:6">
      <c r="C28" s="85">
        <v>3</v>
      </c>
      <c r="D28" s="86">
        <v>43780</v>
      </c>
      <c r="E28" s="85">
        <v>2917.6</v>
      </c>
      <c r="F28" s="85">
        <v>3.29</v>
      </c>
    </row>
    <row r="29" spans="3:6">
      <c r="C29" s="85">
        <v>4</v>
      </c>
      <c r="D29" s="86">
        <v>43782</v>
      </c>
      <c r="E29" s="85">
        <v>2917.1</v>
      </c>
      <c r="F29" s="85">
        <v>3.46</v>
      </c>
    </row>
  </sheetData>
  <mergeCells count="2">
    <mergeCell ref="C4:F4"/>
    <mergeCell ref="C24:F2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4" sqref="B4"/>
    </sheetView>
  </sheetViews>
  <sheetFormatPr defaultRowHeight="15"/>
  <sheetData>
    <row r="1" spans="1:2">
      <c r="A1">
        <v>8.3927000000000002E-2</v>
      </c>
      <c r="B1">
        <f>300/A1</f>
        <v>3574.5350125704481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0"/>
  <sheetViews>
    <sheetView tabSelected="1" workbookViewId="0">
      <selection activeCell="F6" sqref="F6"/>
    </sheetView>
  </sheetViews>
  <sheetFormatPr defaultRowHeight="15"/>
  <sheetData>
    <row r="1" spans="1:3">
      <c r="A1" s="102" t="s">
        <v>72</v>
      </c>
      <c r="B1" s="102" t="s">
        <v>69</v>
      </c>
      <c r="C1" s="102" t="s">
        <v>70</v>
      </c>
    </row>
    <row r="2" spans="1:3">
      <c r="A2" s="1">
        <v>1</v>
      </c>
      <c r="B2" s="1">
        <v>0</v>
      </c>
      <c r="C2" s="1">
        <v>0</v>
      </c>
    </row>
    <row r="3" spans="1:3">
      <c r="A3" s="1">
        <v>2</v>
      </c>
      <c r="B3" s="1">
        <v>0</v>
      </c>
      <c r="C3" s="1">
        <v>30</v>
      </c>
    </row>
    <row r="4" spans="1:3">
      <c r="A4" s="1">
        <v>3</v>
      </c>
      <c r="B4" s="1">
        <f>-30*COS(RADIANS(45))</f>
        <v>-21.213203435596427</v>
      </c>
      <c r="C4" s="1">
        <f>30*SIN(RADIANS(45))</f>
        <v>21.213203435596423</v>
      </c>
    </row>
    <row r="5" spans="1:3">
      <c r="A5" s="1">
        <v>4</v>
      </c>
      <c r="B5" s="1">
        <v>-30</v>
      </c>
      <c r="C5" s="1">
        <v>0</v>
      </c>
    </row>
    <row r="6" spans="1:3">
      <c r="A6" s="1">
        <v>5</v>
      </c>
      <c r="B6" s="1">
        <f>-30*COS(RADIANS(45))</f>
        <v>-21.213203435596427</v>
      </c>
      <c r="C6" s="1">
        <f>-30*SIN(RADIANS(45))</f>
        <v>-21.213203435596423</v>
      </c>
    </row>
    <row r="7" spans="1:3">
      <c r="A7" s="1">
        <v>6</v>
      </c>
      <c r="B7" s="1">
        <v>0</v>
      </c>
      <c r="C7" s="1">
        <v>-30</v>
      </c>
    </row>
    <row r="8" spans="1:3">
      <c r="A8" s="1">
        <v>7</v>
      </c>
      <c r="B8" s="1">
        <f>30*COS(RADIANS(45))</f>
        <v>21.213203435596427</v>
      </c>
      <c r="C8" s="1">
        <f>-30*SIN(RADIANS(45))</f>
        <v>-21.213203435596423</v>
      </c>
    </row>
    <row r="9" spans="1:3">
      <c r="A9" s="1">
        <v>8</v>
      </c>
      <c r="B9" s="1">
        <v>30</v>
      </c>
      <c r="C9" s="1">
        <v>0</v>
      </c>
    </row>
    <row r="10" spans="1:3">
      <c r="A10" s="1">
        <v>9</v>
      </c>
      <c r="B10" s="1">
        <f>30*COS(RADIANS(45))</f>
        <v>21.213203435596427</v>
      </c>
      <c r="C10" s="1">
        <f>30*SIN(RADIANS(45))</f>
        <v>21.213203435596423</v>
      </c>
    </row>
    <row r="11" spans="1:3">
      <c r="A11" s="1">
        <v>10</v>
      </c>
      <c r="B11" s="1">
        <v>0</v>
      </c>
      <c r="C11" s="1">
        <v>60</v>
      </c>
    </row>
    <row r="12" spans="1:3">
      <c r="A12" s="1">
        <v>11</v>
      </c>
      <c r="B12" s="1">
        <f>-60*COS(RADIANS(67.5))</f>
        <v>-22.961005941905391</v>
      </c>
      <c r="C12" s="1">
        <f>60*SIN(RADIANS(67.5))</f>
        <v>55.432771950677207</v>
      </c>
    </row>
    <row r="13" spans="1:3">
      <c r="A13" s="1">
        <v>12</v>
      </c>
      <c r="B13" s="1">
        <f>-60*COS(RADIANS(45))</f>
        <v>-42.426406871192853</v>
      </c>
      <c r="C13" s="1">
        <f>60*SIN(RADIANS(45))</f>
        <v>42.426406871192846</v>
      </c>
    </row>
    <row r="14" spans="1:3">
      <c r="A14" s="1">
        <v>13</v>
      </c>
      <c r="B14" s="1">
        <f>-60*COS(RADIANS(22.5))</f>
        <v>-55.432771950677207</v>
      </c>
      <c r="C14" s="1">
        <f>60*SIN(RADIANS(22.5))</f>
        <v>22.961005941905388</v>
      </c>
    </row>
    <row r="15" spans="1:3">
      <c r="A15" s="1">
        <v>14</v>
      </c>
      <c r="B15" s="1">
        <v>-60</v>
      </c>
      <c r="C15" s="1">
        <v>0</v>
      </c>
    </row>
    <row r="16" spans="1:3">
      <c r="A16" s="1">
        <v>15</v>
      </c>
      <c r="B16" s="1">
        <f>-60*COS(RADIANS(22.5))</f>
        <v>-55.432771950677207</v>
      </c>
      <c r="C16" s="1">
        <f>-60*SIN(RADIANS(22.5))</f>
        <v>-22.961005941905388</v>
      </c>
    </row>
    <row r="17" spans="1:3">
      <c r="A17" s="1">
        <v>16</v>
      </c>
      <c r="B17" s="1">
        <f>-60*COS(RADIANS(45))</f>
        <v>-42.426406871192853</v>
      </c>
      <c r="C17" s="1">
        <f>-60*SIN(RADIANS(45))</f>
        <v>-42.426406871192846</v>
      </c>
    </row>
    <row r="18" spans="1:3">
      <c r="A18" s="1">
        <v>17</v>
      </c>
      <c r="B18" s="1">
        <f>-60*COS(RADIANS(67.5))</f>
        <v>-22.961005941905391</v>
      </c>
      <c r="C18" s="1">
        <f>-60*SIN(RADIANS(67.5))</f>
        <v>-55.432771950677207</v>
      </c>
    </row>
    <row r="19" spans="1:3">
      <c r="A19" s="1">
        <v>18</v>
      </c>
      <c r="B19" s="1">
        <v>0</v>
      </c>
      <c r="C19" s="1">
        <v>-60</v>
      </c>
    </row>
    <row r="20" spans="1:3">
      <c r="A20" s="1">
        <v>19</v>
      </c>
      <c r="B20" s="1">
        <f>60*COS(RADIANS(67.5))</f>
        <v>22.961005941905391</v>
      </c>
      <c r="C20" s="1">
        <f>-60*SIN(RADIANS(67.5))</f>
        <v>-55.432771950677207</v>
      </c>
    </row>
    <row r="21" spans="1:3">
      <c r="A21" s="1">
        <v>20</v>
      </c>
      <c r="B21" s="1">
        <f>-60*COS(RADIANS(45))</f>
        <v>-42.426406871192853</v>
      </c>
      <c r="C21" s="1">
        <f>60*SIN(RADIANS(45))</f>
        <v>42.426406871192846</v>
      </c>
    </row>
    <row r="22" spans="1:3">
      <c r="A22" s="1">
        <v>21</v>
      </c>
      <c r="B22" s="1">
        <f>60*COS(RADIANS(22.5))</f>
        <v>55.432771950677207</v>
      </c>
      <c r="C22" s="1">
        <f>-60*SIN(RADIANS(22.5))</f>
        <v>-22.961005941905388</v>
      </c>
    </row>
    <row r="23" spans="1:3">
      <c r="A23" s="1">
        <v>22</v>
      </c>
      <c r="B23" s="1">
        <v>60</v>
      </c>
      <c r="C23" s="1">
        <v>0</v>
      </c>
    </row>
    <row r="24" spans="1:3">
      <c r="A24" s="1">
        <v>23</v>
      </c>
      <c r="B24" s="1">
        <f>60*COS(RADIANS(22.5))</f>
        <v>55.432771950677207</v>
      </c>
      <c r="C24" s="1">
        <f>60*SIN(RADIANS(22.5))</f>
        <v>22.961005941905388</v>
      </c>
    </row>
    <row r="25" spans="1:3">
      <c r="A25" s="1">
        <v>24</v>
      </c>
      <c r="B25" s="1">
        <f>60*COS(RADIANS(45))</f>
        <v>42.426406871192853</v>
      </c>
      <c r="C25" s="1">
        <f>60*SIN(RADIANS(45))</f>
        <v>42.426406871192846</v>
      </c>
    </row>
    <row r="26" spans="1:3">
      <c r="A26" s="1">
        <v>25</v>
      </c>
      <c r="B26" s="1">
        <f>60*COS(RADIANS(67.5))</f>
        <v>22.961005941905391</v>
      </c>
      <c r="C26" s="1">
        <f>60*SIN(RADIANS(67.5))</f>
        <v>55.432771950677207</v>
      </c>
    </row>
    <row r="27" spans="1:3">
      <c r="A27" s="1">
        <v>26</v>
      </c>
      <c r="B27" s="1">
        <v>0</v>
      </c>
      <c r="C27" s="1">
        <v>90</v>
      </c>
    </row>
    <row r="28" spans="1:3">
      <c r="A28" s="1">
        <v>27</v>
      </c>
      <c r="B28" s="1">
        <f>-90*COS(RADIANS(75))</f>
        <v>-23.293714059226865</v>
      </c>
      <c r="C28" s="1">
        <f>90*SIN(RADIANS(75))</f>
        <v>86.933324366016151</v>
      </c>
    </row>
    <row r="29" spans="1:3">
      <c r="A29" s="1">
        <v>28</v>
      </c>
      <c r="B29" s="1">
        <f>-90*COS(RADIANS(60))</f>
        <v>-45.000000000000007</v>
      </c>
      <c r="C29" s="1">
        <f>90*SIN(RADIANS(60))</f>
        <v>77.94228634059948</v>
      </c>
    </row>
    <row r="30" spans="1:3">
      <c r="A30" s="1">
        <v>29</v>
      </c>
      <c r="B30" s="1">
        <f>-90*COS(RADIANS(45))</f>
        <v>-63.63961030678928</v>
      </c>
      <c r="C30" s="1">
        <f>90*SIN(RADIANS(45))</f>
        <v>63.639610306789272</v>
      </c>
    </row>
    <row r="31" spans="1:3">
      <c r="A31" s="1">
        <v>30</v>
      </c>
      <c r="B31" s="1">
        <f>-90*COS(RADIANS(30))</f>
        <v>-77.94228634059948</v>
      </c>
      <c r="C31" s="1">
        <f>90*SIN(RADIANS(30))</f>
        <v>44.999999999999993</v>
      </c>
    </row>
    <row r="32" spans="1:3">
      <c r="A32" s="1">
        <v>31</v>
      </c>
      <c r="B32" s="1">
        <f>-90*COS(RADIANS(15))</f>
        <v>-86.933324366016151</v>
      </c>
      <c r="C32" s="1">
        <f>90*SIN(RADIANS(15))</f>
        <v>23.293714059226865</v>
      </c>
    </row>
    <row r="33" spans="1:3">
      <c r="A33" s="1">
        <v>32</v>
      </c>
      <c r="B33" s="1">
        <v>-90</v>
      </c>
      <c r="C33" s="1">
        <v>0</v>
      </c>
    </row>
    <row r="34" spans="1:3">
      <c r="A34" s="1">
        <v>33</v>
      </c>
      <c r="B34" s="1">
        <f>-90*COS(RADIANS(15))</f>
        <v>-86.933324366016151</v>
      </c>
      <c r="C34" s="1">
        <f>90*SIN(RADIANS(15))</f>
        <v>23.293714059226865</v>
      </c>
    </row>
    <row r="35" spans="1:3">
      <c r="A35" s="1">
        <v>34</v>
      </c>
      <c r="B35" s="1">
        <f>-90*COS(RADIANS(30))</f>
        <v>-77.94228634059948</v>
      </c>
      <c r="C35" s="1">
        <f>90*SIN(RADIANS(30))</f>
        <v>44.999999999999993</v>
      </c>
    </row>
    <row r="36" spans="1:3">
      <c r="A36" s="1">
        <v>35</v>
      </c>
      <c r="B36" s="1">
        <f>-90*COS(RADIANS(45))</f>
        <v>-63.63961030678928</v>
      </c>
      <c r="C36" s="1">
        <f>90*SIN(RADIANS(45))</f>
        <v>63.639610306789272</v>
      </c>
    </row>
    <row r="37" spans="1:3">
      <c r="A37" s="1">
        <v>36</v>
      </c>
      <c r="B37" s="1">
        <f>-90*COS(RADIANS(60))</f>
        <v>-45.000000000000007</v>
      </c>
      <c r="C37" s="1">
        <f>90*SIN(RADIANS(60))</f>
        <v>77.94228634059948</v>
      </c>
    </row>
    <row r="38" spans="1:3">
      <c r="A38" s="1">
        <v>37</v>
      </c>
      <c r="B38" s="1">
        <f>-90*COS(RADIANS(75))</f>
        <v>-23.293714059226865</v>
      </c>
      <c r="C38" s="1">
        <f>-90*SIN(RADIANS(75))</f>
        <v>-86.933324366016151</v>
      </c>
    </row>
    <row r="39" spans="1:3">
      <c r="A39" s="1">
        <v>38</v>
      </c>
      <c r="B39" s="1">
        <v>0</v>
      </c>
      <c r="C39" s="1">
        <v>-90</v>
      </c>
    </row>
    <row r="40" spans="1:3">
      <c r="A40" s="1">
        <v>39</v>
      </c>
      <c r="B40" s="1">
        <f>90*COS(RADIANS(75))</f>
        <v>23.293714059226865</v>
      </c>
      <c r="C40" s="1">
        <f>-90*SIN(RADIANS(75))</f>
        <v>-86.933324366016151</v>
      </c>
    </row>
    <row r="41" spans="1:3">
      <c r="A41" s="1">
        <v>40</v>
      </c>
      <c r="B41" s="1">
        <f>90*COS(RADIANS(60))</f>
        <v>45.000000000000007</v>
      </c>
      <c r="C41" s="1">
        <f>-90*SIN(RADIANS(60))</f>
        <v>-77.94228634059948</v>
      </c>
    </row>
    <row r="42" spans="1:3">
      <c r="A42" s="1">
        <v>41</v>
      </c>
      <c r="B42" s="1">
        <f>90*COS(RADIANS(45))</f>
        <v>63.63961030678928</v>
      </c>
      <c r="C42" s="1">
        <f>-90*SIN(RADIANS(45))</f>
        <v>-63.639610306789272</v>
      </c>
    </row>
    <row r="43" spans="1:3">
      <c r="A43" s="1">
        <v>42</v>
      </c>
      <c r="B43" s="1">
        <f>90*COS(RADIANS(30))</f>
        <v>77.94228634059948</v>
      </c>
      <c r="C43" s="1">
        <f>-90*SIN(RADIANS(30))</f>
        <v>-44.999999999999993</v>
      </c>
    </row>
    <row r="44" spans="1:3">
      <c r="A44" s="1">
        <v>43</v>
      </c>
      <c r="B44" s="1">
        <f>90*COS(RADIANS(15))</f>
        <v>86.933324366016151</v>
      </c>
      <c r="C44" s="1">
        <f>-90*SIN(RADIANS(15))</f>
        <v>-23.293714059226865</v>
      </c>
    </row>
    <row r="45" spans="1:3">
      <c r="A45" s="1">
        <v>44</v>
      </c>
      <c r="B45" s="1">
        <v>90</v>
      </c>
      <c r="C45" s="1">
        <v>0</v>
      </c>
    </row>
    <row r="46" spans="1:3">
      <c r="A46" s="1">
        <v>45</v>
      </c>
      <c r="B46" s="1">
        <f>90*COS(RADIANS(15))</f>
        <v>86.933324366016151</v>
      </c>
      <c r="C46" s="1">
        <f>90*SIN(RADIANS(15))</f>
        <v>23.293714059226865</v>
      </c>
    </row>
    <row r="47" spans="1:3">
      <c r="A47" s="1">
        <v>46</v>
      </c>
      <c r="B47" s="1">
        <f>90*COS(RADIANS(30))</f>
        <v>77.94228634059948</v>
      </c>
      <c r="C47" s="1">
        <f>90*SIN(RADIANS(30))</f>
        <v>44.999999999999993</v>
      </c>
    </row>
    <row r="48" spans="1:3">
      <c r="A48" s="1">
        <v>47</v>
      </c>
      <c r="B48" s="1">
        <f>90*COS(RADIANS(45))</f>
        <v>63.63961030678928</v>
      </c>
      <c r="C48" s="1">
        <f>90*SIN(RADIANS(45))</f>
        <v>63.639610306789272</v>
      </c>
    </row>
    <row r="49" spans="1:3">
      <c r="A49" s="1">
        <v>48</v>
      </c>
      <c r="B49" s="1">
        <f>90*COS(RADIANS(60))</f>
        <v>45.000000000000007</v>
      </c>
      <c r="C49" s="1">
        <f>90*SIN(RADIANS(60))</f>
        <v>77.94228634059948</v>
      </c>
    </row>
    <row r="50" spans="1:3">
      <c r="A50" s="1">
        <v>49</v>
      </c>
      <c r="B50" s="1">
        <f>90*COS(RADIANS(75))</f>
        <v>23.293714059226865</v>
      </c>
      <c r="C50" s="1">
        <f>-90*SIN(RADIANS(75))</f>
        <v>-86.933324366016151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13 pt XRA TiN ER</vt:lpstr>
      <vt:lpstr>RUN_code</vt:lpstr>
      <vt:lpstr>Al_ER_XRA01_MTRS1</vt:lpstr>
      <vt:lpstr>Sheet3</vt:lpstr>
      <vt:lpstr>MTRS1_49pt_vals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dry</dc:creator>
  <cp:lastModifiedBy>Abhijit</cp:lastModifiedBy>
  <cp:lastPrinted>2019-10-25T11:13:04Z</cp:lastPrinted>
  <dcterms:created xsi:type="dcterms:W3CDTF">2019-10-25T11:14:06Z</dcterms:created>
  <dcterms:modified xsi:type="dcterms:W3CDTF">2020-05-06T14:56:14Z</dcterms:modified>
</cp:coreProperties>
</file>