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abhishek/Desktop/Equity-Research-Initiative/Topic 2 Resources/"/>
    </mc:Choice>
  </mc:AlternateContent>
  <xr:revisionPtr revIDLastSave="0" documentId="13_ncr:1_{9CD6266C-BE26-8546-AB36-BD5496CCA9F1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Income Statement" sheetId="1" r:id="rId1"/>
    <sheet name="Balanc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F9" i="1"/>
  <c r="H17" i="1"/>
  <c r="H9" i="1"/>
  <c r="H16" i="2"/>
  <c r="G35" i="2"/>
  <c r="G37" i="2" s="1"/>
  <c r="H36" i="2"/>
  <c r="H35" i="2" s="1"/>
  <c r="H37" i="2" s="1"/>
  <c r="H25" i="2"/>
  <c r="H22" i="2"/>
  <c r="G22" i="2"/>
  <c r="H21" i="2"/>
  <c r="H10" i="2"/>
  <c r="G29" i="1"/>
  <c r="H24" i="1"/>
  <c r="G24" i="1"/>
  <c r="H23" i="1"/>
  <c r="H12" i="1"/>
  <c r="H7" i="1"/>
  <c r="H24" i="2" l="1"/>
  <c r="H18" i="2"/>
  <c r="H13" i="1"/>
  <c r="F7" i="1"/>
  <c r="G12" i="1"/>
  <c r="G13" i="1" s="1"/>
  <c r="F37" i="2"/>
  <c r="G26" i="2"/>
  <c r="F22" i="2"/>
  <c r="G21" i="2"/>
  <c r="G24" i="2" s="1"/>
  <c r="F21" i="2"/>
  <c r="G7" i="2"/>
  <c r="G5" i="2"/>
  <c r="E22" i="2"/>
  <c r="E21" i="2"/>
  <c r="F16" i="2"/>
  <c r="F5" i="2"/>
  <c r="F10" i="2" s="1"/>
  <c r="E5" i="2"/>
  <c r="E10" i="2" s="1"/>
  <c r="E18" i="2" s="1"/>
  <c r="E12" i="1"/>
  <c r="E7" i="1"/>
  <c r="H30" i="2" l="1"/>
  <c r="G10" i="2"/>
  <c r="G18" i="2" s="1"/>
  <c r="F18" i="2"/>
  <c r="G30" i="2"/>
  <c r="G38" i="2" s="1"/>
  <c r="H19" i="1"/>
  <c r="H21" i="1" s="1"/>
  <c r="G17" i="1"/>
  <c r="G19" i="1" s="1"/>
  <c r="G21" i="1" s="1"/>
  <c r="E24" i="2"/>
  <c r="E30" i="2" s="1"/>
  <c r="E38" i="2" s="1"/>
  <c r="E13" i="1"/>
  <c r="E17" i="1" s="1"/>
  <c r="E19" i="1" s="1"/>
  <c r="E21" i="1" s="1"/>
  <c r="E23" i="1" s="1"/>
  <c r="E29" i="1" s="1"/>
  <c r="F24" i="2"/>
  <c r="F30" i="2" s="1"/>
  <c r="F38" i="2" s="1"/>
  <c r="C24" i="2"/>
  <c r="C30" i="2" s="1"/>
  <c r="C38" i="2" s="1"/>
  <c r="D24" i="2"/>
  <c r="D30" i="2" s="1"/>
  <c r="D38" i="2" s="1"/>
  <c r="C10" i="2"/>
  <c r="C18" i="2" s="1"/>
  <c r="D10" i="2"/>
  <c r="D18" i="2" s="1"/>
  <c r="H38" i="2" l="1"/>
  <c r="E24" i="1"/>
  <c r="D12" i="1"/>
  <c r="C12" i="1"/>
  <c r="D7" i="1"/>
  <c r="C7" i="1"/>
  <c r="D13" i="1" l="1"/>
  <c r="D17" i="1" s="1"/>
  <c r="D19" i="1" s="1"/>
  <c r="D21" i="1" s="1"/>
  <c r="D23" i="1" s="1"/>
  <c r="C13" i="1"/>
  <c r="D29" i="1" l="1"/>
  <c r="D24" i="1"/>
  <c r="C17" i="1"/>
  <c r="C19" i="1" s="1"/>
  <c r="C21" i="1" s="1"/>
  <c r="C23" i="1" s="1"/>
  <c r="C24" i="1" s="1"/>
  <c r="C29" i="1" l="1"/>
  <c r="F12" i="1"/>
  <c r="F13" i="1" s="1"/>
  <c r="F17" i="1" l="1"/>
  <c r="F19" i="1" s="1"/>
  <c r="F21" i="1" s="1"/>
  <c r="F23" i="1" s="1"/>
  <c r="F24" i="1" s="1"/>
  <c r="F29" i="1" l="1"/>
</calcChain>
</file>

<file path=xl/sharedStrings.xml><?xml version="1.0" encoding="utf-8"?>
<sst xmlns="http://schemas.openxmlformats.org/spreadsheetml/2006/main" count="75" uniqueCount="69">
  <si>
    <t>Revenue:</t>
  </si>
  <si>
    <t>Motorcycle and Related Products</t>
  </si>
  <si>
    <t>Financial Services</t>
  </si>
  <si>
    <t>Total revenue</t>
  </si>
  <si>
    <t>Cost of Revenue:</t>
  </si>
  <si>
    <t>Motorcycle and Related Products COGS</t>
  </si>
  <si>
    <t>Financial Services interest Expense</t>
  </si>
  <si>
    <t>Financial Services Provision for credit losses</t>
  </si>
  <si>
    <t>Total Cost of Revenue</t>
  </si>
  <si>
    <t>Gross Profit</t>
  </si>
  <si>
    <t xml:space="preserve">Operating Expenses: </t>
  </si>
  <si>
    <t>Operating Income</t>
  </si>
  <si>
    <t>Additional income/expense items</t>
  </si>
  <si>
    <t>Earning before Interest and Tax</t>
  </si>
  <si>
    <t xml:space="preserve">Interest Expense </t>
  </si>
  <si>
    <t>Earning before Tax</t>
  </si>
  <si>
    <t>Income Tax</t>
  </si>
  <si>
    <t>Net Income</t>
  </si>
  <si>
    <t>Net Income to Common Shareholders</t>
  </si>
  <si>
    <t>Current Assets:</t>
  </si>
  <si>
    <t>Net Receiveables</t>
  </si>
  <si>
    <t>Inventory</t>
  </si>
  <si>
    <t>Other Current Assets</t>
  </si>
  <si>
    <t>Total Current Assets</t>
  </si>
  <si>
    <t>Long-Term Assets:</t>
  </si>
  <si>
    <t>Long-Term Investments</t>
  </si>
  <si>
    <t>Fixed Assets</t>
  </si>
  <si>
    <t>Goodwill</t>
  </si>
  <si>
    <t>Intangible Assets</t>
  </si>
  <si>
    <t>Other Assets</t>
  </si>
  <si>
    <t>Deferred Assets Charges</t>
  </si>
  <si>
    <t>Total Assets</t>
  </si>
  <si>
    <t>Current Liabilites:</t>
  </si>
  <si>
    <t>Accounts Payable</t>
  </si>
  <si>
    <t>Short-Term Debts</t>
  </si>
  <si>
    <t>Other Current Liabilites</t>
  </si>
  <si>
    <t>Total Current Liabilites</t>
  </si>
  <si>
    <t>Long-Term Debt</t>
  </si>
  <si>
    <t>Other Liabilites</t>
  </si>
  <si>
    <t>Deferred liability Charges</t>
  </si>
  <si>
    <t>Misc. Stocks</t>
  </si>
  <si>
    <t>Minority Interest</t>
  </si>
  <si>
    <t>Total Liabilities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</si>
  <si>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</si>
  <si>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</si>
  <si>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</si>
  <si>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</si>
  <si>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</si>
  <si>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</si>
  <si>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and Equity</t>
  </si>
  <si>
    <t>(in thousands USD)</t>
  </si>
  <si>
    <t>Research and Development</t>
  </si>
  <si>
    <t>Sales, General and Administration</t>
  </si>
  <si>
    <t>Earnings per common share:</t>
  </si>
  <si>
    <t>Basic</t>
  </si>
  <si>
    <t>Diluted</t>
  </si>
  <si>
    <t>Cash dividends per common share</t>
  </si>
  <si>
    <t>(in USD thousands)</t>
  </si>
  <si>
    <t>Stockholders' Equity:</t>
  </si>
  <si>
    <t>Number of shares outstanding (in thousands)</t>
  </si>
  <si>
    <t>FY2016</t>
  </si>
  <si>
    <t>FY2017</t>
  </si>
  <si>
    <t>FY2014</t>
  </si>
  <si>
    <t>FY2015</t>
  </si>
  <si>
    <t>Cash and Cash Equivalents</t>
  </si>
  <si>
    <t>Marketable securities</t>
  </si>
  <si>
    <t>FY2018</t>
  </si>
  <si>
    <t>FY2019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</si>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</sst>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0" applyNumberFormat="1"/>
    <xf numFmtId="164" fontId="2" fillId="0" borderId="1" xfId="1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right" vertical="top" wrapText="1"/>
    </xf>
    <xf numFmtId="10" fontId="0" fillId="0" borderId="0" xfId="3" applyNumberFormat="1" applyFont="1"/>
    <xf numFmtId="43" fontId="0" fillId="0" borderId="1" xfId="1" applyFont="1" applyBorder="1"/>
    <xf numFmtId="3" fontId="0" fillId="0" borderId="0" xfId="0" applyNumberFormat="1"/>
    <xf numFmtId="166" fontId="3" fillId="0" borderId="1" xfId="2" applyNumberFormat="1" applyFont="1" applyFill="1" applyBorder="1" applyAlignment="1">
      <alignment horizontal="right" vertical="top" wrapText="1"/>
    </xf>
    <xf numFmtId="164" fontId="0" fillId="0" borderId="1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/>
    </xf>
    <xf numFmtId="166" fontId="0" fillId="0" borderId="0" xfId="0" applyNumberFormat="1"/>
    <xf numFmtId="0" fontId="0" fillId="0" borderId="0" xfId="3" applyNumberFormat="1" applyFont="1"/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9"/>
  <sheetViews>
    <sheetView topLeftCell="A10" workbookViewId="0">
      <selection activeCell="I18" sqref="I18"/>
    </sheetView>
  </sheetViews>
  <sheetFormatPr baseColWidth="10" defaultColWidth="8.83203125" defaultRowHeight="15" x14ac:dyDescent="0.2"/>
  <cols>
    <col min="2" max="2" width="40.83203125" customWidth="1"/>
    <col min="3" max="3" width="14.33203125" customWidth="1"/>
    <col min="4" max="6" width="14.5" customWidth="1"/>
    <col min="7" max="7" width="11.5" bestFit="1" customWidth="1"/>
    <col min="8" max="8" width="15" customWidth="1"/>
    <col min="9" max="9" width="11.5" bestFit="1" customWidth="1"/>
    <col min="10" max="10" width="14.33203125" bestFit="1" customWidth="1"/>
    <col min="11" max="11" width="10" bestFit="1" customWidth="1"/>
  </cols>
  <sheetData>
    <row r="3" spans="2:12" x14ac:dyDescent="0.2">
      <c r="B3" s="2" t="s">
        <v>50</v>
      </c>
      <c r="C3" s="8" t="s">
        <v>62</v>
      </c>
      <c r="D3" s="8" t="s">
        <v>63</v>
      </c>
      <c r="E3" s="8" t="s">
        <v>60</v>
      </c>
      <c r="F3" s="8" t="s">
        <v>61</v>
      </c>
      <c r="G3" s="8" t="s">
        <v>66</v>
      </c>
      <c r="H3" s="8" t="s">
        <v>67</v>
      </c>
    </row>
    <row r="4" spans="2:12" x14ac:dyDescent="0.2">
      <c r="B4" s="2" t="s">
        <v>0</v>
      </c>
      <c r="C4" s="9"/>
      <c r="D4" s="9"/>
      <c r="E4" s="9"/>
      <c r="F4" s="9"/>
      <c r="G4" s="9"/>
      <c r="H4" s="9"/>
    </row>
    <row r="5" spans="2:12" x14ac:dyDescent="0.2">
      <c r="B5" s="5" t="s">
        <v>1</v>
      </c>
      <c r="C5" s="10">
        <v>5567681</v>
      </c>
      <c r="D5" s="10">
        <v>5308744</v>
      </c>
      <c r="E5" s="10">
        <v>5271376</v>
      </c>
      <c r="F5" s="10">
        <v>4915027</v>
      </c>
      <c r="G5" s="10">
        <v>4968646</v>
      </c>
      <c r="H5" s="10">
        <v>4572678</v>
      </c>
    </row>
    <row r="6" spans="2:12" x14ac:dyDescent="0.2">
      <c r="B6" s="5" t="s">
        <v>2</v>
      </c>
      <c r="C6" s="10">
        <v>660827</v>
      </c>
      <c r="D6" s="10">
        <v>686658</v>
      </c>
      <c r="E6" s="10">
        <v>725082</v>
      </c>
      <c r="F6" s="10">
        <v>732197</v>
      </c>
      <c r="G6" s="10">
        <v>748229</v>
      </c>
      <c r="H6" s="10">
        <v>789111</v>
      </c>
    </row>
    <row r="7" spans="2:12" x14ac:dyDescent="0.2">
      <c r="B7" s="2" t="s">
        <v>3</v>
      </c>
      <c r="C7" s="12">
        <f>C5+C6</f>
        <v>6228508</v>
      </c>
      <c r="D7" s="12">
        <f>D5+D6</f>
        <v>5995402</v>
      </c>
      <c r="E7" s="12">
        <f>E5+E6</f>
        <v>5996458</v>
      </c>
      <c r="F7" s="12">
        <f>F5+F6</f>
        <v>5647224</v>
      </c>
      <c r="G7" s="12">
        <v>5716875</v>
      </c>
      <c r="H7" s="12">
        <f>SUM(H5:H6)</f>
        <v>5361789</v>
      </c>
    </row>
    <row r="8" spans="2:12" x14ac:dyDescent="0.2">
      <c r="B8" s="2" t="s">
        <v>4</v>
      </c>
      <c r="C8" s="13"/>
      <c r="D8" s="13"/>
      <c r="E8" s="13"/>
      <c r="F8" s="13"/>
      <c r="G8" s="13"/>
      <c r="H8" s="13"/>
    </row>
    <row r="9" spans="2:12" x14ac:dyDescent="0.2">
      <c r="B9" s="5" t="s">
        <v>5</v>
      </c>
      <c r="C9" s="13">
        <v>3542601</v>
      </c>
      <c r="D9" s="13">
        <v>3356284</v>
      </c>
      <c r="E9" s="13">
        <v>3419710</v>
      </c>
      <c r="F9" s="13">
        <f>3261683</f>
        <v>3261683</v>
      </c>
      <c r="G9" s="13">
        <f>3351796-106870</f>
        <v>3244926</v>
      </c>
      <c r="H9" s="13">
        <f>3229798-104291</f>
        <v>3125507</v>
      </c>
    </row>
    <row r="10" spans="2:12" x14ac:dyDescent="0.2">
      <c r="B10" s="5" t="s">
        <v>6</v>
      </c>
      <c r="C10" s="13">
        <v>164476</v>
      </c>
      <c r="D10" s="13">
        <v>161983</v>
      </c>
      <c r="E10" s="13">
        <v>173756</v>
      </c>
      <c r="F10" s="13">
        <v>180193</v>
      </c>
      <c r="G10" s="13">
        <v>193187</v>
      </c>
      <c r="H10" s="13">
        <v>180193</v>
      </c>
    </row>
    <row r="11" spans="2:12" x14ac:dyDescent="0.2">
      <c r="B11" s="5" t="s">
        <v>7</v>
      </c>
      <c r="C11" s="13">
        <v>80946</v>
      </c>
      <c r="D11" s="13">
        <v>101345</v>
      </c>
      <c r="E11" s="13">
        <v>136617</v>
      </c>
      <c r="F11" s="13">
        <v>132444</v>
      </c>
      <c r="G11" s="13">
        <v>106870</v>
      </c>
      <c r="H11" s="13">
        <v>134536</v>
      </c>
    </row>
    <row r="12" spans="2:12" x14ac:dyDescent="0.2">
      <c r="B12" s="2" t="s">
        <v>8</v>
      </c>
      <c r="C12" s="11">
        <f>C9+C10+C11</f>
        <v>3788023</v>
      </c>
      <c r="D12" s="11">
        <f>D9+D10+D11</f>
        <v>3619612</v>
      </c>
      <c r="E12" s="11">
        <f>E9+E10+E11</f>
        <v>3730083</v>
      </c>
      <c r="F12" s="11">
        <f>F9+F10+F11</f>
        <v>3574320</v>
      </c>
      <c r="G12" s="11">
        <f>G9+G10+G11</f>
        <v>3544983</v>
      </c>
      <c r="H12" s="11">
        <f>SUM(H9:H11)</f>
        <v>3440236</v>
      </c>
    </row>
    <row r="13" spans="2:12" s="1" customFormat="1" x14ac:dyDescent="0.2">
      <c r="B13" s="2" t="s">
        <v>9</v>
      </c>
      <c r="C13" s="12">
        <f>C7-C12</f>
        <v>2440485</v>
      </c>
      <c r="D13" s="12">
        <f>D7-D12</f>
        <v>2375790</v>
      </c>
      <c r="E13" s="12">
        <f t="shared" ref="E13" si="0">E7-E12</f>
        <v>2266375</v>
      </c>
      <c r="F13" s="12">
        <f>F7-F12</f>
        <v>2072904</v>
      </c>
      <c r="G13" s="12">
        <f>G7-G12</f>
        <v>2171892</v>
      </c>
      <c r="H13" s="12">
        <f>H7-H12</f>
        <v>1921553</v>
      </c>
      <c r="I13"/>
      <c r="J13"/>
      <c r="K13"/>
      <c r="L13"/>
    </row>
    <row r="14" spans="2:12" x14ac:dyDescent="0.2">
      <c r="B14" s="2" t="s">
        <v>10</v>
      </c>
      <c r="C14" s="14"/>
      <c r="D14" s="14"/>
      <c r="E14" s="14"/>
      <c r="F14" s="14"/>
      <c r="G14" s="14"/>
      <c r="H14" s="14"/>
    </row>
    <row r="15" spans="2:12" x14ac:dyDescent="0.2">
      <c r="B15" s="5" t="s">
        <v>51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2:12" x14ac:dyDescent="0.2">
      <c r="B16" s="5" t="s">
        <v>52</v>
      </c>
      <c r="C16" s="13">
        <v>1159502</v>
      </c>
      <c r="D16" s="13">
        <v>1220095</v>
      </c>
      <c r="E16" s="13">
        <v>1217439</v>
      </c>
      <c r="F16" s="13">
        <v>1181641</v>
      </c>
      <c r="G16" s="13">
        <v>1258098</v>
      </c>
      <c r="H16" s="14">
        <v>1199056</v>
      </c>
    </row>
    <row r="17" spans="2:10" x14ac:dyDescent="0.2">
      <c r="B17" s="2" t="s">
        <v>11</v>
      </c>
      <c r="C17" s="12">
        <f t="shared" ref="C17:E17" si="1">C13-(C15+C16)</f>
        <v>1280983</v>
      </c>
      <c r="D17" s="12">
        <f t="shared" si="1"/>
        <v>1155695</v>
      </c>
      <c r="E17" s="13">
        <f t="shared" si="1"/>
        <v>1048936</v>
      </c>
      <c r="F17" s="13">
        <f>F13-(F15+F16)</f>
        <v>891263</v>
      </c>
      <c r="G17" s="13">
        <f>G13-(G15+G16)</f>
        <v>913794</v>
      </c>
      <c r="H17" s="12">
        <f>H13-(H15+H16)</f>
        <v>722497</v>
      </c>
    </row>
    <row r="18" spans="2:10" x14ac:dyDescent="0.2">
      <c r="B18" s="4" t="s">
        <v>12</v>
      </c>
      <c r="C18" s="14">
        <v>6499</v>
      </c>
      <c r="D18" s="13">
        <v>6585</v>
      </c>
      <c r="E18" s="13">
        <v>4645</v>
      </c>
      <c r="F18" s="13">
        <v>3580</v>
      </c>
      <c r="G18" s="13">
        <v>951</v>
      </c>
      <c r="H18" s="13">
        <v>16371</v>
      </c>
    </row>
    <row r="19" spans="2:10" x14ac:dyDescent="0.2">
      <c r="B19" s="3" t="s">
        <v>13</v>
      </c>
      <c r="C19" s="12">
        <f>C17+C18</f>
        <v>1287482</v>
      </c>
      <c r="D19" s="12">
        <f>D17+D18</f>
        <v>1162280</v>
      </c>
      <c r="E19" s="12">
        <f t="shared" ref="E19" si="2">E17+E18</f>
        <v>1053581</v>
      </c>
      <c r="F19" s="12">
        <f>F17+F18</f>
        <v>894843</v>
      </c>
      <c r="G19" s="12">
        <f>G17+G18</f>
        <v>914745</v>
      </c>
      <c r="H19" s="12">
        <f>H17+H18</f>
        <v>738868</v>
      </c>
    </row>
    <row r="20" spans="2:10" x14ac:dyDescent="0.2">
      <c r="B20" s="4" t="s">
        <v>14</v>
      </c>
      <c r="C20" s="14">
        <v>4162</v>
      </c>
      <c r="D20" s="14">
        <v>12117</v>
      </c>
      <c r="E20" s="14">
        <v>29670</v>
      </c>
      <c r="F20" s="14">
        <v>31004</v>
      </c>
      <c r="G20" s="14">
        <v>30884</v>
      </c>
      <c r="H20" s="14">
        <v>31078</v>
      </c>
    </row>
    <row r="21" spans="2:10" x14ac:dyDescent="0.2">
      <c r="B21" s="3" t="s">
        <v>15</v>
      </c>
      <c r="C21" s="12">
        <f>C19-C20</f>
        <v>1283320</v>
      </c>
      <c r="D21" s="12">
        <f>D19-D20</f>
        <v>1150163</v>
      </c>
      <c r="E21" s="12">
        <f t="shared" ref="E21" si="3">E19-E20</f>
        <v>1023911</v>
      </c>
      <c r="F21" s="12">
        <f>F19-F20</f>
        <v>863839</v>
      </c>
      <c r="G21" s="12">
        <f>G19+G20</f>
        <v>945629</v>
      </c>
      <c r="H21" s="12">
        <f>H19+H20</f>
        <v>769946</v>
      </c>
    </row>
    <row r="22" spans="2:10" x14ac:dyDescent="0.2">
      <c r="B22" s="4" t="s">
        <v>16</v>
      </c>
      <c r="C22" s="14">
        <v>438709</v>
      </c>
      <c r="D22" s="14">
        <v>397956</v>
      </c>
      <c r="E22" s="14">
        <v>331747</v>
      </c>
      <c r="F22" s="14">
        <v>342080</v>
      </c>
      <c r="G22" s="14">
        <v>155178</v>
      </c>
      <c r="H22" s="14">
        <v>133780</v>
      </c>
    </row>
    <row r="23" spans="2:10" x14ac:dyDescent="0.2">
      <c r="B23" s="3" t="s">
        <v>17</v>
      </c>
      <c r="C23" s="12">
        <f>C21-C22</f>
        <v>844611</v>
      </c>
      <c r="D23" s="12">
        <f>D21-D22</f>
        <v>752207</v>
      </c>
      <c r="E23" s="12">
        <f t="shared" ref="E23" si="4">E21-E22</f>
        <v>692164</v>
      </c>
      <c r="F23" s="12">
        <f>F21-F22</f>
        <v>521759</v>
      </c>
      <c r="G23" s="12">
        <v>531451</v>
      </c>
      <c r="H23" s="12">
        <f>423635</f>
        <v>423635</v>
      </c>
    </row>
    <row r="24" spans="2:10" x14ac:dyDescent="0.2">
      <c r="B24" s="3" t="s">
        <v>18</v>
      </c>
      <c r="C24" s="12">
        <f t="shared" ref="C24:E24" si="5">C23</f>
        <v>844611</v>
      </c>
      <c r="D24" s="12">
        <f t="shared" si="5"/>
        <v>752207</v>
      </c>
      <c r="E24" s="12">
        <f t="shared" si="5"/>
        <v>692164</v>
      </c>
      <c r="F24" s="12">
        <f>F23</f>
        <v>521759</v>
      </c>
      <c r="G24" s="12">
        <f>G23</f>
        <v>531451</v>
      </c>
      <c r="H24" s="12">
        <f>H23</f>
        <v>423635</v>
      </c>
      <c r="I24" s="22"/>
      <c r="J24" s="29"/>
    </row>
    <row r="25" spans="2:10" x14ac:dyDescent="0.2">
      <c r="B25" s="3" t="s">
        <v>53</v>
      </c>
      <c r="C25" s="5"/>
      <c r="D25" s="5"/>
      <c r="E25" s="5"/>
      <c r="F25" s="5"/>
      <c r="G25" s="5"/>
      <c r="H25" s="5"/>
    </row>
    <row r="26" spans="2:10" x14ac:dyDescent="0.2">
      <c r="B26" s="7" t="s">
        <v>54</v>
      </c>
      <c r="C26" s="15">
        <v>3.9</v>
      </c>
      <c r="D26" s="15">
        <v>3.71</v>
      </c>
      <c r="E26" s="15">
        <v>3.85</v>
      </c>
      <c r="F26" s="15">
        <v>3.03</v>
      </c>
      <c r="G26" s="15">
        <v>3.21</v>
      </c>
      <c r="H26" s="15">
        <v>2.7</v>
      </c>
    </row>
    <row r="27" spans="2:10" x14ac:dyDescent="0.2">
      <c r="B27" s="7" t="s">
        <v>55</v>
      </c>
      <c r="C27" s="15">
        <v>3.88</v>
      </c>
      <c r="D27" s="15">
        <v>3.69</v>
      </c>
      <c r="E27" s="15">
        <v>3.83</v>
      </c>
      <c r="F27" s="15">
        <v>3.02</v>
      </c>
      <c r="G27" s="15">
        <v>3.19</v>
      </c>
      <c r="H27" s="15">
        <v>2.68</v>
      </c>
      <c r="J27" s="28"/>
    </row>
    <row r="28" spans="2:10" x14ac:dyDescent="0.2">
      <c r="B28" s="7" t="s">
        <v>56</v>
      </c>
      <c r="C28" s="15">
        <v>1.1000000000000001</v>
      </c>
      <c r="D28" s="15">
        <v>1.24</v>
      </c>
      <c r="E28" s="15">
        <v>1.4</v>
      </c>
      <c r="F28" s="15">
        <v>1.46</v>
      </c>
      <c r="G28" s="15">
        <v>1.48</v>
      </c>
      <c r="H28" s="15">
        <v>1.5</v>
      </c>
    </row>
    <row r="29" spans="2:10" x14ac:dyDescent="0.2">
      <c r="B29" s="2" t="s">
        <v>59</v>
      </c>
      <c r="C29" s="23">
        <f t="shared" ref="C29:E29" si="6">C23/C26</f>
        <v>216566.92307692309</v>
      </c>
      <c r="D29" s="23">
        <f t="shared" si="6"/>
        <v>202751.2129380054</v>
      </c>
      <c r="E29" s="23">
        <f t="shared" si="6"/>
        <v>179782.85714285713</v>
      </c>
      <c r="F29" s="23">
        <f>F23/F26</f>
        <v>172197.68976897691</v>
      </c>
      <c r="G29" s="23">
        <f>G23/G26</f>
        <v>165561.05919003114</v>
      </c>
      <c r="H29" s="23">
        <v>156901.85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9"/>
  <sheetViews>
    <sheetView tabSelected="1" topLeftCell="G1" zoomScale="119" zoomScaleNormal="100" workbookViewId="0">
      <selection activeCell="L25" sqref="L25"/>
    </sheetView>
  </sheetViews>
  <sheetFormatPr baseColWidth="10" defaultColWidth="8.83203125" defaultRowHeight="15" x14ac:dyDescent="0.2"/>
  <cols>
    <col min="2" max="2" width="39.1640625" customWidth="1"/>
    <col min="3" max="3" width="15" customWidth="1"/>
    <col min="4" max="6" width="14" customWidth="1"/>
    <col min="7" max="8" width="12.33203125" bestFit="1" customWidth="1"/>
    <col min="10" max="10" width="11.5" bestFit="1" customWidth="1"/>
    <col min="11" max="11" width="20.5" customWidth="1"/>
    <col min="12" max="12" width="18.83203125" customWidth="1"/>
    <col min="14" max="14" width="21.5" customWidth="1"/>
    <col min="15" max="15" width="22.83203125" customWidth="1"/>
  </cols>
  <sheetData>
    <row r="3" spans="2:9" x14ac:dyDescent="0.2">
      <c r="B3" s="2" t="s">
        <v>57</v>
      </c>
      <c r="C3" s="8" t="s">
        <v>62</v>
      </c>
      <c r="D3" s="8" t="s">
        <v>63</v>
      </c>
      <c r="E3" s="8" t="s">
        <v>60</v>
      </c>
      <c r="F3" s="8" t="s">
        <v>61</v>
      </c>
      <c r="G3" s="8" t="s">
        <v>66</v>
      </c>
      <c r="H3" s="8" t="s">
        <v>67</v>
      </c>
      <c r="I3" s="27"/>
    </row>
    <row r="4" spans="2:9" x14ac:dyDescent="0.2">
      <c r="B4" s="2" t="s">
        <v>19</v>
      </c>
      <c r="C4" s="16"/>
      <c r="D4" s="16"/>
      <c r="E4" s="16"/>
      <c r="F4" s="16"/>
      <c r="G4" s="16"/>
      <c r="H4" s="16"/>
    </row>
    <row r="5" spans="2:9" x14ac:dyDescent="0.2">
      <c r="B5" s="4" t="s">
        <v>64</v>
      </c>
      <c r="C5" s="20">
        <v>1005307</v>
      </c>
      <c r="D5" s="20">
        <v>810476</v>
      </c>
      <c r="E5" s="20">
        <f>759984+52574</f>
        <v>812558</v>
      </c>
      <c r="F5" s="20">
        <f>687521+47518</f>
        <v>735039</v>
      </c>
      <c r="G5" s="20">
        <f>1203766+49275</f>
        <v>1253041</v>
      </c>
      <c r="H5" s="20">
        <v>898422</v>
      </c>
    </row>
    <row r="6" spans="2:9" x14ac:dyDescent="0.2">
      <c r="B6" s="4" t="s">
        <v>65</v>
      </c>
      <c r="C6" s="20">
        <v>57325</v>
      </c>
      <c r="D6" s="20">
        <v>45192</v>
      </c>
      <c r="E6" s="20">
        <v>5519</v>
      </c>
      <c r="F6" s="20">
        <v>0</v>
      </c>
      <c r="G6" s="20">
        <v>10007</v>
      </c>
      <c r="H6" s="20">
        <v>0</v>
      </c>
    </row>
    <row r="7" spans="2:9" x14ac:dyDescent="0.2">
      <c r="B7" s="7" t="s">
        <v>20</v>
      </c>
      <c r="C7" s="20">
        <v>2254172</v>
      </c>
      <c r="D7" s="20">
        <v>2403756</v>
      </c>
      <c r="E7" s="20">
        <v>2361367</v>
      </c>
      <c r="F7" s="20">
        <v>2435648</v>
      </c>
      <c r="G7" s="20">
        <f>2214424+306474</f>
        <v>2520898</v>
      </c>
      <c r="H7" s="20">
        <v>2531856</v>
      </c>
    </row>
    <row r="8" spans="2:9" x14ac:dyDescent="0.2">
      <c r="B8" s="7" t="s">
        <v>21</v>
      </c>
      <c r="C8" s="20">
        <v>448871</v>
      </c>
      <c r="D8" s="20">
        <v>585907</v>
      </c>
      <c r="E8" s="20">
        <v>499917</v>
      </c>
      <c r="F8" s="20">
        <v>538202</v>
      </c>
      <c r="G8" s="20">
        <v>556128</v>
      </c>
      <c r="H8" s="8">
        <v>603571</v>
      </c>
    </row>
    <row r="9" spans="2:9" x14ac:dyDescent="0.2">
      <c r="B9" s="7" t="s">
        <v>22</v>
      </c>
      <c r="C9" s="20">
        <v>182420</v>
      </c>
      <c r="D9" s="20">
        <v>137823</v>
      </c>
      <c r="E9" s="20">
        <v>174491</v>
      </c>
      <c r="F9" s="20">
        <v>175853</v>
      </c>
      <c r="G9" s="20">
        <v>144368</v>
      </c>
      <c r="H9" s="16">
        <v>168974</v>
      </c>
    </row>
    <row r="10" spans="2:9" x14ac:dyDescent="0.2">
      <c r="B10" s="3" t="s">
        <v>23</v>
      </c>
      <c r="C10" s="18">
        <f t="shared" ref="C10:E10" si="0">SUM(C5:C9)</f>
        <v>3948095</v>
      </c>
      <c r="D10" s="18">
        <f t="shared" si="0"/>
        <v>3983154</v>
      </c>
      <c r="E10" s="18">
        <f t="shared" si="0"/>
        <v>3853852</v>
      </c>
      <c r="F10" s="18">
        <f>SUM(F5:F9)</f>
        <v>3884742</v>
      </c>
      <c r="G10" s="18">
        <f>SUM(G5:G9)</f>
        <v>4484442</v>
      </c>
      <c r="H10" s="20">
        <f>SUM(H5:H9)</f>
        <v>4202823</v>
      </c>
    </row>
    <row r="11" spans="2:9" x14ac:dyDescent="0.2">
      <c r="B11" s="3" t="s">
        <v>24</v>
      </c>
      <c r="C11" s="19"/>
      <c r="D11" s="19"/>
      <c r="E11" s="19"/>
      <c r="F11" s="19"/>
      <c r="G11" s="19"/>
      <c r="H11" s="20"/>
    </row>
    <row r="12" spans="2:9" x14ac:dyDescent="0.2">
      <c r="B12" s="7" t="s">
        <v>25</v>
      </c>
      <c r="C12" s="25">
        <v>4516246</v>
      </c>
      <c r="D12" s="25">
        <v>4814571</v>
      </c>
      <c r="E12" s="25">
        <v>4759197</v>
      </c>
      <c r="F12" s="25">
        <v>4859424</v>
      </c>
      <c r="G12" s="25">
        <v>5007507</v>
      </c>
      <c r="H12" s="20">
        <v>5101844</v>
      </c>
    </row>
    <row r="13" spans="2:9" x14ac:dyDescent="0.2">
      <c r="B13" s="7" t="s">
        <v>26</v>
      </c>
      <c r="C13" s="25">
        <v>883077</v>
      </c>
      <c r="D13" s="25">
        <v>942418</v>
      </c>
      <c r="E13" s="25">
        <v>981593</v>
      </c>
      <c r="F13" s="25">
        <v>967781</v>
      </c>
      <c r="G13" s="25">
        <v>904132</v>
      </c>
      <c r="H13" s="25">
        <v>847382</v>
      </c>
    </row>
    <row r="14" spans="2:9" x14ac:dyDescent="0.2">
      <c r="B14" s="7" t="s">
        <v>27</v>
      </c>
      <c r="C14" s="25">
        <v>27752</v>
      </c>
      <c r="D14" s="25">
        <v>54182</v>
      </c>
      <c r="E14" s="25">
        <v>53391</v>
      </c>
      <c r="F14" s="25">
        <v>55947</v>
      </c>
      <c r="G14" s="25">
        <v>55048</v>
      </c>
      <c r="H14" s="25">
        <v>64160</v>
      </c>
    </row>
    <row r="15" spans="2:9" x14ac:dyDescent="0.2">
      <c r="B15" s="7" t="s">
        <v>28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</row>
    <row r="16" spans="2:9" x14ac:dyDescent="0.2">
      <c r="B16" s="7" t="s">
        <v>29</v>
      </c>
      <c r="C16" s="25">
        <v>75092</v>
      </c>
      <c r="D16" s="25">
        <v>97228</v>
      </c>
      <c r="E16" s="25">
        <v>74478</v>
      </c>
      <c r="F16" s="25">
        <f>75889+19816</f>
        <v>95705</v>
      </c>
      <c r="G16" s="25">
        <v>73071</v>
      </c>
      <c r="H16" s="25">
        <f>93114+117632</f>
        <v>210746</v>
      </c>
    </row>
    <row r="17" spans="2:9" ht="16" x14ac:dyDescent="0.2">
      <c r="B17" s="7" t="s">
        <v>30</v>
      </c>
      <c r="C17" s="25">
        <v>77835</v>
      </c>
      <c r="D17" s="25">
        <v>99614</v>
      </c>
      <c r="E17" s="25" t="s">
        <v>68</v>
      </c>
      <c r="F17" s="25">
        <v>109073</v>
      </c>
      <c r="G17" s="25">
        <v>141464</v>
      </c>
      <c r="H17" s="25">
        <v>101204</v>
      </c>
    </row>
    <row r="18" spans="2:9" x14ac:dyDescent="0.2">
      <c r="B18" s="2" t="s">
        <v>31</v>
      </c>
      <c r="C18" s="21">
        <f t="shared" ref="C18:E18" si="1">C10+SUM(C12:C17)</f>
        <v>9528097</v>
      </c>
      <c r="D18" s="21">
        <f t="shared" si="1"/>
        <v>9991167</v>
      </c>
      <c r="E18" s="21">
        <f t="shared" si="1"/>
        <v>9722511</v>
      </c>
      <c r="F18" s="21">
        <f>F10+SUM(F12:F17)</f>
        <v>9972672</v>
      </c>
      <c r="G18" s="21">
        <f>G10+SUM(G12:G17)</f>
        <v>10665664</v>
      </c>
      <c r="H18" s="30">
        <f>H10+SUM(H12:H17)</f>
        <v>10528159</v>
      </c>
    </row>
    <row r="19" spans="2:9" x14ac:dyDescent="0.2">
      <c r="B19" s="2"/>
      <c r="C19" s="21"/>
      <c r="D19" s="21"/>
      <c r="E19" s="21"/>
      <c r="F19" s="21"/>
      <c r="G19" s="21"/>
      <c r="H19" s="16"/>
    </row>
    <row r="20" spans="2:9" x14ac:dyDescent="0.2">
      <c r="B20" s="2" t="s">
        <v>32</v>
      </c>
      <c r="C20" s="19"/>
      <c r="D20" s="19"/>
      <c r="E20" s="19"/>
      <c r="F20" s="19"/>
      <c r="G20" s="19"/>
      <c r="H20" s="20"/>
    </row>
    <row r="21" spans="2:9" x14ac:dyDescent="0.2">
      <c r="B21" s="7" t="s">
        <v>33</v>
      </c>
      <c r="C21" s="20">
        <v>646185</v>
      </c>
      <c r="D21" s="20">
        <v>707578</v>
      </c>
      <c r="E21" s="20">
        <f>235318+486652</f>
        <v>721970</v>
      </c>
      <c r="F21" s="20">
        <f>227597+529822</f>
        <v>757419</v>
      </c>
      <c r="G21" s="20">
        <f>284861+601130</f>
        <v>885991</v>
      </c>
      <c r="H21" s="20">
        <f>876668</f>
        <v>876668</v>
      </c>
    </row>
    <row r="22" spans="2:9" x14ac:dyDescent="0.2">
      <c r="B22" s="7" t="s">
        <v>34</v>
      </c>
      <c r="C22" s="20">
        <v>1743101</v>
      </c>
      <c r="D22" s="20">
        <v>2045000</v>
      </c>
      <c r="E22" s="20">
        <f>1055708+1084884</f>
        <v>2140592</v>
      </c>
      <c r="F22" s="20">
        <f>1273482+1127269</f>
        <v>2400751</v>
      </c>
      <c r="G22" s="20">
        <f>1135810+1575799</f>
        <v>2711609</v>
      </c>
      <c r="H22" s="20">
        <f>2320104</f>
        <v>2320104</v>
      </c>
    </row>
    <row r="23" spans="2:9" x14ac:dyDescent="0.2">
      <c r="B23" s="7" t="s">
        <v>35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8">
        <v>0</v>
      </c>
      <c r="I23" s="24"/>
    </row>
    <row r="24" spans="2:9" x14ac:dyDescent="0.2">
      <c r="B24" s="3" t="s">
        <v>36</v>
      </c>
      <c r="C24" s="21">
        <f t="shared" ref="C24:F24" si="2">SUM(C21:C23)</f>
        <v>2389286</v>
      </c>
      <c r="D24" s="21">
        <f t="shared" si="2"/>
        <v>2752578</v>
      </c>
      <c r="E24" s="21">
        <f t="shared" si="2"/>
        <v>2862562</v>
      </c>
      <c r="F24" s="21">
        <f t="shared" si="2"/>
        <v>3158170</v>
      </c>
      <c r="G24" s="21">
        <f>SUM(G21:G23)</f>
        <v>3597600</v>
      </c>
      <c r="H24" s="31">
        <f>SUM(H21:H23)</f>
        <v>3196772</v>
      </c>
      <c r="I24" s="24"/>
    </row>
    <row r="25" spans="2:9" x14ac:dyDescent="0.2">
      <c r="B25" s="7" t="s">
        <v>37</v>
      </c>
      <c r="C25" s="20">
        <v>3761528</v>
      </c>
      <c r="D25" s="20">
        <v>4845388</v>
      </c>
      <c r="E25" s="20">
        <v>4666975</v>
      </c>
      <c r="F25" s="20">
        <v>4587258</v>
      </c>
      <c r="G25" s="20">
        <v>4887667</v>
      </c>
      <c r="H25" s="20">
        <f>5124826</f>
        <v>5124826</v>
      </c>
      <c r="I25" s="24"/>
    </row>
    <row r="26" spans="2:9" x14ac:dyDescent="0.2">
      <c r="B26" s="7" t="s">
        <v>38</v>
      </c>
      <c r="C26" s="20">
        <v>467997</v>
      </c>
      <c r="D26" s="20">
        <v>553547</v>
      </c>
      <c r="E26" s="20">
        <v>440545</v>
      </c>
      <c r="F26" s="20">
        <v>382967</v>
      </c>
      <c r="G26" s="20">
        <f>107776+94453+204219</f>
        <v>406448</v>
      </c>
      <c r="H26" s="20">
        <v>402562</v>
      </c>
      <c r="I26" s="24"/>
    </row>
    <row r="27" spans="2:9" x14ac:dyDescent="0.2">
      <c r="B27" s="7" t="s">
        <v>39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</row>
    <row r="28" spans="2:9" x14ac:dyDescent="0.2">
      <c r="B28" s="7" t="s">
        <v>40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8">
        <v>0</v>
      </c>
    </row>
    <row r="29" spans="2:9" x14ac:dyDescent="0.2">
      <c r="B29" s="7" t="s">
        <v>41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16">
        <v>0</v>
      </c>
    </row>
    <row r="30" spans="2:9" x14ac:dyDescent="0.2">
      <c r="B30" s="2" t="s">
        <v>42</v>
      </c>
      <c r="C30" s="21">
        <f t="shared" ref="C30:E30" si="3">SUM(C24:C29)</f>
        <v>6618811</v>
      </c>
      <c r="D30" s="21">
        <f t="shared" si="3"/>
        <v>8151513</v>
      </c>
      <c r="E30" s="21">
        <f t="shared" si="3"/>
        <v>7970082</v>
      </c>
      <c r="F30" s="21">
        <f>SUM(F24:F29)</f>
        <v>8128395</v>
      </c>
      <c r="G30" s="21">
        <f>SUM(G24:G29)</f>
        <v>8891715</v>
      </c>
      <c r="H30" s="20">
        <f>SUM(H24:H29)</f>
        <v>8724160</v>
      </c>
    </row>
    <row r="31" spans="2:9" x14ac:dyDescent="0.2">
      <c r="B31" s="2" t="s">
        <v>58</v>
      </c>
      <c r="C31" s="19"/>
      <c r="D31" s="19"/>
      <c r="E31" s="19"/>
      <c r="F31" s="19"/>
      <c r="G31" s="19"/>
      <c r="H31" s="20"/>
    </row>
    <row r="32" spans="2:9" x14ac:dyDescent="0.2">
      <c r="B32" s="7" t="s">
        <v>43</v>
      </c>
      <c r="C32" s="20">
        <v>3442</v>
      </c>
      <c r="D32" s="20">
        <v>3449</v>
      </c>
      <c r="E32" s="20">
        <v>1806</v>
      </c>
      <c r="F32" s="20">
        <v>1813</v>
      </c>
      <c r="G32" s="20">
        <v>1819</v>
      </c>
      <c r="H32" s="20">
        <v>1828</v>
      </c>
    </row>
    <row r="33" spans="2:10" x14ac:dyDescent="0.2">
      <c r="B33" s="7" t="s">
        <v>44</v>
      </c>
      <c r="C33" s="20">
        <v>1265257</v>
      </c>
      <c r="D33" s="20">
        <v>1328561</v>
      </c>
      <c r="E33" s="20">
        <v>1381862</v>
      </c>
      <c r="F33" s="20">
        <v>1422808</v>
      </c>
      <c r="G33" s="20">
        <v>1459620</v>
      </c>
      <c r="H33" s="8">
        <v>1491004</v>
      </c>
      <c r="J33" s="17"/>
    </row>
    <row r="34" spans="2:10" x14ac:dyDescent="0.2">
      <c r="B34" s="6" t="s">
        <v>45</v>
      </c>
      <c r="C34" s="20">
        <v>8459040</v>
      </c>
      <c r="D34" s="20">
        <v>8961985</v>
      </c>
      <c r="E34" s="20">
        <v>1337673</v>
      </c>
      <c r="F34" s="20">
        <v>1607570</v>
      </c>
      <c r="G34" s="20">
        <v>2007583</v>
      </c>
      <c r="H34" s="16">
        <v>2193997</v>
      </c>
    </row>
    <row r="35" spans="2:10" x14ac:dyDescent="0.2">
      <c r="B35" s="6" t="s">
        <v>46</v>
      </c>
      <c r="C35" s="26">
        <v>6303510</v>
      </c>
      <c r="D35" s="26">
        <v>7839136</v>
      </c>
      <c r="E35" s="26">
        <v>-801183</v>
      </c>
      <c r="F35" s="26">
        <v>-1187914</v>
      </c>
      <c r="G35" s="26">
        <f>G36-1065389</f>
        <v>-1695073</v>
      </c>
      <c r="H35" s="20">
        <f>H36-1345881</f>
        <v>-1882830</v>
      </c>
    </row>
    <row r="36" spans="2:10" x14ac:dyDescent="0.2">
      <c r="B36" s="6" t="s">
        <v>47</v>
      </c>
      <c r="C36" s="26">
        <v>-514943</v>
      </c>
      <c r="D36" s="26">
        <v>-615205</v>
      </c>
      <c r="E36" s="26">
        <v>-565381</v>
      </c>
      <c r="F36" s="26">
        <v>-500049</v>
      </c>
      <c r="G36" s="26">
        <v>-629684</v>
      </c>
      <c r="H36" s="20">
        <f>-536949</f>
        <v>-536949</v>
      </c>
    </row>
    <row r="37" spans="2:10" x14ac:dyDescent="0.2">
      <c r="B37" s="2" t="s">
        <v>48</v>
      </c>
      <c r="C37" s="21">
        <v>2909286</v>
      </c>
      <c r="D37" s="21">
        <v>1839654</v>
      </c>
      <c r="E37" s="21">
        <v>1920158</v>
      </c>
      <c r="F37" s="21">
        <f>SUM(F32:F35)</f>
        <v>1844277</v>
      </c>
      <c r="G37" s="21">
        <f>SUM(G32:G35)</f>
        <v>1773949</v>
      </c>
      <c r="H37" s="20">
        <f>SUM(H32:H35)</f>
        <v>1803999</v>
      </c>
    </row>
    <row r="38" spans="2:10" x14ac:dyDescent="0.2">
      <c r="B38" s="2" t="s">
        <v>49</v>
      </c>
      <c r="C38" s="21">
        <f t="shared" ref="C38:E38" si="4">C30+C37</f>
        <v>9528097</v>
      </c>
      <c r="D38" s="21">
        <f t="shared" si="4"/>
        <v>9991167</v>
      </c>
      <c r="E38" s="21">
        <f t="shared" si="4"/>
        <v>9890240</v>
      </c>
      <c r="F38" s="21">
        <f>F30+F37</f>
        <v>9972672</v>
      </c>
      <c r="G38" s="21">
        <f>G30+G37</f>
        <v>10665664</v>
      </c>
      <c r="H38" s="30">
        <f>H30+H37</f>
        <v>10528159</v>
      </c>
    </row>
    <row r="39" spans="2:10" x14ac:dyDescent="0.2">
      <c r="H39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Balance 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Mallipudi</dc:creator>
  <cp:lastModifiedBy>Microsoft Office User</cp:lastModifiedBy>
  <dcterms:created xsi:type="dcterms:W3CDTF">2016-08-29T18:00:01Z</dcterms:created>
  <dcterms:modified xsi:type="dcterms:W3CDTF">2020-04-20T06:35:35Z</dcterms:modified>
</cp:coreProperties>
</file>