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shab.jha\AppData\Local\Microsoft\Windows\INetCache\Content.Outlook\8CV03CAZ\"/>
    </mc:Choice>
  </mc:AlternateContent>
  <xr:revisionPtr revIDLastSave="0" documentId="8_{7E8C2421-7E0E-4891-A9C8-447A28BEA1A7}" xr6:coauthVersionLast="47" xr6:coauthVersionMax="47" xr10:uidLastSave="{00000000-0000-0000-0000-000000000000}"/>
  <bookViews>
    <workbookView xWindow="-120" yWindow="-120" windowWidth="20730" windowHeight="11040" firstSheet="1" activeTab="4" xr2:uid="{E06DEC30-DEED-48F7-9F7A-00A5832C6AFA}"/>
  </bookViews>
  <sheets>
    <sheet name="Timelines" sheetId="7" state="hidden" r:id="rId1"/>
    <sheet name="RAG Logics" sheetId="4" r:id="rId2"/>
    <sheet name="Region Summary" sheetId="6" r:id="rId3"/>
    <sheet name="Account Summary" sheetId="5" r:id="rId4"/>
    <sheet name="Base File" sheetId="1" r:id="rId5"/>
    <sheet name="Sheet1" sheetId="8" state="hidden" r:id="rId6"/>
  </sheets>
  <externalReferences>
    <externalReference r:id="rId7"/>
  </externalReferences>
  <definedNames>
    <definedName name="_xlnm._FilterDatabase" localSheetId="3" hidden="1">'Account Summary'!$A$3:$BS$49</definedName>
    <definedName name="_xlnm._FilterDatabase" localSheetId="4" hidden="1">'Base File'!$A$1:$BV$507</definedName>
    <definedName name="_xlnm._FilterDatabase" localSheetId="1" hidden="1">'RAG Logics'!$B$2:$E$5</definedName>
    <definedName name="_xlnm._FilterDatabase" localSheetId="2" hidden="1">'Region Summary'!$A$3:$DU$16</definedName>
    <definedName name="_xlnm._FilterDatabase" localSheetId="0" hidden="1">Timelines!$A$1:$D$46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16" i="6" l="1"/>
  <c r="DQ16" i="6"/>
  <c r="DN16" i="6"/>
  <c r="DQ15" i="6"/>
  <c r="DO15" i="6"/>
  <c r="DN15" i="6"/>
  <c r="DU14" i="6"/>
  <c r="DT14" i="6"/>
  <c r="DR14" i="6"/>
  <c r="DQ14" i="6"/>
  <c r="DP14" i="6"/>
  <c r="DN14" i="6"/>
  <c r="DU13" i="6"/>
  <c r="DR13" i="6"/>
  <c r="DQ13" i="6"/>
  <c r="DN13" i="6"/>
  <c r="DU12" i="6"/>
  <c r="DS12" i="6"/>
  <c r="DR12" i="6"/>
  <c r="DQ12" i="6"/>
  <c r="DO12" i="6"/>
  <c r="DN12" i="6"/>
  <c r="DT11" i="6"/>
  <c r="DS11" i="6"/>
  <c r="DR11" i="6"/>
  <c r="DP11" i="6"/>
  <c r="DO11" i="6"/>
  <c r="DN11" i="6"/>
  <c r="DU10" i="6"/>
  <c r="DT10" i="6"/>
  <c r="DS10" i="6"/>
  <c r="DR10" i="6"/>
  <c r="DQ10" i="6"/>
  <c r="DN10" i="6"/>
  <c r="DP10" i="6"/>
  <c r="DU9" i="6"/>
  <c r="DS9" i="6"/>
  <c r="DR9" i="6"/>
  <c r="DT6" i="6"/>
  <c r="DR6" i="6"/>
  <c r="DQ6" i="6"/>
  <c r="DP6" i="6"/>
  <c r="DN6" i="6"/>
  <c r="DS5" i="6"/>
  <c r="DR5" i="6"/>
  <c r="DQ5" i="6"/>
  <c r="DO5" i="6"/>
  <c r="DN5" i="6"/>
  <c r="DU4" i="6"/>
  <c r="DP4" i="6"/>
  <c r="DT4" i="6"/>
  <c r="DS4" i="6"/>
  <c r="DR4" i="6"/>
  <c r="DQ4" i="6"/>
  <c r="DO4" i="6"/>
  <c r="DN4" i="6"/>
  <c r="BV25" i="1"/>
  <c r="BR8" i="5"/>
  <c r="BV103" i="1"/>
  <c r="BV97" i="1"/>
  <c r="BV98" i="1"/>
  <c r="BV99" i="1"/>
  <c r="BV100" i="1"/>
  <c r="BV101" i="1"/>
  <c r="BV102" i="1"/>
  <c r="BV15" i="1"/>
  <c r="BT15" i="1"/>
  <c r="BM5" i="5"/>
  <c r="BN6" i="5"/>
  <c r="BN7" i="5"/>
  <c r="BN8" i="5"/>
  <c r="BN9" i="5"/>
  <c r="BM11" i="5"/>
  <c r="BN11" i="5"/>
  <c r="BM12" i="5"/>
  <c r="BN12" i="5"/>
  <c r="BN13" i="5"/>
  <c r="BO13" i="5"/>
  <c r="BN14" i="5"/>
  <c r="BO14" i="5"/>
  <c r="BM15" i="5"/>
  <c r="BN15" i="5"/>
  <c r="BN16" i="5"/>
  <c r="BM17" i="5"/>
  <c r="BN17" i="5"/>
  <c r="BN18" i="5"/>
  <c r="BN19" i="5"/>
  <c r="BM20" i="5"/>
  <c r="BM21" i="5"/>
  <c r="BM22" i="5"/>
  <c r="BM23" i="5"/>
  <c r="BN23" i="5"/>
  <c r="BM24" i="5"/>
  <c r="BM25" i="5"/>
  <c r="BN26" i="5"/>
  <c r="BM27" i="5"/>
  <c r="BM28" i="5"/>
  <c r="BN29" i="5"/>
  <c r="BN30" i="5"/>
  <c r="BN31" i="5"/>
  <c r="BM32" i="5"/>
  <c r="BN32" i="5"/>
  <c r="BN34" i="5"/>
  <c r="BM35" i="5"/>
  <c r="BN35" i="5"/>
  <c r="BM36" i="5"/>
  <c r="BN36" i="5"/>
  <c r="BM37" i="5"/>
  <c r="BN37" i="5"/>
  <c r="BM38" i="5"/>
  <c r="BN38" i="5"/>
  <c r="BM39" i="5"/>
  <c r="BM40" i="5"/>
  <c r="BN40" i="5"/>
  <c r="BM41" i="5"/>
  <c r="BN41" i="5"/>
  <c r="BM42" i="5"/>
  <c r="BN42" i="5"/>
  <c r="BM44" i="5"/>
  <c r="BN44" i="5"/>
  <c r="BN45" i="5"/>
  <c r="BM46" i="5"/>
  <c r="BN46" i="5"/>
  <c r="BM47" i="5"/>
  <c r="BN47" i="5"/>
  <c r="BM48" i="5"/>
  <c r="BN48" i="5"/>
  <c r="BR6" i="5"/>
  <c r="BR7" i="5"/>
  <c r="BR9" i="5"/>
  <c r="BR11" i="5"/>
  <c r="BR12" i="5"/>
  <c r="BR13" i="5"/>
  <c r="BR14" i="5"/>
  <c r="BR15" i="5"/>
  <c r="BR16" i="5"/>
  <c r="BR17" i="5"/>
  <c r="BR18" i="5"/>
  <c r="BR19" i="5"/>
  <c r="BR23" i="5"/>
  <c r="BR26" i="5"/>
  <c r="BR29" i="5"/>
  <c r="BR30" i="5"/>
  <c r="BR31" i="5"/>
  <c r="BR32" i="5"/>
  <c r="BR34" i="5"/>
  <c r="BR35" i="5"/>
  <c r="BR36" i="5"/>
  <c r="BR37" i="5"/>
  <c r="BR38" i="5"/>
  <c r="BR40" i="5"/>
  <c r="BR41" i="5"/>
  <c r="BR42" i="5"/>
  <c r="BR44" i="5"/>
  <c r="BR45" i="5"/>
  <c r="BQ46" i="5"/>
  <c r="BR46" i="5"/>
  <c r="BR47" i="5"/>
  <c r="BR48" i="5"/>
  <c r="BV507" i="1" l="1"/>
  <c r="BV506" i="1"/>
  <c r="BV505" i="1"/>
  <c r="BV504" i="1"/>
  <c r="BV503" i="1"/>
  <c r="BV502" i="1"/>
  <c r="BV501" i="1"/>
  <c r="BV500" i="1"/>
  <c r="BV499" i="1"/>
  <c r="BV498" i="1"/>
  <c r="BV497" i="1"/>
  <c r="BV496" i="1"/>
  <c r="BV495" i="1"/>
  <c r="BV494" i="1"/>
  <c r="BV493" i="1"/>
  <c r="BV492" i="1"/>
  <c r="BV491" i="1"/>
  <c r="BV490" i="1"/>
  <c r="BV489" i="1"/>
  <c r="BV488" i="1"/>
  <c r="BV487" i="1"/>
  <c r="BV486" i="1"/>
  <c r="BV485" i="1"/>
  <c r="BV484" i="1"/>
  <c r="BV483" i="1"/>
  <c r="BV482" i="1"/>
  <c r="BV481" i="1"/>
  <c r="BV480" i="1"/>
  <c r="BV479" i="1"/>
  <c r="BV478" i="1"/>
  <c r="BV477" i="1"/>
  <c r="BV476" i="1"/>
  <c r="BV475" i="1"/>
  <c r="BV474" i="1"/>
  <c r="BV473" i="1"/>
  <c r="BV472" i="1"/>
  <c r="BV471" i="1"/>
  <c r="BV470" i="1"/>
  <c r="BV469" i="1"/>
  <c r="BV468" i="1"/>
  <c r="BV467" i="1"/>
  <c r="BV466" i="1"/>
  <c r="BV465" i="1"/>
  <c r="BV464" i="1"/>
  <c r="BV463" i="1"/>
  <c r="BV462" i="1"/>
  <c r="BV461" i="1"/>
  <c r="BV460" i="1"/>
  <c r="BV459" i="1"/>
  <c r="BV458" i="1"/>
  <c r="BV457" i="1"/>
  <c r="BV456" i="1"/>
  <c r="BV455" i="1"/>
  <c r="BV454" i="1"/>
  <c r="BV453" i="1"/>
  <c r="BV452" i="1"/>
  <c r="BV451" i="1"/>
  <c r="BV450" i="1"/>
  <c r="BV449" i="1"/>
  <c r="BV448" i="1"/>
  <c r="BV447" i="1"/>
  <c r="BV446" i="1"/>
  <c r="BV445" i="1"/>
  <c r="BV444" i="1"/>
  <c r="BV443" i="1"/>
  <c r="BV442" i="1"/>
  <c r="BV441" i="1"/>
  <c r="BV440" i="1"/>
  <c r="BV439" i="1"/>
  <c r="BV438" i="1"/>
  <c r="BV437" i="1"/>
  <c r="BV436" i="1"/>
  <c r="BV435" i="1"/>
  <c r="BV434" i="1"/>
  <c r="BV433" i="1"/>
  <c r="BV432" i="1"/>
  <c r="BV431" i="1"/>
  <c r="BV430" i="1"/>
  <c r="BV429" i="1"/>
  <c r="BV428" i="1"/>
  <c r="BV427" i="1"/>
  <c r="BV426" i="1"/>
  <c r="BV425" i="1"/>
  <c r="BV424" i="1"/>
  <c r="BV423" i="1"/>
  <c r="BV422" i="1"/>
  <c r="BV421" i="1"/>
  <c r="BV420" i="1"/>
  <c r="BV419" i="1"/>
  <c r="BV418" i="1"/>
  <c r="BV417" i="1"/>
  <c r="BV416" i="1"/>
  <c r="BV415" i="1"/>
  <c r="BV414" i="1"/>
  <c r="BV413" i="1"/>
  <c r="BV412" i="1"/>
  <c r="BV411" i="1"/>
  <c r="BV410" i="1"/>
  <c r="BV409" i="1"/>
  <c r="BV408" i="1"/>
  <c r="BV407" i="1"/>
  <c r="BV406" i="1"/>
  <c r="BV405" i="1"/>
  <c r="BV404" i="1"/>
  <c r="BV403" i="1"/>
  <c r="BV402" i="1"/>
  <c r="BV401" i="1"/>
  <c r="BV400" i="1"/>
  <c r="BV399" i="1"/>
  <c r="BV398" i="1"/>
  <c r="BV397" i="1"/>
  <c r="BV396" i="1"/>
  <c r="BV395" i="1"/>
  <c r="BV394" i="1"/>
  <c r="BV393" i="1"/>
  <c r="BV392" i="1"/>
  <c r="BV391" i="1"/>
  <c r="BV390" i="1"/>
  <c r="BV389" i="1"/>
  <c r="BV388" i="1"/>
  <c r="BV387" i="1"/>
  <c r="BV386" i="1"/>
  <c r="BV385" i="1"/>
  <c r="BV384" i="1"/>
  <c r="BV383" i="1"/>
  <c r="BV382" i="1"/>
  <c r="BV381" i="1"/>
  <c r="BV380" i="1"/>
  <c r="BV379" i="1"/>
  <c r="BV378" i="1"/>
  <c r="BV377" i="1"/>
  <c r="BV376" i="1"/>
  <c r="BV375" i="1"/>
  <c r="BV374" i="1"/>
  <c r="BV373" i="1"/>
  <c r="BV372" i="1"/>
  <c r="BV371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4" i="1"/>
  <c r="BV23" i="1"/>
  <c r="BV22" i="1"/>
  <c r="BV21" i="1"/>
  <c r="BV20" i="1"/>
  <c r="BV19" i="1"/>
  <c r="BV18" i="1"/>
  <c r="BV17" i="1"/>
  <c r="BV16" i="1"/>
  <c r="BV14" i="1"/>
  <c r="BV13" i="1"/>
  <c r="BV12" i="1"/>
  <c r="BV11" i="1"/>
  <c r="BV10" i="1"/>
  <c r="BV8" i="1"/>
  <c r="BV7" i="1"/>
  <c r="BV6" i="1"/>
  <c r="BV5" i="1"/>
  <c r="BV4" i="1"/>
  <c r="BV3" i="1"/>
  <c r="BV2" i="1"/>
  <c r="BT507" i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6" i="1"/>
  <c r="BT485" i="1"/>
  <c r="BT484" i="1"/>
  <c r="BT483" i="1"/>
  <c r="BT482" i="1"/>
  <c r="BT481" i="1"/>
  <c r="BT480" i="1"/>
  <c r="BT479" i="1"/>
  <c r="BT478" i="1"/>
  <c r="BT477" i="1"/>
  <c r="BT476" i="1"/>
  <c r="BT475" i="1"/>
  <c r="BT474" i="1"/>
  <c r="BT473" i="1"/>
  <c r="BT472" i="1"/>
  <c r="BT471" i="1"/>
  <c r="BT470" i="1"/>
  <c r="BT469" i="1"/>
  <c r="BT468" i="1"/>
  <c r="BT467" i="1"/>
  <c r="BT466" i="1"/>
  <c r="BT465" i="1"/>
  <c r="BT464" i="1"/>
  <c r="BT463" i="1"/>
  <c r="BT462" i="1"/>
  <c r="BT461" i="1"/>
  <c r="BT460" i="1"/>
  <c r="BT459" i="1"/>
  <c r="BT458" i="1"/>
  <c r="BT457" i="1"/>
  <c r="BT456" i="1"/>
  <c r="BT455" i="1"/>
  <c r="BT454" i="1"/>
  <c r="BT453" i="1"/>
  <c r="BT452" i="1"/>
  <c r="BT451" i="1"/>
  <c r="BT450" i="1"/>
  <c r="BT449" i="1"/>
  <c r="BT448" i="1"/>
  <c r="BT447" i="1"/>
  <c r="BT446" i="1"/>
  <c r="BT445" i="1"/>
  <c r="BT444" i="1"/>
  <c r="BT443" i="1"/>
  <c r="BT442" i="1"/>
  <c r="BT441" i="1"/>
  <c r="BT440" i="1"/>
  <c r="BT439" i="1"/>
  <c r="BT438" i="1"/>
  <c r="BT437" i="1"/>
  <c r="BT436" i="1"/>
  <c r="BT435" i="1"/>
  <c r="BT434" i="1"/>
  <c r="BT433" i="1"/>
  <c r="BT432" i="1"/>
  <c r="BT431" i="1"/>
  <c r="BT430" i="1"/>
  <c r="BT429" i="1"/>
  <c r="BT428" i="1"/>
  <c r="BT427" i="1"/>
  <c r="BT426" i="1"/>
  <c r="BT425" i="1"/>
  <c r="BT424" i="1"/>
  <c r="BT423" i="1"/>
  <c r="BT422" i="1"/>
  <c r="BT421" i="1"/>
  <c r="BT420" i="1"/>
  <c r="BT419" i="1"/>
  <c r="BT418" i="1"/>
  <c r="BT417" i="1"/>
  <c r="BT416" i="1"/>
  <c r="BT415" i="1"/>
  <c r="BT414" i="1"/>
  <c r="BT413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4" i="1"/>
  <c r="BT13" i="1"/>
  <c r="BT12" i="1"/>
  <c r="BT10" i="1"/>
  <c r="BT8" i="1"/>
  <c r="BT7" i="1"/>
  <c r="BT6" i="1"/>
  <c r="BT5" i="1"/>
  <c r="BT4" i="1"/>
  <c r="BT3" i="1"/>
  <c r="BT2" i="1"/>
  <c r="BN10" i="5" l="1"/>
  <c r="BM26" i="5"/>
  <c r="BM30" i="5"/>
  <c r="BN22" i="5"/>
  <c r="BN21" i="5"/>
  <c r="BO48" i="5"/>
  <c r="BR21" i="5"/>
  <c r="BR22" i="5"/>
  <c r="BR20" i="5"/>
  <c r="BR39" i="5"/>
  <c r="BN20" i="5"/>
  <c r="BN39" i="5"/>
  <c r="BO16" i="5"/>
  <c r="BQ38" i="5"/>
  <c r="BM13" i="5"/>
  <c r="BM10" i="5"/>
  <c r="BO21" i="5"/>
  <c r="BO22" i="5"/>
  <c r="BO47" i="5"/>
  <c r="BS20" i="5"/>
  <c r="BQ47" i="5"/>
  <c r="BO15" i="5"/>
  <c r="BM16" i="5"/>
  <c r="BQ18" i="5"/>
  <c r="BQ12" i="5"/>
  <c r="BR43" i="5"/>
  <c r="BO41" i="5"/>
  <c r="BN43" i="5"/>
  <c r="BO9" i="5"/>
  <c r="BQ27" i="5"/>
  <c r="BQ28" i="5"/>
  <c r="BS7" i="5"/>
  <c r="BQ32" i="5"/>
  <c r="BQ36" i="5"/>
  <c r="BO6" i="5"/>
  <c r="BO26" i="5"/>
  <c r="BN4" i="5"/>
  <c r="BO30" i="5"/>
  <c r="BO19" i="5"/>
  <c r="BO20" i="5"/>
  <c r="BR4" i="5"/>
  <c r="BQ24" i="5"/>
  <c r="BS18" i="5"/>
  <c r="BQ25" i="5"/>
  <c r="BQ11" i="5"/>
  <c r="BS14" i="5"/>
  <c r="BM7" i="5"/>
  <c r="BN5" i="5"/>
  <c r="BR5" i="5"/>
  <c r="BO23" i="5"/>
  <c r="BO40" i="5"/>
  <c r="BQ42" i="5"/>
  <c r="BR10" i="5"/>
  <c r="BS21" i="5"/>
  <c r="BO5" i="5"/>
  <c r="BO44" i="5"/>
  <c r="BQ17" i="5"/>
  <c r="BQ35" i="5"/>
  <c r="BO37" i="5"/>
  <c r="BM6" i="5"/>
  <c r="BO7" i="5"/>
  <c r="BM9" i="5"/>
  <c r="BO39" i="5"/>
  <c r="BP7" i="5"/>
  <c r="BP14" i="5"/>
  <c r="BP21" i="5"/>
  <c r="BP28" i="5"/>
  <c r="BP18" i="5"/>
  <c r="BP25" i="5"/>
  <c r="BP39" i="5"/>
  <c r="BP15" i="5"/>
  <c r="BP22" i="5"/>
  <c r="BP36" i="5"/>
  <c r="BP43" i="5"/>
  <c r="BP5" i="5"/>
  <c r="BP19" i="5"/>
  <c r="BP26" i="5"/>
  <c r="BP40" i="5"/>
  <c r="BP47" i="5"/>
  <c r="BP4" i="5"/>
  <c r="BP9" i="5"/>
  <c r="BP16" i="5"/>
  <c r="BP30" i="5"/>
  <c r="BP37" i="5"/>
  <c r="BP44" i="5"/>
  <c r="BP6" i="5"/>
  <c r="BP13" i="5"/>
  <c r="BP20" i="5"/>
  <c r="BP27" i="5"/>
  <c r="BP41" i="5"/>
  <c r="BP48" i="5"/>
  <c r="BP10" i="5"/>
  <c r="BP17" i="5"/>
  <c r="BP24" i="5"/>
  <c r="BP31" i="5"/>
  <c r="BP38" i="5"/>
  <c r="BP45" i="5"/>
  <c r="BL5" i="5"/>
  <c r="BL19" i="5"/>
  <c r="BL26" i="5"/>
  <c r="BL40" i="5"/>
  <c r="BL47" i="5"/>
  <c r="BL44" i="5"/>
  <c r="BL9" i="5"/>
  <c r="BL16" i="5"/>
  <c r="BL23" i="5"/>
  <c r="BL30" i="5"/>
  <c r="BL37" i="5"/>
  <c r="BL6" i="5"/>
  <c r="BL13" i="5"/>
  <c r="BL20" i="5"/>
  <c r="BL27" i="5"/>
  <c r="BL41" i="5"/>
  <c r="BL10" i="5"/>
  <c r="BL17" i="5"/>
  <c r="BL24" i="5"/>
  <c r="BL38" i="5"/>
  <c r="BL45" i="5"/>
  <c r="BL7" i="5"/>
  <c r="BL14" i="5"/>
  <c r="BL21" i="5"/>
  <c r="BL28" i="5"/>
  <c r="BO4" i="5"/>
  <c r="BL39" i="5"/>
  <c r="BL48" i="5"/>
  <c r="BL18" i="5"/>
  <c r="BL25" i="5"/>
  <c r="BL4" i="5"/>
  <c r="BL15" i="5"/>
  <c r="BL22" i="5"/>
  <c r="BL36" i="5"/>
  <c r="BL43" i="5"/>
  <c r="BM4" i="5"/>
  <c r="BU465" i="1"/>
  <c r="BU464" i="1"/>
  <c r="BU463" i="1"/>
  <c r="BU462" i="1"/>
  <c r="BU461" i="1"/>
  <c r="BU460" i="1"/>
  <c r="BU459" i="1"/>
  <c r="BU418" i="1"/>
  <c r="BU358" i="1"/>
  <c r="BU173" i="1"/>
  <c r="BU168" i="1"/>
  <c r="BU162" i="1"/>
  <c r="BU161" i="1"/>
  <c r="BU160" i="1"/>
  <c r="BU158" i="1"/>
  <c r="BU451" i="1"/>
  <c r="BU450" i="1"/>
  <c r="BU449" i="1"/>
  <c r="BU448" i="1"/>
  <c r="BU447" i="1"/>
  <c r="BU446" i="1"/>
  <c r="BU445" i="1"/>
  <c r="BS465" i="1" l="1"/>
  <c r="BS464" i="1"/>
  <c r="BS463" i="1"/>
  <c r="BS462" i="1"/>
  <c r="BS461" i="1"/>
  <c r="BS460" i="1"/>
  <c r="BS459" i="1"/>
  <c r="BS419" i="1"/>
  <c r="BS418" i="1"/>
  <c r="BS417" i="1"/>
  <c r="BS416" i="1"/>
  <c r="BS358" i="1"/>
  <c r="BS357" i="1"/>
  <c r="DL6" i="6" l="1"/>
  <c r="DU6" i="6"/>
  <c r="DM6" i="6"/>
  <c r="DI6" i="6"/>
  <c r="DI16" i="6"/>
  <c r="DF16" i="6"/>
  <c r="BJ13" i="5"/>
  <c r="BI13" i="5"/>
  <c r="BH13" i="5"/>
  <c r="BE13" i="5"/>
  <c r="BD13" i="5"/>
  <c r="DU15" i="6"/>
  <c r="DR15" i="6"/>
  <c r="DM15" i="6"/>
  <c r="DK15" i="6"/>
  <c r="DJ15" i="6"/>
  <c r="DI15" i="6"/>
  <c r="DG15" i="6"/>
  <c r="DF15" i="6"/>
  <c r="DL14" i="6"/>
  <c r="DJ14" i="6"/>
  <c r="DH14" i="6"/>
  <c r="DF14" i="6"/>
  <c r="DM13" i="6"/>
  <c r="DJ13" i="6"/>
  <c r="DI13" i="6"/>
  <c r="DF13" i="6"/>
  <c r="DG11" i="6"/>
  <c r="DF11" i="6"/>
  <c r="DM10" i="6"/>
  <c r="DL10" i="6"/>
  <c r="DJ10" i="6"/>
  <c r="DI10" i="6"/>
  <c r="DH10" i="6"/>
  <c r="DF10" i="6"/>
  <c r="DI7" i="6"/>
  <c r="DG7" i="6"/>
  <c r="DF7" i="6"/>
  <c r="DJ6" i="6"/>
  <c r="DH6" i="6"/>
  <c r="DF6" i="6"/>
  <c r="DI5" i="6"/>
  <c r="DG5" i="6"/>
  <c r="DF5" i="6"/>
  <c r="DM4" i="6"/>
  <c r="DJ4" i="6"/>
  <c r="DI4" i="6"/>
  <c r="DF4" i="6"/>
  <c r="BI17" i="5"/>
  <c r="BG13" i="5"/>
  <c r="BG14" i="5"/>
  <c r="BF6" i="5"/>
  <c r="BF7" i="5"/>
  <c r="BF8" i="5"/>
  <c r="BF9" i="5"/>
  <c r="BF11" i="5"/>
  <c r="BF12" i="5"/>
  <c r="BF13" i="5"/>
  <c r="BF14" i="5"/>
  <c r="BF15" i="5"/>
  <c r="BF16" i="5"/>
  <c r="BF17" i="5"/>
  <c r="BF18" i="5"/>
  <c r="BF23" i="5"/>
  <c r="BF26" i="5"/>
  <c r="BF29" i="5"/>
  <c r="BF30" i="5"/>
  <c r="BF31" i="5"/>
  <c r="BF32" i="5"/>
  <c r="BF33" i="5"/>
  <c r="BF34" i="5"/>
  <c r="BF35" i="5"/>
  <c r="BF36" i="5"/>
  <c r="BF37" i="5"/>
  <c r="BF38" i="5"/>
  <c r="BF40" i="5"/>
  <c r="BF41" i="5"/>
  <c r="BF42" i="5"/>
  <c r="BF44" i="5"/>
  <c r="BF45" i="5"/>
  <c r="BF46" i="5"/>
  <c r="BF47" i="5"/>
  <c r="BF48" i="5"/>
  <c r="BI5" i="5"/>
  <c r="BI11" i="5"/>
  <c r="BI12" i="5"/>
  <c r="BI15" i="5"/>
  <c r="BI20" i="5"/>
  <c r="BI21" i="5"/>
  <c r="BI22" i="5"/>
  <c r="BI23" i="5"/>
  <c r="BI24" i="5"/>
  <c r="BI25" i="5"/>
  <c r="BI27" i="5"/>
  <c r="BI28" i="5"/>
  <c r="BI32" i="5"/>
  <c r="BI33" i="5"/>
  <c r="BI35" i="5"/>
  <c r="BI36" i="5"/>
  <c r="BI37" i="5"/>
  <c r="BI38" i="5"/>
  <c r="BI39" i="5"/>
  <c r="BI40" i="5"/>
  <c r="BI41" i="5"/>
  <c r="BI42" i="5"/>
  <c r="BI43" i="5"/>
  <c r="BI44" i="5"/>
  <c r="BI46" i="5"/>
  <c r="BI47" i="5"/>
  <c r="BI48" i="5"/>
  <c r="BI4" i="5"/>
  <c r="BE4" i="5"/>
  <c r="BE5" i="5"/>
  <c r="BE11" i="5"/>
  <c r="BE12" i="5"/>
  <c r="BE15" i="5"/>
  <c r="BE17" i="5"/>
  <c r="BE20" i="5"/>
  <c r="BE21" i="5"/>
  <c r="BE22" i="5"/>
  <c r="BE23" i="5"/>
  <c r="BE24" i="5"/>
  <c r="BE25" i="5"/>
  <c r="BE27" i="5"/>
  <c r="BE28" i="5"/>
  <c r="BE32" i="5"/>
  <c r="BE33" i="5"/>
  <c r="BE35" i="5"/>
  <c r="BE36" i="5"/>
  <c r="BE37" i="5"/>
  <c r="BE38" i="5"/>
  <c r="BE39" i="5"/>
  <c r="BE40" i="5"/>
  <c r="BE41" i="5"/>
  <c r="BE42" i="5"/>
  <c r="BE43" i="5"/>
  <c r="BE44" i="5"/>
  <c r="BE46" i="5"/>
  <c r="BE47" i="5"/>
  <c r="BE48" i="5"/>
  <c r="BJ11" i="5"/>
  <c r="BJ12" i="5"/>
  <c r="BJ15" i="5"/>
  <c r="BJ17" i="5"/>
  <c r="BJ23" i="5"/>
  <c r="BJ32" i="5"/>
  <c r="BJ33" i="5"/>
  <c r="BJ34" i="5"/>
  <c r="BJ35" i="5"/>
  <c r="BJ36" i="5"/>
  <c r="BJ37" i="5"/>
  <c r="BJ38" i="5"/>
  <c r="BJ40" i="5"/>
  <c r="BJ41" i="5"/>
  <c r="BJ42" i="5"/>
  <c r="BJ44" i="5"/>
  <c r="BJ46" i="5"/>
  <c r="BJ47" i="5"/>
  <c r="BJ48" i="5"/>
  <c r="BK13" i="5"/>
  <c r="BK14" i="5"/>
  <c r="BQ479" i="1" l="1"/>
  <c r="BQ463" i="1"/>
  <c r="BQ462" i="1"/>
  <c r="BQ478" i="1"/>
  <c r="BQ477" i="1"/>
  <c r="BQ476" i="1"/>
  <c r="BQ475" i="1"/>
  <c r="BQ474" i="1"/>
  <c r="BQ473" i="1"/>
  <c r="BQ465" i="1"/>
  <c r="BQ464" i="1"/>
  <c r="BQ461" i="1"/>
  <c r="BQ460" i="1"/>
  <c r="BQ459" i="1"/>
  <c r="BO479" i="1"/>
  <c r="BO478" i="1"/>
  <c r="BO477" i="1"/>
  <c r="BO476" i="1"/>
  <c r="BO475" i="1"/>
  <c r="BO474" i="1"/>
  <c r="BO473" i="1"/>
  <c r="BO465" i="1"/>
  <c r="BO464" i="1"/>
  <c r="BO463" i="1"/>
  <c r="BO462" i="1"/>
  <c r="BO461" i="1"/>
  <c r="BO460" i="1"/>
  <c r="BO459" i="1"/>
  <c r="BO419" i="1"/>
  <c r="BO418" i="1"/>
  <c r="BO417" i="1"/>
  <c r="BO416" i="1"/>
  <c r="BO415" i="1"/>
  <c r="BO440" i="1"/>
  <c r="BO439" i="1"/>
  <c r="BO438" i="1"/>
  <c r="BQ168" i="1"/>
  <c r="BJ29" i="5"/>
  <c r="BG45" i="5"/>
  <c r="BF39" i="5"/>
  <c r="BF20" i="5"/>
  <c r="BG20" i="5"/>
  <c r="BG16" i="5"/>
  <c r="BG15" i="5"/>
  <c r="BE19" i="5"/>
  <c r="AC457" i="1"/>
  <c r="AC456" i="1"/>
  <c r="BI451" i="1"/>
  <c r="BG451" i="1"/>
  <c r="BE451" i="1"/>
  <c r="BC451" i="1"/>
  <c r="BA451" i="1"/>
  <c r="AY451" i="1"/>
  <c r="AW451" i="1"/>
  <c r="AS451" i="1"/>
  <c r="AQ451" i="1"/>
  <c r="AO451" i="1"/>
  <c r="AM451" i="1"/>
  <c r="AE451" i="1"/>
  <c r="AC451" i="1"/>
  <c r="BI450" i="1"/>
  <c r="BG450" i="1"/>
  <c r="BE450" i="1"/>
  <c r="BC450" i="1"/>
  <c r="BA450" i="1"/>
  <c r="AY450" i="1"/>
  <c r="AW450" i="1"/>
  <c r="AS450" i="1"/>
  <c r="AQ450" i="1"/>
  <c r="AO450" i="1"/>
  <c r="AM450" i="1"/>
  <c r="AE450" i="1"/>
  <c r="AC450" i="1"/>
  <c r="BI449" i="1"/>
  <c r="BG449" i="1"/>
  <c r="BE449" i="1"/>
  <c r="BC449" i="1"/>
  <c r="BA449" i="1"/>
  <c r="AY449" i="1"/>
  <c r="AW449" i="1"/>
  <c r="AS449" i="1"/>
  <c r="AQ449" i="1"/>
  <c r="AO449" i="1"/>
  <c r="AM449" i="1"/>
  <c r="AE449" i="1"/>
  <c r="AC449" i="1"/>
  <c r="BI448" i="1"/>
  <c r="BG448" i="1"/>
  <c r="BE448" i="1"/>
  <c r="BC448" i="1"/>
  <c r="BA448" i="1"/>
  <c r="AY448" i="1"/>
  <c r="AW448" i="1"/>
  <c r="AS448" i="1"/>
  <c r="AQ448" i="1"/>
  <c r="AO448" i="1"/>
  <c r="AM448" i="1"/>
  <c r="AE448" i="1"/>
  <c r="AC448" i="1"/>
  <c r="BI447" i="1"/>
  <c r="BG447" i="1"/>
  <c r="BE447" i="1"/>
  <c r="BC447" i="1"/>
  <c r="BA447" i="1"/>
  <c r="AY447" i="1"/>
  <c r="AW447" i="1"/>
  <c r="AS447" i="1"/>
  <c r="AQ447" i="1"/>
  <c r="AO447" i="1"/>
  <c r="AM447" i="1"/>
  <c r="AE447" i="1"/>
  <c r="AC447" i="1"/>
  <c r="BI446" i="1"/>
  <c r="BG446" i="1"/>
  <c r="BE446" i="1"/>
  <c r="BC446" i="1"/>
  <c r="BA446" i="1"/>
  <c r="AY446" i="1"/>
  <c r="AW446" i="1"/>
  <c r="AS446" i="1"/>
  <c r="AQ446" i="1"/>
  <c r="AO446" i="1"/>
  <c r="AM446" i="1"/>
  <c r="AE446" i="1"/>
  <c r="AC446" i="1"/>
  <c r="BI445" i="1"/>
  <c r="BG445" i="1"/>
  <c r="BE445" i="1"/>
  <c r="BC445" i="1"/>
  <c r="BA445" i="1"/>
  <c r="AY445" i="1"/>
  <c r="AW445" i="1"/>
  <c r="AS445" i="1"/>
  <c r="AQ445" i="1"/>
  <c r="AO445" i="1"/>
  <c r="AM445" i="1"/>
  <c r="AE445" i="1"/>
  <c r="AC445" i="1"/>
  <c r="BG21" i="5" l="1"/>
  <c r="BF4" i="5"/>
  <c r="BG27" i="5"/>
  <c r="BE14" i="5"/>
  <c r="BE30" i="5"/>
  <c r="BG23" i="5"/>
  <c r="BG36" i="5"/>
  <c r="BG30" i="5"/>
  <c r="BG19" i="5"/>
  <c r="BF21" i="5"/>
  <c r="BG39" i="5"/>
  <c r="BK37" i="5"/>
  <c r="BF10" i="5"/>
  <c r="BG44" i="5"/>
  <c r="BJ9" i="5"/>
  <c r="BG37" i="5"/>
  <c r="BG22" i="5"/>
  <c r="BF27" i="5"/>
  <c r="BG41" i="5"/>
  <c r="BG48" i="5"/>
  <c r="BG46" i="5"/>
  <c r="BF22" i="5"/>
  <c r="BG40" i="5"/>
  <c r="BK20" i="5"/>
  <c r="BE16" i="5"/>
  <c r="BJ7" i="5"/>
  <c r="BK44" i="5"/>
  <c r="BK15" i="5"/>
  <c r="BE45" i="5"/>
  <c r="BJ6" i="5"/>
  <c r="BJ18" i="5"/>
  <c r="BI19" i="5"/>
  <c r="BE10" i="5"/>
  <c r="BJ31" i="5"/>
  <c r="BK23" i="5"/>
  <c r="BK41" i="5"/>
  <c r="BJ26" i="5"/>
  <c r="BJ14" i="5"/>
  <c r="BI30" i="5"/>
  <c r="BK39" i="5"/>
  <c r="BJ45" i="5"/>
  <c r="BJ8" i="5"/>
  <c r="BK30" i="5"/>
  <c r="BK19" i="5"/>
  <c r="BJ16" i="5"/>
  <c r="BK21" i="5"/>
  <c r="BK22" i="5"/>
  <c r="BC48" i="5"/>
  <c r="BB48" i="5"/>
  <c r="BA48" i="5"/>
  <c r="AZ48" i="5"/>
  <c r="BB30" i="5" l="1"/>
  <c r="BN15" i="1"/>
  <c r="BN90" i="1"/>
  <c r="BA21" i="5" l="1"/>
  <c r="BA22" i="5"/>
  <c r="BA46" i="5"/>
  <c r="BB46" i="5"/>
  <c r="BN500" i="1" l="1"/>
  <c r="BA47" i="5"/>
  <c r="BB47" i="5"/>
  <c r="AW22" i="5"/>
  <c r="BN507" i="1"/>
  <c r="BN506" i="1"/>
  <c r="BN505" i="1"/>
  <c r="BN504" i="1"/>
  <c r="BN503" i="1"/>
  <c r="BN502" i="1"/>
  <c r="BN501" i="1"/>
  <c r="BN498" i="1"/>
  <c r="BN499" i="1"/>
  <c r="BN497" i="1"/>
  <c r="BN495" i="1"/>
  <c r="BN494" i="1"/>
  <c r="BM496" i="1"/>
  <c r="BN496" i="1" s="1"/>
  <c r="CW15" i="6"/>
  <c r="CT15" i="6"/>
  <c r="CW14" i="6"/>
  <c r="CV14" i="6"/>
  <c r="CT14" i="6"/>
  <c r="CW13" i="6"/>
  <c r="CT13" i="6"/>
  <c r="CV11" i="6"/>
  <c r="CU11" i="6"/>
  <c r="CT11" i="6"/>
  <c r="CW10" i="6"/>
  <c r="CV10" i="6"/>
  <c r="CT10" i="6"/>
  <c r="CW7" i="6"/>
  <c r="CV7" i="6"/>
  <c r="CU7" i="6"/>
  <c r="CT7" i="6"/>
  <c r="CW6" i="6"/>
  <c r="CV6" i="6"/>
  <c r="CT6" i="6"/>
  <c r="CU5" i="6"/>
  <c r="CT5" i="6"/>
  <c r="CW4" i="6"/>
  <c r="CU4" i="6"/>
  <c r="CT4" i="6"/>
  <c r="BN425" i="1"/>
  <c r="BN342" i="1"/>
  <c r="BN493" i="1"/>
  <c r="BN363" i="1"/>
  <c r="BN336" i="1"/>
  <c r="BN252" i="1"/>
  <c r="BN148" i="1"/>
  <c r="BN142" i="1"/>
  <c r="BN98" i="1"/>
  <c r="BN85" i="1"/>
  <c r="BN35" i="1"/>
  <c r="BN492" i="1"/>
  <c r="BN489" i="1"/>
  <c r="BN488" i="1"/>
  <c r="BN486" i="1"/>
  <c r="BN491" i="1"/>
  <c r="BN490" i="1"/>
  <c r="BN487" i="1"/>
  <c r="BM420" i="1"/>
  <c r="BN420" i="1" s="1"/>
  <c r="BM419" i="1"/>
  <c r="BN419" i="1" s="1"/>
  <c r="BM418" i="1"/>
  <c r="BN418" i="1" s="1"/>
  <c r="BM417" i="1"/>
  <c r="BN417" i="1" s="1"/>
  <c r="BM416" i="1"/>
  <c r="BN416" i="1" s="1"/>
  <c r="BM415" i="1"/>
  <c r="BN415" i="1" s="1"/>
  <c r="BM358" i="1"/>
  <c r="BN358" i="1" s="1"/>
  <c r="BM357" i="1"/>
  <c r="BN357" i="1" s="1"/>
  <c r="BM235" i="1"/>
  <c r="BN235" i="1" s="1"/>
  <c r="BM234" i="1"/>
  <c r="BN234" i="1" s="1"/>
  <c r="BM233" i="1"/>
  <c r="BN233" i="1" s="1"/>
  <c r="BM232" i="1"/>
  <c r="BN232" i="1" s="1"/>
  <c r="BM231" i="1"/>
  <c r="BN231" i="1" s="1"/>
  <c r="BM146" i="1"/>
  <c r="BM407" i="1"/>
  <c r="BM400" i="1"/>
  <c r="BN400" i="1" s="1"/>
  <c r="BM393" i="1"/>
  <c r="BM386" i="1"/>
  <c r="BN386" i="1" s="1"/>
  <c r="BM380" i="1"/>
  <c r="BM379" i="1"/>
  <c r="BN379" i="1" s="1"/>
  <c r="BM321" i="1"/>
  <c r="BN321" i="1" s="1"/>
  <c r="BM110" i="1"/>
  <c r="BN110" i="1" s="1"/>
  <c r="BM107" i="1"/>
  <c r="BN107" i="1" s="1"/>
  <c r="BN170" i="1"/>
  <c r="BM168" i="1"/>
  <c r="BN168" i="1" s="1"/>
  <c r="BN485" i="1"/>
  <c r="BN484" i="1"/>
  <c r="BN483" i="1"/>
  <c r="BN482" i="1"/>
  <c r="BN481" i="1"/>
  <c r="BN480" i="1"/>
  <c r="BN479" i="1"/>
  <c r="BN478" i="1"/>
  <c r="BN477" i="1"/>
  <c r="BN476" i="1"/>
  <c r="BN475" i="1"/>
  <c r="BN474" i="1"/>
  <c r="BN473" i="1"/>
  <c r="BN472" i="1"/>
  <c r="BN471" i="1"/>
  <c r="BN470" i="1"/>
  <c r="BN469" i="1"/>
  <c r="BN468" i="1"/>
  <c r="BN467" i="1"/>
  <c r="BN466" i="1"/>
  <c r="BN465" i="1"/>
  <c r="BN464" i="1"/>
  <c r="BN463" i="1"/>
  <c r="BN462" i="1"/>
  <c r="BN461" i="1"/>
  <c r="BN460" i="1"/>
  <c r="BN459" i="1"/>
  <c r="BN458" i="1"/>
  <c r="BN443" i="1"/>
  <c r="BN442" i="1"/>
  <c r="BN441" i="1"/>
  <c r="BN440" i="1"/>
  <c r="BN439" i="1"/>
  <c r="BN438" i="1"/>
  <c r="BN437" i="1"/>
  <c r="BN436" i="1"/>
  <c r="BN435" i="1"/>
  <c r="BN434" i="1"/>
  <c r="BN433" i="1"/>
  <c r="BN432" i="1"/>
  <c r="BN431" i="1"/>
  <c r="BN430" i="1"/>
  <c r="BN429" i="1"/>
  <c r="BN428" i="1"/>
  <c r="BN427" i="1"/>
  <c r="BN426" i="1"/>
  <c r="BN424" i="1"/>
  <c r="BN423" i="1"/>
  <c r="BN422" i="1"/>
  <c r="BN421" i="1"/>
  <c r="BN414" i="1"/>
  <c r="BN413" i="1"/>
  <c r="BN412" i="1"/>
  <c r="BN411" i="1"/>
  <c r="BN410" i="1"/>
  <c r="BN409" i="1"/>
  <c r="BN408" i="1"/>
  <c r="BN407" i="1"/>
  <c r="BN406" i="1"/>
  <c r="BN405" i="1"/>
  <c r="BN404" i="1"/>
  <c r="BN403" i="1"/>
  <c r="BN402" i="1"/>
  <c r="BN401" i="1"/>
  <c r="BN399" i="1"/>
  <c r="BN398" i="1"/>
  <c r="BN397" i="1"/>
  <c r="BN396" i="1"/>
  <c r="BN395" i="1"/>
  <c r="BN394" i="1"/>
  <c r="BN393" i="1"/>
  <c r="BN392" i="1"/>
  <c r="BN391" i="1"/>
  <c r="BN390" i="1"/>
  <c r="BN389" i="1"/>
  <c r="BN388" i="1"/>
  <c r="BN387" i="1"/>
  <c r="BN385" i="1"/>
  <c r="BN384" i="1"/>
  <c r="BN383" i="1"/>
  <c r="BN382" i="1"/>
  <c r="BN381" i="1"/>
  <c r="BN380" i="1"/>
  <c r="BN378" i="1"/>
  <c r="BN377" i="1"/>
  <c r="BN376" i="1"/>
  <c r="BN375" i="1"/>
  <c r="BN374" i="1"/>
  <c r="BN373" i="1"/>
  <c r="BN372" i="1"/>
  <c r="BN371" i="1"/>
  <c r="BN370" i="1"/>
  <c r="BN369" i="1"/>
  <c r="BN368" i="1"/>
  <c r="BN367" i="1"/>
  <c r="BN366" i="1"/>
  <c r="BN365" i="1"/>
  <c r="BN364" i="1"/>
  <c r="BN362" i="1"/>
  <c r="BN361" i="1"/>
  <c r="BN360" i="1"/>
  <c r="BN359" i="1"/>
  <c r="BN356" i="1"/>
  <c r="BN355" i="1"/>
  <c r="BN354" i="1"/>
  <c r="BN353" i="1"/>
  <c r="BN352" i="1"/>
  <c r="BO352" i="1" s="1"/>
  <c r="BQ352" i="1" s="1"/>
  <c r="BN351" i="1"/>
  <c r="BO351" i="1" s="1"/>
  <c r="BQ351" i="1" s="1"/>
  <c r="BN350" i="1"/>
  <c r="BO350" i="1" s="1"/>
  <c r="BQ350" i="1" s="1"/>
  <c r="BN349" i="1"/>
  <c r="BO349" i="1" s="1"/>
  <c r="BQ349" i="1" s="1"/>
  <c r="BN348" i="1"/>
  <c r="BO348" i="1" s="1"/>
  <c r="BQ348" i="1" s="1"/>
  <c r="BN347" i="1"/>
  <c r="BO347" i="1" s="1"/>
  <c r="BQ347" i="1" s="1"/>
  <c r="BN346" i="1"/>
  <c r="BO346" i="1" s="1"/>
  <c r="BN345" i="1"/>
  <c r="BN344" i="1"/>
  <c r="BN343" i="1"/>
  <c r="BN341" i="1"/>
  <c r="BN340" i="1"/>
  <c r="BN339" i="1"/>
  <c r="BN338" i="1"/>
  <c r="BN337" i="1"/>
  <c r="BN335" i="1"/>
  <c r="BN334" i="1"/>
  <c r="BN333" i="1"/>
  <c r="BN332" i="1"/>
  <c r="BN331" i="1"/>
  <c r="BN330" i="1"/>
  <c r="BN329" i="1"/>
  <c r="BO329" i="1" s="1"/>
  <c r="BQ329" i="1" s="1"/>
  <c r="BN328" i="1"/>
  <c r="BO328" i="1" s="1"/>
  <c r="BQ328" i="1" s="1"/>
  <c r="BN327" i="1"/>
  <c r="BO327" i="1" s="1"/>
  <c r="BQ327" i="1" s="1"/>
  <c r="BN326" i="1"/>
  <c r="BO326" i="1" s="1"/>
  <c r="BQ326" i="1" s="1"/>
  <c r="BN325" i="1"/>
  <c r="BO325" i="1" s="1"/>
  <c r="BQ325" i="1" s="1"/>
  <c r="BN324" i="1"/>
  <c r="BO324" i="1" s="1"/>
  <c r="BQ324" i="1" s="1"/>
  <c r="BN323" i="1"/>
  <c r="BO323" i="1" s="1"/>
  <c r="BN322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1" i="1"/>
  <c r="BN250" i="1"/>
  <c r="BN249" i="1"/>
  <c r="BN248" i="1"/>
  <c r="BN247" i="1"/>
  <c r="BN246" i="1"/>
  <c r="BN245" i="1"/>
  <c r="BN244" i="1"/>
  <c r="BN243" i="1"/>
  <c r="BN242" i="1"/>
  <c r="BO242" i="1" s="1"/>
  <c r="BQ242" i="1" s="1"/>
  <c r="BN241" i="1"/>
  <c r="BO241" i="1" s="1"/>
  <c r="BQ241" i="1" s="1"/>
  <c r="BN240" i="1"/>
  <c r="BO240" i="1" s="1"/>
  <c r="BQ240" i="1" s="1"/>
  <c r="BN239" i="1"/>
  <c r="BO239" i="1" s="1"/>
  <c r="BQ239" i="1" s="1"/>
  <c r="BN238" i="1"/>
  <c r="BO238" i="1" s="1"/>
  <c r="BQ238" i="1" s="1"/>
  <c r="BN237" i="1"/>
  <c r="BO237" i="1" s="1"/>
  <c r="BQ237" i="1" s="1"/>
  <c r="BN236" i="1"/>
  <c r="BO236" i="1" s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69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7" i="1"/>
  <c r="BN145" i="1"/>
  <c r="BN144" i="1"/>
  <c r="BN143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09" i="1"/>
  <c r="BN108" i="1"/>
  <c r="BN106" i="1"/>
  <c r="BN105" i="1"/>
  <c r="BN104" i="1"/>
  <c r="BN103" i="1"/>
  <c r="BN102" i="1"/>
  <c r="BN101" i="1"/>
  <c r="BN100" i="1"/>
  <c r="BN99" i="1"/>
  <c r="BN97" i="1"/>
  <c r="BN96" i="1"/>
  <c r="BN95" i="1"/>
  <c r="BN94" i="1"/>
  <c r="BN93" i="1"/>
  <c r="BN92" i="1"/>
  <c r="BN91" i="1"/>
  <c r="BN89" i="1"/>
  <c r="BN88" i="1"/>
  <c r="BN87" i="1"/>
  <c r="BN86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4" i="1"/>
  <c r="BN13" i="1"/>
  <c r="BN12" i="1"/>
  <c r="BN11" i="1"/>
  <c r="BN10" i="1"/>
  <c r="BN8" i="1"/>
  <c r="BN7" i="1"/>
  <c r="BN6" i="1"/>
  <c r="BN5" i="1"/>
  <c r="BN4" i="1"/>
  <c r="BN3" i="1"/>
  <c r="BN2" i="1"/>
  <c r="BL472" i="1"/>
  <c r="BL466" i="1"/>
  <c r="BL471" i="1"/>
  <c r="BL469" i="1"/>
  <c r="BL7" i="1"/>
  <c r="BL23" i="1"/>
  <c r="BL22" i="1"/>
  <c r="BL20" i="1"/>
  <c r="BL21" i="1"/>
  <c r="BL2" i="1"/>
  <c r="BL3" i="1"/>
  <c r="BL4" i="1"/>
  <c r="BL5" i="1"/>
  <c r="BL6" i="1"/>
  <c r="BL8" i="1"/>
  <c r="BL10" i="1"/>
  <c r="BL14" i="1"/>
  <c r="BL17" i="1"/>
  <c r="BL24" i="1"/>
  <c r="BL26" i="1"/>
  <c r="BL39" i="1"/>
  <c r="BL46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2" i="1"/>
  <c r="BL63" i="1"/>
  <c r="BL64" i="1"/>
  <c r="BL65" i="1"/>
  <c r="BL66" i="1"/>
  <c r="BL67" i="1"/>
  <c r="BL68" i="1"/>
  <c r="BL86" i="1"/>
  <c r="BL90" i="1"/>
  <c r="BL91" i="1"/>
  <c r="BL93" i="1"/>
  <c r="BL103" i="1"/>
  <c r="BL107" i="1"/>
  <c r="BL116" i="1"/>
  <c r="BL126" i="1"/>
  <c r="BL127" i="1"/>
  <c r="BL139" i="1"/>
  <c r="BL144" i="1"/>
  <c r="BL151" i="1"/>
  <c r="BL155" i="1"/>
  <c r="BL157" i="1"/>
  <c r="BL160" i="1"/>
  <c r="BL167" i="1"/>
  <c r="BL170" i="1"/>
  <c r="BL174" i="1"/>
  <c r="BL184" i="1"/>
  <c r="BL185" i="1"/>
  <c r="BL186" i="1"/>
  <c r="BL187" i="1"/>
  <c r="BL188" i="1"/>
  <c r="BL189" i="1"/>
  <c r="BL190" i="1"/>
  <c r="BL191" i="1"/>
  <c r="BL204" i="1"/>
  <c r="BL205" i="1"/>
  <c r="BL215" i="1"/>
  <c r="BL216" i="1"/>
  <c r="BL220" i="1"/>
  <c r="BL221" i="1"/>
  <c r="BL223" i="1"/>
  <c r="BL241" i="1"/>
  <c r="BL247" i="1"/>
  <c r="BL248" i="1"/>
  <c r="BL250" i="1"/>
  <c r="BL255" i="1"/>
  <c r="BL259" i="1"/>
  <c r="BL262" i="1"/>
  <c r="BL272" i="1"/>
  <c r="BL278" i="1"/>
  <c r="BL284" i="1"/>
  <c r="BL293" i="1"/>
  <c r="BL299" i="1"/>
  <c r="BL312" i="1"/>
  <c r="BL319" i="1"/>
  <c r="BL327" i="1"/>
  <c r="BL335" i="1"/>
  <c r="BL342" i="1"/>
  <c r="BL350" i="1"/>
  <c r="BL359" i="1"/>
  <c r="BL392" i="1"/>
  <c r="BL393" i="1"/>
  <c r="BL394" i="1"/>
  <c r="BL395" i="1"/>
  <c r="BL396" i="1"/>
  <c r="BL397" i="1"/>
  <c r="BL398" i="1"/>
  <c r="BL425" i="1"/>
  <c r="BL427" i="1"/>
  <c r="BL428" i="1"/>
  <c r="BL429" i="1"/>
  <c r="BL430" i="1"/>
  <c r="BL431" i="1"/>
  <c r="BL435" i="1"/>
  <c r="BL467" i="1"/>
  <c r="BL481" i="1"/>
  <c r="BL485" i="1"/>
  <c r="BL198" i="1"/>
  <c r="BL199" i="1"/>
  <c r="BL197" i="1"/>
  <c r="BL196" i="1"/>
  <c r="BL195" i="1"/>
  <c r="BL194" i="1"/>
  <c r="BL11" i="1"/>
  <c r="BL434" i="1"/>
  <c r="BL218" i="1"/>
  <c r="BL213" i="1"/>
  <c r="BL201" i="1"/>
  <c r="BL200" i="1"/>
  <c r="BL145" i="1"/>
  <c r="BL25" i="1"/>
  <c r="BL482" i="1"/>
  <c r="BL468" i="1"/>
  <c r="BL443" i="1"/>
  <c r="BL352" i="1"/>
  <c r="BL344" i="1"/>
  <c r="BL329" i="1"/>
  <c r="BL321" i="1"/>
  <c r="BL314" i="1"/>
  <c r="BL301" i="1"/>
  <c r="BL288" i="1"/>
  <c r="BL286" i="1"/>
  <c r="BL276" i="1"/>
  <c r="BL271" i="1"/>
  <c r="BL265" i="1"/>
  <c r="BL256" i="1"/>
  <c r="BL239" i="1"/>
  <c r="BL235" i="1"/>
  <c r="BL228" i="1"/>
  <c r="BL217" i="1"/>
  <c r="BL212" i="1"/>
  <c r="BL211" i="1"/>
  <c r="BL210" i="1"/>
  <c r="BL169" i="1"/>
  <c r="BL156" i="1"/>
  <c r="BL147" i="1"/>
  <c r="BL141" i="1"/>
  <c r="BL110" i="1"/>
  <c r="BL97" i="1"/>
  <c r="BL96" i="1"/>
  <c r="BL336" i="1"/>
  <c r="BL84" i="1"/>
  <c r="BL77" i="1"/>
  <c r="BL48" i="1"/>
  <c r="BL34" i="1"/>
  <c r="BL33" i="1"/>
  <c r="BL19" i="1"/>
  <c r="BL287" i="1"/>
  <c r="BL251" i="1"/>
  <c r="BL13" i="1"/>
  <c r="BL426" i="1"/>
  <c r="BL405" i="1"/>
  <c r="BL404" i="1"/>
  <c r="BL403" i="1"/>
  <c r="BL402" i="1"/>
  <c r="BL401" i="1"/>
  <c r="BL400" i="1"/>
  <c r="BL399" i="1"/>
  <c r="BL360" i="1"/>
  <c r="BL351" i="1"/>
  <c r="BL343" i="1"/>
  <c r="BL320" i="1"/>
  <c r="BL328" i="1"/>
  <c r="BL313" i="1"/>
  <c r="BL300" i="1"/>
  <c r="BL294" i="1"/>
  <c r="BL285" i="1"/>
  <c r="BL279" i="1"/>
  <c r="BL268" i="1"/>
  <c r="BL260" i="1"/>
  <c r="BL246" i="1"/>
  <c r="BL242" i="1"/>
  <c r="BL224" i="1"/>
  <c r="BL207" i="1"/>
  <c r="BL206" i="1"/>
  <c r="BL161" i="1"/>
  <c r="BL152" i="1"/>
  <c r="BL146" i="1"/>
  <c r="BL140" i="1"/>
  <c r="BL108" i="1"/>
  <c r="BL104" i="1"/>
  <c r="BL92" i="1"/>
  <c r="BL87" i="1"/>
  <c r="BL61" i="1"/>
  <c r="BL47" i="1"/>
  <c r="BL41" i="1"/>
  <c r="BL28" i="1"/>
  <c r="BL18" i="1"/>
  <c r="BL192" i="1"/>
  <c r="BL193" i="1"/>
  <c r="BL442" i="1"/>
  <c r="BL432" i="1"/>
  <c r="BL412" i="1"/>
  <c r="BL411" i="1"/>
  <c r="BL410" i="1"/>
  <c r="BL409" i="1"/>
  <c r="BL408" i="1"/>
  <c r="BL407" i="1"/>
  <c r="BL406" i="1"/>
  <c r="BL345" i="1"/>
  <c r="BL337" i="1"/>
  <c r="BL322" i="1"/>
  <c r="BL302" i="1"/>
  <c r="BL263" i="1"/>
  <c r="BL249" i="1"/>
  <c r="BL112" i="1"/>
  <c r="BL74" i="1"/>
  <c r="BL27" i="1"/>
  <c r="BL12" i="1"/>
  <c r="BL433" i="1"/>
  <c r="BL423" i="1"/>
  <c r="BL384" i="1"/>
  <c r="BL383" i="1"/>
  <c r="BL382" i="1"/>
  <c r="BL381" i="1"/>
  <c r="BL380" i="1"/>
  <c r="BL379" i="1"/>
  <c r="BL378" i="1"/>
  <c r="BL348" i="1"/>
  <c r="BL340" i="1"/>
  <c r="BL332" i="1"/>
  <c r="BL325" i="1"/>
  <c r="BL317" i="1"/>
  <c r="BL310" i="1"/>
  <c r="BL297" i="1"/>
  <c r="BL292" i="1"/>
  <c r="BL282" i="1"/>
  <c r="BL274" i="1"/>
  <c r="BL270" i="1"/>
  <c r="BL264" i="1"/>
  <c r="BL253" i="1"/>
  <c r="BL237" i="1"/>
  <c r="BL227" i="1"/>
  <c r="BL111" i="1"/>
  <c r="BL165" i="1"/>
  <c r="BL162" i="1"/>
  <c r="BL154" i="1"/>
  <c r="BL137" i="1"/>
  <c r="BL101" i="1"/>
  <c r="BL95" i="1"/>
  <c r="BL88" i="1"/>
  <c r="BL75" i="1"/>
  <c r="BL44" i="1"/>
  <c r="BL40" i="1"/>
  <c r="BL29" i="1"/>
  <c r="I52" i="8"/>
  <c r="BL391" i="1"/>
  <c r="BL390" i="1"/>
  <c r="BL389" i="1"/>
  <c r="BL388" i="1"/>
  <c r="BL387" i="1"/>
  <c r="BL386" i="1"/>
  <c r="BL385" i="1"/>
  <c r="BL269" i="1"/>
  <c r="BL261" i="1"/>
  <c r="BL483" i="1"/>
  <c r="BL424" i="1"/>
  <c r="BL349" i="1"/>
  <c r="BL341" i="1"/>
  <c r="BL333" i="1"/>
  <c r="BL326" i="1"/>
  <c r="BL318" i="1"/>
  <c r="BL311" i="1"/>
  <c r="BL298" i="1"/>
  <c r="BL290" i="1"/>
  <c r="BL283" i="1"/>
  <c r="BL275" i="1"/>
  <c r="BL254" i="1"/>
  <c r="BL238" i="1"/>
  <c r="BL225" i="1"/>
  <c r="BL209" i="1"/>
  <c r="BL208" i="1"/>
  <c r="BL166" i="1"/>
  <c r="BL158" i="1"/>
  <c r="BL153" i="1"/>
  <c r="BL138" i="1"/>
  <c r="BL109" i="1"/>
  <c r="BL102" i="1"/>
  <c r="BL94" i="1"/>
  <c r="BL89" i="1"/>
  <c r="BL76" i="1"/>
  <c r="BL45" i="1"/>
  <c r="BL38" i="1"/>
  <c r="BL16" i="1"/>
  <c r="BL32" i="1"/>
  <c r="BL458" i="1"/>
  <c r="BL437" i="1"/>
  <c r="BL422" i="1"/>
  <c r="BL414" i="1"/>
  <c r="BL377" i="1"/>
  <c r="BL376" i="1"/>
  <c r="BL375" i="1"/>
  <c r="BL374" i="1"/>
  <c r="BL373" i="1"/>
  <c r="BL372" i="1"/>
  <c r="BL371" i="1"/>
  <c r="BL356" i="1"/>
  <c r="BL355" i="1"/>
  <c r="BL347" i="1"/>
  <c r="BL339" i="1"/>
  <c r="BL331" i="1"/>
  <c r="BL324" i="1"/>
  <c r="BL316" i="1"/>
  <c r="BL309" i="1"/>
  <c r="BL308" i="1"/>
  <c r="BL307" i="1"/>
  <c r="BL306" i="1"/>
  <c r="BL305" i="1"/>
  <c r="BL304" i="1"/>
  <c r="BL296" i="1"/>
  <c r="BL289" i="1"/>
  <c r="BL281" i="1"/>
  <c r="BL273" i="1"/>
  <c r="BL266" i="1"/>
  <c r="BL257" i="1"/>
  <c r="BL236" i="1"/>
  <c r="BL230" i="1"/>
  <c r="BL226" i="1"/>
  <c r="BL219" i="1"/>
  <c r="BL214" i="1"/>
  <c r="BL183" i="1"/>
  <c r="BL182" i="1"/>
  <c r="BL172" i="1"/>
  <c r="BL164" i="1"/>
  <c r="BL149" i="1"/>
  <c r="BL135" i="1"/>
  <c r="BL125" i="1"/>
  <c r="BL114" i="1"/>
  <c r="BL106" i="1"/>
  <c r="BL100" i="1"/>
  <c r="BL83" i="1"/>
  <c r="BL82" i="1"/>
  <c r="BL81" i="1"/>
  <c r="BL73" i="1"/>
  <c r="BL71" i="1"/>
  <c r="BL69" i="1"/>
  <c r="BL43" i="1"/>
  <c r="BL36" i="1"/>
  <c r="BL31" i="1"/>
  <c r="BL252" i="1"/>
  <c r="BL148" i="1"/>
  <c r="BL142" i="1"/>
  <c r="BL98" i="1"/>
  <c r="BL85" i="1"/>
  <c r="BL35" i="1"/>
  <c r="BL42" i="1"/>
  <c r="BL37" i="1"/>
  <c r="BL480" i="1"/>
  <c r="BL436" i="1"/>
  <c r="BL421" i="1"/>
  <c r="BL413" i="1"/>
  <c r="BL370" i="1"/>
  <c r="BL369" i="1"/>
  <c r="BL368" i="1"/>
  <c r="BL367" i="1"/>
  <c r="BL366" i="1"/>
  <c r="BL365" i="1"/>
  <c r="BL364" i="1"/>
  <c r="BL354" i="1"/>
  <c r="BL353" i="1"/>
  <c r="BL346" i="1"/>
  <c r="BL338" i="1"/>
  <c r="BL330" i="1"/>
  <c r="BL323" i="1"/>
  <c r="BL315" i="1"/>
  <c r="BL303" i="1"/>
  <c r="BL295" i="1"/>
  <c r="BL291" i="1"/>
  <c r="BL280" i="1"/>
  <c r="BL277" i="1"/>
  <c r="BL267" i="1"/>
  <c r="BL258" i="1"/>
  <c r="BL245" i="1"/>
  <c r="BL244" i="1"/>
  <c r="BL243" i="1"/>
  <c r="BL240" i="1"/>
  <c r="BL229" i="1"/>
  <c r="BL222" i="1"/>
  <c r="BL203" i="1"/>
  <c r="BL202" i="1"/>
  <c r="BL171" i="1"/>
  <c r="BL163" i="1"/>
  <c r="BL159" i="1"/>
  <c r="BL150" i="1"/>
  <c r="BL143" i="1"/>
  <c r="BL136" i="1"/>
  <c r="BL124" i="1"/>
  <c r="BL113" i="1"/>
  <c r="BL105" i="1"/>
  <c r="BL99" i="1"/>
  <c r="BL80" i="1"/>
  <c r="BL79" i="1"/>
  <c r="BL78" i="1"/>
  <c r="BL72" i="1"/>
  <c r="BL70" i="1"/>
  <c r="BL30" i="1"/>
  <c r="BL15" i="1"/>
  <c r="E1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1" i="8"/>
  <c r="AV21" i="5"/>
  <c r="AY21" i="5"/>
  <c r="AX21" i="5"/>
  <c r="AW15" i="5"/>
  <c r="AX12" i="5"/>
  <c r="AW12" i="5"/>
  <c r="AW5" i="5"/>
  <c r="BQ323" i="1" l="1"/>
  <c r="BQ346" i="1"/>
  <c r="BQ236" i="1"/>
  <c r="BD5" i="5"/>
  <c r="BD22" i="5"/>
  <c r="BD40" i="5"/>
  <c r="BD19" i="5"/>
  <c r="BD15" i="5"/>
  <c r="BD36" i="5"/>
  <c r="BD41" i="5"/>
  <c r="BD9" i="5"/>
  <c r="BD28" i="5"/>
  <c r="BD27" i="5"/>
  <c r="BD25" i="5"/>
  <c r="BD30" i="5"/>
  <c r="BD26" i="5"/>
  <c r="BD47" i="5"/>
  <c r="BD39" i="5"/>
  <c r="BD6" i="5"/>
  <c r="BD16" i="5"/>
  <c r="BD20" i="5"/>
  <c r="BD44" i="5"/>
  <c r="BD23" i="5"/>
  <c r="BD48" i="5"/>
  <c r="BD17" i="5"/>
  <c r="BD37" i="5"/>
  <c r="BD7" i="5"/>
  <c r="BD10" i="5"/>
  <c r="BD21" i="5"/>
  <c r="BD45" i="5"/>
  <c r="BD24" i="5"/>
  <c r="BD18" i="5"/>
  <c r="BD38" i="5"/>
  <c r="BD4" i="5"/>
  <c r="BD14" i="5"/>
  <c r="BD46" i="5"/>
  <c r="BC30" i="5"/>
  <c r="BA30" i="5"/>
  <c r="BC47" i="5"/>
  <c r="AY22" i="5"/>
  <c r="BB21" i="5"/>
  <c r="BB22" i="5"/>
  <c r="BC21" i="5"/>
  <c r="BC22" i="5"/>
  <c r="BN146" i="1"/>
  <c r="AZ21" i="5" s="1"/>
  <c r="AX26" i="5"/>
  <c r="BK363" i="1"/>
  <c r="BL363" i="1" s="1"/>
  <c r="BK362" i="1"/>
  <c r="BL362" i="1" s="1"/>
  <c r="BK361" i="1"/>
  <c r="BL361" i="1" s="1"/>
  <c r="BK358" i="1"/>
  <c r="BL358" i="1" s="1"/>
  <c r="BK357" i="1"/>
  <c r="BL357" i="1" s="1"/>
  <c r="BK168" i="1"/>
  <c r="BL168" i="1" s="1"/>
  <c r="BH37" i="5" l="1"/>
  <c r="BH19" i="5"/>
  <c r="BH7" i="5"/>
  <c r="BH40" i="5"/>
  <c r="BH46" i="5"/>
  <c r="BH21" i="5"/>
  <c r="BH16" i="5"/>
  <c r="BH10" i="5"/>
  <c r="BH47" i="5"/>
  <c r="BH24" i="5"/>
  <c r="BH9" i="5"/>
  <c r="BH4" i="5"/>
  <c r="BH38" i="5"/>
  <c r="BH23" i="5"/>
  <c r="BH39" i="5"/>
  <c r="BH27" i="5"/>
  <c r="BH44" i="5"/>
  <c r="BH41" i="5"/>
  <c r="BH45" i="5"/>
  <c r="BH15" i="5"/>
  <c r="BH6" i="5"/>
  <c r="BH22" i="5"/>
  <c r="BH43" i="5"/>
  <c r="BH20" i="5"/>
  <c r="BH36" i="5"/>
  <c r="BH14" i="5"/>
  <c r="BH34" i="5"/>
  <c r="BH28" i="5"/>
  <c r="BH48" i="5"/>
  <c r="BH25" i="5"/>
  <c r="BH30" i="5"/>
  <c r="BH18" i="5"/>
  <c r="BH5" i="5"/>
  <c r="BH17" i="5"/>
  <c r="BH26" i="5"/>
  <c r="AZ30" i="5"/>
  <c r="AZ22" i="5"/>
  <c r="AZ47" i="5"/>
  <c r="AZ46" i="5"/>
  <c r="AX6" i="5"/>
  <c r="AX7" i="5"/>
  <c r="AX8" i="5"/>
  <c r="AX9" i="5"/>
  <c r="AW10" i="5"/>
  <c r="AX10" i="5"/>
  <c r="AW11" i="5"/>
  <c r="AX11" i="5"/>
  <c r="AW13" i="5"/>
  <c r="AX13" i="5"/>
  <c r="AY13" i="5"/>
  <c r="AW14" i="5"/>
  <c r="AX14" i="5"/>
  <c r="AY14" i="5"/>
  <c r="AX15" i="5"/>
  <c r="AX16" i="5"/>
  <c r="AW17" i="5"/>
  <c r="AX17" i="5"/>
  <c r="AX18" i="5"/>
  <c r="AW19" i="5"/>
  <c r="AX19" i="5"/>
  <c r="AW20" i="5"/>
  <c r="AX20" i="5"/>
  <c r="AW21" i="5"/>
  <c r="AW23" i="5"/>
  <c r="AX23" i="5"/>
  <c r="AW24" i="5"/>
  <c r="AX24" i="5"/>
  <c r="AW25" i="5"/>
  <c r="AX25" i="5"/>
  <c r="AW27" i="5"/>
  <c r="AW28" i="5"/>
  <c r="AX29" i="5"/>
  <c r="AW30" i="5"/>
  <c r="AX30" i="5"/>
  <c r="AX31" i="5"/>
  <c r="AW32" i="5"/>
  <c r="AX32" i="5"/>
  <c r="AW34" i="5"/>
  <c r="AX34" i="5"/>
  <c r="AW35" i="5"/>
  <c r="AX35" i="5"/>
  <c r="AW36" i="5"/>
  <c r="AX36" i="5"/>
  <c r="AW37" i="5"/>
  <c r="AX37" i="5"/>
  <c r="AW38" i="5"/>
  <c r="AX38" i="5"/>
  <c r="AW39" i="5"/>
  <c r="AW40" i="5"/>
  <c r="AX40" i="5"/>
  <c r="AW41" i="5"/>
  <c r="AX41" i="5"/>
  <c r="AW42" i="5"/>
  <c r="AX42" i="5"/>
  <c r="AW43" i="5"/>
  <c r="AW44" i="5"/>
  <c r="AX44" i="5"/>
  <c r="AX45" i="5"/>
  <c r="AW4" i="5"/>
  <c r="BK484" i="1" l="1"/>
  <c r="BL484" i="1" s="1"/>
  <c r="BK479" i="1"/>
  <c r="BL479" i="1" s="1"/>
  <c r="BK478" i="1"/>
  <c r="BL478" i="1" s="1"/>
  <c r="BK477" i="1"/>
  <c r="BL477" i="1" s="1"/>
  <c r="BK476" i="1"/>
  <c r="BL476" i="1" s="1"/>
  <c r="BK475" i="1"/>
  <c r="BL475" i="1" s="1"/>
  <c r="BK474" i="1"/>
  <c r="BL474" i="1" s="1"/>
  <c r="BK473" i="1"/>
  <c r="BL473" i="1" s="1"/>
  <c r="BK470" i="1"/>
  <c r="BL470" i="1" s="1"/>
  <c r="BK465" i="1"/>
  <c r="BL465" i="1" s="1"/>
  <c r="BK464" i="1"/>
  <c r="BL464" i="1" s="1"/>
  <c r="BK463" i="1"/>
  <c r="BL463" i="1" s="1"/>
  <c r="BK462" i="1"/>
  <c r="BL462" i="1" s="1"/>
  <c r="BK461" i="1"/>
  <c r="BL461" i="1" s="1"/>
  <c r="BK460" i="1"/>
  <c r="BL460" i="1" s="1"/>
  <c r="BK459" i="1"/>
  <c r="BL459" i="1" s="1"/>
  <c r="BK420" i="1"/>
  <c r="BL420" i="1" s="1"/>
  <c r="BK419" i="1"/>
  <c r="BL419" i="1" s="1"/>
  <c r="BK418" i="1"/>
  <c r="BL418" i="1" s="1"/>
  <c r="BK417" i="1"/>
  <c r="BL417" i="1" s="1"/>
  <c r="BK416" i="1"/>
  <c r="BL416" i="1" s="1"/>
  <c r="BK415" i="1"/>
  <c r="BL415" i="1" s="1"/>
  <c r="BK234" i="1"/>
  <c r="BL234" i="1" s="1"/>
  <c r="BK233" i="1"/>
  <c r="BL233" i="1" s="1"/>
  <c r="BK232" i="1"/>
  <c r="BL232" i="1" s="1"/>
  <c r="BK231" i="1"/>
  <c r="BL231" i="1" s="1"/>
  <c r="AX22" i="5" l="1"/>
  <c r="BK334" i="1"/>
  <c r="BL334" i="1" s="1"/>
  <c r="BK441" i="1" l="1"/>
  <c r="BL441" i="1" s="1"/>
  <c r="BK440" i="1"/>
  <c r="BL440" i="1" s="1"/>
  <c r="AY45" i="5" s="1"/>
  <c r="BK439" i="1"/>
  <c r="BL439" i="1" s="1"/>
  <c r="BK438" i="1"/>
  <c r="BL438" i="1" s="1"/>
  <c r="BI123" i="1" l="1"/>
  <c r="BI122" i="1"/>
  <c r="BI121" i="1"/>
  <c r="BI120" i="1"/>
  <c r="BI119" i="1"/>
  <c r="BI118" i="1"/>
  <c r="BG123" i="1"/>
  <c r="BG122" i="1"/>
  <c r="BG121" i="1"/>
  <c r="BG118" i="1"/>
  <c r="BK123" i="1"/>
  <c r="BL123" i="1" s="1"/>
  <c r="BK122" i="1"/>
  <c r="BL122" i="1" s="1"/>
  <c r="BK121" i="1"/>
  <c r="BL121" i="1" s="1"/>
  <c r="BK120" i="1"/>
  <c r="BL120" i="1" s="1"/>
  <c r="BK119" i="1"/>
  <c r="BL119" i="1" s="1"/>
  <c r="BK118" i="1"/>
  <c r="BL118" i="1" s="1"/>
  <c r="BI117" i="1"/>
  <c r="BI115" i="1"/>
  <c r="BG117" i="1"/>
  <c r="BG115" i="1"/>
  <c r="BK117" i="1"/>
  <c r="BL117" i="1" s="1"/>
  <c r="BK115" i="1"/>
  <c r="BL115" i="1" s="1"/>
  <c r="AW6" i="5" l="1"/>
  <c r="BI181" i="1"/>
  <c r="BI180" i="1"/>
  <c r="BI179" i="1"/>
  <c r="BI178" i="1"/>
  <c r="BI177" i="1"/>
  <c r="BI176" i="1"/>
  <c r="BG181" i="1"/>
  <c r="BG180" i="1"/>
  <c r="BG179" i="1"/>
  <c r="BG178" i="1"/>
  <c r="BG177" i="1"/>
  <c r="BG176" i="1"/>
  <c r="BK181" i="1"/>
  <c r="BL181" i="1" s="1"/>
  <c r="BK180" i="1"/>
  <c r="BL180" i="1" s="1"/>
  <c r="BK179" i="1"/>
  <c r="BL179" i="1" s="1"/>
  <c r="BK178" i="1"/>
  <c r="BL178" i="1" s="1"/>
  <c r="BK177" i="1"/>
  <c r="BL177" i="1" s="1"/>
  <c r="BK176" i="1"/>
  <c r="BL176" i="1" s="1"/>
  <c r="BI175" i="1"/>
  <c r="BI173" i="1"/>
  <c r="BG175" i="1"/>
  <c r="BG173" i="1"/>
  <c r="BK175" i="1"/>
  <c r="BL175" i="1" s="1"/>
  <c r="BK173" i="1"/>
  <c r="BL173" i="1" s="1"/>
  <c r="AW9" i="5" s="1"/>
  <c r="BG134" i="1" l="1"/>
  <c r="BG133" i="1"/>
  <c r="BG132" i="1"/>
  <c r="BG129" i="1"/>
  <c r="BI134" i="1"/>
  <c r="BI133" i="1"/>
  <c r="BI132" i="1"/>
  <c r="BI131" i="1"/>
  <c r="BI130" i="1"/>
  <c r="BI129" i="1"/>
  <c r="BK134" i="1"/>
  <c r="BL134" i="1" s="1"/>
  <c r="BK133" i="1"/>
  <c r="BL133" i="1" s="1"/>
  <c r="BK132" i="1"/>
  <c r="BL132" i="1" s="1"/>
  <c r="BK131" i="1"/>
  <c r="BL131" i="1" s="1"/>
  <c r="BK130" i="1"/>
  <c r="BL130" i="1" s="1"/>
  <c r="BK129" i="1"/>
  <c r="BL129" i="1" s="1"/>
  <c r="BI128" i="1"/>
  <c r="BI126" i="1"/>
  <c r="BG128" i="1"/>
  <c r="BG126" i="1"/>
  <c r="BK128" i="1"/>
  <c r="BL128" i="1" s="1"/>
  <c r="AW7" i="5" l="1"/>
  <c r="AV22" i="5"/>
  <c r="CS15" i="6"/>
  <c r="CP15" i="6"/>
  <c r="CS14" i="6"/>
  <c r="CR14" i="6"/>
  <c r="CP14" i="6"/>
  <c r="CS13" i="6"/>
  <c r="CP13" i="6"/>
  <c r="CR11" i="6"/>
  <c r="CQ11" i="6"/>
  <c r="CP11" i="6"/>
  <c r="CS10" i="6"/>
  <c r="CR10" i="6"/>
  <c r="CQ10" i="6"/>
  <c r="CP10" i="6"/>
  <c r="CS7" i="6"/>
  <c r="CR7" i="6"/>
  <c r="CQ7" i="6"/>
  <c r="CP7" i="6"/>
  <c r="CS6" i="6"/>
  <c r="CR6" i="6"/>
  <c r="CP6" i="6"/>
  <c r="CQ5" i="6"/>
  <c r="CP5" i="6"/>
  <c r="CS4" i="6"/>
  <c r="CP4" i="6"/>
  <c r="AU45" i="5"/>
  <c r="AS45" i="5"/>
  <c r="AU43" i="5"/>
  <c r="AT43" i="5"/>
  <c r="AQ43" i="5"/>
  <c r="AP43" i="5"/>
  <c r="AU41" i="5"/>
  <c r="AQ41" i="5"/>
  <c r="AU40" i="5"/>
  <c r="AU39" i="5"/>
  <c r="AT39" i="5"/>
  <c r="AU38" i="5"/>
  <c r="AQ38" i="5"/>
  <c r="AO38" i="5"/>
  <c r="AU37" i="5"/>
  <c r="AP34" i="5"/>
  <c r="AS27" i="5"/>
  <c r="AR27" i="5"/>
  <c r="AU25" i="5"/>
  <c r="AT25" i="5"/>
  <c r="AS20" i="5"/>
  <c r="AR20" i="5"/>
  <c r="AU17" i="5"/>
  <c r="AQ17" i="5"/>
  <c r="AU16" i="5"/>
  <c r="AS16" i="5"/>
  <c r="AQ16" i="5"/>
  <c r="AO16" i="5"/>
  <c r="AU15" i="5"/>
  <c r="AQ15" i="5"/>
  <c r="AU11" i="5"/>
  <c r="AQ11" i="5"/>
  <c r="BG363" i="1"/>
  <c r="BG362" i="1"/>
  <c r="BG361" i="1"/>
  <c r="BG360" i="1"/>
  <c r="BG358" i="1"/>
  <c r="BG357" i="1"/>
  <c r="BI162" i="1"/>
  <c r="BG162" i="1"/>
  <c r="BI161" i="1"/>
  <c r="BI160" i="1"/>
  <c r="BG160" i="1"/>
  <c r="BI158" i="1"/>
  <c r="BG158" i="1"/>
  <c r="AU13" i="5" l="1"/>
  <c r="AU14" i="5"/>
  <c r="AU18" i="5"/>
  <c r="AU19" i="5"/>
  <c r="AU21" i="5"/>
  <c r="AU23" i="5"/>
  <c r="AU28" i="5"/>
  <c r="AU44" i="5"/>
  <c r="AU4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1" i="5"/>
  <c r="AT23" i="5"/>
  <c r="AT28" i="5"/>
  <c r="AT29" i="5"/>
  <c r="AT30" i="5"/>
  <c r="AT31" i="5"/>
  <c r="AT32" i="5"/>
  <c r="AT34" i="5"/>
  <c r="AT35" i="5"/>
  <c r="AT36" i="5"/>
  <c r="AT37" i="5"/>
  <c r="AT38" i="5"/>
  <c r="AT40" i="5"/>
  <c r="AT41" i="5"/>
  <c r="AT42" i="5"/>
  <c r="AT44" i="5"/>
  <c r="AT45" i="5"/>
  <c r="AT4" i="5"/>
  <c r="AS5" i="5"/>
  <c r="AS10" i="5"/>
  <c r="AS11" i="5"/>
  <c r="AS12" i="5"/>
  <c r="AS13" i="5"/>
  <c r="AS14" i="5"/>
  <c r="AS15" i="5"/>
  <c r="AS17" i="5"/>
  <c r="AS18" i="5"/>
  <c r="AS21" i="5"/>
  <c r="AS23" i="5"/>
  <c r="AS24" i="5"/>
  <c r="AS25" i="5"/>
  <c r="AS28" i="5"/>
  <c r="AS32" i="5"/>
  <c r="AS35" i="5"/>
  <c r="AS36" i="5"/>
  <c r="AS37" i="5"/>
  <c r="AS38" i="5"/>
  <c r="AS39" i="5"/>
  <c r="AS40" i="5"/>
  <c r="AS41" i="5"/>
  <c r="AS42" i="5"/>
  <c r="AS43" i="5"/>
  <c r="AS44" i="5"/>
  <c r="AS4" i="5"/>
  <c r="AR5" i="5"/>
  <c r="AR6" i="5"/>
  <c r="AR7" i="5"/>
  <c r="AR9" i="5"/>
  <c r="AR10" i="5"/>
  <c r="AR11" i="5"/>
  <c r="AR13" i="5"/>
  <c r="AR14" i="5"/>
  <c r="AR15" i="5"/>
  <c r="AR16" i="5"/>
  <c r="AR17" i="5"/>
  <c r="AR18" i="5"/>
  <c r="AR19" i="5"/>
  <c r="AR21" i="5"/>
  <c r="AR23" i="5"/>
  <c r="AR24" i="5"/>
  <c r="AR25" i="5"/>
  <c r="AR28" i="5"/>
  <c r="AR30" i="5"/>
  <c r="AR34" i="5"/>
  <c r="AR36" i="5"/>
  <c r="AR37" i="5"/>
  <c r="AR38" i="5"/>
  <c r="AR39" i="5"/>
  <c r="AR40" i="5"/>
  <c r="AR41" i="5"/>
  <c r="AR43" i="5"/>
  <c r="AR44" i="5"/>
  <c r="AR45" i="5"/>
  <c r="AR4" i="5"/>
  <c r="AP6" i="5"/>
  <c r="AP7" i="5"/>
  <c r="AP8" i="5"/>
  <c r="AP9" i="5"/>
  <c r="AP10" i="5"/>
  <c r="AP11" i="5"/>
  <c r="AP12" i="5"/>
  <c r="AP13" i="5"/>
  <c r="AQ13" i="5"/>
  <c r="AP14" i="5"/>
  <c r="AQ14" i="5"/>
  <c r="AP15" i="5"/>
  <c r="AP16" i="5"/>
  <c r="AP17" i="5"/>
  <c r="AP18" i="5"/>
  <c r="AQ18" i="5"/>
  <c r="AP19" i="5"/>
  <c r="AQ19" i="5"/>
  <c r="AP21" i="5"/>
  <c r="AQ21" i="5"/>
  <c r="AP23" i="5"/>
  <c r="AQ23" i="5"/>
  <c r="AP24" i="5"/>
  <c r="AQ24" i="5"/>
  <c r="AP25" i="5"/>
  <c r="AQ25" i="5"/>
  <c r="AP28" i="5"/>
  <c r="AQ28" i="5"/>
  <c r="AP29" i="5"/>
  <c r="AP30" i="5"/>
  <c r="AP31" i="5"/>
  <c r="AP32" i="5"/>
  <c r="AP35" i="5"/>
  <c r="AP36" i="5"/>
  <c r="AQ36" i="5"/>
  <c r="AP37" i="5"/>
  <c r="AQ37" i="5"/>
  <c r="AP38" i="5"/>
  <c r="AP39" i="5"/>
  <c r="AQ39" i="5"/>
  <c r="AP40" i="5"/>
  <c r="AQ40" i="5"/>
  <c r="AP41" i="5"/>
  <c r="AP42" i="5"/>
  <c r="AP44" i="5"/>
  <c r="AQ44" i="5"/>
  <c r="AP45" i="5"/>
  <c r="AQ45" i="5"/>
  <c r="AQ4" i="5"/>
  <c r="AP4" i="5"/>
  <c r="AO5" i="5"/>
  <c r="AO10" i="5"/>
  <c r="AO11" i="5"/>
  <c r="AO12" i="5"/>
  <c r="AO13" i="5"/>
  <c r="AO14" i="5"/>
  <c r="AO15" i="5"/>
  <c r="AO17" i="5"/>
  <c r="AO18" i="5"/>
  <c r="AO20" i="5"/>
  <c r="AO21" i="5"/>
  <c r="AO23" i="5"/>
  <c r="AO24" i="5"/>
  <c r="AO25" i="5"/>
  <c r="AO27" i="5"/>
  <c r="AO28" i="5"/>
  <c r="AO32" i="5"/>
  <c r="AO35" i="5"/>
  <c r="AO36" i="5"/>
  <c r="AO37" i="5"/>
  <c r="AO39" i="5"/>
  <c r="AO40" i="5"/>
  <c r="AO41" i="5"/>
  <c r="AO42" i="5"/>
  <c r="AO43" i="5"/>
  <c r="AO44" i="5"/>
  <c r="AO45" i="5"/>
  <c r="AO4" i="5"/>
  <c r="AN5" i="5"/>
  <c r="AN6" i="5"/>
  <c r="AN7" i="5"/>
  <c r="AN9" i="5"/>
  <c r="AN10" i="5"/>
  <c r="AN11" i="5"/>
  <c r="AN13" i="5"/>
  <c r="AN14" i="5"/>
  <c r="AN15" i="5"/>
  <c r="AN16" i="5"/>
  <c r="AN17" i="5"/>
  <c r="AN18" i="5"/>
  <c r="AN19" i="5"/>
  <c r="AN20" i="5"/>
  <c r="AN21" i="5"/>
  <c r="AN23" i="5"/>
  <c r="AN24" i="5"/>
  <c r="AN25" i="5"/>
  <c r="AN26" i="5"/>
  <c r="AN27" i="5"/>
  <c r="AN28" i="5"/>
  <c r="AN30" i="5"/>
  <c r="AN36" i="5"/>
  <c r="AN37" i="5"/>
  <c r="AN38" i="5"/>
  <c r="AN39" i="5"/>
  <c r="AN40" i="5"/>
  <c r="AN41" i="5"/>
  <c r="AN43" i="5"/>
  <c r="AN44" i="5"/>
  <c r="AN45" i="5"/>
  <c r="AN4" i="5"/>
  <c r="BG441" i="1" l="1"/>
  <c r="AM20" i="5" l="1"/>
  <c r="AJ20" i="5" l="1"/>
  <c r="CO15" i="6" l="1"/>
  <c r="CL15" i="6"/>
  <c r="CO14" i="6"/>
  <c r="CN14" i="6"/>
  <c r="CL14" i="6"/>
  <c r="CO13" i="6"/>
  <c r="CL13" i="6"/>
  <c r="CO10" i="6"/>
  <c r="CN10" i="6"/>
  <c r="CM10" i="6"/>
  <c r="CL10" i="6"/>
  <c r="CO7" i="6"/>
  <c r="CN7" i="6"/>
  <c r="CM7" i="6"/>
  <c r="CL7" i="6"/>
  <c r="CO6" i="6"/>
  <c r="CN6" i="6"/>
  <c r="CL6" i="6"/>
  <c r="CO5" i="6"/>
  <c r="CM5" i="6"/>
  <c r="CL5" i="6"/>
  <c r="CO4" i="6"/>
  <c r="CM4" i="6"/>
  <c r="CL4" i="6"/>
  <c r="AK43" i="5"/>
  <c r="AM38" i="5"/>
  <c r="AL38" i="5"/>
  <c r="AK38" i="5"/>
  <c r="AL35" i="5"/>
  <c r="AK35" i="5"/>
  <c r="AL30" i="5"/>
  <c r="AL29" i="5"/>
  <c r="AM15" i="5"/>
  <c r="AL12" i="5"/>
  <c r="AK12" i="5"/>
  <c r="AM11" i="5"/>
  <c r="AL11" i="5"/>
  <c r="AK11" i="5"/>
  <c r="AL8" i="5"/>
  <c r="BE363" i="1"/>
  <c r="BE362" i="1"/>
  <c r="BE361" i="1"/>
  <c r="BE360" i="1"/>
  <c r="BE358" i="1"/>
  <c r="BE357" i="1"/>
  <c r="BE89" i="1"/>
  <c r="BE85" i="1"/>
  <c r="BE84" i="1"/>
  <c r="BE162" i="1"/>
  <c r="BE160" i="1"/>
  <c r="BE158" i="1"/>
  <c r="AK4" i="5" l="1"/>
  <c r="AJ5" i="5"/>
  <c r="AJ6" i="5"/>
  <c r="AJ7" i="5"/>
  <c r="AJ9" i="5"/>
  <c r="AJ10" i="5"/>
  <c r="AJ13" i="5"/>
  <c r="AJ14" i="5"/>
  <c r="AJ15" i="5"/>
  <c r="AJ17" i="5"/>
  <c r="AJ18" i="5"/>
  <c r="AJ19" i="5"/>
  <c r="AJ21" i="5"/>
  <c r="AJ23" i="5"/>
  <c r="AJ24" i="5"/>
  <c r="AJ25" i="5"/>
  <c r="AJ26" i="5"/>
  <c r="AJ27" i="5"/>
  <c r="AJ28" i="5"/>
  <c r="AJ36" i="5"/>
  <c r="AJ37" i="5"/>
  <c r="AJ39" i="5"/>
  <c r="AJ40" i="5"/>
  <c r="AJ41" i="5"/>
  <c r="AJ44" i="5"/>
  <c r="AJ45" i="5"/>
  <c r="AJ4" i="5"/>
  <c r="AK5" i="5"/>
  <c r="AK6" i="5"/>
  <c r="AL6" i="5"/>
  <c r="AM6" i="5"/>
  <c r="AK7" i="5"/>
  <c r="AL7" i="5"/>
  <c r="AM7" i="5"/>
  <c r="AK9" i="5"/>
  <c r="AL9" i="5"/>
  <c r="AM9" i="5"/>
  <c r="AK10" i="5"/>
  <c r="AL10" i="5"/>
  <c r="AK13" i="5"/>
  <c r="AL13" i="5"/>
  <c r="AM13" i="5"/>
  <c r="AK14" i="5"/>
  <c r="AL14" i="5"/>
  <c r="AM14" i="5"/>
  <c r="AK15" i="5"/>
  <c r="AL15" i="5"/>
  <c r="AL16" i="5"/>
  <c r="AK17" i="5"/>
  <c r="AL17" i="5"/>
  <c r="AM17" i="5"/>
  <c r="AK18" i="5"/>
  <c r="AL18" i="5"/>
  <c r="AM18" i="5"/>
  <c r="AL19" i="5"/>
  <c r="AM19" i="5"/>
  <c r="AK20" i="5"/>
  <c r="AK21" i="5"/>
  <c r="AL21" i="5"/>
  <c r="AM21" i="5"/>
  <c r="AK23" i="5"/>
  <c r="AL23" i="5"/>
  <c r="AM23" i="5"/>
  <c r="AK24" i="5"/>
  <c r="AL24" i="5"/>
  <c r="AM24" i="5"/>
  <c r="AK25" i="5"/>
  <c r="AL25" i="5"/>
  <c r="AM25" i="5"/>
  <c r="AL26" i="5"/>
  <c r="AK27" i="5"/>
  <c r="AK28" i="5"/>
  <c r="AL28" i="5"/>
  <c r="AM28" i="5"/>
  <c r="AL31" i="5"/>
  <c r="AL34" i="5"/>
  <c r="AK36" i="5"/>
  <c r="AL36" i="5"/>
  <c r="AM36" i="5"/>
  <c r="AK37" i="5"/>
  <c r="AL37" i="5"/>
  <c r="AM37" i="5"/>
  <c r="AK39" i="5"/>
  <c r="AL39" i="5"/>
  <c r="AM39" i="5"/>
  <c r="AK40" i="5"/>
  <c r="AL40" i="5"/>
  <c r="AM40" i="5"/>
  <c r="AK41" i="5"/>
  <c r="AL41" i="5"/>
  <c r="AM41" i="5"/>
  <c r="AK42" i="5"/>
  <c r="AL42" i="5"/>
  <c r="AK44" i="5"/>
  <c r="AL44" i="5"/>
  <c r="AM44" i="5"/>
  <c r="AK45" i="5"/>
  <c r="AL45" i="5"/>
  <c r="AM45" i="5"/>
  <c r="AM4" i="5"/>
  <c r="AL4" i="5"/>
  <c r="BE337" i="1"/>
  <c r="BE335" i="1"/>
  <c r="BE334" i="1"/>
  <c r="BE333" i="1"/>
  <c r="BE109" i="1" l="1"/>
  <c r="BE123" i="1"/>
  <c r="BE122" i="1"/>
  <c r="BE121" i="1"/>
  <c r="BE120" i="1"/>
  <c r="BE119" i="1"/>
  <c r="BE118" i="1"/>
  <c r="BE117" i="1"/>
  <c r="BE115" i="1"/>
  <c r="BE181" i="1"/>
  <c r="BE180" i="1"/>
  <c r="BE179" i="1"/>
  <c r="BE178" i="1"/>
  <c r="BE177" i="1"/>
  <c r="BE176" i="1"/>
  <c r="BE175" i="1"/>
  <c r="BE173" i="1"/>
  <c r="BE134" i="1"/>
  <c r="BE133" i="1"/>
  <c r="BE132" i="1"/>
  <c r="BE131" i="1"/>
  <c r="BE130" i="1"/>
  <c r="BE129" i="1"/>
  <c r="BE128" i="1"/>
  <c r="BE126" i="1"/>
  <c r="BE440" i="1"/>
  <c r="BE439" i="1"/>
  <c r="BE438" i="1"/>
  <c r="BE420" i="1" l="1"/>
  <c r="BE419" i="1"/>
  <c r="BE418" i="1"/>
  <c r="BE417" i="1"/>
  <c r="BE416" i="1"/>
  <c r="BE415" i="1"/>
  <c r="AI34" i="5" l="1"/>
  <c r="AF34" i="5"/>
  <c r="CK10" i="6" l="1"/>
  <c r="CJ10" i="6"/>
  <c r="CI10" i="6"/>
  <c r="CH10" i="6"/>
  <c r="CK4" i="6"/>
  <c r="CI4" i="6"/>
  <c r="CH4" i="6"/>
  <c r="CK7" i="6"/>
  <c r="CJ7" i="6"/>
  <c r="CI7" i="6"/>
  <c r="CH7" i="6"/>
  <c r="CK6" i="6"/>
  <c r="CJ6" i="6"/>
  <c r="CH6" i="6"/>
  <c r="CJ11" i="6"/>
  <c r="CI11" i="6"/>
  <c r="CH11" i="6"/>
  <c r="CK5" i="6"/>
  <c r="CI5" i="6"/>
  <c r="CH5" i="6"/>
  <c r="CK13" i="6"/>
  <c r="CH13" i="6"/>
  <c r="CK15" i="6"/>
  <c r="CH15" i="6"/>
  <c r="AI44" i="5"/>
  <c r="AI38" i="5"/>
  <c r="AH35" i="5"/>
  <c r="AG35" i="5"/>
  <c r="AH31" i="5"/>
  <c r="AH30" i="5"/>
  <c r="AG27" i="5"/>
  <c r="AH12" i="5"/>
  <c r="AG12" i="5"/>
  <c r="AI11" i="5"/>
  <c r="AH8" i="5"/>
  <c r="AG5" i="5"/>
  <c r="AI4" i="5"/>
  <c r="AH4" i="5"/>
  <c r="AF4" i="5"/>
  <c r="AG45" i="5"/>
  <c r="AG44" i="5"/>
  <c r="AG43" i="5"/>
  <c r="AG42" i="5"/>
  <c r="AG41" i="5"/>
  <c r="AG40" i="5"/>
  <c r="AG39" i="5"/>
  <c r="AG38" i="5"/>
  <c r="AG37" i="5"/>
  <c r="AG36" i="5"/>
  <c r="AG28" i="5"/>
  <c r="AG25" i="5"/>
  <c r="AG24" i="5"/>
  <c r="AG23" i="5"/>
  <c r="AG21" i="5"/>
  <c r="AG20" i="5"/>
  <c r="AG18" i="5"/>
  <c r="AG17" i="5"/>
  <c r="AG15" i="5"/>
  <c r="AG14" i="5"/>
  <c r="AG13" i="5"/>
  <c r="AG11" i="5"/>
  <c r="AG10" i="5"/>
  <c r="AG9" i="5"/>
  <c r="AG7" i="5"/>
  <c r="AG6" i="5"/>
  <c r="AI6" i="5"/>
  <c r="AI7" i="5"/>
  <c r="AI9" i="5"/>
  <c r="AI13" i="5"/>
  <c r="AI14" i="5"/>
  <c r="AI15" i="5"/>
  <c r="AI17" i="5"/>
  <c r="AI18" i="5"/>
  <c r="AI19" i="5"/>
  <c r="AI20" i="5"/>
  <c r="AI21" i="5"/>
  <c r="AI23" i="5"/>
  <c r="AI24" i="5"/>
  <c r="AI25" i="5"/>
  <c r="AI28" i="5"/>
  <c r="AI36" i="5"/>
  <c r="AI37" i="5"/>
  <c r="AI39" i="5"/>
  <c r="AI40" i="5"/>
  <c r="AI41" i="5"/>
  <c r="AI45" i="5"/>
  <c r="AH6" i="5"/>
  <c r="AH7" i="5"/>
  <c r="AH9" i="5"/>
  <c r="AH10" i="5"/>
  <c r="AH11" i="5"/>
  <c r="AH13" i="5"/>
  <c r="AH14" i="5"/>
  <c r="AH15" i="5"/>
  <c r="AH16" i="5"/>
  <c r="AH17" i="5"/>
  <c r="AH18" i="5"/>
  <c r="AH19" i="5"/>
  <c r="AH20" i="5"/>
  <c r="AH21" i="5"/>
  <c r="AH23" i="5"/>
  <c r="AH24" i="5"/>
  <c r="AH25" i="5"/>
  <c r="AH26" i="5"/>
  <c r="AH28" i="5"/>
  <c r="AH29" i="5"/>
  <c r="AH34" i="5"/>
  <c r="AH36" i="5"/>
  <c r="AH37" i="5"/>
  <c r="AH38" i="5"/>
  <c r="AH39" i="5"/>
  <c r="AH40" i="5"/>
  <c r="AH41" i="5"/>
  <c r="AH42" i="5"/>
  <c r="AH44" i="5"/>
  <c r="AH45" i="5"/>
  <c r="AF6" i="5"/>
  <c r="AF7" i="5"/>
  <c r="AF9" i="5"/>
  <c r="AF10" i="5"/>
  <c r="AF11" i="5"/>
  <c r="AF13" i="5"/>
  <c r="AF14" i="5"/>
  <c r="AF15" i="5"/>
  <c r="AF17" i="5"/>
  <c r="AF18" i="5"/>
  <c r="AF19" i="5"/>
  <c r="AF20" i="5"/>
  <c r="AF21" i="5"/>
  <c r="AF23" i="5"/>
  <c r="AF24" i="5"/>
  <c r="AF25" i="5"/>
  <c r="AF26" i="5"/>
  <c r="AF28" i="5"/>
  <c r="AF36" i="5"/>
  <c r="AF37" i="5"/>
  <c r="AF38" i="5"/>
  <c r="AF39" i="5"/>
  <c r="AF40" i="5"/>
  <c r="AF41" i="5"/>
  <c r="AF44" i="5"/>
  <c r="AF45" i="5"/>
  <c r="BC234" i="1" l="1"/>
  <c r="BC231" i="1"/>
  <c r="BC420" i="1" l="1"/>
  <c r="BC419" i="1"/>
  <c r="BC418" i="1"/>
  <c r="BC417" i="1"/>
  <c r="BC416" i="1"/>
  <c r="BC415" i="1"/>
  <c r="BC363" i="1" l="1"/>
  <c r="BC362" i="1"/>
  <c r="BC361" i="1"/>
  <c r="BC360" i="1"/>
  <c r="BC358" i="1"/>
  <c r="BC357" i="1"/>
  <c r="BC162" i="1"/>
  <c r="BC160" i="1"/>
  <c r="BC158" i="1"/>
  <c r="BC123" i="1" l="1"/>
  <c r="BC122" i="1"/>
  <c r="BC121" i="1"/>
  <c r="BC120" i="1"/>
  <c r="BC119" i="1"/>
  <c r="BC118" i="1"/>
  <c r="BC117" i="1"/>
  <c r="BC115" i="1"/>
  <c r="BC181" i="1"/>
  <c r="BC180" i="1"/>
  <c r="BC179" i="1"/>
  <c r="BC178" i="1"/>
  <c r="BC177" i="1"/>
  <c r="BC176" i="1"/>
  <c r="BC175" i="1"/>
  <c r="BC173" i="1"/>
  <c r="BC134" i="1"/>
  <c r="BC133" i="1"/>
  <c r="BC132" i="1"/>
  <c r="BC131" i="1"/>
  <c r="BC130" i="1"/>
  <c r="BC129" i="1"/>
  <c r="BC128" i="1"/>
  <c r="BC126" i="1"/>
  <c r="BC335" i="1"/>
  <c r="BC334" i="1"/>
  <c r="BC333" i="1"/>
  <c r="BC440" i="1"/>
  <c r="BC439" i="1"/>
  <c r="AE34" i="5" l="1"/>
  <c r="AB34" i="5"/>
  <c r="AA34" i="5"/>
  <c r="X34" i="5"/>
  <c r="CF11" i="6"/>
  <c r="CB11" i="6"/>
  <c r="AE6" i="5"/>
  <c r="AE7" i="5"/>
  <c r="AE9" i="5"/>
  <c r="AE13" i="5"/>
  <c r="AE14" i="5"/>
  <c r="AE15" i="5"/>
  <c r="AE16" i="5"/>
  <c r="AE17" i="5"/>
  <c r="AE18" i="5"/>
  <c r="AE19" i="5"/>
  <c r="AE20" i="5"/>
  <c r="AE21" i="5"/>
  <c r="AE23" i="5"/>
  <c r="AE24" i="5"/>
  <c r="AE25" i="5"/>
  <c r="AE28" i="5"/>
  <c r="AE36" i="5"/>
  <c r="AE37" i="5"/>
  <c r="AE38" i="5"/>
  <c r="AE39" i="5"/>
  <c r="AE40" i="5"/>
  <c r="AE41" i="5"/>
  <c r="AE44" i="5"/>
  <c r="AE4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3" i="5"/>
  <c r="AD24" i="5"/>
  <c r="AD25" i="5"/>
  <c r="AD26" i="5"/>
  <c r="AD28" i="5"/>
  <c r="AD29" i="5"/>
  <c r="AD30" i="5"/>
  <c r="AD31" i="5"/>
  <c r="AD32" i="5"/>
  <c r="AD34" i="5"/>
  <c r="AD35" i="5"/>
  <c r="AD36" i="5"/>
  <c r="AD37" i="5"/>
  <c r="AD38" i="5"/>
  <c r="AD39" i="5"/>
  <c r="AD40" i="5"/>
  <c r="AD41" i="5"/>
  <c r="AD42" i="5"/>
  <c r="AD44" i="5"/>
  <c r="AD45" i="5"/>
  <c r="AC7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3" i="5"/>
  <c r="AC24" i="5"/>
  <c r="AC25" i="5"/>
  <c r="AC27" i="5"/>
  <c r="AC28" i="5"/>
  <c r="AC32" i="5"/>
  <c r="AC35" i="5"/>
  <c r="AC36" i="5"/>
  <c r="AC37" i="5"/>
  <c r="AC38" i="5"/>
  <c r="AC39" i="5"/>
  <c r="AC40" i="5"/>
  <c r="AC41" i="5"/>
  <c r="AC42" i="5"/>
  <c r="AC43" i="5"/>
  <c r="AC44" i="5"/>
  <c r="AC45" i="5"/>
  <c r="AC6" i="5"/>
  <c r="CG15" i="6" l="1"/>
  <c r="CC15" i="6"/>
  <c r="CD15" i="6"/>
  <c r="BZ15" i="6"/>
  <c r="CG13" i="6"/>
  <c r="CD13" i="6"/>
  <c r="BZ13" i="6"/>
  <c r="CE11" i="6"/>
  <c r="CA11" i="6"/>
  <c r="CD11" i="6"/>
  <c r="BZ11" i="6"/>
  <c r="CG10" i="6"/>
  <c r="CC10" i="6"/>
  <c r="CF10" i="6"/>
  <c r="CB10" i="6"/>
  <c r="CE10" i="6"/>
  <c r="CA10" i="6"/>
  <c r="CD10" i="6"/>
  <c r="BZ10" i="6"/>
  <c r="CG7" i="6"/>
  <c r="CC7" i="6"/>
  <c r="CF7" i="6"/>
  <c r="CB7" i="6"/>
  <c r="CE7" i="6"/>
  <c r="CA7" i="6"/>
  <c r="CD7" i="6"/>
  <c r="BZ7" i="6"/>
  <c r="CG6" i="6"/>
  <c r="CC6" i="6"/>
  <c r="CF6" i="6"/>
  <c r="CB6" i="6"/>
  <c r="CD6" i="6"/>
  <c r="BZ6" i="6"/>
  <c r="CG5" i="6"/>
  <c r="CC5" i="6"/>
  <c r="CE5" i="6"/>
  <c r="CA5" i="6"/>
  <c r="CD5" i="6"/>
  <c r="BZ5" i="6"/>
  <c r="CG4" i="6"/>
  <c r="CC4" i="6"/>
  <c r="CE4" i="6"/>
  <c r="CA4" i="6"/>
  <c r="CD4" i="6"/>
  <c r="BZ4" i="6"/>
  <c r="AA18" i="5"/>
  <c r="AB4" i="5" l="1"/>
  <c r="AA4" i="5"/>
  <c r="Z4" i="5"/>
  <c r="X4" i="5"/>
  <c r="BA234" i="1"/>
  <c r="BA231" i="1"/>
  <c r="AY234" i="1"/>
  <c r="AY231" i="1"/>
  <c r="BA107" i="1" l="1"/>
  <c r="AY107" i="1"/>
  <c r="AA6" i="5"/>
  <c r="AA7" i="5"/>
  <c r="AA9" i="5"/>
  <c r="AA10" i="5"/>
  <c r="AA13" i="5"/>
  <c r="AA14" i="5"/>
  <c r="AA15" i="5"/>
  <c r="AA16" i="5"/>
  <c r="AA17" i="5"/>
  <c r="AA19" i="5"/>
  <c r="AA20" i="5"/>
  <c r="AA21" i="5"/>
  <c r="AA23" i="5"/>
  <c r="AA24" i="5"/>
  <c r="AA25" i="5"/>
  <c r="AA28" i="5"/>
  <c r="AA36" i="5"/>
  <c r="AA37" i="5"/>
  <c r="AA38" i="5"/>
  <c r="AA39" i="5"/>
  <c r="AA40" i="5"/>
  <c r="AA41" i="5"/>
  <c r="AA42" i="5"/>
  <c r="AA4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3" i="5"/>
  <c r="Z24" i="5"/>
  <c r="Z25" i="5"/>
  <c r="Z26" i="5"/>
  <c r="Z28" i="5"/>
  <c r="Z29" i="5"/>
  <c r="Z30" i="5"/>
  <c r="Z31" i="5"/>
  <c r="Z34" i="5"/>
  <c r="Z35" i="5"/>
  <c r="Z36" i="5"/>
  <c r="Z37" i="5"/>
  <c r="Z38" i="5"/>
  <c r="Z39" i="5"/>
  <c r="Z40" i="5"/>
  <c r="Z41" i="5"/>
  <c r="Z42" i="5"/>
  <c r="Z44" i="5"/>
  <c r="Z45" i="5"/>
  <c r="Y5" i="5"/>
  <c r="Y6" i="5"/>
  <c r="Y7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3" i="5"/>
  <c r="Y24" i="5"/>
  <c r="Y25" i="5"/>
  <c r="Y27" i="5"/>
  <c r="Y28" i="5"/>
  <c r="Y35" i="5"/>
  <c r="Y36" i="5"/>
  <c r="Y37" i="5"/>
  <c r="Y38" i="5"/>
  <c r="Y39" i="5"/>
  <c r="Y40" i="5"/>
  <c r="Y41" i="5"/>
  <c r="Y42" i="5"/>
  <c r="Y43" i="5"/>
  <c r="Y44" i="5"/>
  <c r="Y45" i="5"/>
  <c r="X5" i="5"/>
  <c r="X6" i="5"/>
  <c r="X7" i="5"/>
  <c r="X9" i="5"/>
  <c r="X10" i="5"/>
  <c r="X11" i="5"/>
  <c r="X13" i="5"/>
  <c r="X14" i="5"/>
  <c r="X15" i="5"/>
  <c r="X16" i="5"/>
  <c r="X17" i="5"/>
  <c r="X18" i="5"/>
  <c r="X19" i="5"/>
  <c r="X20" i="5"/>
  <c r="X21" i="5"/>
  <c r="X23" i="5"/>
  <c r="X24" i="5"/>
  <c r="X25" i="5"/>
  <c r="X26" i="5"/>
  <c r="X27" i="5"/>
  <c r="X28" i="5"/>
  <c r="X30" i="5"/>
  <c r="X36" i="5"/>
  <c r="X37" i="5"/>
  <c r="X38" i="5"/>
  <c r="X39" i="5"/>
  <c r="X40" i="5"/>
  <c r="X41" i="5"/>
  <c r="X42" i="5"/>
  <c r="X44" i="5"/>
  <c r="X45" i="5"/>
  <c r="AB5" i="5"/>
  <c r="AB6" i="5"/>
  <c r="AB7" i="5"/>
  <c r="AB9" i="5"/>
  <c r="AB10" i="5"/>
  <c r="AB11" i="5"/>
  <c r="AB13" i="5"/>
  <c r="AB14" i="5"/>
  <c r="AB15" i="5"/>
  <c r="AB16" i="5"/>
  <c r="AB17" i="5"/>
  <c r="AB18" i="5"/>
  <c r="AB19" i="5"/>
  <c r="AB20" i="5"/>
  <c r="AB21" i="5"/>
  <c r="AB23" i="5"/>
  <c r="AB24" i="5"/>
  <c r="AB25" i="5"/>
  <c r="AB26" i="5"/>
  <c r="AB27" i="5"/>
  <c r="AB28" i="5"/>
  <c r="AB30" i="5"/>
  <c r="AB36" i="5"/>
  <c r="AB37" i="5"/>
  <c r="AB38" i="5"/>
  <c r="AB39" i="5"/>
  <c r="AB40" i="5"/>
  <c r="AB41" i="5"/>
  <c r="AB42" i="5"/>
  <c r="AB44" i="5"/>
  <c r="AB45" i="5"/>
  <c r="AY321" i="1" l="1"/>
  <c r="BA320" i="1"/>
  <c r="BA363" i="1" l="1"/>
  <c r="AY363" i="1"/>
  <c r="BA362" i="1"/>
  <c r="AY362" i="1"/>
  <c r="BA361" i="1"/>
  <c r="AY361" i="1"/>
  <c r="BA360" i="1"/>
  <c r="AY360" i="1"/>
  <c r="BA358" i="1"/>
  <c r="AY358" i="1"/>
  <c r="BA357" i="1"/>
  <c r="AY357" i="1"/>
  <c r="BA88" i="1"/>
  <c r="AY88" i="1"/>
  <c r="BA85" i="1"/>
  <c r="AY85" i="1"/>
  <c r="BA84" i="1"/>
  <c r="AY84" i="1"/>
  <c r="BA162" i="1"/>
  <c r="AY162" i="1"/>
  <c r="BA161" i="1"/>
  <c r="BA160" i="1"/>
  <c r="AY160" i="1"/>
  <c r="BA158" i="1"/>
  <c r="AY158" i="1"/>
  <c r="BA123" i="1" l="1"/>
  <c r="AY123" i="1"/>
  <c r="BA122" i="1"/>
  <c r="AY122" i="1"/>
  <c r="BA121" i="1"/>
  <c r="AY121" i="1"/>
  <c r="BA120" i="1"/>
  <c r="AY120" i="1"/>
  <c r="BA119" i="1"/>
  <c r="AY119" i="1"/>
  <c r="BA118" i="1"/>
  <c r="AY118" i="1"/>
  <c r="BA117" i="1"/>
  <c r="AY117" i="1"/>
  <c r="BA115" i="1"/>
  <c r="AY115" i="1"/>
  <c r="BA181" i="1"/>
  <c r="AY181" i="1"/>
  <c r="BA180" i="1"/>
  <c r="AY180" i="1"/>
  <c r="BA179" i="1"/>
  <c r="AY179" i="1"/>
  <c r="BA178" i="1"/>
  <c r="AY178" i="1"/>
  <c r="BA177" i="1"/>
  <c r="AY177" i="1"/>
  <c r="BA176" i="1"/>
  <c r="AY176" i="1"/>
  <c r="BA175" i="1"/>
  <c r="AY175" i="1"/>
  <c r="BA173" i="1"/>
  <c r="AY173" i="1"/>
  <c r="BA134" i="1"/>
  <c r="AY134" i="1"/>
  <c r="BA133" i="1"/>
  <c r="AY133" i="1"/>
  <c r="BA132" i="1"/>
  <c r="AY132" i="1"/>
  <c r="BA131" i="1"/>
  <c r="AY131" i="1"/>
  <c r="BA130" i="1"/>
  <c r="AY130" i="1"/>
  <c r="BA129" i="1"/>
  <c r="AY129" i="1"/>
  <c r="BA128" i="1"/>
  <c r="AY128" i="1"/>
  <c r="BA126" i="1"/>
  <c r="AY126" i="1"/>
  <c r="BA337" i="1"/>
  <c r="AY337" i="1"/>
  <c r="BA335" i="1"/>
  <c r="AY335" i="1"/>
  <c r="BA334" i="1"/>
  <c r="AY334" i="1"/>
  <c r="BA333" i="1"/>
  <c r="AY333" i="1"/>
  <c r="BA420" i="1" l="1"/>
  <c r="AY420" i="1"/>
  <c r="BA419" i="1"/>
  <c r="AY419" i="1"/>
  <c r="BA418" i="1"/>
  <c r="AY418" i="1"/>
  <c r="BA417" i="1"/>
  <c r="AY417" i="1"/>
  <c r="BA416" i="1"/>
  <c r="AY416" i="1"/>
  <c r="BA415" i="1"/>
  <c r="AY415" i="1"/>
  <c r="CC13" i="6" l="1"/>
  <c r="T45" i="5"/>
  <c r="U45" i="5"/>
  <c r="W45" i="5"/>
  <c r="V45" i="5"/>
  <c r="S9" i="5"/>
  <c r="R9" i="5"/>
  <c r="Q9" i="5"/>
  <c r="O9" i="5"/>
  <c r="N9" i="5"/>
  <c r="M9" i="5"/>
  <c r="R8" i="5"/>
  <c r="W7" i="5"/>
  <c r="U7" i="5"/>
  <c r="S7" i="5"/>
  <c r="R7" i="5"/>
  <c r="Q7" i="5"/>
  <c r="O7" i="5"/>
  <c r="N7" i="5"/>
  <c r="M7" i="5"/>
  <c r="W6" i="5"/>
  <c r="U6" i="5"/>
  <c r="S6" i="5"/>
  <c r="R6" i="5"/>
  <c r="Q6" i="5"/>
  <c r="O6" i="5"/>
  <c r="N6" i="5"/>
  <c r="M6" i="5"/>
  <c r="Q5" i="5"/>
  <c r="M5" i="5"/>
  <c r="S4" i="5"/>
  <c r="R4" i="5"/>
  <c r="Q4" i="5"/>
  <c r="O4" i="5"/>
  <c r="N4" i="5"/>
  <c r="M4" i="5"/>
  <c r="R44" i="5"/>
  <c r="Q44" i="5"/>
  <c r="N44" i="5"/>
  <c r="M44" i="5"/>
  <c r="Q43" i="5"/>
  <c r="M43" i="5"/>
  <c r="W42" i="5"/>
  <c r="R42" i="5"/>
  <c r="Q42" i="5"/>
  <c r="O42" i="5"/>
  <c r="N42" i="5"/>
  <c r="M42" i="5"/>
  <c r="W41" i="5"/>
  <c r="S41" i="5"/>
  <c r="R41" i="5"/>
  <c r="Q41" i="5"/>
  <c r="O41" i="5"/>
  <c r="N41" i="5"/>
  <c r="M41" i="5"/>
  <c r="W40" i="5"/>
  <c r="S40" i="5"/>
  <c r="R40" i="5"/>
  <c r="Q40" i="5"/>
  <c r="O40" i="5"/>
  <c r="N40" i="5"/>
  <c r="M40" i="5"/>
  <c r="W39" i="5"/>
  <c r="V39" i="5"/>
  <c r="S39" i="5"/>
  <c r="R39" i="5"/>
  <c r="Q39" i="5"/>
  <c r="O39" i="5"/>
  <c r="N39" i="5"/>
  <c r="M39" i="5"/>
  <c r="R38" i="5"/>
  <c r="Q38" i="5"/>
  <c r="W37" i="5"/>
  <c r="R37" i="5"/>
  <c r="Q37" i="5"/>
  <c r="N37" i="5"/>
  <c r="M37" i="5"/>
  <c r="W36" i="5"/>
  <c r="S36" i="5"/>
  <c r="R36" i="5"/>
  <c r="Q36" i="5"/>
  <c r="O36" i="5"/>
  <c r="N36" i="5"/>
  <c r="M36" i="5"/>
  <c r="R35" i="5"/>
  <c r="Q35" i="5"/>
  <c r="Q34" i="5"/>
  <c r="N34" i="5"/>
  <c r="R32" i="5"/>
  <c r="Q32" i="5"/>
  <c r="S31" i="5"/>
  <c r="R31" i="5"/>
  <c r="Q31" i="5"/>
  <c r="O31" i="5"/>
  <c r="N31" i="5"/>
  <c r="M31" i="5"/>
  <c r="R30" i="5"/>
  <c r="O30" i="5"/>
  <c r="N30" i="5"/>
  <c r="M30" i="5"/>
  <c r="R29" i="5"/>
  <c r="W28" i="5"/>
  <c r="V28" i="5"/>
  <c r="S28" i="5"/>
  <c r="R28" i="5"/>
  <c r="Q28" i="5"/>
  <c r="O28" i="5"/>
  <c r="N28" i="5"/>
  <c r="M28" i="5"/>
  <c r="Q27" i="5"/>
  <c r="M27" i="5"/>
  <c r="W26" i="5"/>
  <c r="U26" i="5"/>
  <c r="S26" i="5"/>
  <c r="R26" i="5"/>
  <c r="Q26" i="5"/>
  <c r="O26" i="5"/>
  <c r="N26" i="5"/>
  <c r="M26" i="5"/>
  <c r="W25" i="5"/>
  <c r="V25" i="5"/>
  <c r="S25" i="5"/>
  <c r="R25" i="5"/>
  <c r="Q25" i="5"/>
  <c r="O25" i="5"/>
  <c r="N25" i="5"/>
  <c r="M25" i="5"/>
  <c r="W24" i="5"/>
  <c r="V24" i="5"/>
  <c r="S24" i="5"/>
  <c r="R24" i="5"/>
  <c r="Q24" i="5"/>
  <c r="O24" i="5"/>
  <c r="N24" i="5"/>
  <c r="M24" i="5"/>
  <c r="W23" i="5"/>
  <c r="S23" i="5"/>
  <c r="R23" i="5"/>
  <c r="Q23" i="5"/>
  <c r="O23" i="5"/>
  <c r="N23" i="5"/>
  <c r="M23" i="5"/>
  <c r="W21" i="5"/>
  <c r="V21" i="5"/>
  <c r="S21" i="5"/>
  <c r="R21" i="5"/>
  <c r="Q21" i="5"/>
  <c r="O21" i="5"/>
  <c r="N21" i="5"/>
  <c r="M21" i="5"/>
  <c r="W20" i="5"/>
  <c r="V20" i="5"/>
  <c r="Q20" i="5"/>
  <c r="O20" i="5"/>
  <c r="N20" i="5"/>
  <c r="M20" i="5"/>
  <c r="W19" i="5"/>
  <c r="U19" i="5"/>
  <c r="S19" i="5"/>
  <c r="R19" i="5"/>
  <c r="Q19" i="5"/>
  <c r="O19" i="5"/>
  <c r="N19" i="5"/>
  <c r="M19" i="5"/>
  <c r="W18" i="5"/>
  <c r="U18" i="5"/>
  <c r="S18" i="5"/>
  <c r="R18" i="5"/>
  <c r="Q18" i="5"/>
  <c r="O18" i="5"/>
  <c r="N18" i="5"/>
  <c r="M18" i="5"/>
  <c r="W17" i="5"/>
  <c r="S17" i="5"/>
  <c r="R17" i="5"/>
  <c r="Q17" i="5"/>
  <c r="O17" i="5"/>
  <c r="N17" i="5"/>
  <c r="M17" i="5"/>
  <c r="W16" i="5"/>
  <c r="U16" i="5"/>
  <c r="R16" i="5"/>
  <c r="O16" i="5"/>
  <c r="N16" i="5"/>
  <c r="M16" i="5"/>
  <c r="W15" i="5"/>
  <c r="S15" i="5"/>
  <c r="R15" i="5"/>
  <c r="Q15" i="5"/>
  <c r="N15" i="5"/>
  <c r="M15" i="5"/>
  <c r="U14" i="5"/>
  <c r="S14" i="5"/>
  <c r="R14" i="5"/>
  <c r="Q14" i="5"/>
  <c r="O14" i="5"/>
  <c r="N14" i="5"/>
  <c r="M14" i="5"/>
  <c r="U13" i="5"/>
  <c r="S13" i="5"/>
  <c r="R13" i="5"/>
  <c r="Q13" i="5"/>
  <c r="O13" i="5"/>
  <c r="N13" i="5"/>
  <c r="M13" i="5"/>
  <c r="R12" i="5"/>
  <c r="Q12" i="5"/>
  <c r="R11" i="5"/>
  <c r="Q11" i="5"/>
  <c r="N11" i="5"/>
  <c r="M11" i="5"/>
  <c r="V10" i="5"/>
  <c r="U10" i="5"/>
  <c r="N10" i="5"/>
  <c r="M10" i="5"/>
  <c r="W9" i="5"/>
  <c r="U9" i="5"/>
  <c r="U4" i="5"/>
  <c r="V4" i="5"/>
  <c r="W4" i="5"/>
  <c r="U5" i="5"/>
  <c r="V8" i="5"/>
  <c r="U11" i="5"/>
  <c r="V11" i="5"/>
  <c r="U12" i="5"/>
  <c r="V12" i="5"/>
  <c r="U27" i="5"/>
  <c r="V29" i="5"/>
  <c r="V30" i="5"/>
  <c r="U31" i="5"/>
  <c r="W31" i="5"/>
  <c r="U32" i="5"/>
  <c r="V32" i="5"/>
  <c r="V34" i="5"/>
  <c r="U35" i="5"/>
  <c r="U38" i="5"/>
  <c r="V38" i="5"/>
  <c r="U44" i="5"/>
  <c r="V44" i="5"/>
  <c r="T5" i="5"/>
  <c r="T6" i="5"/>
  <c r="T7" i="5"/>
  <c r="T9" i="5"/>
  <c r="T10" i="5"/>
  <c r="T11" i="5"/>
  <c r="T13" i="5"/>
  <c r="T14" i="5"/>
  <c r="T15" i="5"/>
  <c r="T16" i="5"/>
  <c r="T17" i="5"/>
  <c r="T18" i="5"/>
  <c r="T19" i="5"/>
  <c r="T20" i="5"/>
  <c r="T21" i="5"/>
  <c r="T23" i="5"/>
  <c r="T24" i="5"/>
  <c r="T25" i="5"/>
  <c r="T26" i="5"/>
  <c r="T27" i="5"/>
  <c r="T28" i="5"/>
  <c r="T30" i="5"/>
  <c r="T36" i="5"/>
  <c r="T37" i="5"/>
  <c r="T38" i="5"/>
  <c r="T39" i="5"/>
  <c r="T40" i="5"/>
  <c r="T41" i="5"/>
  <c r="T42" i="5"/>
  <c r="T44" i="5"/>
  <c r="AW322" i="1" l="1"/>
  <c r="AW321" i="1"/>
  <c r="AW320" i="1"/>
  <c r="AW318" i="1"/>
  <c r="AW234" i="1"/>
  <c r="AW233" i="1"/>
  <c r="AW231" i="1"/>
  <c r="AW441" i="1" l="1"/>
  <c r="AW440" i="1"/>
  <c r="AW439" i="1"/>
  <c r="AW438" i="1"/>
  <c r="AW400" i="1"/>
  <c r="AW123" i="1" l="1"/>
  <c r="AW122" i="1"/>
  <c r="AW121" i="1"/>
  <c r="AW120" i="1"/>
  <c r="AW119" i="1"/>
  <c r="AW118" i="1"/>
  <c r="AW117" i="1"/>
  <c r="AW115" i="1"/>
  <c r="AW181" i="1"/>
  <c r="AW180" i="1"/>
  <c r="AW179" i="1"/>
  <c r="AW178" i="1"/>
  <c r="AW177" i="1"/>
  <c r="AW176" i="1"/>
  <c r="AW175" i="1"/>
  <c r="AW173" i="1"/>
  <c r="AW134" i="1"/>
  <c r="AW133" i="1"/>
  <c r="AW132" i="1"/>
  <c r="AW131" i="1"/>
  <c r="AW130" i="1"/>
  <c r="AW129" i="1"/>
  <c r="AW128" i="1"/>
  <c r="AW126" i="1"/>
  <c r="AW111" i="1"/>
  <c r="AW109" i="1"/>
  <c r="AW108" i="1"/>
  <c r="AW107" i="1"/>
  <c r="AW337" i="1" l="1"/>
  <c r="AW335" i="1"/>
  <c r="AW334" i="1"/>
  <c r="AW333" i="1"/>
  <c r="AW27" i="1" l="1"/>
  <c r="AW420" i="1"/>
  <c r="AW419" i="1"/>
  <c r="AW417" i="1"/>
  <c r="AW416" i="1"/>
  <c r="AW415" i="1"/>
  <c r="S20" i="5" l="1"/>
  <c r="R20" i="5"/>
  <c r="S34" i="5"/>
  <c r="P34" i="5"/>
  <c r="BY14" i="6"/>
  <c r="BX14" i="6"/>
  <c r="BV14" i="6"/>
  <c r="BY13" i="6"/>
  <c r="BV13" i="6"/>
  <c r="BY12" i="6"/>
  <c r="BW12" i="6"/>
  <c r="BV12" i="6"/>
  <c r="BY10" i="6"/>
  <c r="BX10" i="6"/>
  <c r="BW10" i="6"/>
  <c r="BV10" i="6"/>
  <c r="BY9" i="6"/>
  <c r="BW9" i="6"/>
  <c r="BV9" i="6"/>
  <c r="BY8" i="6"/>
  <c r="BV8" i="6"/>
  <c r="BY7" i="6"/>
  <c r="BX7" i="6"/>
  <c r="BV7" i="6"/>
  <c r="BY6" i="6"/>
  <c r="BX6" i="6"/>
  <c r="BV6" i="6"/>
  <c r="BY5" i="6"/>
  <c r="BW5" i="6"/>
  <c r="BW4" i="6"/>
  <c r="BV5" i="6"/>
  <c r="BY4" i="6"/>
  <c r="BV4" i="6"/>
  <c r="S44" i="5"/>
  <c r="S38" i="5"/>
  <c r="S37" i="5"/>
  <c r="R27" i="5"/>
  <c r="S27" i="5"/>
  <c r="S11" i="5"/>
  <c r="S10" i="5"/>
  <c r="R10" i="5"/>
  <c r="Q10" i="5"/>
  <c r="P5" i="5"/>
  <c r="P6" i="5"/>
  <c r="P7" i="5"/>
  <c r="P9" i="5"/>
  <c r="P10" i="5"/>
  <c r="P11" i="5"/>
  <c r="P13" i="5"/>
  <c r="P14" i="5"/>
  <c r="P15" i="5"/>
  <c r="P16" i="5"/>
  <c r="P17" i="5"/>
  <c r="P18" i="5"/>
  <c r="P19" i="5"/>
  <c r="P20" i="5"/>
  <c r="P21" i="5"/>
  <c r="P23" i="5"/>
  <c r="P24" i="5"/>
  <c r="P25" i="5"/>
  <c r="P26" i="5"/>
  <c r="P27" i="5"/>
  <c r="P28" i="5"/>
  <c r="P30" i="5"/>
  <c r="P31" i="5"/>
  <c r="P36" i="5"/>
  <c r="P37" i="5"/>
  <c r="P38" i="5"/>
  <c r="P39" i="5"/>
  <c r="P40" i="5"/>
  <c r="P41" i="5"/>
  <c r="P42" i="5"/>
  <c r="P44" i="5"/>
  <c r="P4" i="5"/>
  <c r="L4" i="5"/>
  <c r="AU337" i="1"/>
  <c r="AU335" i="1"/>
  <c r="AU334" i="1"/>
  <c r="AU333" i="1"/>
  <c r="AU420" i="1" l="1"/>
  <c r="AU419" i="1"/>
  <c r="AU418" i="1"/>
  <c r="AU417" i="1"/>
  <c r="AU416" i="1"/>
  <c r="AU415" i="1"/>
  <c r="AU234" i="1"/>
  <c r="AU233" i="1"/>
  <c r="AU232" i="1"/>
  <c r="AU231" i="1"/>
  <c r="AU123" i="1" l="1"/>
  <c r="AU122" i="1"/>
  <c r="AU121" i="1"/>
  <c r="AU120" i="1"/>
  <c r="AU119" i="1"/>
  <c r="AU118" i="1"/>
  <c r="AU117" i="1"/>
  <c r="AU115" i="1"/>
  <c r="AU181" i="1"/>
  <c r="AU180" i="1"/>
  <c r="AU179" i="1"/>
  <c r="AU178" i="1"/>
  <c r="AU177" i="1"/>
  <c r="AU176" i="1"/>
  <c r="AU175" i="1"/>
  <c r="AU134" i="1"/>
  <c r="AU133" i="1"/>
  <c r="AU132" i="1"/>
  <c r="AU131" i="1"/>
  <c r="AU130" i="1"/>
  <c r="AU129" i="1"/>
  <c r="AU128" i="1"/>
  <c r="AU126" i="1"/>
  <c r="BN14" i="6" l="1"/>
  <c r="BP14" i="6"/>
  <c r="BQ14" i="6"/>
  <c r="BR14" i="6"/>
  <c r="O34" i="5"/>
  <c r="M34" i="5"/>
  <c r="L34" i="5"/>
  <c r="BU14" i="6" l="1"/>
  <c r="BM14" i="6"/>
  <c r="BT14" i="6"/>
  <c r="BL14" i="6"/>
  <c r="BJ14" i="6"/>
  <c r="BU13" i="6"/>
  <c r="BQ13" i="6"/>
  <c r="BM13" i="6"/>
  <c r="BR13" i="6"/>
  <c r="BN13" i="6"/>
  <c r="BJ13" i="6"/>
  <c r="BU12" i="6"/>
  <c r="BM12" i="6"/>
  <c r="BS12" i="6"/>
  <c r="BK12" i="6"/>
  <c r="BR12" i="6"/>
  <c r="BJ12" i="6"/>
  <c r="BT11" i="6"/>
  <c r="BL11" i="6"/>
  <c r="BS11" i="6"/>
  <c r="BK11" i="6"/>
  <c r="BR11" i="6"/>
  <c r="BJ11" i="6"/>
  <c r="BU10" i="6"/>
  <c r="BQ10" i="6"/>
  <c r="BM10" i="6"/>
  <c r="BT10" i="6"/>
  <c r="BP10" i="6"/>
  <c r="BL10" i="6"/>
  <c r="BS10" i="6"/>
  <c r="BO10" i="6"/>
  <c r="BK10" i="6"/>
  <c r="BR10" i="6"/>
  <c r="BN10" i="6"/>
  <c r="BJ10" i="6"/>
  <c r="BU9" i="6"/>
  <c r="BQ9" i="6"/>
  <c r="BM9" i="6"/>
  <c r="BS9" i="6"/>
  <c r="BO9" i="6"/>
  <c r="BK9" i="6"/>
  <c r="BR9" i="6"/>
  <c r="BN9" i="6"/>
  <c r="BJ9" i="6"/>
  <c r="BU8" i="6"/>
  <c r="BQ8" i="6"/>
  <c r="BM8" i="6"/>
  <c r="BO8" i="6"/>
  <c r="BS8" i="6"/>
  <c r="BK8" i="6"/>
  <c r="BR8" i="6"/>
  <c r="BN8" i="6"/>
  <c r="BJ8" i="6"/>
  <c r="BU7" i="6"/>
  <c r="BQ7" i="6"/>
  <c r="BM7" i="6"/>
  <c r="BT7" i="6"/>
  <c r="BP7" i="6"/>
  <c r="BL7" i="6"/>
  <c r="BR7" i="6"/>
  <c r="BN7" i="6"/>
  <c r="BJ7" i="6"/>
  <c r="BU6" i="6"/>
  <c r="BQ6" i="6"/>
  <c r="BM6" i="6"/>
  <c r="BT6" i="6"/>
  <c r="BP6" i="6"/>
  <c r="BL6" i="6"/>
  <c r="BR6" i="6"/>
  <c r="BN6" i="6"/>
  <c r="BJ6" i="6"/>
  <c r="BQ5" i="6"/>
  <c r="BM5" i="6"/>
  <c r="BR5" i="6"/>
  <c r="BN5" i="6"/>
  <c r="BJ5" i="6"/>
  <c r="BS4" i="6"/>
  <c r="BO4" i="6"/>
  <c r="BK4" i="6"/>
  <c r="BR4" i="6"/>
  <c r="BN4" i="6"/>
  <c r="BU4" i="6"/>
  <c r="BQ4" i="6"/>
  <c r="BM4" i="6"/>
  <c r="BJ4" i="6"/>
  <c r="L9" i="5" l="1"/>
  <c r="L10" i="5"/>
  <c r="L11" i="5"/>
  <c r="L13" i="5"/>
  <c r="L14" i="5"/>
  <c r="L15" i="5"/>
  <c r="L16" i="5"/>
  <c r="L17" i="5"/>
  <c r="L18" i="5"/>
  <c r="L19" i="5"/>
  <c r="L44" i="5"/>
  <c r="L42" i="5"/>
  <c r="L5" i="5"/>
  <c r="L6" i="5"/>
  <c r="L7" i="5"/>
  <c r="L20" i="5"/>
  <c r="L21" i="5"/>
  <c r="L23" i="5"/>
  <c r="L24" i="5"/>
  <c r="L25" i="5"/>
  <c r="L26" i="5"/>
  <c r="L27" i="5"/>
  <c r="L28" i="5"/>
  <c r="L30" i="5"/>
  <c r="L31" i="5"/>
  <c r="L36" i="5"/>
  <c r="L37" i="5"/>
  <c r="L39" i="5"/>
  <c r="L40" i="5"/>
  <c r="L41" i="5"/>
  <c r="AF5" i="5" l="1"/>
  <c r="AV5" i="5"/>
  <c r="AF27" i="5"/>
  <c r="AF30" i="5"/>
  <c r="AJ30" i="5"/>
  <c r="AS420" i="1"/>
  <c r="AQ420" i="1"/>
  <c r="AS419" i="1"/>
  <c r="AQ419" i="1"/>
  <c r="AS418" i="1"/>
  <c r="AQ418" i="1"/>
  <c r="AS417" i="1"/>
  <c r="AQ417" i="1"/>
  <c r="AQ416" i="1"/>
  <c r="AS415" i="1"/>
  <c r="AQ415" i="1"/>
  <c r="AS123" i="1" l="1"/>
  <c r="AQ123" i="1"/>
  <c r="AS122" i="1"/>
  <c r="AQ122" i="1"/>
  <c r="AS121" i="1"/>
  <c r="AQ121" i="1"/>
  <c r="AS120" i="1"/>
  <c r="AQ120" i="1"/>
  <c r="AS119" i="1"/>
  <c r="AQ119" i="1"/>
  <c r="AS118" i="1"/>
  <c r="AQ118" i="1"/>
  <c r="AS117" i="1"/>
  <c r="AS115" i="1"/>
  <c r="AS181" i="1"/>
  <c r="AQ181" i="1"/>
  <c r="AS180" i="1"/>
  <c r="AQ180" i="1"/>
  <c r="AS179" i="1"/>
  <c r="AQ179" i="1"/>
  <c r="AS178" i="1"/>
  <c r="AQ178" i="1"/>
  <c r="AS177" i="1"/>
  <c r="AQ177" i="1"/>
  <c r="AS176" i="1"/>
  <c r="AQ176" i="1"/>
  <c r="AS175" i="1"/>
  <c r="AQ175" i="1"/>
  <c r="AS173" i="1"/>
  <c r="AQ173" i="1"/>
  <c r="AS134" i="1"/>
  <c r="AQ134" i="1"/>
  <c r="AS133" i="1"/>
  <c r="AQ133" i="1"/>
  <c r="AS132" i="1"/>
  <c r="AQ132" i="1"/>
  <c r="AQ131" i="1"/>
  <c r="AS130" i="1"/>
  <c r="AQ130" i="1"/>
  <c r="AS129" i="1"/>
  <c r="AQ129" i="1"/>
  <c r="AS128" i="1"/>
  <c r="AQ128" i="1"/>
  <c r="AS126" i="1"/>
  <c r="AQ126" i="1"/>
  <c r="BI13" i="6" l="1"/>
  <c r="BF13" i="6"/>
  <c r="BI12" i="6"/>
  <c r="BG12" i="6"/>
  <c r="BF12" i="6"/>
  <c r="BH11" i="6"/>
  <c r="BG11" i="6"/>
  <c r="BF11" i="6"/>
  <c r="BI10" i="6"/>
  <c r="BH10" i="6"/>
  <c r="BG10" i="6"/>
  <c r="BF10" i="6"/>
  <c r="BI9" i="6"/>
  <c r="BG9" i="6"/>
  <c r="BF9" i="6"/>
  <c r="BI8" i="6"/>
  <c r="BF8" i="6"/>
  <c r="BG8" i="6"/>
  <c r="BI7" i="6"/>
  <c r="BH7" i="6"/>
  <c r="BF7" i="6"/>
  <c r="BI6" i="6"/>
  <c r="BH6" i="6"/>
  <c r="BF6" i="6"/>
  <c r="BI4" i="6"/>
  <c r="BG4" i="6"/>
  <c r="BF4" i="6"/>
  <c r="BU5" i="6"/>
  <c r="BI5" i="6"/>
  <c r="BH5" i="6"/>
  <c r="BS5" i="6"/>
  <c r="BG5" i="6"/>
  <c r="BF5" i="6"/>
  <c r="AO75" i="1" l="1"/>
  <c r="AO148" i="1" l="1"/>
  <c r="AO147" i="1"/>
  <c r="AO152" i="1"/>
  <c r="AO151" i="1"/>
  <c r="AO154" i="1"/>
  <c r="AO153" i="1"/>
  <c r="AO298" i="1" l="1"/>
  <c r="AO297" i="1"/>
  <c r="AO265" i="1"/>
  <c r="AO234" i="1"/>
  <c r="AO233" i="1"/>
  <c r="AO232" i="1"/>
  <c r="AO231" i="1"/>
  <c r="AO158" i="1"/>
  <c r="BE13" i="6" l="1"/>
  <c r="BB13" i="6"/>
  <c r="BE12" i="6"/>
  <c r="BC12" i="6"/>
  <c r="BB12" i="6"/>
  <c r="AL12" i="6"/>
  <c r="AN12" i="6"/>
  <c r="AP12" i="6"/>
  <c r="AR12" i="6"/>
  <c r="AS12" i="6"/>
  <c r="AL13" i="6"/>
  <c r="AN13" i="6"/>
  <c r="AP13" i="6"/>
  <c r="AR13" i="6"/>
  <c r="AS13" i="6"/>
  <c r="BD11" i="6"/>
  <c r="BC11" i="6"/>
  <c r="BB11" i="6"/>
  <c r="BE10" i="6"/>
  <c r="BC10" i="6"/>
  <c r="BB10" i="6"/>
  <c r="BE9" i="6"/>
  <c r="BC9" i="6"/>
  <c r="BB9" i="6"/>
  <c r="BE8" i="6"/>
  <c r="BD8" i="6"/>
  <c r="BC8" i="6"/>
  <c r="BB8" i="6"/>
  <c r="BE7" i="6"/>
  <c r="BD7" i="6"/>
  <c r="BC7" i="6"/>
  <c r="BB7" i="6"/>
  <c r="BE6" i="6"/>
  <c r="BD6" i="6"/>
  <c r="BB6" i="6"/>
  <c r="BE5" i="6"/>
  <c r="BD5" i="6"/>
  <c r="BC5" i="6"/>
  <c r="BB5" i="6"/>
  <c r="BE4" i="6"/>
  <c r="BC4" i="6"/>
  <c r="BB4" i="6"/>
  <c r="AM337" i="1" l="1"/>
  <c r="AM335" i="1"/>
  <c r="AM334" i="1"/>
  <c r="AM77" i="1" l="1"/>
  <c r="AM75" i="1"/>
  <c r="AV11" i="6" l="1"/>
  <c r="AU11" i="6"/>
  <c r="AT11" i="6"/>
  <c r="BA10" i="6"/>
  <c r="AW10" i="6"/>
  <c r="AZ10" i="6"/>
  <c r="AV10" i="6"/>
  <c r="AU10" i="6"/>
  <c r="AX10" i="6"/>
  <c r="AT10" i="6"/>
  <c r="BA9" i="6"/>
  <c r="AW9" i="6"/>
  <c r="AY9" i="6"/>
  <c r="AU9" i="6"/>
  <c r="AX9" i="6"/>
  <c r="AT9" i="6"/>
  <c r="BA8" i="6"/>
  <c r="AW8" i="6"/>
  <c r="AZ8" i="6"/>
  <c r="AV8" i="6"/>
  <c r="AY8" i="6"/>
  <c r="AU8" i="6"/>
  <c r="AX8" i="6"/>
  <c r="AT8" i="6"/>
  <c r="BA7" i="6"/>
  <c r="AW7" i="6"/>
  <c r="AZ7" i="6"/>
  <c r="AV7" i="6"/>
  <c r="AY7" i="6"/>
  <c r="AU7" i="6"/>
  <c r="AX7" i="6"/>
  <c r="AT7" i="6"/>
  <c r="BA6" i="6"/>
  <c r="AW6" i="6"/>
  <c r="AZ6" i="6"/>
  <c r="AV6" i="6"/>
  <c r="AU6" i="6"/>
  <c r="AX6" i="6"/>
  <c r="AT6" i="6"/>
  <c r="BA5" i="6"/>
  <c r="AW5" i="6"/>
  <c r="AZ5" i="6"/>
  <c r="AV5" i="6"/>
  <c r="AY5" i="6"/>
  <c r="AU5" i="6"/>
  <c r="AX5" i="6"/>
  <c r="AT5" i="6"/>
  <c r="AW4" i="6"/>
  <c r="AU4" i="6"/>
  <c r="AT4" i="6"/>
  <c r="AI363" i="1" l="1"/>
  <c r="AK360" i="1"/>
  <c r="AK358" i="1"/>
  <c r="AK357" i="1"/>
  <c r="AI123" i="1" l="1"/>
  <c r="AI122" i="1"/>
  <c r="AI121" i="1"/>
  <c r="AI120" i="1"/>
  <c r="AI119" i="1"/>
  <c r="AI118" i="1"/>
  <c r="AI117" i="1"/>
  <c r="AI115" i="1"/>
  <c r="AI181" i="1"/>
  <c r="AI180" i="1"/>
  <c r="AI179" i="1"/>
  <c r="AI178" i="1"/>
  <c r="AI177" i="1"/>
  <c r="AI176" i="1"/>
  <c r="AI175" i="1"/>
  <c r="AI173" i="1"/>
  <c r="AI134" i="1"/>
  <c r="AI133" i="1"/>
  <c r="AI132" i="1"/>
  <c r="AI131" i="1"/>
  <c r="AI130" i="1"/>
  <c r="AI129" i="1"/>
  <c r="AI128" i="1"/>
  <c r="AI126" i="1"/>
  <c r="AK299" i="1"/>
  <c r="AI299" i="1"/>
  <c r="AK298" i="1"/>
  <c r="AI298" i="1"/>
  <c r="AK297" i="1"/>
  <c r="AI297" i="1"/>
  <c r="AK337" i="1"/>
  <c r="AI335" i="1"/>
  <c r="AK152" i="1"/>
  <c r="AI152" i="1"/>
  <c r="AI151" i="1"/>
  <c r="AK148" i="1"/>
  <c r="AI148" i="1"/>
  <c r="AK147" i="1"/>
  <c r="AS10" i="6" l="1"/>
  <c r="AR10" i="6"/>
  <c r="AP10" i="6"/>
  <c r="AS4" i="6"/>
  <c r="AQ4" i="6"/>
  <c r="AP4" i="6"/>
  <c r="AS9" i="6"/>
  <c r="AQ9" i="6"/>
  <c r="AP9" i="6"/>
  <c r="AR11" i="6"/>
  <c r="AQ11" i="6"/>
  <c r="AP11" i="6"/>
  <c r="AS8" i="6"/>
  <c r="AR8" i="6"/>
  <c r="AQ8" i="6"/>
  <c r="AP8" i="6"/>
  <c r="AQ5" i="6" l="1"/>
  <c r="AQ6" i="6"/>
  <c r="AQ7" i="6"/>
  <c r="AR5" i="6"/>
  <c r="AR6" i="6"/>
  <c r="AR7" i="6"/>
  <c r="AS5" i="6"/>
  <c r="AS6" i="6"/>
  <c r="AS7" i="6"/>
  <c r="AP5" i="6"/>
  <c r="AP6" i="6"/>
  <c r="AP7" i="6"/>
  <c r="AN11" i="6"/>
  <c r="AM11" i="6"/>
  <c r="AL11" i="6"/>
  <c r="AO4" i="6"/>
  <c r="AM4" i="6"/>
  <c r="AL4" i="6"/>
  <c r="AO10" i="6"/>
  <c r="AN10" i="6"/>
  <c r="AM10" i="6"/>
  <c r="AL10" i="6"/>
  <c r="AO9" i="6"/>
  <c r="AM9" i="6"/>
  <c r="AL9" i="6"/>
  <c r="AL8" i="6"/>
  <c r="AO8" i="6"/>
  <c r="AN8" i="6"/>
  <c r="AM8" i="6"/>
  <c r="AO7" i="6"/>
  <c r="AN7" i="6"/>
  <c r="AM7" i="6"/>
  <c r="AL7" i="6"/>
  <c r="AO6" i="6"/>
  <c r="AN6" i="6"/>
  <c r="AM6" i="6"/>
  <c r="AL6" i="6"/>
  <c r="AO5" i="6"/>
  <c r="AN5" i="6"/>
  <c r="AM5" i="6"/>
  <c r="AL5" i="6"/>
  <c r="AE123" i="1" l="1"/>
  <c r="AE122" i="1"/>
  <c r="AE121" i="1"/>
  <c r="AE120" i="1"/>
  <c r="AE119" i="1"/>
  <c r="AE118" i="1"/>
  <c r="AE117" i="1"/>
  <c r="AE115" i="1"/>
  <c r="AE181" i="1"/>
  <c r="AE180" i="1"/>
  <c r="AE179" i="1"/>
  <c r="AE178" i="1"/>
  <c r="AE177" i="1"/>
  <c r="AE176" i="1"/>
  <c r="AE175" i="1"/>
  <c r="AE173" i="1"/>
  <c r="AE133" i="1"/>
  <c r="AE132" i="1"/>
  <c r="AE129" i="1"/>
  <c r="AE128" i="1"/>
  <c r="AE126" i="1"/>
  <c r="AD9" i="6" l="1"/>
  <c r="U10" i="6"/>
  <c r="T10" i="6"/>
  <c r="S10" i="6"/>
  <c r="R10" i="6"/>
  <c r="AG10" i="6"/>
  <c r="AE10" i="6"/>
  <c r="AD10" i="6"/>
  <c r="F10" i="6"/>
  <c r="G10" i="6"/>
  <c r="H10" i="6"/>
  <c r="I10" i="6"/>
  <c r="J10" i="6"/>
  <c r="K10" i="6"/>
  <c r="L10" i="6"/>
  <c r="M10" i="6"/>
  <c r="N10" i="6"/>
  <c r="O10" i="6"/>
  <c r="P10" i="6"/>
  <c r="Q10" i="6"/>
  <c r="V10" i="6"/>
  <c r="W10" i="6"/>
  <c r="X10" i="6"/>
  <c r="Y10" i="6"/>
  <c r="Z10" i="6"/>
  <c r="AA10" i="6"/>
  <c r="AB10" i="6"/>
  <c r="AC10" i="6"/>
  <c r="AF10" i="6"/>
  <c r="F9" i="6"/>
  <c r="G9" i="6"/>
  <c r="H9" i="6"/>
  <c r="I9" i="6"/>
  <c r="J9" i="6"/>
  <c r="K9" i="6"/>
  <c r="L9" i="6"/>
  <c r="M9" i="6"/>
  <c r="N9" i="6"/>
  <c r="O9" i="6"/>
  <c r="P9" i="6"/>
  <c r="Q9" i="6"/>
  <c r="V9" i="6"/>
  <c r="W9" i="6"/>
  <c r="X9" i="6"/>
  <c r="Y9" i="6"/>
  <c r="Z9" i="6"/>
  <c r="AA9" i="6"/>
  <c r="AB9" i="6"/>
  <c r="AC9" i="6"/>
  <c r="AG9" i="6"/>
  <c r="AJ9" i="6"/>
  <c r="R9" i="6"/>
  <c r="S9" i="6"/>
  <c r="T9" i="6"/>
  <c r="U9" i="6"/>
  <c r="AK8" i="6" l="1"/>
  <c r="AJ8" i="6"/>
  <c r="AI8" i="6"/>
  <c r="AH8" i="6"/>
  <c r="AG8" i="6"/>
  <c r="AF8" i="6"/>
  <c r="AE8" i="6"/>
  <c r="AD8" i="6"/>
  <c r="AK6" i="6"/>
  <c r="AJ6" i="6"/>
  <c r="AI6" i="6"/>
  <c r="AH6" i="6"/>
  <c r="AG6" i="6"/>
  <c r="AF6" i="6"/>
  <c r="AE6" i="6"/>
  <c r="AD6" i="6"/>
  <c r="AK5" i="6"/>
  <c r="AJ5" i="6"/>
  <c r="AI5" i="6"/>
  <c r="AH5" i="6"/>
  <c r="AG5" i="6"/>
  <c r="AF5" i="6"/>
  <c r="AE5" i="6"/>
  <c r="AD5" i="6"/>
  <c r="AK4" i="6"/>
  <c r="AJ4" i="6"/>
  <c r="AI4" i="6"/>
  <c r="AH4" i="6"/>
  <c r="AG4" i="6"/>
  <c r="AF4" i="6"/>
  <c r="AE4" i="6"/>
  <c r="AD4" i="6"/>
  <c r="AK7" i="6"/>
  <c r="AJ7" i="6"/>
  <c r="AI7" i="6"/>
  <c r="AH7" i="6"/>
  <c r="AG7" i="6"/>
  <c r="AF7" i="6"/>
  <c r="AE7" i="6"/>
  <c r="AD7" i="6"/>
  <c r="AC234" i="1" l="1"/>
  <c r="AC233" i="1"/>
  <c r="AC232" i="1"/>
  <c r="AC231" i="1"/>
  <c r="AA181" i="1"/>
  <c r="AA180" i="1"/>
  <c r="AA179" i="1"/>
  <c r="AA178" i="1"/>
  <c r="AA177" i="1"/>
  <c r="AA176" i="1"/>
  <c r="AA175" i="1"/>
  <c r="AA173" i="1"/>
  <c r="AC148" i="1"/>
  <c r="AA148" i="1"/>
  <c r="AC147" i="1"/>
  <c r="AA147" i="1"/>
  <c r="AA134" i="1"/>
  <c r="AA133" i="1"/>
  <c r="AA132" i="1"/>
  <c r="AA131" i="1"/>
  <c r="AA130" i="1"/>
  <c r="AA129" i="1"/>
  <c r="AA128" i="1"/>
  <c r="AA126" i="1"/>
  <c r="AA123" i="1"/>
  <c r="AA122" i="1"/>
  <c r="AA121" i="1"/>
  <c r="AA120" i="1"/>
  <c r="AA119" i="1"/>
  <c r="AA118" i="1"/>
  <c r="AA117" i="1"/>
  <c r="AA115" i="1"/>
  <c r="AC8" i="6" l="1"/>
  <c r="AB8" i="6"/>
  <c r="AA8" i="6"/>
  <c r="Z8" i="6"/>
  <c r="AC7" i="6"/>
  <c r="AB7" i="6"/>
  <c r="AA7" i="6"/>
  <c r="Z7" i="6"/>
  <c r="AC6" i="6"/>
  <c r="AB6" i="6"/>
  <c r="AA6" i="6"/>
  <c r="Z6" i="6"/>
  <c r="AC5" i="6"/>
  <c r="AB5" i="6"/>
  <c r="AA5" i="6"/>
  <c r="Z5" i="6"/>
  <c r="AC4" i="6"/>
  <c r="AB4" i="6"/>
  <c r="AA4" i="6"/>
  <c r="Z4" i="6"/>
  <c r="Y123" i="1" l="1"/>
  <c r="Y122" i="1"/>
  <c r="Y121" i="1"/>
  <c r="Y120" i="1"/>
  <c r="Y119" i="1"/>
  <c r="Y118" i="1"/>
  <c r="Y117" i="1"/>
  <c r="Y115" i="1"/>
  <c r="Y181" i="1"/>
  <c r="Y180" i="1"/>
  <c r="Y179" i="1"/>
  <c r="Y178" i="1"/>
  <c r="Y177" i="1"/>
  <c r="Y176" i="1"/>
  <c r="Y175" i="1"/>
  <c r="Y173" i="1"/>
  <c r="Y134" i="1"/>
  <c r="Y133" i="1"/>
  <c r="Y132" i="1"/>
  <c r="Y131" i="1"/>
  <c r="Y130" i="1"/>
  <c r="Y129" i="1"/>
  <c r="Y128" i="1"/>
  <c r="Y126" i="1"/>
  <c r="V6" i="6"/>
  <c r="Y5" i="6" l="1"/>
  <c r="Y6" i="6"/>
  <c r="Y7" i="6"/>
  <c r="Y8" i="6"/>
  <c r="Y4" i="6"/>
  <c r="X5" i="6"/>
  <c r="X6" i="6"/>
  <c r="X7" i="6"/>
  <c r="X8" i="6"/>
  <c r="X4" i="6"/>
  <c r="W5" i="6"/>
  <c r="W6" i="6"/>
  <c r="W7" i="6"/>
  <c r="W8" i="6"/>
  <c r="W4" i="6"/>
  <c r="V5" i="6"/>
  <c r="V7" i="6"/>
  <c r="V8" i="6"/>
  <c r="V4" i="6"/>
  <c r="W181" i="1" l="1"/>
  <c r="W180" i="1"/>
  <c r="W179" i="1"/>
  <c r="W178" i="1"/>
  <c r="W177" i="1"/>
  <c r="W176" i="1"/>
  <c r="W175" i="1"/>
  <c r="W173" i="1"/>
  <c r="W134" i="1"/>
  <c r="W133" i="1"/>
  <c r="W132" i="1"/>
  <c r="W131" i="1"/>
  <c r="W130" i="1"/>
  <c r="W129" i="1"/>
  <c r="W128" i="1"/>
  <c r="W126" i="1"/>
  <c r="W123" i="1"/>
  <c r="W122" i="1"/>
  <c r="W121" i="1"/>
  <c r="W120" i="1"/>
  <c r="W119" i="1"/>
  <c r="W118" i="1"/>
  <c r="W117" i="1"/>
  <c r="W115" i="1"/>
  <c r="Q5" i="6"/>
  <c r="Q6" i="6"/>
  <c r="Q7" i="6"/>
  <c r="Q8" i="6"/>
  <c r="Q4" i="6"/>
  <c r="P5" i="6"/>
  <c r="P6" i="6"/>
  <c r="P7" i="6"/>
  <c r="P8" i="6"/>
  <c r="P4" i="6"/>
  <c r="O5" i="6"/>
  <c r="O6" i="6"/>
  <c r="O7" i="6"/>
  <c r="O8" i="6"/>
  <c r="O4" i="6"/>
  <c r="N5" i="6"/>
  <c r="N6" i="6"/>
  <c r="N7" i="6"/>
  <c r="N8" i="6"/>
  <c r="N4" i="6"/>
  <c r="U6" i="6" l="1"/>
  <c r="U8" i="6"/>
  <c r="T8" i="6"/>
  <c r="S8" i="6"/>
  <c r="S5" i="6"/>
  <c r="R5" i="6"/>
  <c r="U7" i="6"/>
  <c r="T7" i="6"/>
  <c r="S7" i="6"/>
  <c r="R7" i="6"/>
  <c r="U4" i="6"/>
  <c r="T4" i="6"/>
  <c r="S4" i="6"/>
  <c r="R8" i="6"/>
  <c r="T6" i="6"/>
  <c r="S6" i="6"/>
  <c r="R6" i="6"/>
  <c r="U5" i="6"/>
  <c r="T5" i="6"/>
  <c r="R4" i="6"/>
  <c r="U326" i="1" l="1"/>
  <c r="U325" i="1"/>
  <c r="U103" i="1" l="1"/>
  <c r="U102" i="1"/>
  <c r="M8" i="6" l="1"/>
  <c r="L8" i="6"/>
  <c r="K8" i="6"/>
  <c r="J8" i="6"/>
  <c r="I8" i="6"/>
  <c r="H8" i="6"/>
  <c r="G8" i="6"/>
  <c r="F8" i="6"/>
  <c r="M7" i="6"/>
  <c r="L7" i="6"/>
  <c r="K7" i="6"/>
  <c r="J7" i="6"/>
  <c r="I7" i="6"/>
  <c r="H7" i="6"/>
  <c r="G7" i="6"/>
  <c r="F7" i="6"/>
  <c r="M6" i="6"/>
  <c r="K6" i="6"/>
  <c r="J6" i="6"/>
  <c r="I6" i="6"/>
  <c r="G6" i="6"/>
  <c r="F6" i="6"/>
  <c r="F5" i="6"/>
  <c r="M5" i="6"/>
  <c r="K5" i="6"/>
  <c r="J5" i="6"/>
  <c r="M4" i="6"/>
  <c r="L4" i="6"/>
  <c r="K4" i="6"/>
  <c r="J4" i="6"/>
  <c r="Q235" i="1" l="1"/>
  <c r="Q234" i="1"/>
  <c r="Q233" i="1"/>
  <c r="Q231" i="1"/>
  <c r="Q123" i="1" l="1"/>
  <c r="Q122" i="1"/>
  <c r="Q121" i="1"/>
  <c r="Q120" i="1"/>
  <c r="Q119" i="1"/>
  <c r="Q118" i="1"/>
  <c r="Q117" i="1"/>
  <c r="Q115" i="1"/>
  <c r="Q181" i="1"/>
  <c r="Q180" i="1"/>
  <c r="Q179" i="1"/>
  <c r="Q178" i="1"/>
  <c r="Q177" i="1"/>
  <c r="Q176" i="1"/>
  <c r="Q175" i="1"/>
  <c r="Q173" i="1"/>
  <c r="Q134" i="1"/>
  <c r="Q133" i="1"/>
  <c r="Q132" i="1"/>
  <c r="Q131" i="1"/>
  <c r="Q130" i="1"/>
  <c r="Q129" i="1"/>
  <c r="Q128" i="1"/>
  <c r="Q126" i="1"/>
  <c r="Q141" i="1"/>
  <c r="Q137" i="1"/>
  <c r="AY28" i="5"/>
  <c r="AY30" i="5"/>
  <c r="AY36" i="5"/>
  <c r="AY39" i="5"/>
  <c r="AY40" i="5"/>
  <c r="AY44" i="5"/>
  <c r="AW45" i="5"/>
  <c r="AY4" i="5"/>
  <c r="AX4" i="5"/>
  <c r="AJ11" i="5"/>
  <c r="AJ38" i="5"/>
  <c r="R5" i="5"/>
  <c r="S5" i="5"/>
  <c r="AY24" i="5"/>
  <c r="AY9" i="5"/>
  <c r="AY15" i="5"/>
  <c r="AY25" i="5"/>
  <c r="AX28" i="5"/>
  <c r="AY38" i="5"/>
  <c r="AY27" i="5"/>
  <c r="AY6" i="5"/>
  <c r="AY19" i="5"/>
  <c r="AV14" i="5"/>
  <c r="AV16" i="5"/>
  <c r="AV25" i="5"/>
  <c r="AV10" i="5"/>
  <c r="AV4" i="5"/>
  <c r="AX27" i="5"/>
  <c r="AY20" i="5"/>
  <c r="AV17" i="5"/>
  <c r="AV39" i="5"/>
  <c r="AV20" i="5"/>
  <c r="AW18" i="5"/>
  <c r="AV43" i="5"/>
  <c r="AY7" i="5"/>
  <c r="AV7" i="5"/>
  <c r="AX39" i="5"/>
  <c r="AY41" i="5"/>
  <c r="AV38" i="5"/>
  <c r="AV15" i="5"/>
  <c r="AV44" i="5"/>
  <c r="AX43" i="5"/>
  <c r="AV28" i="5"/>
  <c r="AV45" i="5"/>
  <c r="AY23" i="5"/>
  <c r="AW26" i="5"/>
  <c r="AW16" i="5"/>
  <c r="AY37" i="5"/>
  <c r="AV9" i="5"/>
  <c r="AV37" i="5"/>
  <c r="AY16" i="5"/>
  <c r="AV6" i="5"/>
  <c r="AV26" i="5"/>
  <c r="AV13" i="5"/>
  <c r="AV36" i="5"/>
  <c r="AY43" i="5"/>
  <c r="AV19" i="5"/>
  <c r="AY26" i="5"/>
  <c r="AY17" i="5"/>
  <c r="AV30" i="5"/>
  <c r="AV41" i="5"/>
  <c r="AV23" i="5"/>
  <c r="AY18" i="5"/>
  <c r="AV24" i="5"/>
  <c r="AV40" i="5"/>
  <c r="AV27" i="5"/>
  <c r="AV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tc={728FF8CD-F915-4403-A6FB-5A8C5D7F955C}</author>
    <author>tc={D34867BF-D675-4E13-9B3E-D936DE09050F}</author>
    <author>tc={83729E02-7835-4262-A26E-903368B4C356}</author>
    <author>tc={A1198896-A518-4F0C-AAA7-9C7A6FE4AA11}</author>
    <author>tc={87C22E63-EC9E-4D7E-ABC4-21FC4147788A}</author>
    <author>tc={3E2D9F48-5F6D-45B4-89F7-7C75C0151BA5}</author>
    <author>tc={E1D342A6-5CAF-480E-96D3-97B10C2F43CE}</author>
    <author>tc={D6C1B6B7-92A4-486F-9FD8-7EC8AF8ADD4C}</author>
    <author>tc={335DE465-8E04-4932-BB41-92DF5850C5A1}</author>
    <author>tc={A433000F-6985-43F4-9F8B-8721FDAA0F10}</author>
    <author>tc={C2D74FD6-80B2-4B74-ACA3-4F45B7B5CE71}</author>
    <author>tc={A2EC15B3-8C09-4C89-87DA-F2F6E06781DE}</author>
    <author>tc={2CCFB55E-4B41-4CCF-AD5C-195E7C74F926}</author>
    <author>tc={71EFC853-AAA6-4C6F-879D-9076571C3B4F}</author>
    <author>tc={585A5D43-8D24-42B5-90C6-148218D6C0AB}</author>
    <author>tc={D242532B-EDF1-48B4-8F11-28E10C0AF4F3}</author>
    <author>tc={F8C9B300-7270-4840-AB2F-ACE0FC9DE6B0}</author>
    <author>tc={48DAF0F4-92A7-4867-96CB-F875794EA48F}</author>
    <author>tc={38485DCE-AE76-4FDF-9234-4A34DE9B70D9}</author>
    <author>tc={6E8B324E-DD6A-4453-9242-6A4601FD3D6E}</author>
    <author>tc={6A6F0A9F-43EE-4F8E-9111-A8A669CA89E1}</author>
    <author>tc={62953EF1-C4DD-4456-B2B4-0DAE58C7B340}</author>
    <author>tc={16E5C5A4-14BF-4A6D-A9D5-C6BF81B9ADD0}</author>
    <author>tc={32DC7B38-92FB-440D-8638-3FEC23BF2EEB}</author>
    <author>tc={35E4C537-A3D0-4DA3-B16E-5EBDF6C15E92}</author>
    <author>tc={E6CC36A6-890B-473A-8B1B-3288E7858203}</author>
    <author>tc={362E4223-AD8F-4777-9828-27815EACD1F9}</author>
    <author>tc={D72E18FC-45A8-4DFF-B92B-D2F0AD82CA92}</author>
    <author>tc={2A2BDCE2-F0CD-4617-ADDB-503ACCC4C362}</author>
    <author>tc={45AF7AC2-D7CE-4E6A-AE05-55F7C7B96A94}</author>
    <author>tc={1695C9A5-6E56-4D34-95AD-F622B746CEA8}</author>
    <author>tc={C5FF2620-4CDB-4E15-AF34-BDC5F854D656}</author>
    <author>tc={A1E92B72-3893-4866-AB4B-04F95D4FDB7B}</author>
    <author>tc={4D4F1FC5-365B-48CD-BCBD-A10E7DD3771A}</author>
    <author>tc={51579FE2-6731-4DC7-9657-339BF9CD6B70}</author>
    <author>tc={907FE6F1-8EE6-4696-AF98-5EFDDAB2559E}</author>
    <author>tc={02B15607-D032-4297-B766-2D8719B5648A}</author>
    <author>tc={A3BB05A6-3840-4C64-B3B3-2607ED05F612}</author>
    <author>tc={E8937F1B-477D-4F9C-B304-651FF96EDFB8}</author>
    <author>tc={2CAC6C16-D511-4A02-B1E2-BA198C1B4C51}</author>
    <author>tc={159F8DCC-C110-4151-A5DB-8D850EDC3977}</author>
    <author>tc={BD61AE46-E0DF-425A-8971-23E20350FEFB}</author>
    <author>tc={6E442A28-D30F-4697-AEE8-FFBE49A95669}</author>
    <author>tc={B4AD8942-8A11-48C5-BE09-F2CFD77CDCDD}</author>
    <author>tc={078F302D-5745-410C-B5BC-74840FD7B040}</author>
    <author>tc={4302B92B-0884-4255-90ED-234E92D8CC78}</author>
    <author>tc={8F8F26EE-E8BA-4D5D-8875-B0960FB9EB7F}</author>
    <author>tc={776371D0-20A8-4106-8EC0-336A23084EC5}</author>
    <author>tc={66463166-1DAD-4380-ACBB-94DCD6A585D3}</author>
    <author>tc={437C55CF-DB8B-4A08-9E2B-FD578EF4619B}</author>
    <author>tc={728A890F-DAE7-47F5-9F2E-186BB225872F}</author>
    <author>tc={508D5DC2-B30B-4AD5-8EA1-5C98F7C0BE1A}</author>
    <author>tc={E3F79FA9-86E5-444F-9A34-5B940B4A73C7}</author>
    <author>tc={C041CEE8-2306-4AEA-A98E-4586AF5A5699}</author>
    <author>tc={37294196-6C17-4B24-9B4B-415A54694FCB}</author>
    <author>tc={31BF7D21-F178-41EA-BEE9-C7C434A8475F}</author>
    <author>tc={3E608BC9-61BB-4B6B-A318-3FA62BF66D4B}</author>
    <author>tc={E7809863-12FA-4336-8E3A-BC963AF5B9DF}</author>
    <author>tc={0CD8DB4C-43E8-4ED1-A6E0-A74615FF0CEF}</author>
    <author>tc={25EF1751-ABB6-48DB-8C0B-A8933E508862}</author>
    <author>tc={607E44D3-BF1B-4D70-9653-A444D66C4792}</author>
    <author>tc={755A7B3C-E697-445B-8C10-D59576A6244A}</author>
    <author>tc={35320501-E984-4402-B13C-DE801F42897A}</author>
    <author>tc={E7A2DD17-5941-4C63-B83D-A380904601BB}</author>
    <author>tc={7565D783-40D9-4BEB-8F0A-ED05B9AE0A49}</author>
    <author>tc={D0EBE475-7FCA-4FF3-A9F1-2366FE138AF6}</author>
    <author>tc={12A00D87-5880-4D3A-AFD8-3ACB73C37ABB}</author>
    <author>tc={3CC73AFC-5680-4865-92C1-7B89F0D98F0B}</author>
    <author>tc={72066D3E-CEAE-49B3-8400-A454D3FBB3A6}</author>
    <author>tc={307F08C2-83A2-4147-AAC1-5F554C0C0287}</author>
    <author>tc={13E8911A-9CB8-441C-BE52-13691E94AE8A}</author>
    <author>tc={EE2EF782-8796-4228-8465-C282F4D74A43}</author>
    <author>tc={EA8199A7-F4A5-4746-99C9-63A73586563B}</author>
    <author>tc={8490AB39-C904-4659-AAE9-CE9D58D7C53E}</author>
    <author>tc={F39C92D1-BCDF-434E-A1D7-8C5995A19047}</author>
    <author>tc={D157CB2B-65C5-435F-84B8-8AB1FBE5B023}</author>
    <author>tc={C2FB18D7-6F53-456D-8452-ABCBEFACAB83}</author>
    <author>tc={BD022B3A-477A-4AD1-B21B-D95626780F57}</author>
    <author>tc={2DFCD65D-E453-471B-A533-527E4AD319A5}</author>
    <author>tc={B2E24325-5E32-49AE-9D4E-B067CB9B0B42}</author>
    <author>tc={3DD41DCE-F98A-4488-ABF6-585A42675E6F}</author>
    <author>tc={E36AB52C-773E-40E1-A1EF-5B714D57582C}</author>
    <author>tc={63B08168-F787-4CFE-8AE2-224A96ED6FE9}</author>
    <author>tc={F1B5027B-4FEB-4292-9D24-7A5FA65F7E05}</author>
    <author>tc={006D8B6F-2D31-4259-833C-3A7A87C7937B}</author>
    <author>tc={5037E54F-A138-4FD0-A0A0-8AB70AE9905D}</author>
    <author>tc={9A78F6E9-4C8D-4D2D-AA94-418085FA7A32}</author>
    <author>tc={8C2F715A-17CA-4E90-A72A-9EA7B0A3E232}</author>
    <author>tc={1585CD10-D997-40A0-8993-ED6D81F96F44}</author>
    <author>tc={8114E6F5-A9E4-480E-B45C-D86BA4418DF5}</author>
    <author>tc={6C85F5F4-A996-4079-AE96-363878102749}</author>
    <author>tc={6ED539D7-4D2F-47D5-92BC-58B30BE5DD7B}</author>
    <author>tc={84FC7CBE-B2F2-4850-882B-B35760988FC0}</author>
    <author>tc={6040BA16-9889-49E1-85D6-1671C98F946F}</author>
    <author>tc={15E16CCE-AA17-4E0C-9E22-D9A69D58208A}</author>
    <author>tc={ABF23064-D18D-4669-8608-4EB35A7AD2BA}</author>
    <author>tc={1C812892-AC22-498F-9693-80B9717B0273}</author>
    <author>tc={B62FB42B-DE02-4A7F-BBDF-6DD0834B5A5E}</author>
    <author>tc={20E5B585-E780-403E-8D92-24813FAEC364}</author>
    <author>tc={38BE9686-233D-492C-AA63-FD7B36A86B41}</author>
    <author>tc={8A370507-E9CA-40C5-B58E-881BD7D50013}</author>
    <author>tc={C0428AE8-15FF-40BC-AAFD-C595E64640DF}</author>
    <author>tc={651BD91A-34B6-465B-A991-70DC161E0664}</author>
    <author>tc={4015A71C-D4CC-44BF-B438-7B6FA91AEE34}</author>
    <author>tc={292CA11D-E456-468C-BD31-69FD4666589F}</author>
    <author>tc={EC90EF1A-6F45-4C5B-B5DB-AB22455EFCA4}</author>
    <author>tc={741B44C0-9588-40AB-9236-42FB68819861}</author>
    <author>tc={3F0E8ADB-7C46-4CEC-8F6E-4D8AC639AF96}</author>
    <author>tc={BBFEC3E5-E701-419C-B34B-46EE938D4376}</author>
    <author>tc={3CF97304-890C-4A0A-81E5-49123B9966A2}</author>
    <author>tc={E9A5E176-A634-4991-A5AF-8E29C4442DEB}</author>
    <author>tc={7916AC94-F0B4-4126-AB53-76FC1BC7C322}</author>
    <author>tc={2B7A2763-5BA0-460F-97E0-1765CB601122}</author>
    <author>tc={3822DC14-C633-437C-A1E6-F164FBAA19BF}</author>
    <author>tc={C9065B8D-F54C-4F5A-9FA1-9C8DA5F49AA5}</author>
    <author>tc={7FF228BC-149A-4326-B98A-EF6C9E0FED28}</author>
    <author>tc={2FFD7CAA-B3FA-48A3-91B8-0D3EF9B20AD6}</author>
    <author>tc={A5CFB84D-5DDC-4A54-98AD-D602E6A04E09}</author>
    <author>tc={508FD11A-1C86-4085-9CE2-480A2B091266}</author>
    <author>tc={2BCA1D6A-2FC7-495D-B50F-2B786B46AB87}</author>
    <author>tc={62885675-365A-4D9D-A779-E07EB21CDB71}</author>
    <author>tc={1893ABB8-8643-4968-9A00-EEFEFAC8177E}</author>
    <author>tc={1FE33FA8-D49F-4E63-9E9B-62E2EC9F8617}</author>
    <author>tc={D4401A5F-57BF-407D-8F50-B0451F1D6941}</author>
    <author>tc={3B6E9CAA-052C-443C-9F4F-7EA4AC6304E9}</author>
    <author>tc={B9FC13F8-B3F9-4E1B-8940-0248A31B9140}</author>
    <author>tc={02B4A0B3-11B7-4E06-8E5C-0C892921C077}</author>
    <author>tc={EED1A65E-29F5-40F6-8075-B48DEE9ABB85}</author>
    <author>tc={DC8FE3AF-0860-4E8C-86FD-C065D4593B24}</author>
    <author>tc={D024E6D1-2695-4FA9-8918-021EF9CA4AD0}</author>
    <author>tc={8B481A06-4924-465F-94E5-4DC85628AA6C}</author>
    <author>tc={59DB25BF-1B6D-44DB-8E19-F6066C374602}</author>
    <author>tc={3D7F20DE-DB9B-4E66-9DF4-C60CFA37AD37}</author>
    <author>tc={FD518AD9-DAEB-43A7-B96F-8B7F8D6D9128}</author>
    <author>tc={6589A9C8-9EF6-4A62-98E9-EBB1AA779DCD}</author>
    <author>tc={EE38A7EE-2577-4C8B-8BD6-4F3C1EBD03B7}</author>
    <author>tc={69E5A5B7-D2DF-4DB9-BAF6-702C7B280E4B}</author>
    <author>tc={671F3E26-5D55-40DA-A2CC-60A92F9A01BA}</author>
    <author>tc={B75A93B7-D168-41D9-B9B8-77534B7A5426}</author>
    <author>tc={7826EB00-9C10-42F7-A40B-ACBABFC793BC}</author>
    <author>tc={F9D84004-9ABA-45CF-831F-EF17421995A4}</author>
    <author>tc={00FCACD7-96F8-4C35-8F83-793DFD20EAED}</author>
    <author>tc={1A3FB1C1-8A82-436A-9147-238773D4A2F4}</author>
    <author>tc={5A3BD565-A574-4EE6-9839-116F5B931C86}</author>
    <author>tc={C400E96E-42AA-40BF-9B02-542DCD71B2EF}</author>
    <author>tc={B93446CB-31E9-4F19-B4B3-9DEA1C09F140}</author>
    <author>tc={76A8B26C-5D73-4595-860F-0D74076578D0}</author>
    <author>tc={97504F51-D46F-4ECC-A483-FCC44AC59427}</author>
    <author>tc={F5379786-4B9E-4C12-9EDB-AD3025305E27}</author>
    <author>tc={2FE63D0E-D3AC-4AA8-9D74-50A73E5B2E85}</author>
    <author>tc={571D6028-4C7E-4EAE-85E1-C78FF5CBFB85}</author>
    <author>tc={27C1A532-04B9-4281-B4A8-746808D02A45}</author>
    <author>tc={B1632568-8287-413B-8616-B6B4DC7D7363}</author>
    <author>tc={9796C27F-0256-4BA0-BC92-A685D0448957}</author>
    <author>tc={4B74ABE8-1711-47BE-B68C-1734567889AA}</author>
    <author>tc={93C71D00-0FFE-4A61-BB54-8CFAA9D65DB2}</author>
    <author>tc={71A23716-37C6-4CC1-A76F-5D1426FBE6E1}</author>
    <author>tc={C6AC2590-BD80-4B12-BF1F-CECE56B86605}</author>
    <author>tc={F9E4E5F3-7493-48E8-BF9F-D3522C27375C}</author>
    <author>tc={9AE3E049-4C4E-44EB-9FC1-6826F63AEAFD}</author>
    <author>tc={266C356F-8920-47FE-8970-A058B9ED9BF2}</author>
    <author>tc={E6C28D09-A447-4191-935B-255A23499EC2}</author>
    <author>tc={B3433432-6C0D-4247-B5FB-AD61405001D3}</author>
    <author>tc={C9DDB3E1-8AFB-43D3-82B9-3C9ADABCC309}</author>
    <author>tc={14FEFD66-E4BB-4C92-BABC-0D06FC818728}</author>
    <author>tc={1ABB81B9-6214-44F2-AE70-F26005FD1C94}</author>
    <author>tc={5A581D63-D124-454B-A29F-6AF59409D7D4}</author>
    <author>tc={DB62E119-D330-4ED5-97B7-67BC53576705}</author>
    <author>tc={983C5EDE-6E1D-4D3C-8E4F-ECFB4CF26B35}</author>
    <author>tc={E27FFBC7-5701-4D5D-9090-0242A25D71B4}</author>
    <author>tc={9FCF7B74-A282-4FCF-84D5-F6F1BE7741C8}</author>
    <author>tc={FA26EF4E-6D68-4842-A7EC-396F9863636B}</author>
    <author>tc={EA7FF2BB-E053-4FE0-A444-83ADDBE0935C}</author>
    <author>tc={C5270A84-1375-49E9-8DCF-1E61A8C83BD7}</author>
    <author>tc={43B0540D-0042-4BC1-9EE1-8B14CDC96199}</author>
    <author>tc={8A34371C-2714-480D-B547-2616D3B5B47A}</author>
    <author>tc={901A8943-E919-4C2C-8C3E-02BAD8A6ACD3}</author>
    <author>tc={3CE54775-E6DA-426D-A466-0DEB88A5A513}</author>
    <author>tc={DB62DD1F-D1A9-47E6-B601-62793CC868A4}</author>
    <author>tc={606C0891-8909-45E7-A5D9-8E3330B414CC}</author>
    <author>tc={B8414CF5-87AA-4469-AA0B-6E0524B77F5F}</author>
    <author>tc={E8ED5EBE-5184-4692-BB14-AC3A667ECEA2}</author>
    <author>tc={27D1D995-9200-448F-A88A-431BB8837E3A}</author>
    <author>tc={A6C221DA-20A3-408A-AE64-E80B047A6807}</author>
    <author>tc={A7C14DC8-6DF9-47E0-954D-5A2F4D8C0CAC}</author>
    <author>tc={6EC425A4-887A-4856-9E01-9561F90F1993}</author>
    <author>tc={60E28708-B977-4479-9A72-C04126B55533}</author>
    <author>tc={795914F1-0E6B-4B82-82DD-328745F36EE2}</author>
    <author>tc={9ED86829-0CBE-4B91-A53B-37572497E87B}</author>
    <author>tc={DF51388D-73CB-427C-8DA1-DE5EDFDD8480}</author>
    <author>tc={8236D3EA-061C-451C-B4C7-4C4F0DF804F5}</author>
    <author>tc={03F97A4D-56B2-4C15-AF6E-321C7B8CAD81}</author>
    <author>tc={8EAB6211-FAEB-4261-9376-DC3B4B7B6A43}</author>
    <author>tc={3DA837BA-4C18-46BC-B23B-B04AD74FF1C4}</author>
    <author>tc={B4E11EE0-A5CD-41B0-AAEF-3470AF828675}</author>
    <author>tc={836BD344-5776-4ACF-BFFA-8490A81E3B7D}</author>
    <author>tc={28858F72-A0E8-4522-BDB1-B99200FC9458}</author>
    <author>tc={21F3FA08-647A-4796-84B1-5C8C5695FADE}</author>
    <author>tc={9A818B7D-C60E-4991-881E-2391A476DA0D}</author>
    <author>tc={08BA22E2-656D-4893-825D-844E6414F3AF}</author>
    <author>tc={B73DE373-ED53-4108-B258-EBF8AC6DC7B9}</author>
    <author>tc={9F91F19B-C119-4C48-9632-EE1F96B09E1A}</author>
    <author>tc={308F656C-64EE-4C6A-A6B1-2FB6E94A81BF}</author>
    <author>tc={6D55632C-84A4-4445-8FE2-7E9B49EE640E}</author>
    <author>tc={F2365EB7-E1A5-4708-A864-9173B2A11DAD}</author>
    <author>tc={7801DAB9-5FF0-4455-9423-1490E92C2EDF}</author>
    <author>tc={BF4A4E0A-BD60-436E-9990-44E35D13E1BA}</author>
    <author>tc={015E298D-E4C1-4F7D-8FB5-039895CDF616}</author>
    <author>tc={59B85A81-51F1-4C38-B045-AE7B7078A153}</author>
    <author>tc={9EE4B1AD-57F7-4AEC-AA4E-7E4BCF68550F}</author>
    <author>tc={833EF313-DCF9-46AE-8890-FBBF9114DA21}</author>
    <author>tc={D03BFB48-0596-4670-8383-DCF6DCE78471}</author>
    <author>tc={477D6C4F-5E5B-4AF8-A3B2-8D91D7546702}</author>
    <author>tc={7F1545DF-73DB-4F23-800E-28DD2718FE30}</author>
    <author>tc={C7806B33-61BC-48A2-8752-AF7265CF91C9}</author>
    <author>tc={51449E9E-80B5-4FB9-8983-C898AD8DAFE3}</author>
    <author>tc={B9702F89-0526-4DB4-983A-D62A416F02BF}</author>
    <author>tc={BAE25B3F-C647-4106-BFB1-6B355D5811E4}</author>
    <author>tc={E9DA1B67-BBF6-40EE-BE27-D370E64346F8}</author>
    <author>tc={9F090C1A-7EB5-42A8-A714-F8713AA0BDCB}</author>
    <author>tc={A5DE7F60-57BE-4C54-B9B8-AFFE70C8DCC7}</author>
    <author>tc={36BEAB5D-13AB-493E-8988-E4F402C8DD41}</author>
    <author>tc={463C96C9-A663-41B6-8575-2419212AC0B5}</author>
    <author>tc={40C89661-AF6D-4FB0-ACE7-023600A95319}</author>
    <author>tc={EE33ABE1-81A5-4DE0-8171-86DAF4D415FC}</author>
    <author>tc={0A638A62-D56C-42E0-B944-753134A4EE98}</author>
    <author>tc={B2AC783C-EC4F-4DF6-B9BE-4560041EFF95}</author>
    <author>tc={5172F45B-4DAD-4F82-9FA5-BE4548A247A4}</author>
    <author>tc={0D9BF2A2-481A-4C3B-9D21-0F6AAA664CF1}</author>
    <author>tc={BFB75539-0A8F-45AE-9C0C-70C5E5FE0FDA}</author>
    <author>tc={C7E8D3A7-4757-4932-A462-303CFC6E3408}</author>
    <author>tc={C00052F7-2C5B-4177-8AEB-9CF197EC08A0}</author>
    <author>tc={5A5C5156-32A2-4262-BD70-21694038AD57}</author>
    <author>tc={FD7D627C-46AE-4427-AC32-1B477904D5A8}</author>
    <author>tc={52207837-6863-4983-B10F-5A27BCDD1B8B}</author>
    <author>tc={60CF6933-D266-442C-861A-31FD72791421}</author>
    <author>tc={30E19989-97E7-4F5D-A864-ACD2A21D2F02}</author>
    <author>tc={2C7BECFB-9C87-4FFC-945F-22BD04665904}</author>
    <author>tc={A86FB622-A06B-4BCA-BA9E-F491B4124BC0}</author>
    <author>tc={DAB093F1-C385-405E-A6E2-01377954D26A}</author>
    <author>tc={993FA933-3FA9-4783-9B77-2628BBF32CC8}</author>
    <author>tc={B0666B93-6E41-41F5-9F4C-4E63B81F6EFF}</author>
    <author>tc={9EB9A69C-E39F-4A74-AE10-5D88FB678E7F}</author>
    <author>tc={C5E2AADB-57B4-48A8-B759-2CFBA7BE4515}</author>
    <author>tc={0DA89A23-02DA-4616-963C-F3A09087E71A}</author>
    <author>tc={43AC4182-FC7B-4A4A-8461-3DF287AE84DF}</author>
    <author>tc={96770C6E-B711-43AD-9054-401AD590BEC5}</author>
    <author>tc={696F2F5C-E639-42EB-9B3A-F57796BE9C5A}</author>
    <author>tc={579C7213-E92B-4A8F-A434-3E26C9298DEF}</author>
    <author>tc={24C7991F-78BC-4F8E-823C-6A61E471232C}</author>
    <author>tc={919179A2-33C4-48E6-BD54-A91D60A47499}</author>
    <author>tc={A96D818A-C7FF-4BE5-9141-BF35FF8C2FEF}</author>
    <author>tc={B16323CB-ED90-42D9-8624-49E9B62A382B}</author>
    <author>tc={54B9782E-E500-45A3-9327-F4A1DE1DC2D3}</author>
    <author>tc={E1120771-F199-4A18-838D-65D83F72EE05}</author>
    <author>tc={8B679011-09FE-4803-B419-4C9C138A7440}</author>
    <author>tc={ED348E27-49E8-4330-BFE5-555968CD624B}</author>
    <author>tc={C3B4292E-5B17-402C-91B5-73F975A72FEE}</author>
    <author>tc={84C9C48B-5853-4F27-9ABB-1653AEF505F8}</author>
    <author>tc={CAD61F11-968A-4225-8C4A-E4E2FEC2F25C}</author>
    <author>tc={A8F6FDE7-AC98-4F6F-BB82-F1D760DCB133}</author>
    <author>tc={EC3789E5-0B53-4886-880D-C3279740D955}</author>
    <author>tc={0E02C8F5-7E10-44B2-B85F-443D60D90D7B}</author>
    <author>tc={49123D3C-D20B-47D9-80F9-994E6302CA76}</author>
    <author>tc={751F1824-F1E0-4334-AE69-3FFDC1510C77}</author>
    <author>tc={9BFB8B41-30BE-478A-8DE6-54B3246A03F3}</author>
    <author>tc={92A44BFB-E785-44E1-9E22-0F73E225A498}</author>
    <author>tc={823DD842-7F2C-4FD5-8172-D8B64989DA94}</author>
    <author>tc={A544EF1F-78C6-4CB7-A36E-24EFA32A3929}</author>
    <author>tc={69E430A3-E4E8-403C-8B0F-DF849EE99038}</author>
    <author>tc={B27E8B48-8A59-4213-B879-07FA92CE91B8}</author>
    <author>tc={331B88C7-9B21-4FC8-8209-82F009254B0E}</author>
    <author>tc={B0DC23DA-C0EA-4077-9D95-EDA39BDA3BE5}</author>
    <author>tc={FEC3E377-8936-477F-947A-4EA20499C77A}</author>
    <author>tc={77B6D944-4708-485C-AAD3-EB8F9C753ECD}</author>
    <author>tc={BAB133DB-7BBE-4501-A815-C723537BF8F3}</author>
    <author>tc={7F6FD3F5-55DD-47A9-9443-D58D64886A3E}</author>
    <author>tc={0422FB92-74FC-4705-9DB0-A8D2840FE6FA}</author>
    <author>tc={D55D2B9F-A6B1-4595-992E-DAA7629D6647}</author>
    <author>tc={21144813-C09A-45FF-8B72-53201C58C2AA}</author>
    <author>tc={EA9997DC-1B8E-4C3D-910E-F0BD0F14F437}</author>
    <author>tc={33583E54-D288-4CD6-AF19-23FBD912AFCE}</author>
    <author>tc={601ECC0D-546F-4177-B051-33DB7FFF8DEE}</author>
    <author>tc={B4AFAF78-3D2E-42D3-B3F4-0F2B729E4153}</author>
    <author>tc={0D690555-5742-4BE1-8594-70CF38ACC1D5}</author>
    <author>tc={14979E67-1AB3-4ECC-B95D-05B8CB5D81DD}</author>
    <author>tc={6BE4873C-E60F-4D57-B9E9-4231B47C12D7}</author>
    <author>tc={3ABA4B84-9744-4697-9FA9-97C787BA30A3}</author>
    <author>tc={B3437CA1-B03A-46B3-BE7E-84B2D4E92AAE}</author>
    <author>tc={A11C2041-AEAB-42FC-B84F-5EC84C75DA5A}</author>
    <author>tc={B513E25B-661A-4053-BFD1-DAA4E6968A15}</author>
    <author>tc={DB56A04E-F6B0-4E64-BF49-31E7E6453306}</author>
    <author>tc={13BD98CE-1626-4270-9899-ED1BF96BADA4}</author>
    <author>tc={70FD3EF6-C85E-4009-B294-7BEA620DBF10}</author>
    <author>tc={8CA7D6A6-1918-4DB0-99AC-E2D589621770}</author>
    <author>tc={FD187F37-9C4C-4D23-AC95-E5F6FF4D1813}</author>
    <author>tc={1A4544EC-4E14-46A6-B216-FB04257350CE}</author>
    <author>tc={9B342513-C16C-4F7A-A2E6-F5B31AEBA622}</author>
    <author>tc={A5D4C943-58CB-4458-88B0-38E046276564}</author>
    <author>tc={B122D2F6-62A1-48D7-ABFF-B199B67B7562}</author>
    <author>tc={DB22A015-9E17-4ED7-872D-52DDA0FC05C8}</author>
    <author>tc={B61C3BDF-1E40-47CF-A126-038E5F4BD028}</author>
    <author>tc={D695BFFC-4C5C-4B12-9DCB-9ACAC9D317C5}</author>
    <author>tc={7E605AF9-991D-4660-8E29-F9D0F9F7DC3F}</author>
    <author>tc={FB21F4D4-E0AD-4FCE-9984-63C1FD65EF17}</author>
    <author>tc={576694CA-CDDA-4EAE-97F1-0CF01A48D5E5}</author>
    <author>tc={899DA500-1CB2-45E7-97B3-AC908111749A}</author>
    <author>tc={320C9495-7D12-484D-B515-BD22F4DE8D62}</author>
    <author>tc={E93435D3-4598-4FBF-AC8D-615FD40FC6F2}</author>
    <author>tc={8ECBF84C-6192-42DD-88D2-B017CC0399E6}</author>
    <author>tc={8B43F653-279C-44C4-98D6-6FEADB63F7F6}</author>
    <author>tc={0F8C5DF7-C224-41CC-90DF-AEE6F29889F1}</author>
    <author>tc={D6A9810C-2240-4D43-8BCC-FA75C2ECBCE5}</author>
    <author>tc={9B13C9C2-6B08-42C9-816F-212463A87A98}</author>
    <author>tc={26F83763-5FC2-43D1-A14A-F273AAF43B94}</author>
    <author>tc={799DFA7E-4F50-4CE0-B2CC-B66C35BE63A3}</author>
    <author>tc={A6DA8EF8-9591-4F24-AC01-344B943907B1}</author>
    <author>tc={3C46732D-05A6-4358-9F20-06852A0C859E}</author>
    <author>tc={30B607E2-9EE9-4757-AC8D-C0620A3FD689}</author>
    <author>tc={575BAD1D-5ADB-4241-940F-B44CBFCAB33F}</author>
    <author>tc={96C7D092-63FB-4280-B2D9-C72733777772}</author>
    <author>tc={564FE72E-9B30-4705-92F8-6388CB4B6F87}</author>
    <author>tc={3A27B26D-CFEA-47BC-91C8-1331BEEC1CAF}</author>
    <author>tc={B61C2EE8-1143-4634-9C35-50FC156E966D}</author>
    <author>tc={035FAEE2-F52A-465E-85E4-B98F208B04EC}</author>
    <author>tc={32298263-1E15-420B-8D19-2C8FBD7D1BA6}</author>
    <author>tc={A52C396B-13EC-4F7E-B3D3-EB1FC8703715}</author>
    <author>tc={CB4A3DE0-68D1-4B90-A66E-5E2A76060BD1}</author>
    <author>tc={C79EF3CC-2797-4FB2-AAE7-347614712ABC}</author>
    <author>tc={86ADB691-CF9E-420D-9C22-A901E515A1D6}</author>
    <author>tc={1F8A45CA-F69B-4BEA-9604-7BB6FAB6C643}</author>
    <author>tc={18BA7D0B-8039-459B-AF8D-4CE02E4230C5}</author>
    <author>tc={9DC77874-DBF9-4CCB-B50B-25E537833252}</author>
    <author>tc={273EBA93-9666-4AD9-96EB-714F2B21CFEF}</author>
    <author>tc={FA2F29C9-4069-4767-9D0F-56D6012B21F9}</author>
    <author>tc={52BE41A5-E7A5-4C3F-AD79-3C3B4E7AA971}</author>
    <author>tc={47AC499D-8FF1-474F-9F62-3DC7C8B4F93E}</author>
    <author>tc={78BE6C39-A377-4E45-B04C-2226894D450E}</author>
    <author>tc={36DFE272-62AA-4D72-A7A6-29DE08109A5C}</author>
    <author>tc={A96BE8EC-8385-41A8-8F70-96BC91C786B3}</author>
    <author>tc={6DE60992-C8D8-4CE1-AC93-95C6643CC28B}</author>
    <author>tc={7FB53AE9-BD1A-435F-9AF0-FFFF6D6D153F}</author>
    <author>tc={90F4BC1A-0E9C-4F10-B6DE-AE5C5E215FDD}</author>
    <author>tc={F11508FB-936A-48D7-ADE2-D18DC1797E2E}</author>
    <author>tc={38238134-ED4C-4C12-9A3C-9344AD52861D}</author>
    <author>tc={666438BC-670A-4E5B-8659-9C00584D5AF3}</author>
    <author>tc={78BC3C29-1A9A-4E04-906F-A53463CF202E}</author>
    <author>tc={32941F03-C513-48A8-A34A-8299EFB57D53}</author>
    <author>tc={409AA300-0B5D-4DBC-A23E-640512E48B2F}</author>
    <author>tc={B79BF90F-BD43-44D9-B6AF-D85002801BD0}</author>
    <author>tc={6B271E39-2336-44C8-83BE-C1CD1A4D19BE}</author>
    <author>tc={864FB27C-E8D6-4318-B7B3-DB9288A3C525}</author>
    <author>tc={BC22C5BA-5A44-4653-A3EE-0E0AE1234076}</author>
    <author>tc={E852682C-572D-4FBC-82ED-C326797C800C}</author>
    <author>tc={09FDA162-E204-4EC6-901C-4D7366C8AC61}</author>
    <author>tc={2DDA935E-F09B-4114-9DE0-30C183863A7C}</author>
    <author>tc={03A5CF2C-B6AA-4857-BA72-57740DAB8E5E}</author>
    <author>tc={540F1C93-5612-470A-BBC6-4E75BFA98243}</author>
    <author>tc={3158C0FF-B41D-4EDA-9C1B-73DD47697D83}</author>
    <author>tc={7345758D-0B01-475F-B07A-C5DDDA754BC1}</author>
    <author>tc={23FF4E54-C625-4A3A-BC01-90F06FB65B1A}</author>
    <author>tc={77E9F56C-9925-4CCF-B5D3-E28D7204481A}</author>
    <author>tc={C56374C9-DBAD-4C29-92AF-F88D4E6CD742}</author>
    <author>tc={5CFECFB6-C374-4C15-85A6-A3C374F7EABD}</author>
    <author>tc={74BFEE12-B4D2-4925-BC34-C3BC7306E745}</author>
    <author>tc={111BADCB-8C6F-43B4-ACBA-5458A6F0AA85}</author>
    <author>tc={4C54E1CB-032A-4AFD-9329-E55587023340}</author>
    <author>tc={EF2AAE51-6BF8-4C6C-838C-3198B29242F0}</author>
    <author>tc={CE84E1A6-AC7C-4422-820B-0E1875B2264C}</author>
    <author>tc={88BD7EA5-5974-4619-A3E7-CA9B4B2A1331}</author>
    <author>tc={27FE92C0-36A7-48C0-9F21-481E27D7C332}</author>
    <author>tc={B771A542-CEA8-4C2E-99B9-F0155DC55E92}</author>
    <author>tc={8420ED24-4CAC-4009-A14D-916DC42F6272}</author>
    <author>tc={F7907C59-E418-468B-BE2B-F3AC0CEE77DA}</author>
    <author>tc={38EA4A20-8123-4AEF-A153-589DDA473DA5}</author>
    <author>tc={A265648A-A004-44DA-BFDA-49DCFFE927BC}</author>
    <author>tc={5181D6EF-E395-46D6-BF79-F00CB51DE4C5}</author>
    <author>tc={AB240FB4-37EA-47CB-B266-3987C6F3C1E3}</author>
    <author>tc={8EAAF70C-82F7-44CC-A40B-1260CC38E964}</author>
    <author>tc={63C669A0-69E7-4C68-AF3A-D9E95DD5A613}</author>
    <author>tc={0AE74740-8294-4E64-A13F-BA9B06E48051}</author>
    <author>tc={A21F1771-0FC6-4E67-8594-002BACAEB5BF}</author>
    <author>tc={C8D3388D-2930-4B24-9D89-46B3CC2961B3}</author>
    <author>tc={7DFACFF9-0634-476B-8421-371AEF9638DD}</author>
    <author>tc={AD9AC9E9-6543-40A1-95F2-BFD454DD0933}</author>
    <author>tc={8EA486D2-5E32-4F95-8127-E7635A1B6BB5}</author>
    <author>tc={171EAEB6-A51A-419E-9A50-20EC6F33F7D5}</author>
    <author>tc={7857A846-18A9-43CA-9706-D7360890154F}</author>
    <author>tc={3A7E8A58-7274-47BA-9CF1-91A6C3823FB3}</author>
    <author>tc={9B591124-7EC2-4382-89EA-8A01B075287D}</author>
    <author>tc={6E5F1845-D55F-4FE6-B112-DE0A3AAAE1A9}</author>
    <author>tc={54DF7936-2FB2-45F8-92A3-E339C18F88AA}</author>
    <author>tc={15B63D70-5C21-40B8-B1F9-F835F1F823F4}</author>
    <author>tc={ABAC7230-C2F3-4AAA-BDA6-203C0833CA9E}</author>
    <author>tc={6D9F5F13-9CF1-4B62-A68A-3B608C62B6CE}</author>
    <author>tc={E20EA067-5D6E-47C4-81C6-67EFADFD42AC}</author>
    <author>tc={16F89861-8573-4B0F-9AD5-F230A5FF49C6}</author>
    <author>tc={C4ED188D-4523-4D38-8523-A27DE133AD8E}</author>
    <author>tc={CD7C6145-FF4F-47E5-8471-4AFD61E8544F}</author>
    <author>tc={0D5BAF48-34B9-4DF9-8C36-8689948730CF}</author>
    <author>tc={AFE5F23E-C836-445B-99C3-784DE4A95835}</author>
    <author>tc={9F01020E-0CCB-401B-9118-3639CFAD0075}</author>
    <author>tc={FC6F3168-8177-4602-A8BE-D0508D46A231}</author>
    <author>tc={6495BE48-5095-4128-972E-9DDC7ECAC5F5}</author>
    <author>tc={1A7FAEDB-9968-4283-8F6F-E381C9DB4FFC}</author>
    <author>tc={B0290A7F-C85B-48F5-B17A-569748681AE8}</author>
    <author>tc={040CC106-E0B9-4918-A429-2E3DEA99D312}</author>
    <author>tc={A048FE41-23B4-49AA-886C-C7DC433A5EC5}</author>
    <author>tc={CA7A0FA1-1D7D-43B9-9EC7-F627E1E7FD5A}</author>
    <author>tc={DF76EF2A-A766-4599-91D2-39375C3EA062}</author>
    <author>tc={8F7EC0D6-4143-429F-A091-14316AEE0A7A}</author>
    <author>tc={DDA1C611-7DB5-4D89-B470-29BBA4DD437A}</author>
    <author>tc={52A22EDE-EBA4-4DE5-8766-FE18A93F5E20}</author>
    <author>tc={E16A8C6F-C95D-48D2-A974-9E1C8EC22A0B}</author>
    <author>tc={A6124114-4617-4E25-A72C-7A60F57F48BD}</author>
    <author>tc={BB3AE53B-1AA7-4533-9C6F-F4D6F69EAEB5}</author>
    <author>tc={3A95420B-AC1B-4D68-8B2D-83C687A0FC96}</author>
    <author>tc={26AA2625-C087-4D9D-9A69-EDFC306DF83C}</author>
    <author>tc={87CF6B2C-0F91-4412-8768-4565C417D67F}</author>
    <author>tc={0226FDB9-814E-421C-8C6C-95CFC26CEC2B}</author>
    <author>tc={DABFB03F-2333-4203-B4FD-95631A5DCC89}</author>
    <author>tc={651D1F78-9B27-455F-8262-E39C815A5EB3}</author>
    <author>tc={3E63624D-CD81-41ED-ADC7-738F48B00307}</author>
    <author>tc={E25CD71E-8483-415E-B730-5ADEEEECE213}</author>
    <author>tc={FA398F77-1AC6-4E87-9E85-3B0DE148C9F3}</author>
    <author>tc={B1C55E56-870B-4D6A-A16F-2E417B261770}</author>
    <author>tc={77A2DA44-D8DA-48C3-9883-A7C912BEC079}</author>
    <author>tc={00EC3F32-0769-4CE6-AE5C-EDE34D10C4C4}</author>
    <author>tc={DB4ABD00-24BB-4BF0-9389-D6ABF5DC1003}</author>
    <author>tc={2C452ABD-E1A8-4203-8A49-3AC773A7285C}</author>
    <author>tc={94FFCF9F-5495-4E07-9ECD-43F1D1C0584A}</author>
    <author>tc={902AF28D-703E-47DA-B04E-3D23F99069DF}</author>
    <author>tc={CDA7C986-C0E8-4A32-9B7C-69C776EE52B9}</author>
    <author>tc={6DD841C7-4E93-4700-BDA9-4B554E5CB904}</author>
    <author>tc={AF03435C-A72C-4CEE-89CD-151DA373812D}</author>
    <author>tc={566B2172-9B57-4F12-BD1B-677C4AE32BDC}</author>
    <author>tc={2AE4617D-CD94-4F58-B4BA-2F22FAD0126B}</author>
    <author>tc={F2EA72F0-1367-4E35-B3B8-AB962ECB2858}</author>
    <author>tc={016CF882-9C1C-46D1-B985-0A01F9B09985}</author>
    <author>tc={E49AD037-983A-4AF1-8F9D-6B9AF67F7AA7}</author>
    <author>tc={34A68E01-8E3A-4879-AE2A-C5D68353E145}</author>
    <author>tc={AF6F2005-161B-4C29-A4E0-435FF03D5E50}</author>
    <author>tc={9DCA0E02-22E8-475D-AEE0-2EB33E4606DB}</author>
    <author>tc={9E0C7F21-E09C-4603-97AB-86CCBC6AB9AC}</author>
    <author>tc={2FAF8B6F-4A59-40BD-98C9-C6B547007C64}</author>
    <author>tc={1D075407-3421-4BF3-BAAC-CD4C39541C09}</author>
    <author>tc={97B21443-3986-4E3C-B62E-F8E09A3C0432}</author>
    <author>tc={D4A26F39-D384-4C5F-B240-5778BB0DC4E6}</author>
    <author>tc={187B8E7C-8A2F-426B-BD67-CBDA4A8668B2}</author>
    <author>tc={3508632F-DE76-4DFF-B6D6-331D5B51EBA1}</author>
    <author>tc={6E0BC873-41F8-43AC-89ED-9AFB1B0DA2B0}</author>
    <author>tc={A05EAAB4-281F-4C74-A9F1-D1ED3A86ABE0}</author>
    <author>tc={DDC686E3-84DD-4648-B785-7EE5F2F7BA00}</author>
    <author>tc={08365D40-D2F5-49C2-A295-98179F63D52F}</author>
    <author>tc={C0E89342-F86A-43DC-8554-636ED6C74558}</author>
    <author>tc={1CFBC25D-F076-405A-9EA9-BD35DC9CDD7D}</author>
    <author>tc={E69F6135-41C4-4C93-BBC0-337A1778E5B3}</author>
    <author>tc={90B7472E-E108-478E-90EC-0AED492274D9}</author>
    <author>tc={E489027F-5435-4DF1-B1D4-4A3DC7952679}</author>
    <author>tc={9383B1DE-D788-4328-B6FA-217E8722D9FE}</author>
    <author>tc={D981A0F9-3643-42BE-ABE6-BAB1EA9DBE38}</author>
    <author>tc={8476375B-29A2-4BBA-AA23-60901BC10333}</author>
    <author>tc={4695F7F7-FE3E-4BAE-BA13-B3908F1D3942}</author>
    <author>tc={A5A82201-767C-4E6D-9F56-1E2C79ED3275}</author>
    <author>tc={81ED4772-E208-46D6-A8DF-42B096B095D9}</author>
    <author>tc={5F8E4BF7-9E87-4804-BBB6-8938BD896B28}</author>
    <author>tc={137C5DC8-3F25-460B-9D56-8D88AD250C8A}</author>
    <author>tc={D765ABE3-14AF-4B7D-A40F-2602D5E9C6E9}</author>
    <author>tc={C63AFD3B-439B-405D-A3D5-461BD1C724EB}</author>
    <author>tc={F92533E0-0B93-490B-A399-3245093A6B65}</author>
    <author>tc={4E7A3AC7-5257-4BAF-9625-03096C247F6A}</author>
    <author>tc={F3FB63AC-2C78-487C-98A5-EE98ECCA4AF2}</author>
    <author>tc={4B97F5B6-4134-45B0-8420-D5B4DC66F0C5}</author>
    <author>tc={59F49C88-0075-46CA-9E32-57CD27CF201E}</author>
    <author>tc={4740BD1C-D9F2-44A7-9EA2-4EB5FBC17F4F}</author>
    <author>tc={79DB7BED-ABC2-45EA-B21E-5E95543B8D54}</author>
    <author>tc={40BF57E5-98BE-45CC-878B-E6568EB6C979}</author>
    <author>tc={4EA1053C-BF6E-44DE-834D-4DA9CB7B43F8}</author>
    <author>tc={7914E010-159E-46B3-AB6F-723DCD89A723}</author>
    <author>tc={BD0D58DD-045A-4046-8219-4317937F47A4}</author>
    <author>tc={CBAB45CD-A63A-44AB-838F-80829C45E277}</author>
    <author>tc={36418779-B731-4EAA-A55C-BB85B0EED6BB}</author>
    <author>tc={A2931AF3-88B3-4EAD-9476-43DF4E0A8081}</author>
    <author>tc={9F5682E2-4999-4653-973F-3449400187D2}</author>
    <author>tc={CF035FB7-ED62-41C3-933D-A6C47416DCF9}</author>
    <author>tc={54AFED83-2A26-4DDB-9DC6-93E73FDB9E2F}</author>
    <author>tc={4BA9821F-C5A6-47C5-964F-A26EF7E97912}</author>
    <author>tc={908546C4-FD17-4DAA-B1AE-5801CDB29803}</author>
    <author>tc={59BC47C4-5438-453E-B511-014928824524}</author>
    <author>tc={C566FDC2-021D-4DA2-8A18-A0686901B2B9}</author>
    <author>tc={183F0C79-855F-474C-8406-C49658391DC4}</author>
    <author>tc={DDAD23D1-980E-4450-B49C-3DEF11835C10}</author>
    <author>tc={DF954808-E82E-46A0-B144-2FDDD7E2B795}</author>
    <author>tc={53200C80-422B-46B9-A210-B40BF57C27CD}</author>
    <author>tc={CE472F4C-B68E-463F-AEBF-75ED9C64B10B}</author>
    <author>tc={97F13F7C-5072-40E4-ADD4-C076760A4EFC}</author>
    <author>tc={97DFA968-4F9F-4394-A8A3-EB94C1DD2C59}</author>
    <author>tc={F619A15D-8A43-4CA0-826F-61E9CAF4D510}</author>
    <author>tc={8E0DF497-7E49-478E-AA01-D20D629AA19B}</author>
    <author>tc={78353422-EA83-45FE-9867-0296BA0437B7}</author>
    <author>tc={E07E0BC1-6088-464F-945F-0EAFD2AE9C72}</author>
    <author>tc={5ABCACFB-F360-42C1-B298-266EA79A9271}</author>
    <author>tc={7E22C522-B572-445D-B875-ECC4B2C40884}</author>
    <author>tc={D7671FF3-01A7-460E-8210-FFC9D9CE4AA2}</author>
    <author>tc={8D736CAE-BBFE-4CA3-B4C5-CA49CD207162}</author>
    <author>tc={54D00949-B566-480D-A081-B0E42846E105}</author>
    <author>tc={38881D22-CDE2-445A-A94E-766B5FED2625}</author>
    <author>tc={EC042E6F-6450-408F-8B0E-45969360A17C}</author>
    <author>tc={6096D2DD-F1CB-48B2-9C8C-056BB72CEFEB}</author>
    <author>tc={E2D75D4B-EF32-431C-B907-3C9E0858352E}</author>
    <author>tc={DE208063-6D7B-4943-BEC4-1937BF644EC1}</author>
    <author>tc={9A4FE04E-D165-4A75-BB05-7FB3440A63C4}</author>
    <author>tc={C1A83976-5EA5-4A91-9D26-6050225FE31C}</author>
    <author>tc={4F718E8B-7D7E-4330-BD47-F9D31DBBF042}</author>
    <author>tc={FF88E996-5780-4265-A3C1-73A2A45EA950}</author>
    <author>tc={B29DCCAA-2458-4120-8058-F840C2D6A8B8}</author>
    <author>tc={D8CB250B-6821-4FB0-AEBA-0F862FCCF910}</author>
    <author>tc={407D9F2A-BC67-4067-81E3-603E64A1E73D}</author>
    <author>tc={00DA3099-4F5D-4B42-87FC-87E1D34ADB2A}</author>
    <author>tc={87E89ECD-908A-41D5-BEEE-20ECC1D53597}</author>
    <author>tc={63193831-9DD1-418E-B7F4-277AD44FCA2B}</author>
    <author>tc={724D6B8F-6589-45A4-BE8C-DFE79D6F38E3}</author>
    <author>tc={A32A2164-C318-407F-8010-3869FDBF7C07}</author>
    <author>tc={C1F085C9-AACB-4191-A4CA-8CA9A110E634}</author>
    <author>tc={C4CFFEC7-1A3A-4F2A-B1B6-EDF13D4DDCA7}</author>
    <author>tc={8BCA0422-3800-4918-9061-15BE8E52AF6F}</author>
    <author>tc={7A26C111-6A90-48E2-97EA-9F504F152917}</author>
    <author>tc={8D993A4D-28CF-4D91-AB82-ADA397B8ECDD}</author>
    <author>tc={49D08086-0257-4506-A40A-9A4D5779B98F}</author>
    <author>tc={248FD869-831F-432B-9393-067AFF24BA6F}</author>
    <author>tc={7B0E863F-B345-41DC-A555-A35493DAD59C}</author>
    <author>tc={016A69B8-2E46-4E4F-87EF-BAC5BDE7836E}</author>
    <author>tc={994B3CB9-8FB1-444E-9CCD-99D4196563A6}</author>
    <author>tc={FABC1E83-7EE5-496C-B732-F1E85A5730BE}</author>
    <author>tc={6A885BE8-D35E-4D3D-A29C-6D15899352C7}</author>
    <author>tc={41367FC3-B77D-4D18-8F92-71ED17CEE1FC}</author>
    <author>tc={1C6EE72D-FF0B-4ECF-896B-27E31223F254}</author>
    <author>tc={4FF0EA40-B483-4404-8BA3-774F0B9B0562}</author>
    <author>tc={7C3D651B-4E33-4F36-B6D7-A584BA0E1229}</author>
    <author>tc={ED9E9C61-C064-42CD-87FB-2975C0191275}</author>
    <author>tc={74DB66A3-EAC4-4D74-A9D5-73D4EF731A59}</author>
    <author>tc={812FF0F1-4A9E-4A49-846E-DFACCD3D90D7}</author>
    <author>tc={13EFAAEE-7ED7-4E44-A7D6-4781779BA7C5}</author>
    <author>tc={BF8DF3B3-EBD8-4292-B90F-DDF19E9714EF}</author>
    <author>tc={3F908CE8-A9C2-4C54-9705-63FE3B06FC52}</author>
    <author>tc={212E3361-6E5D-4351-A362-1398853B77BA}</author>
    <author>tc={E029F6AF-AA3D-4E74-BDC0-595FBBC8C28B}</author>
    <author>tc={7D4A5E6B-FDC3-4A30-BE01-6448D3C679F1}</author>
    <author>tc={A17379F2-79DE-4CD4-8888-6D66E4E03A85}</author>
    <author>tc={BEEBC069-946B-4777-90B0-D8829F0603F4}</author>
    <author>tc={3DF5B16A-45FA-4D29-AA5A-E9AD38D30327}</author>
    <author>tc={AAA12C9E-5B40-40E0-A6D1-43F51403BDE5}</author>
    <author>tc={B36297BE-8075-4277-BF32-0C50631D2257}</author>
    <author>tc={2C69F066-427D-4E08-B28F-188D21FB50C4}</author>
    <author>tc={A2D1DA50-7916-4385-83F9-8D1F03C2A9C3}</author>
    <author>tc={EEEA91A9-C6DD-44A9-85C9-FE3A0F2AF0C2}</author>
    <author>tc={F8D2499E-02F6-4E51-AF18-DAB562D91576}</author>
    <author>tc={53D1D3DD-6F0F-4031-9172-70E3B615DA6A}</author>
    <author>tc={C569ADB3-F884-463B-9302-5890B3979B39}</author>
    <author>tc={0B1DB9D1-DB2B-4BF4-A3DE-30D4C409CB1B}</author>
    <author>tc={72740D2A-646E-469E-A5A1-95F65D465C1F}</author>
    <author>tc={FF9D3123-BABF-4AE0-88C0-A9B8E28CBBF5}</author>
    <author>tc={F6CF1B07-E382-48A6-9560-9F99E49B554C}</author>
    <author>tc={7070AE55-8E49-4209-BC91-35720C7DD13C}</author>
    <author>tc={125DBF23-479A-467B-98B1-4B116B0FB5AB}</author>
    <author>tc={7B4A0B02-BB9F-4157-A57B-C7552A682207}</author>
    <author>tc={08AE92E2-A0A0-480D-A92A-071A34A3FD83}</author>
    <author>tc={16E8BF96-27E8-4E34-A884-7AC24ADC1E63}</author>
    <author>tc={3CB18BAE-DFD8-48E3-A26C-2E45AB22CE62}</author>
    <author>tc={8DBCECEF-DD8D-46EA-87C2-3AC10E3C751D}</author>
    <author>tc={5A21056E-34DC-43F5-A2F5-64257E19081B}</author>
    <author>tc={69C9F012-DB38-4C51-BB81-3F838741A09D}</author>
    <author>tc={C8D053BC-C9A0-4025-992C-2077F2153F84}</author>
    <author>tc={3948A831-906C-4585-AE0D-795B8442A208}</author>
    <author>tc={C3228A3F-D39D-4B2D-9F29-C7F7CAE7E689}</author>
    <author>tc={FDAAE8F9-FD5A-4E26-883E-10EE2780CF0F}</author>
    <author>tc={7464B705-B106-4FC4-9507-3F21F5E72B34}</author>
    <author>tc={A6879BED-5F82-4BEE-B2F1-519574C5E66F}</author>
    <author>tc={7E65B07F-FAE2-4D85-B37B-44655BA76275}</author>
    <author>tc={CF0BCB17-A384-4B48-8F4E-A088E0FBA17A}</author>
    <author>tc={5EDE2ADB-23BB-4BE6-9DF4-AAE02F56C455}</author>
    <author>tc={87B0AE72-BAF3-4AF8-A3E4-D95CB7D96645}</author>
    <author>tc={9ADFA08D-49B9-493C-880E-F734C12456DA}</author>
    <author>tc={4B3286C7-4732-4670-87FB-30D7BDA9C9A5}</author>
    <author>tc={994F4DB8-6C7B-4C55-9E38-1A39A7398BB3}</author>
    <author>tc={98824436-BE07-4928-BC1E-649599B7E50F}</author>
    <author>tc={6C81F358-9677-4F30-820F-57EE0A9203BC}</author>
    <author>tc={508D410E-1425-4D30-9580-3E7904062C7F}</author>
    <author>tc={331FD6EA-C066-468B-8568-DCD106DA48A2}</author>
    <author>tc={8B7CC26D-D749-40C5-A733-710E1C37F02A}</author>
    <author>tc={B04C7EFE-25A3-4CB1-87B2-72A86E589B97}</author>
    <author>tc={2BAA1D1D-E915-49B5-8D78-BE0F83573D35}</author>
    <author>tc={4BD565D3-EF4B-4C9D-8E16-0D1BC72FAD0B}</author>
    <author>tc={4ADF5901-1438-499C-8C7A-0FB216191869}</author>
    <author>tc={A1594DED-9BF3-4BBF-B98D-3ECD6EA10CF8}</author>
    <author>tc={FB345AE0-C3D2-4377-A27F-4078A84BCE4F}</author>
    <author>tc={E004BA57-3B75-458E-BC1B-146800A4155E}</author>
    <author>tc={A7181383-DD4B-4DCA-A74B-ED53AFA551A1}</author>
    <author>tc={3ABB9EDF-E442-4D69-9BB1-6AD7594EB4A3}</author>
    <author>tc={E1198A24-D258-48A6-8EAA-93EF6AD0B572}</author>
    <author>tc={B55AA76C-B9E5-451A-9DC1-452B18EAAC12}</author>
    <author>tc={D7DC2A34-D971-4BAC-BFE2-B72180C10336}</author>
    <author>tc={6FE5C295-5139-41A3-ACE4-D737364E4071}</author>
    <author>tc={8D72691F-B368-4E31-B846-58E05B609712}</author>
    <author>tc={ACC666E5-8552-46D4-8725-C6645C19A564}</author>
    <author>tc={9D3BA211-9F93-4639-9B50-1C1701E0A3E4}</author>
    <author>tc={84A3E616-7A94-4BFC-98E6-3191518FFA36}</author>
    <author>tc={9B29B0DD-3CCF-400F-9923-F76E1F8F18FF}</author>
    <author>tc={0F14A146-BE74-4733-9B9E-E7AF9A0ACDE9}</author>
    <author>tc={7247FEAD-C2EC-4147-9E74-5C50969AC315}</author>
    <author>tc={0C5A38F0-23BC-43FC-8A45-500B7CB538D6}</author>
    <author>tc={F22E7B2D-96D4-4628-868D-E5F3E04D425C}</author>
    <author>tc={FC4134F8-2D95-4A6A-9413-BD0234DBEFDB}</author>
    <author>tc={AA6BF00F-FE1E-4B1D-8D38-4F90DBF478AB}</author>
    <author>tc={132F1B00-EB85-43CF-9D67-5EFC5C7F1ED3}</author>
    <author>tc={FEBF6510-8BF8-46CF-A883-96DF2689DA93}</author>
    <author>tc={1FC9996E-45D6-4FAD-ACD4-9B2A0764D3B5}</author>
    <author>tc={C5FC2005-F4FD-4FDE-ADC3-181212B888EB}</author>
    <author>tc={4820E139-F74D-4884-AABD-9A4BE3E4B033}</author>
    <author>tc={2E778669-A5CB-4F0F-99A8-E1EEBA0314D5}</author>
    <author>tc={98EF35E9-51DE-4B86-918C-82F59E0CE942}</author>
    <author>tc={65E208F9-2CAA-4D30-8D1B-C184C86086ED}</author>
    <author>tc={A32D62FD-43F9-4047-8F52-2ADD717D922B}</author>
    <author>tc={0D3EA517-F197-4E04-88FD-E08BB96DD014}</author>
    <author>tc={02EECCE9-09AC-454F-9867-8719B325EA11}</author>
    <author>tc={771234F4-ACCC-4745-92CB-B5CCE985BD74}</author>
    <author>tc={1B1A0614-EE17-417E-8B65-B7AC16D92CC7}</author>
    <author>tc={BE91E7AE-0437-4750-B6C1-F3ECF5476C05}</author>
    <author>tc={0DCD4048-7168-46C7-B4DB-C9B79C8339BB}</author>
    <author>tc={B93B9505-0FAA-48B7-94F3-543CEB50DB5E}</author>
    <author>tc={6FB4DC3B-750F-46D1-8A91-0FE78484D010}</author>
    <author>tc={93D86F38-29C9-474C-81FA-EA29CB9121D6}</author>
    <author>tc={9006CA1C-7C0C-4556-BC26-25F0E7A94935}</author>
    <author>tc={2F9CF36F-C824-45D8-A01B-239B1477EA54}</author>
    <author>tc={A24BA826-C197-4128-B477-4C3C2304FC1C}</author>
    <author>tc={1B274DC6-A577-4E9C-95AC-391CD91C8893}</author>
    <author>tc={65CD44FD-044C-40E2-8864-237D98ABEADA}</author>
    <author>tc={CA52082D-3122-468B-8642-7A61D45809F7}</author>
    <author>tc={FEC83F89-3CC6-4A7A-A666-B350FEDE9845}</author>
    <author>tc={7D1C0E55-C64E-402B-9F57-8D2564ABD58F}</author>
    <author>tc={552BA13F-1871-4312-B27D-1EF55AC7FAEE}</author>
    <author>tc={232740A9-CA59-49AC-8F0D-1041F1699E30}</author>
    <author>tc={2EE3F2AD-6379-4D3F-A566-B650711D2216}</author>
    <author>tc={88E1D59D-AF7F-4AE8-B5B9-B5ED7B46B58F}</author>
    <author>tc={1BDAE497-49F9-4633-AAAA-D7C725C8BE2A}</author>
    <author>tc={27CB4989-1617-4D9E-8CE0-0FA8B03F144B}</author>
    <author>tc={8EB16ECA-E009-444B-9F5A-3269025FE657}</author>
    <author>tc={A74AC634-437D-4E98-8023-2B2D4A370A80}</author>
    <author>tc={CD79AFCC-E5A6-40CE-9BC1-B5509FC3C086}</author>
    <author>tc={230B24A4-E528-4186-B26E-892454BD6995}</author>
    <author>tc={D10F3B64-2A49-495B-A4CE-C8994E79C938}</author>
    <author>tc={2710EB0E-6B45-4905-AA9D-335C9B6AB8F4}</author>
    <author>tc={7B245ABD-3478-4B57-BD72-4B5AAF3E4B5D}</author>
    <author>tc={8E0B4ADB-8993-455A-8627-D7430BB2DCCC}</author>
    <author>tc={4BC9CBD2-F744-486D-B5C5-B88D071C4F32}</author>
    <author>tc={6FAD82AA-0B98-4AB6-9594-43649BB833E9}</author>
    <author>tc={204EB5FF-9AB8-4015-9D78-445C69A6DEB8}</author>
    <author>tc={A3571689-57C3-4F05-A82A-57CCF3F61321}</author>
    <author>tc={775F1FD7-9C58-4696-8EC8-15AE026D8F03}</author>
    <author>tc={4D7FCDD4-526F-4AA6-8D01-7DA6CD3DAEFD}</author>
    <author>tc={FDF53B75-673E-4122-A289-A6C469A62FF8}</author>
    <author>tc={6AB24675-302C-473C-8E74-2841AF417022}</author>
    <author>tc={A24A8257-4CE3-4FC5-95F7-29BE4DAB531F}</author>
    <author>tc={5D809C93-4B90-4CA4-94C3-4DAD74A90C09}</author>
    <author>tc={781CF9EC-7AAB-42CE-B1A2-26CA3AABE258}</author>
    <author>tc={541E5634-5CE1-4E36-BC62-9AFCE5CE68A8}</author>
    <author>tc={541632EB-B3BE-44D5-9FB9-3C8E23DF5660}</author>
    <author>tc={BDE55AFB-D3AB-492E-87AA-80524ED7266F}</author>
    <author>tc={797EE97A-3A5D-4185-B9C3-C4C202794BDE}</author>
    <author>tc={49B58B73-2323-46EE-ABA5-BADF688150C9}</author>
    <author>tc={1370419F-D928-4B10-8D80-2E282AD7E3A9}</author>
    <author>tc={A9973E6E-C9CC-4CB6-835F-F61D05A5E3CE}</author>
    <author>tc={77A4FB51-5B10-43B1-ABFE-5D7F2197D802}</author>
    <author>tc={AB273CA6-CAF1-4CD9-B347-B4A649CCF1B7}</author>
    <author>tc={063D041A-319A-4AE6-8C34-80C6D96FA34B}</author>
    <author>tc={819AB9AC-AE28-410C-AF07-0458D141DD80}</author>
    <author>tc={2EBADB00-0FC0-4E65-8C34-BC9FEEAC19CC}</author>
    <author>tc={9CB4CF17-DDFB-45CB-8B0F-AF3BFFE046AB}</author>
    <author>tc={1E2E1C20-FE3D-4E19-B873-D17C67FEF12E}</author>
    <author>tc={27ECB177-E6A1-40EE-BD99-6B759D66DC61}</author>
    <author>tc={51BB256D-AC7D-46F5-A2FA-34AB5B23843B}</author>
    <author>tc={139F7135-1CCB-4698-AE12-6BD03615EFC6}</author>
    <author>tc={BDA896AB-F5A5-4097-A6A3-BE74A752EC2A}</author>
    <author>tc={9C605B83-0E60-4734-BEBB-9211EFFCF7AC}</author>
    <author>tc={67FE8BA6-49B3-43EA-A78C-399344C5E6E7}</author>
    <author>tc={D0DA5D25-BC71-48C7-B1B5-075345E83CE1}</author>
    <author>tc={D7343F6A-DEE6-4E38-B39E-D63F135E21FE}</author>
    <author>tc={8BCB4098-1AA0-4378-9333-97740445F920}</author>
    <author>tc={71734302-84DD-4A14-8C3B-AB9A35419A3F}</author>
    <author>tc={C1417462-7726-44F5-8629-986881996471}</author>
    <author>tc={9B2D96F2-0795-4DB7-BD4F-8DE00BB879D6}</author>
    <author>tc={08185568-1B85-4059-8339-3A97D13233C3}</author>
    <author>tc={6BC4EBC3-353F-4152-9439-3CEBA4C6BF2A}</author>
    <author>tc={79933E4A-DC00-4C70-AB4B-7FD6D7924DF5}</author>
    <author>tc={AAD4592B-1E5F-4F43-8473-437F7FDC296B}</author>
    <author>tc={0E2053B3-3D35-4AE3-A62C-F3DAC3F8E777}</author>
    <author>tc={9E807071-8139-40EE-8C8F-F9380729E346}</author>
    <author>tc={6F5A8A9B-1D76-4F25-9276-6C13966EC6CF}</author>
    <author>tc={55B01B46-0C5A-4C8F-AC8B-72E7EBCD22E9}</author>
    <author>tc={DFBA845C-3BF7-4686-9D63-A659696F0DFC}</author>
    <author>tc={5BC21806-2E4C-4786-A309-60A37695AB52}</author>
    <author>tc={B37BBD82-3875-49F2-B5C9-4C88719B8E35}</author>
    <author>tc={1F94A96E-EA29-42CB-BDD3-4DDED1FC70EF}</author>
    <author>tc={30E4A0CA-3CB7-4A9F-ADFE-8D0E21B64A5F}</author>
    <author>tc={548BC571-EABD-49C0-9364-4C062DE40848}</author>
    <author>tc={19501B31-4F77-4373-8FD5-4D0AB7B00756}</author>
    <author>tc={097D3D8C-9F5E-4EFD-9BDA-6746CC89E3C8}</author>
    <author>tc={17B9915E-0949-45D8-9F60-5B330F9A95F6}</author>
    <author>tc={C42B7965-E20E-41D8-AADB-8619D9EA44D9}</author>
    <author>tc={7074ABE0-9DC8-43D8-A106-94622A5CCDC3}</author>
    <author>tc={53914DBD-8F63-4D9E-9E65-B5A1D7416AE4}</author>
    <author>tc={115E0FD4-92F1-4226-BAAA-A5EB66D7FC34}</author>
    <author>tc={6C782FE0-8DD7-4CC2-B1FB-B596DF3F2C30}</author>
    <author>tc={0FBA5339-1389-47EA-A7EE-6691E2B46DF2}</author>
    <author>tc={CE5C1118-C63A-4A2E-AD78-82DA47573FA5}</author>
    <author>tc={5350E397-7786-4F05-BF6B-E821DBAE7070}</author>
    <author>tc={02F88856-DB48-49B5-9121-1F4B53218DDD}</author>
    <author>tc={DE6F8CE6-4A28-44E2-AAFE-A323F63AC3C2}</author>
    <author>tc={5F279A28-0412-4167-97FB-F80D0FB458A7}</author>
    <author>tc={33D5F080-AADE-42FB-80A0-2D5F38847805}</author>
    <author>tc={C1E9B12C-F267-48B1-ACCB-0ACC8D187968}</author>
    <author>tc={3B4F175D-A3EE-4D2F-8451-B7B67588B0A1}</author>
    <author>tc={5D76B02A-29D1-4A2E-8AB4-3D604AA9B663}</author>
    <author>Rishab Jha</author>
    <author>tc={7EC51359-C93B-48B7-9D6E-B19E1CFEB773}</author>
    <author>tc={2AC4FBFF-E085-480A-B353-E43089C0D4CE}</author>
    <author>tc={DEFF122E-CB71-45B8-88DB-D5DC259DEE47}</author>
    <author>tc={D152B6EC-72AC-4B57-8871-4898E74971E2}</author>
    <author>tc={93F8F0E1-C663-4238-9D84-225BE70B295B}</author>
    <author>tc={1E34C167-26F9-4DCA-82D3-031DD8178527}</author>
    <author>tc={665BC8F7-5471-4A80-A301-3E23BE81A43A}</author>
    <author>tc={5FBB5A05-9F70-4E7B-A0D6-C08421EA4782}</author>
    <author>tc={DF1490FD-F093-4CE5-9241-CA0BBE28B2E8}</author>
    <author>tc={6815EE7D-EE45-4A76-B3FA-B28DEE0B6A20}</author>
    <author>tc={C66818AB-A149-416C-9215-1DC799D24F9F}</author>
    <author>tc={BBA87ECD-B8DD-41DD-8E49-B7A91210BB76}</author>
    <author>tc={EFCA7DF9-EF0A-4B78-BE27-BC8BA8330A7C}</author>
    <author>tc={2BBD8ABE-EEBB-4F2D-A5F6-E44DA301F738}</author>
    <author>tc={1CFCE6BF-B8EF-4AC1-9509-A88E2FA0F367}</author>
    <author>tc={E14C2F2D-C3BB-4B9E-9F6E-CD9E83F3CEED}</author>
    <author>tc={B453BA8E-9BC9-4040-A9A8-E969B6628C1A}</author>
    <author>tc={5ADE03C1-EEDA-49DF-B4E5-E58A4F504300}</author>
    <author>tc={5BBB59ED-A844-44CB-B26A-1CB21FEB128B}</author>
    <author>tc={FDA8360A-569C-422C-90A3-5F7A331B4180}</author>
    <author>tc={0145A656-8ECF-497C-AE33-168F1E1721EF}</author>
    <author>tc={45272585-391C-4427-85ED-21B603224204}</author>
    <author>tc={A3FDE5BF-59E2-40F8-BA91-C1E4FA833065}</author>
    <author>tc={35B221F4-B324-4708-89D0-97B26997C7C5}</author>
    <author>tc={CC525C2F-D6AB-4ACA-B056-53123B03700B}</author>
    <author>tc={E5EC9F86-ED5E-487F-875E-1B2C54956D37}</author>
    <author>tc={BFFDF1DD-3CF9-4B14-8719-9DEB2D506BFB}</author>
    <author>tc={A7D190FD-29DE-4452-9248-603C58271605}</author>
    <author>tc={937C2B5A-FBED-41DA-9DEB-561057C15CBD}</author>
    <author>tc={8361E184-5ED4-408F-8AAA-AD22B2D21655}</author>
    <author>tc={F7D31D57-5EB0-4006-9317-9591950AAD13}</author>
    <author>tc={BD0FDB9D-C2FE-4E67-8AF0-0FFB5D170471}</author>
    <author>tc={681E4445-D3EB-47E6-8D00-E9CB1BB36BC2}</author>
    <author>tc={9EED7F9C-D724-4E0A-A3FA-3BFB883893C5}</author>
    <author>tc={EEAD56AE-DF91-49FA-A05E-100A77961BE5}</author>
    <author>tc={7061D899-B88A-415B-9079-7203AF96DDAA}</author>
    <author>tc={86B3F2EE-51E1-4F21-A734-B3CFB09043AD}</author>
    <author>tc={89BD9AD4-EC74-4C6F-BD70-37B1FEFB01B4}</author>
    <author>tc={A3D18212-33BE-4885-B08B-431087A52769}</author>
    <author>tc={5957A900-EBB9-4CD1-87AD-9578F54907EC}</author>
    <author>tc={C76028CB-9EA4-42C5-A694-A20604D060C1}</author>
    <author>tc={0A541B78-A199-4621-8415-00BB0FE22905}</author>
    <author>tc={7BCECC96-3BB9-4CA5-A64A-226B4B1F8993}</author>
    <author>tc={93BD9F75-AD5A-411A-9F6B-2724083E5495}</author>
    <author>tc={A4CC5860-D72C-419E-8CDA-3692DB35D910}</author>
    <author>tc={86E7CD24-852F-4101-922C-6E20AE3A6FFE}</author>
    <author>tc={B91CD7AA-56A8-49FF-8FFE-6DF6D26A5C12}</author>
    <author>tc={8FEFEADD-92B6-4C52-89EB-FA23235DFD5B}</author>
    <author>tc={236D6481-7902-46BC-A670-13888BF231EF}</author>
    <author>tc={C8900766-4227-4780-958E-99C3F9388B1A}</author>
    <author>tc={1B2F64A9-3F71-4E96-95A8-803CEC0A2778}</author>
    <author>tc={9A3A4330-EE67-4FCD-B3DD-07A577C89D10}</author>
    <author>tc={0D0C89F0-1E38-4796-9FFD-7EEDB8F6BE03}</author>
    <author>tc={217DE9F3-1196-4F99-BB4B-66C24F4CBCB0}</author>
    <author>tc={98E55355-68CC-442E-98FE-FE6297A3D8A0}</author>
    <author>tc={687503EE-F16F-41F4-9F6A-22D7B1B07EF8}</author>
    <author>tc={DDEDCE88-7673-4AC2-9445-CAE33AD6BF27}</author>
    <author>tc={527A7CE0-D62F-4313-BC9B-2B5B59504348}</author>
    <author>tc={B21E2FD9-1A0B-4AAE-947D-7A4FB3EAE23F}</author>
    <author>tc={E897D92F-2FDF-41E0-B5D9-B9FF7F237DA8}</author>
    <author>tc={F3831BEA-7861-4E76-9238-91C45A6AD55F}</author>
    <author>tc={7E51E5AB-83FD-4ECE-82C7-1E7133B61495}</author>
    <author>tc={89BAEDEF-1BCC-4A19-997D-E316DE610DC3}</author>
    <author>tc={3B18D2AB-AF92-436C-8957-077C458C87C0}</author>
    <author>tc={5C3BE45C-C658-4FAB-89A3-692B5661E1B2}</author>
    <author>tc={8C9DFEB4-FA50-49A8-B2AF-FA3074C1AF56}</author>
    <author>tc={4FD0094A-4A1E-493A-9A61-11C0F06E94D7}</author>
    <author>tc={F59F71BE-6219-4EF2-A39F-40BBD09FF948}</author>
    <author>tc={0449C2DC-7B25-4EC0-82FF-CF5CED7747D7}</author>
    <author>tc={3D54B329-6BE2-4AAD-A359-55780D74C4E2}</author>
    <author>tc={38728606-897A-4802-A54F-DB5DE26E2007}</author>
    <author>tc={60078A21-B32C-42DB-B455-B5D603664589}</author>
    <author>tc={7F8ED35D-EE29-410C-BB43-AF1E7DAC1DBD}</author>
    <author>tc={6FDC8B10-9FE7-448F-B05C-6300027D5572}</author>
    <author>tc={564C9A6B-4541-43E0-9EA0-042EB8B23349}</author>
    <author>tc={BD18A285-74A6-47EA-B37F-AEC06136DF7C}</author>
    <author>tc={242DBD9B-DD83-4EAF-B4F4-B247854AE128}</author>
    <author>tc={BCD23B45-D03A-4EDE-9416-B4DAA1F35D6D}</author>
    <author>tc={D006FE44-05DD-4105-8F70-9C2CE2DE4159}</author>
    <author>tc={95F39258-46EC-4155-812A-F1EE57D9DAB0}</author>
    <author>tc={635AAF54-0BFC-4632-B893-3428CED3DD59}</author>
    <author>tc={7433310B-D48A-43F0-A553-FA3737212035}</author>
    <author>tc={DAEB5655-D600-4E83-9D52-00D210D1E242}</author>
    <author>tc={58A35C8F-9699-4EF5-BA79-D64760217531}</author>
    <author>tc={16E27C6C-5C82-4C82-A78D-6DCD14724411}</author>
    <author>tc={2C0714A2-BE0B-476F-BE26-EFAD9B0939C7}</author>
    <author>tc={F5A418EB-3C99-4329-99DA-00FB36B842F2}</author>
    <author>tc={B27D689A-BF41-4C95-8DCB-285D41767F12}</author>
    <author>tc={E99018DD-697D-4177-B9D1-DD2B199F940A}</author>
    <author>tc={DDA486F0-E2A7-4833-B748-2EC6E2D874D0}</author>
    <author>tc={9FD62AF2-BA6F-4133-8641-D4354B79D9A2}</author>
    <author>tc={087BA226-66E3-494A-AB3A-2CE3F90CEC53}</author>
    <author>tc={8DF3E662-4439-4570-A21A-1C2A10F879E7}</author>
    <author>tc={4AAC19EF-0F7D-49BA-A6A9-68E25EA6F4B4}</author>
    <author>tc={322D2D51-E31B-4BDE-82F8-28C007A52977}</author>
    <author>tc={4B6599D7-19F1-482A-9D9A-AF6276C9BED7}</author>
    <author>tc={07B989D4-F1B1-4DB6-A356-B08CC6486695}</author>
    <author>tc={B7B3B46A-655A-4428-9C5D-702E2E69D7E9}</author>
    <author>tc={00F4FFBD-DC47-41FC-9C6C-7E3CAAEBEAA1}</author>
    <author>tc={6E2058CC-509C-48D1-8740-747745E0F2ED}</author>
    <author>tc={02AE8680-CBB7-4E73-9E06-1E72E00B4CD6}</author>
    <author>tc={D89B3A4C-3A6F-413B-AB20-DB29188B561C}</author>
    <author>tc={0DEDED2C-17BA-4396-8321-134621F79955}</author>
    <author>tc={80BEB71F-4CF2-4C4B-AD0E-8ACC0F25CF5B}</author>
    <author>tc={B9F6137F-81FB-4B6F-8C7F-F2320DBF1336}</author>
    <author>tc={72075267-38E3-434A-9773-4B94B6B14266}</author>
    <author>tc={396227F2-640A-47D6-A841-44AC9B9E2B33}</author>
    <author>tc={3FBEDA89-473F-4BCF-AE62-0ADF45C70E39}</author>
    <author>tc={95879423-DBBF-4E31-A48B-27E430E14512}</author>
    <author>tc={F6640CE9-371F-4937-87E2-D68C41CEE489}</author>
    <author>tc={34935A08-E455-46C4-B0C7-FA5EB8C7C54A}</author>
    <author>tc={BE1CDA38-82E7-496D-9548-C76DA2316A21}</author>
    <author>tc={D1A53F48-E6B3-4EEC-963E-2515B54242A5}</author>
    <author>tc={9871966A-DAB9-4470-BF90-E32DC5F2C9B1}</author>
    <author>tc={B0F18D86-CF07-4B2B-8361-FD8235614DFA}</author>
    <author>tc={3A241DA4-ECC6-4A69-A53F-783C699DC61F}</author>
    <author>tc={9300F1BB-89AF-4F42-8E5F-DA2415C4BF45}</author>
    <author>tc={5780AC08-5757-4501-AD7B-35488FBA4D55}</author>
    <author>tc={F6B8D695-31BB-4E4E-97E3-8F2E6216E2BF}</author>
    <author>tc={AB96D6C8-2685-4119-99F9-38C41F18E1F3}</author>
    <author>tc={C1B0D578-FE55-4AB4-B3AF-B70E457CF35D}</author>
    <author>tc={116E1A27-FA0D-406F-93A8-2C89DC15CA0D}</author>
    <author>tc={EEA85290-5CE2-41DC-8593-DCDF25C2D8BC}</author>
    <author>tc={658C271E-5632-4477-918C-41CC6892CFBF}</author>
    <author>tc={780F7A33-ED12-4C76-B723-3F879FE8CD9A}</author>
    <author>tc={53D3DC24-FA99-4A34-9C5E-629444D588B1}</author>
    <author>tc={0D69AD2A-C555-4D93-AA93-2DBB0E97FDA8}</author>
    <author>tc={A5CDBD92-0FB6-4FE7-BB5E-9CD53739AFC6}</author>
    <author>tc={6811D9A2-CE4C-4FEF-AA0E-8A30EFCD2335}</author>
    <author>tc={BE525942-94F0-48C0-B654-DB894C2DD49D}</author>
    <author>tc={FFC9D4CA-A8E7-46BF-B91C-D6E6787CC402}</author>
    <author>tc={35DEC6E9-0C06-4076-B61D-4B58496D6325}</author>
    <author>tc={2395BEC7-3D0F-4EC3-8EBB-7149326EA6CC}</author>
    <author>tc={B432A33E-2B3B-4397-A5EF-BAD4DE337C53}</author>
    <author>tc={9469A706-F968-45CD-AEAC-1D707B535C55}</author>
    <author>tc={C54B4A57-70E4-4A7C-81BD-206E314161A9}</author>
    <author>tc={0617FF7C-86C2-4833-B8FE-F2586EF30892}</author>
    <author>tc={BF8737C4-A92A-4156-9C50-E64D009DFAAB}</author>
    <author>tc={45138D1D-0755-4E2F-8524-1D091AD36AFF}</author>
    <author>tc={3F27AA57-EBD9-41EE-AAC3-F50FC013C1BB}</author>
    <author>tc={2DAEBA26-2561-4284-B660-584146F9AE74}</author>
    <author>tc={7C673B2C-3F54-4BEE-A89F-AD1C903EC7BC}</author>
    <author>tc={F1704779-E236-4ABF-B411-5E1B7B3298B4}</author>
    <author>tc={F5019BF0-50A4-4035-B7B7-1263D95C09C3}</author>
    <author>tc={D12E69A6-D360-4D94-B7EA-6E4BF5A11C78}</author>
    <author>tc={D8354BF2-FFA2-4E47-9E51-8B5FDB395793}</author>
    <author>tc={0ADF1162-B502-4301-AA94-6C0C5FEE5BDF}</author>
    <author>tc={49A8DE7B-01DA-485E-8895-CB2F553B6FF0}</author>
    <author>tc={AD9421D5-FB49-46E4-9A35-223A8DBD8239}</author>
    <author>tc={4172F2CB-3BD0-4D52-8449-BEA4D6B34E9F}</author>
    <author>tc={6B85F6B2-877B-4326-AF29-FC39525A6425}</author>
    <author>tc={334425F8-CC1C-478B-B83C-BE969474C106}</author>
    <author>tc={0ED28FE4-EC97-4204-9973-1EC715B29745}</author>
    <author>tc={14ACDAF5-1E51-4CEC-B982-DDE4623A0EE6}</author>
    <author>tc={9911FAFF-F08C-4F05-A640-A40723B9ACB1}</author>
    <author>tc={32D66F5C-C381-498E-85BC-7D7C3AC8CD07}</author>
    <author>tc={756F8B1D-2CF1-4EE4-882C-91A5CE7CA92F}</author>
    <author>tc={C2B0DF43-EFFC-4168-A603-51219F08865B}</author>
    <author>tc={3455BC81-AD3C-46DC-806E-78412C1B05F2}</author>
    <author>tc={3C187E44-6979-4A4E-B87A-84B3BA626FB1}</author>
    <author>tc={FA40AF54-2B1E-4241-A1A8-31251930723F}</author>
    <author>tc={6D1E3226-14F1-4417-B759-B35EF6EF6471}</author>
    <author>tc={19455CC9-1D29-40FB-AF1E-2025278FB9B5}</author>
    <author>tc={FE4B4CAA-60E6-4784-8164-B264697BBE1E}</author>
    <author>tc={BECBD22E-AAA0-45F4-A559-033BF3FAFE23}</author>
    <author>tc={D08F89B3-88BC-4E24-9CE6-014F9CA39B01}</author>
    <author>tc={18D6CCCC-C845-462E-A1CC-893E19D34E7F}</author>
    <author>tc={7DF64D12-E7DC-41C4-A098-B6CBB2CC2876}</author>
    <author>tc={B38F3CD8-79C4-4CB7-BFB4-AFB35A5BD87A}</author>
    <author>tc={60B8BBCD-1394-437F-9EDD-3EAF44083D96}</author>
    <author>tc={5291AF63-3D11-4E79-85B7-5030467D25B0}</author>
    <author>tc={36D07945-146B-4444-93F8-31777A9D8C30}</author>
    <author>tc={676ED668-14E9-4F81-BEB6-52F5D174B974}</author>
    <author>tc={2FB55E29-4A99-4BED-9C0C-50E8B212E7FA}</author>
    <author>tc={992904A2-4880-4B46-8731-7F24D4AA4EC8}</author>
    <author>tc={3C28D30F-0BBC-4E21-B038-B64B17F64963}</author>
    <author>tc={594BCE8D-733A-4C0E-B40F-76A68229F74D}</author>
    <author>tc={860FFF97-D9B5-4454-9AB6-8476D78FACA4}</author>
    <author>tc={FAB44967-8193-45B2-8273-885E66B8EF51}</author>
    <author>tc={B67459E4-4146-4102-AF58-577A6CE03317}</author>
    <author>tc={7E9CD5A5-D0B7-4532-9C48-899ED7B07963}</author>
    <author>tc={54F98015-A12C-4186-ABF7-6592DF199A5C}</author>
    <author>tc={335F04F4-DA2E-498B-98C0-AF23E18B675F}</author>
    <author>tc={A6D0C0A5-1A7A-43DC-8AF9-6A2FE97BE2D1}</author>
    <author>tc={8B9C049B-70F0-4146-9328-A3C56C2FBB54}</author>
    <author>tc={53B5B646-25A8-42C6-A7FB-B66D4EDB5DE2}</author>
    <author>tc={6E42A968-38BB-4E28-ADE9-0217C0416268}</author>
    <author>tc={F8FFC424-C213-4CFE-A0CE-84B17CAEB662}</author>
    <author>tc={460291E8-678B-4213-9A83-38353276B828}</author>
    <author>tc={51A1501E-97DC-4AC1-A441-91D2C52769D3}</author>
    <author>tc={44FA2332-B075-4A0D-B0F4-BB577055F86F}</author>
    <author>tc={ECEEAF64-3291-4689-A479-D6756A8DFEDB}</author>
    <author>tc={8F0EF42D-8A10-4936-9EC6-FC033CAC4C7D}</author>
    <author>tc={A8074447-A7CD-4129-8D16-0792075D8122}</author>
    <author>tc={BFA1832A-8715-4C25-A328-1423B2303AAA}</author>
    <author>tc={F7A1655B-F313-4A72-9C37-E5B56111B915}</author>
    <author>tc={4BECCADF-8194-4AAF-A910-DE7F29DD7A93}</author>
    <author>tc={A030EA8E-C7D0-4DDE-BAA1-F4D6DB6553D1}</author>
    <author>tc={2AD367D7-9696-4CF8-85BD-48882F6B7DFE}</author>
    <author>tc={1D6DF28A-A420-4F9E-8AA3-4E153D2C692E}</author>
    <author>tc={0DC041AA-6614-4F24-A122-CB4B2B9DAEEB}</author>
    <author>tc={5449C2AA-EC14-48BB-9C19-0E64A1D5490A}</author>
    <author>tc={CD898DED-AB7E-4E16-B492-7434CE08A21B}</author>
    <author>tc={4FFACB24-CC8A-4581-B9F2-0B8B1E7F2A3E}</author>
    <author>tc={92DC05B4-93B8-4599-9A7E-48EE557C35BF}</author>
    <author>tc={40911A2C-05B8-47B9-A98A-3E77F6241B7D}</author>
    <author>tc={4233D379-83F8-43EF-8228-FB3A2409EEB2}</author>
    <author>tc={93503EE3-C5B4-4917-A52B-6C45A91E8312}</author>
    <author>tc={AD0D884E-1453-4D44-A49F-28091F3FB3E6}</author>
    <author>tc={AB16B687-AC48-4A91-A568-86A6DF119B9F}</author>
    <author>tc={5DFBC142-4266-43E3-80C9-6E857C994CE1}</author>
    <author>tc={091496FF-4E35-48F4-8277-448D8F186D69}</author>
    <author>tc={86662BCD-3DF5-4869-8D72-EA906227602F}</author>
    <author>tc={8D620568-932B-4F0A-820F-147A3427D721}</author>
    <author>tc={2FE42551-E211-4A22-B0F9-F332FD6680CF}</author>
    <author>tc={08402C55-BA69-4A35-8FC3-6808722A2472}</author>
    <author>tc={DC596E67-77F4-43C7-BDD3-017829864BD2}</author>
    <author>tc={F05FFC38-7F6D-468C-9158-6FF11147CF6E}</author>
    <author>tc={B8448CCD-C291-4D0D-BB81-1B99E86DFAA5}</author>
    <author>tc={6C5F6F5A-1809-4448-999E-981163EF62D9}</author>
    <author>tc={16E971C3-1BD4-4F25-9040-9231DEF67DE2}</author>
    <author>tc={FD7E1342-2150-4059-AE32-48A440D9A5DA}</author>
    <author>tc={8932F0D7-D804-4012-B1E2-45710A8EDB6B}</author>
    <author>tc={4175056B-55A3-41B8-A1CC-7A4458DD5590}</author>
    <author>tc={C11F3B3F-F61C-433C-9AF3-7144B75D5C4F}</author>
    <author>tc={64BE4405-DBAE-4C48-A657-8D8FC4E3AA3D}</author>
    <author>tc={DD5859F7-4716-4DC5-943C-302AE4AFC7C5}</author>
    <author>tc={DB331C14-C4C2-403C-844A-CF2B4CF310EF}</author>
    <author>tc={209126C0-3904-4916-B6A6-21774D0C4F38}</author>
    <author>tc={70CAA436-027B-4BBF-A714-6AFA95F1479B}</author>
    <author>tc={C79D5558-2651-4026-B1C0-AA6BF0DC181C}</author>
    <author>tc={1A378288-A422-4598-AE43-A798496E45E6}</author>
    <author>tc={BD64FC79-38EE-43DB-B5AE-AB0004892FCD}</author>
    <author>tc={D53907BF-AB40-46E7-B6D2-EF4161643CA2}</author>
    <author>tc={7D101F1D-7B97-45B3-940C-3B1D4EFD4F65}</author>
    <author>tc={1956494F-D2DB-4854-9C52-A4DB4586C42E}</author>
    <author>tc={2580F9F1-2CC6-46B1-B698-DF69719E2875}</author>
    <author>tc={9E68799F-2806-43B4-B657-F908F921571F}</author>
    <author>tc={79CDC2A3-6FD2-4CE7-8A30-0A19DB3DE5B3}</author>
    <author>tc={C970F739-A5F8-4F66-820A-557C2B848CA5}</author>
    <author>tc={6C9B95B4-9284-4095-A6EE-5F49EEE3D9B3}</author>
    <author>tc={FB9D6CA5-42BD-49A8-BE86-C954E799CAE2}</author>
    <author>tc={10026D6C-8396-4C89-A4D8-E67B5343ECBE}</author>
    <author>tc={E8AACE49-7287-4F76-86C0-ADD927E4E34A}</author>
    <author>tc={5393FDF4-9F86-47B5-A118-FD725493D25F}</author>
    <author>tc={4F1041BE-7E8C-4854-8091-FE5DA11A6A07}</author>
    <author>tc={159BE7A7-8D80-4357-B746-6283898298DE}</author>
    <author>tc={45B6051B-F259-429C-A69C-5DFA79D92B9E}</author>
    <author>tc={20A7E9F6-5ABB-4CE8-B7D8-C1EC658AA57D}</author>
    <author>tc={5619F2A3-15F5-4D64-A0CA-96C6B9ADFC4A}</author>
    <author>tc={D695278E-00FF-46B3-9839-A1F1217E93A3}</author>
    <author>tc={4A8B6ECE-E747-482B-89B7-470BB1BF6FD1}</author>
    <author>tc={802E9B72-052F-423F-80E6-2388A7766BBA}</author>
    <author>tc={44F02BC2-AFFA-4E98-B445-C51E0DC62A54}</author>
    <author>tc={D1713D55-11A4-4D1F-972B-07626B20E2D3}</author>
    <author>tc={473A910E-B60E-466E-9A21-D86EC9047E0B}</author>
    <author>tc={AE921828-0B35-44AF-92F1-DB7CB9BE507C}</author>
    <author>tc={4F27E59A-1AE2-4162-B000-9500424A5E8A}</author>
    <author>tc={02A0FAA4-3CF2-4376-9955-1E57ECD6E0AE}</author>
    <author>tc={F19BC764-D75B-4474-AA3E-7950CD06DFAC}</author>
    <author>tc={D8B8A6E1-8FB3-41B0-A87A-FC68DBE13E17}</author>
    <author>tc={0A852999-CD01-4FDF-BCDF-E3871FB46D7C}</author>
    <author>tc={6FE0C7BB-DECA-4E80-A0A5-6252E9381B79}</author>
    <author>tc={57E7DE0A-74AF-4048-81DA-61DC19F6B36F}</author>
    <author>tc={C346BF35-F1AC-49E0-A684-95604FA1BB5C}</author>
    <author>tc={CB57291F-5F26-44A4-82E2-016596F1C14A}</author>
    <author>tc={C6ECE848-1AB2-48A3-BC2C-561D2E479F1A}</author>
    <author>tc={0D80C73E-E92E-4A35-8E38-2C7A410B1378}</author>
    <author>tc={7507C459-F20D-4AA7-973F-08B7796DBC48}</author>
    <author>tc={3ADB84E7-994F-44DE-AFC7-FA4749B95D7C}</author>
    <author>tc={2E60BCAB-C879-4488-8A07-756C5A09383F}</author>
    <author>tc={C204A574-559E-40C4-8202-39CE7830D4AA}</author>
    <author>tc={D205E1CB-AF34-4432-8199-3796B491CC08}</author>
    <author>tc={2302B755-5B4A-4CCD-83B8-2585F030F5A4}</author>
    <author>tc={2D502A80-F799-4040-9749-E65EDF499EA4}</author>
    <author>tc={86BD0F64-C44E-44D1-A704-960F1B17E93C}</author>
    <author>tc={536F84EB-4011-4900-941D-3B5035F60708}</author>
    <author>tc={DE07D2E0-E449-4BDD-99F4-3FC0FADC485D}</author>
    <author>tc={AED7A66A-9BF9-424E-86DA-415E418A3D9D}</author>
    <author>tc={B4C2A68C-B399-489E-8E8E-9B28DFC0F80E}</author>
    <author>tc={8E85C5B6-9AC1-4271-B80E-68E60B3807D1}</author>
    <author>tc={740C8EE8-364C-4798-BB3D-A170E87BDC47}</author>
    <author>tc={8AAF4209-1198-4B3C-8406-E5D97804A354}</author>
    <author>tc={7C98C82C-FF1D-419B-8B73-FDBC2695E336}</author>
    <author>tc={7142DC4F-88AB-47C3-8105-66BCA5A1499C}</author>
    <author>tc={85B916EF-7F76-448A-9ADF-3807ED372C91}</author>
    <author>tc={411463DE-DE7F-4385-ABA3-9A348A944715}</author>
    <author>tc={9932F52E-E15F-4755-878B-0D4336863B56}</author>
    <author>tc={FA2EBF3F-58F7-4199-8B3B-6905D21B6D3F}</author>
    <author>tc={3D4A5E0A-0798-4AA0-97EE-860A42B3E473}</author>
    <author>tc={190EA7DF-FB8B-4DDA-BEFC-A6CE0B93F15C}</author>
    <author>tc={3AFCF375-734B-4768-A1F5-539190D5BEF2}</author>
    <author>tc={5DB8DBBC-D044-48B6-A589-F2653828387D}</author>
    <author>tc={92EE694F-0128-4830-845A-BC17E550213A}</author>
    <author>tc={4B379CAC-AE20-461D-ADD5-90E31C8729FC}</author>
    <author>tc={C1569F81-CF25-4156-BFD1-26A0A0C27FD9}</author>
    <author>tc={F1F3DF20-A0BC-448C-9207-ADC0F0BC78A3}</author>
    <author>tc={1B9C0766-3FC5-42B7-B217-8AD34E3F8315}</author>
    <author>tc={54CC3185-117E-4AB0-9ECF-3EC57D145522}</author>
    <author>tc={BEA50014-36C0-4041-AA6E-0BE7C999600E}</author>
    <author>tc={7AD322F0-FA1C-4912-A9C6-E9C7E8EC04B6}</author>
    <author>tc={E248F8A8-8BB1-4C2D-9C7E-5CF9A6CD828E}</author>
    <author>tc={7878919E-EC87-4E44-BCFC-9417063EA327}</author>
    <author>tc={1BA5E6B0-381C-4E0C-A3BE-D9A2BB209CDB}</author>
    <author>tc={41511CCE-6D8F-467E-986A-11E2C425916A}</author>
    <author>tc={6B128807-CF79-458C-9A0D-DE6DC918C5D6}</author>
    <author>tc={050878D8-522E-4AEE-9DC3-84B0DB03FEC8}</author>
    <author>tc={F38E391C-7CF1-424B-B747-1271A222C2CA}</author>
    <author>tc={FC517D9F-F2F9-41BA-AAAE-300ECC386E66}</author>
    <author>tc={8EFDEA6C-D1B7-4A9B-BCB0-0980821C780D}</author>
    <author>tc={0F6305E5-2F86-46E1-83DB-060F97579C47}</author>
    <author>tc={6E37F3C2-5D7C-4637-85CF-E325321D393C}</author>
    <author>tc={7032AE1D-7ADB-4821-80D8-19AAC2D7B240}</author>
    <author>tc={5807A1D3-6D10-42BB-8917-7F651D00F371}</author>
    <author>tc={0B0A158A-91F0-45CF-AAB3-46553DA62CE1}</author>
    <author>tc={5F4663CF-E12C-46AB-8A2B-AED356EC0CE6}</author>
    <author>tc={E124FBAA-0B49-4AE6-A4C8-1B59A74420A4}</author>
    <author>tc={C8D17B7C-84CA-420B-A38D-892B811C9C81}</author>
    <author>tc={56614FF6-81D5-43EF-82B9-299F8045FA70}</author>
    <author>tc={2AFEA2EB-0D93-4FEE-9905-C20D6A5897E2}</author>
    <author>tc={FE872E80-A1F8-4ECF-AC5A-6D565AC85C0A}</author>
    <author>tc={D508EAEC-4C7A-4D4B-AEBB-865F82E75741}</author>
    <author>tc={DA7128DE-EAAC-4B9E-886F-C70BD5FE73BE}</author>
    <author>tc={849EA806-E6ED-4FBE-8ED7-ABAB6E3F7863}</author>
    <author>tc={260AFD64-CD4D-435C-B666-86F2D7101AAB}</author>
    <author>tc={179F6D06-0A26-4A9E-B77D-23AB68F0E252}</author>
    <author>tc={5A8CBE09-8D65-4C96-88DB-6C5945656702}</author>
    <author>tc={1667C376-B9AD-458F-8860-C4F182810040}</author>
    <author>tc={9408DF53-6ED8-40C0-96B1-EEAC554DBD40}</author>
    <author>tc={C83EE3AF-D273-4883-A8C2-772EE949FCDB}</author>
    <author>tc={9D7934B2-7EFB-4B27-99A0-A09432400096}</author>
    <author>tc={637E6CDB-0193-42B0-9AFF-5EA861942544}</author>
    <author>tc={25E6D378-CBF8-4D9F-A19A-78649EBFF68F}</author>
    <author>tc={0187E204-F675-4F49-94AD-DDEE0D7D14C8}</author>
    <author>tc={E8AEAFD7-2297-4079-A99B-41A028851EC6}</author>
    <author>tc={E41EE957-7B4B-4895-916C-B2F6140FF363}</author>
    <author>tc={6C284345-0A39-4658-9E4E-13F8BC34F90F}</author>
    <author>tc={57228A44-5C90-492F-BCE2-AFCF1C26FECE}</author>
    <author>tc={E7A2E234-42AB-4856-A1FE-8EA27CB821E1}</author>
    <author>tc={2036D4E9-922F-4488-9C87-35D4368F8C01}</author>
    <author>tc={1054C9B0-DF68-4EAF-86D5-FA9A86852886}</author>
    <author>tc={612D5B18-9708-4BF6-A746-3EE2FE698B09}</author>
    <author>tc={27468245-ABF5-4D21-BE18-F0925F29CC4F}</author>
    <author>tc={D85B90FD-5525-4821-A37E-29596BA2A9E8}</author>
    <author>tc={CF4EC61C-6D89-4B56-9508-5D3086709F45}</author>
    <author>tc={63196827-78FC-413C-8AD3-A0197CE57EF8}</author>
    <author>tc={29570F42-4E5B-4D0C-942A-17881F092B50}</author>
    <author>tc={FEFB2221-AB36-44D9-8064-B412D09CD769}</author>
    <author>tc={4C9CB2C0-0588-4187-9176-6E7A5C98565D}</author>
    <author>tc={C70A2317-D2F4-4860-8A1D-5D78F7CDF682}</author>
    <author>tc={0D2F3382-1C67-4BCD-9C8C-B3F92D29475E}</author>
    <author>tc={7AC2CDD1-374A-44A6-8534-9BDEAC5BF057}</author>
    <author>tc={982E2046-0747-4DE8-965D-7269F164B026}</author>
    <author>tc={E354A60C-E790-427B-9C67-BE4917F953C1}</author>
    <author>tc={79B446A2-760C-4662-95F1-ECA6C7CD0DEE}</author>
    <author>tc={BDF9E5A1-ECC0-47A4-A0B1-DE3B91AB48FA}</author>
    <author>tc={73DB98D2-3192-4BDE-9696-4E733853BA4A}</author>
    <author>tc={E7B5435F-520D-4B6A-9225-28D9A18928C1}</author>
    <author>tc={F3658AB6-9C46-46D3-B512-40EE399BF4E0}</author>
    <author>tc={D1885004-0BB5-4DB5-A2C0-92FD2D5EB9ED}</author>
    <author>tc={9C176ACA-ADF1-47FE-ADAD-3DF3D3FBAADB}</author>
    <author>tc={803B3726-F794-4EDD-AA85-CB6B2B366D9D}</author>
    <author>tc={7795EAE4-DDC9-41E6-8146-B07A1BD0931A}</author>
    <author>tc={DE542E8A-5915-4863-B99C-94E9D314A72A}</author>
    <author>tc={94AD4ABE-B785-4515-9F9E-F73022AEAFC7}</author>
    <author>tc={1CE97A16-F8EB-4A07-A94F-FF5E3A8991E0}</author>
    <author>tc={CC30C3B4-7657-42E2-B74B-5A167C67794D}</author>
    <author>tc={16C76330-42FB-41EF-AB0E-769D77187B03}</author>
    <author>tc={E5983372-8BE1-4A90-B901-B29BB41DF6AD}</author>
    <author>tc={C9C11992-4AE0-431D-8FAE-C1CBDB05A106}</author>
    <author>tc={79A345D4-910C-4297-95B9-5D7FB86FFEA1}</author>
    <author>tc={4BEBAD46-AD05-431A-832F-19F0D57EE112}</author>
    <author>tc={645065AD-207E-4356-BDD7-5B2D75CDA389}</author>
    <author>tc={CA3FB946-893E-4F9E-97D6-48D48BDB444A}</author>
    <author>tc={5D804784-E313-4558-8CFD-672934002025}</author>
    <author>tc={F4C72D3A-2438-42FB-A462-4E2071A3D6E1}</author>
    <author>tc={3B78710F-91DF-47CE-8076-D9F4E4A4E829}</author>
    <author>tc={BDB535D0-4029-402A-9757-E0AF5F5C2C7E}</author>
    <author>tc={C8055D54-9A82-4C2D-B0C5-99CC71821972}</author>
    <author>tc={AA00EC0C-035C-4A60-BBD6-D2C447BE094F}</author>
    <author>tc={74A1ABCF-20C6-4C34-8264-45F084382E59}</author>
    <author>tc={55960BB1-99CD-48BA-BDB2-F0A6B822FD02}</author>
    <author>tc={16910FFF-0E9A-45AF-A3D0-36C69B90157D}</author>
    <author>tc={7E46E47A-84E1-45BB-AD86-7EDBB8FCC291}</author>
    <author>tc={B952F9FC-BB70-4600-85BD-BDA2ABC4AA7C}</author>
    <author>tc={7E9C8D9F-3386-494D-8C37-B117C600740B}</author>
    <author>tc={4272390B-38BC-49CB-9AB9-00B5A72B4740}</author>
    <author>tc={8FE0D759-CAF3-48E3-ABF4-EEBAF1A0E2CD}</author>
    <author>tc={379ECD56-14EE-4C81-8964-940E9DAE2EEF}</author>
    <author>tc={24335777-9C81-4DB0-B4E8-C5E79810F28C}</author>
    <author>tc={59A8E9D6-4B52-4612-9A60-4C766C303775}</author>
    <author>tc={95CB1387-44EF-4300-B467-4F41FCC5D4A7}</author>
    <author>tc={DE5C51B9-1602-4E2E-B8C0-C15ED1BE2BBC}</author>
    <author>tc={C8D70E35-9325-4BE6-8239-7317EFE7BF4C}</author>
    <author>tc={CED54C0B-8BC7-466D-8CB6-E1CF42851318}</author>
    <author>tc={91190D34-7CF7-4D07-8B6B-17E462B3229A}</author>
    <author>tc={2659DBA8-17A1-48A1-A0B8-0653ED1A7750}</author>
    <author>tc={42DCC2C4-0274-481B-B366-8893131C6148}</author>
    <author>tc={C7443B98-D272-4797-BCEC-D44B1F21EA80}</author>
    <author>tc={EF863D20-2984-4D14-9D03-B96B9052354B}</author>
    <author>tc={33020455-0295-45F1-9124-64A7A49051CA}</author>
    <author>tc={B9B2B065-CC32-4F73-BD35-FB670672E486}</author>
    <author>tc={C788C0D5-6D78-4188-AAFB-2FA67BA83E04}</author>
    <author>tc={37FB240B-1165-4E96-A359-321F93639E2A}</author>
    <author>tc={60AF08A2-9B4F-4C29-B2C3-800AF9C73FEF}</author>
    <author>tc={BDCC20B4-54A7-4DF1-AB31-07D6083B1F7F}</author>
    <author>tc={18B9B10D-DB23-46CE-AE6B-0152967B10DA}</author>
    <author>tc={712B84F1-B58F-4E7B-8647-ECE059D47F6A}</author>
    <author>tc={A6B9614C-9F45-40AB-9660-2629CF3918D5}</author>
    <author>tc={8AFC63DA-4635-4920-9DF8-12F728020FAD}</author>
    <author>tc={DBAA30C0-D4FB-4ED4-BDA3-086E3DF9F624}</author>
    <author>tc={3E3A6E7C-12ED-46AA-828F-294060EF118B}</author>
    <author>tc={476D813D-5102-46DF-A818-D635B3D68117}</author>
    <author>tc={56A789B8-FBCD-4465-96A0-A15D6BBDE07E}</author>
    <author>tc={EBA02C59-21E8-4B41-94A6-0044EF7D40D7}</author>
    <author>tc={F3FC6F86-1E34-4C81-AE23-20B148088A8B}</author>
    <author>tc={6FF79786-380B-478A-810C-68F8B66FB8B2}</author>
    <author>tc={644C1998-902C-4054-BEF9-9CB764C9C5E5}</author>
    <author>tc={E5887DE6-EF0C-4892-8875-7FA9880A93AA}</author>
    <author>tc={930E03B4-FCB3-4104-B056-B7C806D76237}</author>
    <author>tc={4B1C41C3-87C6-4299-9D64-FE59F1BE1384}</author>
    <author>tc={12A11147-76CE-44C7-9DC6-CAE5DC75C6DF}</author>
    <author>tc={CE8ED25A-E47C-4176-B49B-022DB96C7C15}</author>
    <author>tc={691E2C74-F5F4-4F6E-8B93-ADCD275033A0}</author>
    <author>tc={9DE064C8-93E2-4BFF-A1D3-94089AC48CCF}</author>
    <author>tc={B010D424-115B-4535-96DF-8E8BFA102514}</author>
    <author>tc={A49DDE4D-2D07-4486-8A88-52F01F6F66E6}</author>
    <author>tc={75F4A299-B441-4620-AC7C-D75903AC7CD9}</author>
    <author>tc={A98707F5-7630-4F8E-AF86-3D198A640FA5}</author>
    <author>tc={D5623DCD-D838-4570-9ED6-3BB95D92723A}</author>
    <author>tc={1BE6B67F-D1C5-4DE1-8C51-575A971AB18B}</author>
    <author>tc={12F0D3C8-CF56-40F7-9485-A7750A0DA886}</author>
    <author>tc={81411A1D-379E-4A82-B054-2D4ABEEFD714}</author>
    <author>tc={133A994D-2D84-4C7B-BDCD-D67F05EC13FF}</author>
    <author>tc={35F3EB17-1D89-4061-AAC9-99DF64CE4255}</author>
    <author>tc={951FC648-754F-4E20-90FA-8C25C8181535}</author>
    <author>tc={FC2DD2CD-0FAF-4C54-9FD3-E9C5AE72849F}</author>
    <author>tc={C0877835-C49F-47C9-89E6-3AFE5389408E}</author>
    <author>tc={91DFC86B-8842-45DC-8F66-215513D1D43C}</author>
    <author>tc={426068DF-11B9-4EC6-82B0-579AA8105CB6}</author>
    <author>tc={3A47851F-F5AD-48CA-8B5A-3B056811E6D0}</author>
    <author>tc={8A9E61B7-751D-4E07-907B-4F389CE5085D}</author>
    <author>tc={73FC2076-FBFD-434D-AE0D-EA142BBC7B3A}</author>
    <author>tc={1AC96485-2B05-46DD-95D0-FC2A02A7E03B}</author>
    <author>tc={83A0D31F-E3EB-4FE9-A5CC-37CB73EA4C08}</author>
    <author>tc={4A80CD2C-DA52-4829-9E15-105A2FBFDF68}</author>
    <author>tc={975E0C5D-BD1D-42FF-877B-0550C19E7AA1}</author>
    <author>tc={DEF55DF7-ABED-4251-9D38-5AC456876312}</author>
    <author>tc={722519D6-5449-4FFB-BCFF-A24713676756}</author>
    <author>tc={22977220-89D4-4434-9EDA-C863E1A17678}</author>
    <author>tc={13D9E04A-20EB-4112-A2AA-00054244559E}</author>
    <author>tc={01F419CF-3757-464C-A6C5-5279992EC3C6}</author>
    <author>tc={1C443151-5393-49A3-BA07-64AF3EA562F0}</author>
    <author>tc={51F8B996-86E5-46B5-B795-5E090F09A72F}</author>
    <author>tc={5E6EAF3D-301D-44CA-AF4B-15858CBBF41E}</author>
    <author>tc={0152AFC8-7C78-4731-874D-46C4FA3179F6}</author>
    <author>tc={F0F1EFE2-504E-40FF-BDCE-61E725AB86FC}</author>
    <author>tc={68510692-4688-4F29-A558-664CAB0CF483}</author>
    <author>tc={3CC0BB12-DD5D-4EC8-A09D-941D1423AB82}</author>
    <author>tc={3240113B-560D-4730-B7E8-298E28391707}</author>
    <author>tc={1292C11C-64DA-41E5-8190-BE2564D2ECF2}</author>
    <author>tc={8A7B98E7-6296-4492-9B69-38716E31083A}</author>
    <author>tc={9B42EDCB-4F42-4BAD-A42E-DE3EDE33DC51}</author>
    <author>tc={61817EB9-CCC2-4AE1-975F-F93923A0D6C5}</author>
    <author>tc={E842697F-1336-4B63-B7BD-C6125C8F377B}</author>
    <author>tc={B933A4F0-BEA2-445D-9A3F-BE09484AB052}</author>
    <author>Sahil Khanna</author>
    <author>tc={68B7DF13-38F9-4952-A0C0-2BB19F362AB6}</author>
    <author>tc={6B645905-1765-411B-8868-1970FB9E251D}</author>
    <author>tc={C9CC7629-CE2C-4AD4-80CA-345A1A05CBFC}</author>
    <author>tc={EEB1B5AD-971E-4C4D-B47E-1A19F2C16C0D}</author>
    <author>tc={61C4B73A-E4E8-4E96-A7BE-351A9C0E374A}</author>
    <author>tc={189F676C-2AAB-4811-8FAA-5A11529D8D6B}</author>
    <author>tc={0E1EDF0A-7071-4536-A569-54A1CE137014}</author>
    <author>tc={5DA8C072-8F61-4255-A9F7-5CCFCD2EEC08}</author>
    <author>tc={24632E83-BF42-4124-B0B1-B71E9F2FF662}</author>
    <author>tc={E5778397-39A0-4E97-ACBC-52C311F85E7B}</author>
    <author>tc={B89F70A6-C79A-4A39-B4D7-CA06CF07A497}</author>
    <author>tc={9A2FA36D-751F-446A-BD79-E40A853BB288}</author>
    <author>tc={7AC8D201-97D9-4BF6-8D26-1A5B90925378}</author>
    <author>tc={3DA7B6EB-6F3D-4CDE-B9E0-DD4AF73267A2}</author>
    <author>tc={647E602D-13A6-4172-968F-688BA5DA167E}</author>
    <author>tc={7C0C3A71-D244-44DA-8970-4306587AD1DC}</author>
    <author>tc={CC5A86AF-8556-4303-9E33-0CE0D999810E}</author>
    <author>tc={D8CCC8CE-DD29-42BC-AADD-4FDA58618855}</author>
    <author>tc={129B7B60-3AE3-4A09-9E24-70A15FB39350}</author>
    <author>tc={604EEAE5-D31B-4435-8E12-652C342BC24A}</author>
    <author>tc={B9D75251-E134-4BD3-AA1B-D1E2109A4357}</author>
    <author>tc={E0801E64-7469-4822-B328-410FEDAAE2A6}</author>
    <author>tc={67F9005C-B998-4505-A52E-EE6D194DD548}</author>
    <author>tc={42261A54-EAD9-45ED-9573-CC889FA99D0D}</author>
    <author>tc={44F6FF32-F3CA-47A0-A27A-B540167D8356}</author>
    <author>tc={222D2C20-AFED-433E-8067-0E2AC770FABB}</author>
    <author>tc={418C097A-53BF-47F8-83D6-4320704C4F8E}</author>
    <author>tc={13773985-21F3-40D6-A815-086D8F13B76E}</author>
    <author>tc={1BA4E20D-6203-4B6D-BD9E-B9D6968573D3}</author>
    <author>tc={37AE5CAE-B4D0-4DB6-AA91-6A5DE527E5E3}</author>
    <author>tc={81806398-6077-443B-B3F4-3351049BB415}</author>
    <author>tc={551A0CEE-E990-4E77-B5B1-3E65A1C4672C}</author>
    <author>tc={8CE81E4C-9CD6-4328-8689-68F4F9908CDB}</author>
    <author>tc={CC5C0B0D-5D91-4FC0-99FA-818A2048035E}</author>
    <author>tc={D138E2B8-9C34-495C-BAA5-C21C2A292A32}</author>
    <author>tc={BE1B3455-446A-417C-8A03-8D3FAB283EB3}</author>
    <author>tc={E2C5AAFA-2CBE-42DD-A10F-F31F529DC9A9}</author>
    <author>tc={02FEE62A-4890-462D-870D-EFC451DC3B26}</author>
    <author>tc={7DBF4E53-4145-4E83-A4D3-2B4EF1FE1A38}</author>
    <author>tc={656A2B5D-63E8-4422-A159-9D8A1332C3B1}</author>
    <author>tc={0E3C24EF-BD49-4435-A8A4-9CCFB79452FE}</author>
    <author>tc={0376B2A2-D426-4CE3-9440-0FAB20FD802B}</author>
    <author>tc={626C3813-CC57-4A10-BE09-3FD506B9A346}</author>
    <author>tc={AE17E71F-862C-4A1E-9E67-A74809524CDE}</author>
    <author>tc={B4C52688-D5C3-4F6F-AF3D-029949ABB07C}</author>
    <author>tc={CC3D03F0-D616-4364-BFC2-29A117C7429D}</author>
    <author>tc={B211841D-1A8D-4FA3-9901-D76DC744D277}</author>
    <author>tc={C4AF3410-475A-4401-AD1B-CAF377326502}</author>
    <author>tc={5B086CB4-6E60-4A00-B892-254BCBB72F2C}</author>
    <author>tc={68703528-3BE6-4EEF-A805-EF1AA45D90C3}</author>
    <author>tc={0A6CC130-EBAF-4A43-8D83-446157B545D5}</author>
    <author>tc={7B4568C7-2E8E-4E69-A0C7-E5AC1E4F7DED}</author>
    <author>tc={3F8E8376-219C-4056-AF2C-6EDA41F72C31}</author>
    <author>tc={B08EFCBA-B90D-4C78-97D0-C791940CAF8F}</author>
    <author>tc={C84F42B1-8B8A-4F9B-976C-60CD2AA782DD}</author>
    <author>tc={0C0F6376-E2B6-42A3-82A2-BC39C39CDC60}</author>
    <author>tc={F7BBDE07-0759-4C21-BDE6-F17E168D1A9B}</author>
    <author>tc={5973028A-0730-4A69-9605-7D5A80ED10A0}</author>
    <author>tc={C2926127-1CBC-40C9-9BE7-2EE785A20B98}</author>
    <author>tc={8D457A83-48D2-4B38-A886-B264760A98EC}</author>
    <author>tc={524D5E33-D198-438A-A398-ACDC31F42A72}</author>
    <author>tc={D9074C85-CE1F-4E56-A2DB-C9C756D3B1AC}</author>
    <author>tc={3D2B9DEA-E09B-4191-B2AE-044D7F4EA0D9}</author>
    <author>tc={EED2F810-D00B-42D4-8461-6A301B2FB6D1}</author>
    <author>tc={80E31819-DB8B-4BE1-817A-3EAA2FDC1705}</author>
    <author>tc={C1BE7076-65FC-4A89-8000-260AE77B1786}</author>
    <author>tc={C23C9385-5148-4D7D-969A-A427D093558D}</author>
    <author>tc={716729BC-3AA9-473C-B2D1-3E3AF7E0152C}</author>
    <author>tc={E4E1C50B-735F-4AAF-8D19-9B1F98129160}</author>
    <author>tc={A809E944-7D23-408C-86EA-C3988EFF60A8}</author>
    <author>tc={82E79F41-B3CF-4CEE-9794-6F195256F05E}</author>
    <author>tc={FEB8227E-31E3-459C-BA75-1F056B7BBDC5}</author>
    <author>tc={9DB620FF-3207-4B1A-A10A-7C5125CEBFB6}</author>
    <author>tc={01050086-22CA-4D6F-8EA7-6BB6A7C9E9D7}</author>
    <author>tc={945CF200-FED8-48A4-9BED-0501AA6F2E9E}</author>
    <author>tc={210E6321-0BA4-4595-9253-3608577BDF48}</author>
    <author>tc={D885B111-AEDB-4AE0-975C-EF00DC104CE8}</author>
    <author>tc={901D87EA-E4E8-4A57-8CAE-9E5BAE30DCF4}</author>
    <author>tc={D5927B44-E12E-465D-9D96-1C973773E33F}</author>
    <author>tc={29F53A71-B8AC-43C5-9E45-7C66893B1C4B}</author>
    <author>tc={7448D636-0CD1-42AD-9D76-092A743FA917}</author>
    <author>tc={F3D4FA9D-125F-4002-BCEC-8C4B5FC0995E}</author>
    <author>tc={391CC4D4-9039-4CCD-A9D0-78089A45CE56}</author>
    <author>tc={6B5A8F5A-3ADB-435B-A5FD-7FF91FEEABB9}</author>
    <author>tc={F1DFC0AA-D4F5-4CE0-AD68-74DB9A999ECC}</author>
    <author>tc={B487E5DD-C929-4380-B0E8-974A44EB799C}</author>
    <author>tc={0F577E19-F8BD-402B-95A3-DD22128E6D1C}</author>
    <author>tc={B6469816-6D79-44BB-9E24-6F79521BBC6C}</author>
    <author>tc={E3729C28-CBC9-4505-94CA-4B4DC98EC75B}</author>
    <author>tc={4C0326CA-5B37-45D1-88DB-778702629A26}</author>
    <author>tc={AB1E32C8-AE64-48E8-87BC-54A325E53E46}</author>
    <author>tc={85E2BF87-BC9B-4360-990A-F9E303092DC5}</author>
    <author>tc={157A874D-F5DB-49FD-A42E-97475E5583CE}</author>
    <author>tc={67BAC8AA-AD95-47A2-8F42-7DF78D05410A}</author>
    <author>tc={7545261A-CD1A-43A9-B37B-1C2CDCE8E411}</author>
    <author>tc={ADEA5A2E-4B9B-4C3B-A6B6-A7832E423445}</author>
    <author>tc={37C7597A-4BA9-4803-B6D2-1ECC5570A11C}</author>
    <author>tc={C87F8C31-5A44-416A-AB85-A8820BF5C2E4}</author>
    <author>tc={AFA7EC85-9B32-4EBD-8DFF-A0F8EB1C62B4}</author>
    <author>tc={C6EAB9F6-5295-4794-808D-085E8563C5DA}</author>
    <author>tc={DD0A7A38-DF43-4891-AA89-A6670D87AB82}</author>
    <author>tc={999F3670-251A-4D45-B85F-F624BEEB8944}</author>
    <author>tc={65B5EFCB-5828-4C12-8CC5-3536948D4C96}</author>
    <author>tc={0DCAFE84-F98C-41A7-B31A-22D311F7DAC7}</author>
    <author>tc={D98ECB15-ECC6-45DF-9169-DC5F126BA1BD}</author>
    <author>tc={21873D24-3176-476D-8B63-8D5FF2BEECA3}</author>
    <author>tc={392EB5ED-CE7A-4B71-AB46-DA625F14C272}</author>
    <author>tc={E22C515C-0D58-4A01-AAAA-D518785F6E4D}</author>
    <author>tc={F08B8C8D-6B80-4A5F-8DE3-81B04FBC26DC}</author>
    <author>tc={92B1171B-6E96-4343-A3A5-E4DFD8910D72}</author>
    <author>tc={A6C5C459-F979-4CA5-9F0D-A8AACA07CF05}</author>
    <author>tc={3D6DAF97-9AD1-4B47-85B7-80DFA59A881F}</author>
    <author>tc={9E96F67A-0425-48E7-99BA-7B79FD024C95}</author>
    <author>tc={A3C0BB52-B6E3-4BAA-8608-61A849A88412}</author>
    <author>tc={05B3FA2B-CF2B-44A0-BD4A-48A26AEBB8E6}</author>
    <author>tc={260C3C50-A100-4078-8D84-99E828A78E0F}</author>
    <author>tc={982D61E4-7BEA-4EAE-A55E-650D77E3A13D}</author>
    <author>tc={AB122FC6-C722-41D1-9121-266C3470D04C}</author>
    <author>tc={2A7EDD7A-850E-49B1-9651-8173169270A8}</author>
    <author>tc={FDC18E4A-CCCC-410B-9620-241D4B778A9A}</author>
    <author>tc={0ED771FE-053F-4308-AA90-6BECB270C7B1}</author>
    <author>tc={5A1A07D4-579B-44AD-AA1B-FE148E491E8C}</author>
    <author>tc={28B0F57F-6E55-4C6A-B79A-4BF6E71DC94D}</author>
    <author>tc={03877BC4-7FE7-4321-B6A2-0095EF205E9E}</author>
    <author>tc={ED61DA41-76C5-4C8D-B9DF-AA72E38D4E66}</author>
    <author>tc={F3467B02-A12F-447C-AA72-34F5132FCADD}</author>
    <author>tc={7D1D9DD6-F76B-4D63-867D-99E98C3C9522}</author>
    <author>tc={D8219D7C-BD3C-4617-8BD1-CCF1977F9524}</author>
    <author>tc={2D44A944-E6D8-4C4B-9913-3FFE7F85975B}</author>
    <author>tc={A9F1BDFE-6288-420F-8F26-F995F2EB2B9B}</author>
    <author>tc={0483834C-205C-43F5-93E3-93106B7F7234}</author>
    <author>tc={6DD5AAE9-43D9-4B43-B2DE-A8BB8BF36FEC}</author>
    <author>tc={65C72F53-00FC-40F1-89F5-DA696A9066F2}</author>
    <author>tc={FEBEE54D-58DE-4A00-9E29-7DAD7BD99323}</author>
    <author>tc={AFE659C1-04E8-4740-B409-FCC80EC2F0A3}</author>
    <author>tc={1958AF92-82C9-4BBD-965C-6663FF83FB1A}</author>
    <author>tc={24C183A6-0F42-4814-949E-C49B877DAF9D}</author>
    <author>tc={C2622EE4-6C6A-402A-98BE-BCD1CA35A0CC}</author>
    <author>tc={FE2E329B-57B6-418E-9C5D-47C38BCEE2E6}</author>
    <author>tc={792102D1-406B-4E28-B572-B18569A4DEE9}</author>
    <author>tc={5B0B2AB2-FE85-4C57-9503-F9DFAA904C8E}</author>
    <author>tc={766CDBB4-99E1-4A96-9DB8-B6877FA5D5B5}</author>
    <author>tc={801A9FEF-C4CF-4F0A-9470-CD6F5123426F}</author>
    <author>tc={2F492AE8-E254-43D1-9DE1-3FDC3649AE33}</author>
    <author>tc={506024BE-61DB-4B57-AC0C-09C7354AF548}</author>
    <author>tc={4C57A513-2F44-4804-B3DD-A47CAB68DB09}</author>
    <author>tc={E8CA112F-AC70-4EE0-B78B-36F5AA9DAF48}</author>
    <author>tc={0B554583-2023-4A4E-A161-846E3999E888}</author>
    <author>tc={EB1166A4-7F38-4C21-9462-FBD50D75A8FC}</author>
    <author>tc={AAAD7ECE-283D-477F-8D2F-746BCFF7812D}</author>
    <author>tc={AABC2877-9963-4598-ACF1-5C1689BA771F}</author>
    <author>tc={4114BF66-2C75-411B-ACFD-209C0B0B1CE0}</author>
    <author>tc={14058883-B7AC-4416-9D3B-E15057713C84}</author>
    <author>tc={B444FBD3-06BC-47DD-B42C-20587D1F26A2}</author>
    <author>tc={ED13B327-8ACE-4E7F-ABEF-733F52DD29DC}</author>
    <author>tc={1EF635C1-7E3F-4AF2-8337-7DF1ACCE5275}</author>
    <author>tc={4DC99B90-A288-44F3-87C7-B49699AF0A04}</author>
    <author>tc={A0C66E4A-A3BE-4FBD-8DDA-B23DE620DF72}</author>
    <author>tc={FE378ED2-C445-44B6-BAD8-9A1FE417BE29}</author>
    <author>tc={00A603B2-5299-46AE-8B6E-855A3514AD97}</author>
    <author>tc={D857AE45-6F2E-4030-93CB-B01D1A3F53A1}</author>
    <author>tc={217FF6F9-4795-4E54-B4B1-6C6B9E85CA65}</author>
    <author>tc={CEE1788B-5BC3-4F45-9EDC-EAD888749354}</author>
    <author>tc={8C640F98-4244-49A5-82A1-EEBE5847D699}</author>
    <author>tc={FACD3E63-E261-4C80-B054-A25596B93713}</author>
    <author>tc={F6D70E81-A615-4EBC-8896-E8FCEF2D584C}</author>
    <author>tc={25D67E6A-F641-4351-BB18-9A7D0FDD3E59}</author>
    <author>tc={DD69DAD6-4D9E-429B-93E1-9393549B0196}</author>
    <author>tc={71D5E295-7C3F-442C-98CD-C59BA48D26FA}</author>
    <author>tc={7D972491-C935-4F61-A7BE-500A1E784DC0}</author>
    <author>tc={C409EEC9-89A7-42D0-9005-62DE85429453}</author>
    <author>tc={D24251D0-5C8B-4CA1-8711-1F9475F81311}</author>
    <author>tc={6E4B3451-D99E-4D4A-B5A6-10D3890863C7}</author>
    <author>tc={89EAF6FA-F1EE-47B3-9F0D-20004597AD99}</author>
    <author>tc={0494DE0A-EE89-469B-A714-A4D60C5B4FFE}</author>
    <author>tc={5FB5FD9A-3BEB-45EE-9B76-0C531B58EC5B}</author>
    <author>tc={617EFE0D-66EE-4F29-BD5F-29A407F1BFCE}</author>
    <author>tc={1B124C53-FA9C-4A5D-88B9-C614EAFD01E5}</author>
    <author>tc={0DD69C44-DB4C-471F-A980-2A00EE269517}</author>
    <author>tc={325827B1-0C26-4ED0-A947-9EB428D9403D}</author>
    <author>tc={AF5DCF4F-75E5-4D2B-8A5D-4B4BE50EE370}</author>
    <author>tc={0B9C8547-25D1-45D3-9EBF-49974D713AF7}</author>
    <author>tc={62C3CBC6-6546-43B6-898D-864684595214}</author>
    <author>tc={BCBBFC82-FE4B-478F-9878-26D3D24784DD}</author>
    <author>tc={BF3E89A0-6D8F-4F43-A0F0-51EEC3E143AE}</author>
    <author>tc={9CB3FC34-7079-458D-8264-BBD79089A95B}</author>
    <author>tc={BEE6D106-A199-43F1-A3F5-3BA15F086BB8}</author>
    <author>tc={08DC7219-DE8F-4F72-B1E5-A98D0359C23E}</author>
    <author>tc={35D172CA-DE92-4734-A014-8077593B517E}</author>
    <author>tc={0F05C6A5-4719-498C-B261-C2E13973F45D}</author>
    <author>tc={2A9029A4-C4D3-4B38-ADB8-6DAC05453A2B}</author>
    <author>tc={E477EAE2-0FC3-46B6-81A5-D707CB073A5C}</author>
    <author>tc={F0403F64-5C4B-407B-B996-7CB8DA0B0E2B}</author>
    <author>tc={49B763D1-5895-4F7F-BA1D-F111A6C9E84E}</author>
    <author>tc={AD601529-7EC4-4C09-B632-E0878D6A7B8A}</author>
    <author>tc={893FC583-7D79-45D5-9A1D-9EDF0D4A0CD5}</author>
    <author>tc={7AEE0001-12DB-4072-AE16-F234C4F27B24}</author>
    <author>tc={FE7B9EA0-06BF-4464-9B03-5A624BFD99F9}</author>
    <author>tc={7308A415-B03D-42C2-9897-B13AF2796149}</author>
    <author>tc={45E1ED7A-B3E0-46A2-AC67-A91C4B083C8B}</author>
    <author>tc={4D3A8A69-C397-4035-9C77-D9CE91D558AC}</author>
    <author>tc={6DF2E90C-8C02-4A6A-A7D7-DAFCC3AE0148}</author>
    <author>tc={EB2ECB1A-5CB0-4BFE-9CA8-D354325EB4BB}</author>
    <author>tc={A585D646-7947-4369-8A92-C4DD8FB2E249}</author>
    <author>tc={68B6FFD0-A9EF-4C5E-9B1E-322FDD51CDC2}</author>
    <author>tc={1671642B-A7B9-41F2-A2B4-350630C486BB}</author>
    <author>tc={D2488F86-75D2-4155-9E86-AFB1F034408E}</author>
    <author>tc={12EB96F3-67D4-47B8-AEA4-E3DC073BD963}</author>
    <author>tc={AF63F5CA-B4B3-4B27-9530-6746A27273AB}</author>
    <author>tc={9994D547-0735-4151-A004-DC0FB80275D7}</author>
    <author>tc={53B75271-F76C-4BA6-A20E-6BB0EBBB2F3C}</author>
    <author>tc={085CC36D-8088-4D86-9AC9-2A0A58FFC28E}</author>
    <author>tc={E810D24D-DF0A-41B3-8640-6E4DF509A162}</author>
    <author>tc={6D6E8444-7AB6-4900-96B9-041120EC5F31}</author>
    <author>tc={9ACDEB26-20F1-43E1-8CCF-2AE3CE419A0A}</author>
    <author>tc={9F8C3947-7F7C-4E1D-9C34-A747318DAB31}</author>
    <author>tc={1EF5647C-C4E0-4F8F-96E6-7B8FFA98158F}</author>
    <author>tc={D5216D92-DAF2-476A-B37D-0C2CCE451267}</author>
    <author>tc={52195236-4D8A-41BE-8C9C-619164FDCB03}</author>
    <author>tc={2C3956A7-88E8-4DAE-ADC6-83811285247B}</author>
    <author>tc={2DB0C1F2-F79F-48F1-86AF-BA208AE7AAF8}</author>
    <author>tc={E9B368A3-8B46-4FBF-B4B7-348966D9DFAA}</author>
    <author>tc={8274876B-F650-4D87-80F0-6B82D597E787}</author>
    <author>tc={9E73CC6E-AD27-4485-8C5A-5273F810BFA9}</author>
    <author>tc={48C35031-E541-4AEB-86E5-BF8965DB3009}</author>
    <author>tc={75F8DA02-4030-4BF8-9395-C0EA72CF0218}</author>
    <author>tc={7E8C09DA-5B44-401E-96D3-6F27C3B64607}</author>
    <author>tc={F0BB88DE-14DA-475D-8F41-9CD8E45489F6}</author>
    <author>tc={FF082219-584A-43E8-80C8-E6BB9505C51B}</author>
    <author>tc={B8CFCBE9-0A63-4175-A653-D5DF8469AAB6}</author>
    <author>tc={39A0CB5E-6228-45BD-95DF-4FAD943C71BF}</author>
    <author>tc={869B746C-4D3D-4CA0-9510-08B0E00C382C}</author>
    <author>tc={ABF52FED-BF7F-406C-89C6-8AAA5E657FA9}</author>
    <author>tc={B381BCCA-3E47-496C-81FA-E9199164117C}</author>
    <author>tc={7C8AC41C-2862-4B74-8C58-8FD88537448D}</author>
    <author>tc={D2183488-F4B7-4F62-A473-0A8AB30CEB12}</author>
    <author>tc={429DCF71-D6D5-4330-9B2C-AEE042F26C01}</author>
    <author>tc={4460AD06-A25F-45D4-B486-FB7770410712}</author>
    <author>tc={B7694260-ECFF-437B-AA9D-45185C195977}</author>
    <author>tc={75450594-5A7A-40C2-858F-CD81ACD82424}</author>
    <author>tc={AE5E44C2-1015-42C1-B677-3DEA8CED9037}</author>
    <author>tc={332FC3A6-CF0E-4278-A59A-A6ABAE254906}</author>
    <author>tc={F97AB376-3213-4968-A09E-4DA02E0ED02E}</author>
    <author>tc={6B5BB317-B409-40BE-9D27-077C2590044D}</author>
    <author>tc={DCD42762-9F80-4D7A-83F2-AAB70B29DCED}</author>
    <author>tc={0C20FB09-DC3C-439C-AD9B-56944E6C818A}</author>
    <author>tc={1BA7F3F9-6538-43F0-94E2-1DEF50E27D4D}</author>
    <author>tc={80B7A474-7850-47E5-A710-DF9D322F9AC7}</author>
    <author>tc={6939C268-E6B9-411B-BCF3-2E420BFFAC9E}</author>
    <author>tc={F082FFE1-F849-4791-9B37-6118C4F4CE9A}</author>
    <author>tc={8C781ECD-FC6E-469E-95E6-59BE188499DF}</author>
    <author>tc={5950C2FD-1F4A-4720-BDA4-900355395BFB}</author>
    <author>tc={44B55889-6A77-4F7A-8071-BBF67A1425EC}</author>
    <author>tc={5C9A0E3A-25DD-4882-AA96-99729C4A57E2}</author>
    <author>tc={CAC828C9-2CF7-4CD2-BD9D-2312682D72B8}</author>
    <author>tc={8160C368-B0E8-4433-B514-6E2E141F2380}</author>
    <author>tc={4671BFF8-BAB1-43BA-99E2-063487B56263}</author>
    <author>tc={FE30C739-D607-497B-B8FE-8F9D2A1595F2}</author>
    <author>tc={FF286D09-1195-4B9C-AF75-5B50D9E19EE2}</author>
    <author>tc={586D67E0-9E34-4A6F-8DFF-77DAB9211EE2}</author>
    <author>tc={69929EE7-D66D-4821-804D-16D9C29F06E4}</author>
    <author>tc={7874AABB-EC9B-420D-A079-3F425379D047}</author>
    <author>tc={48A17C74-E2BE-407C-B10D-27D174FFC4F4}</author>
    <author>tc={AD64DE2E-2F55-4617-AB71-60A54230CB2F}</author>
    <author>tc={8EF6ACB3-46AA-43B6-BB00-6F5B2B36BD36}</author>
    <author>tc={930F6018-1C56-4353-81CA-DDEC38B7F2E9}</author>
    <author>tc={F647FA18-618D-4D99-971D-99DBF0D69F00}</author>
    <author>tc={850B7738-E91A-4630-8FD4-EF3E786E1514}</author>
    <author>tc={79E540C7-7568-471D-BD74-DED6D67D8D28}</author>
    <author>tc={B0ABC970-262F-4E0B-AE72-D51CE6601AD0}</author>
    <author>tc={5BD1F5B8-83B0-4C88-BA33-6BF04062A84D}</author>
    <author>tc={18178F3E-FA19-407F-9EF5-C1F06AA1473E}</author>
    <author>tc={35DA7705-95EF-4115-A8B5-D1EF82A5D2CF}</author>
    <author>tc={896A37C4-F5FD-40FF-88C3-5C3B2A740586}</author>
    <author>tc={77B0A340-375B-46BA-A166-CB0A5FD01BC9}</author>
    <author>tc={49C9B9EE-E3D2-43CE-AB50-D94B7B6E63A1}</author>
    <author>tc={5FEDC9FC-653B-4644-A117-68CAA5505F94}</author>
    <author>tc={DF5AB979-1A80-4FD9-815A-FB919D66B17A}</author>
    <author>tc={700BA7AB-5AC1-4F8E-BEC6-D12D13313D60}</author>
    <author>tc={84F5FAE3-1519-42DA-B7CF-66CD94FD0AE6}</author>
    <author>tc={A6DC8528-D8CA-48BA-B5A0-B34D3869D3FC}</author>
    <author>tc={3CAA54FC-2C63-4BF7-BADF-2CA0FAA54361}</author>
    <author>tc={5FD8BD33-CF82-4381-B4E6-4AAD0633B770}</author>
    <author>tc={D0ED9AB3-0840-4236-BC49-FD4D791321BD}</author>
    <author>tc={E58F6E94-E4BF-48FD-BAA0-5172906B1C1A}</author>
    <author>tc={FFF2A885-6211-4693-AB1B-533E979CD870}</author>
    <author>tc={3EF67EC1-ED3F-45AA-AEDF-873B356EB208}</author>
    <author>tc={D557DD02-C9C8-45D8-84B6-D082A7B6E6EB}</author>
    <author>tc={0FA8D6D5-F502-4D8D-9F75-8AC14C570E6B}</author>
    <author>tc={BFD6A034-0844-4309-BD8E-D30F5F1237F5}</author>
    <author>tc={BB50AD40-B485-465A-BD69-E06D5F72D7EA}</author>
    <author>tc={DF18D02C-FE99-4088-AABF-271A4059431C}</author>
    <author>tc={FA9F5CF5-15C9-469B-BBBE-95D1C9A109E5}</author>
    <author>tc={18F86418-240B-4C6B-8C8F-1A620820BCC0}</author>
    <author>tc={1322D2AA-3658-46B3-87D1-58D5A21AB058}</author>
    <author>tc={DD692136-C287-4B8D-B488-61FD9CCE4C7B}</author>
    <author>tc={123FDD63-7DED-4D4D-9368-D6705DE33B6B}</author>
    <author>tc={616467B9-72E6-41F5-8681-3AFEB4E1F8CA}</author>
    <author>tc={15DFD7A7-D245-4379-9DBD-CAB4DB469598}</author>
    <author>tc={DD77ABD7-C369-42E5-B162-D060963DB93E}</author>
    <author>tc={B1A7F4D9-94BA-498E-BAE9-F2D9152842B9}</author>
    <author>tc={E1A81036-8BE1-44FE-B9CB-7306DA07A23A}</author>
    <author>tc={F891B183-E641-4CE8-BCFD-BD27347F8C4E}</author>
    <author>tc={42B14FD4-9BB8-4436-8F1B-D7FE3B5ADD80}</author>
    <author>tc={EEE14094-5C6F-451B-A37D-8DAE2C9173DD}</author>
    <author>tc={723AC429-F05F-4D9F-BAB4-B85B12C97557}</author>
    <author>tc={96903AB3-BF2F-4E08-9CB0-07D60842E5E8}</author>
    <author>tc={94A38189-5224-4847-B1E0-5F1CFA12043B}</author>
    <author>tc={5216FE85-E59F-4074-A4E1-7AAFFAC82E6E}</author>
    <author>tc={432E6FE9-43B0-49DC-AEA9-5D7FCAFB2D36}</author>
    <author>tc={BF65F4E8-4685-455B-B706-CFE8B8EFB1A0}</author>
    <author>tc={3729D2FF-A3E8-4A27-A6A4-7B83876194AE}</author>
    <author>tc={B686FF51-5D90-4023-BEBE-0091F46D8A46}</author>
    <author>tc={9AEE5CF8-2EA6-40EE-BB93-C73969589B14}</author>
    <author>tc={100ABAE9-B28E-4B30-9262-784986A5DC36}</author>
    <author>tc={61B22F8A-D82D-4AA1-BEC6-6E695D10FD34}</author>
    <author>tc={31E146D2-F4F8-42C1-AC87-83677E4D2700}</author>
    <author>tc={3834D291-EA18-4604-BFA5-F47190B84AF1}</author>
    <author>tc={B22FA455-01DD-48CC-8201-F638F967CAF3}</author>
    <author>tc={96B86055-19A5-4E1B-A741-AA901FB36A20}</author>
    <author>tc={ACD8C848-37FD-49C2-86F3-87AB28490212}</author>
    <author>tc={249A6290-A5B1-4185-8EF4-24916CD80B2B}</author>
    <author>tc={AB548F0C-ED4E-43B4-AA2C-FB3B54347A94}</author>
    <author>tc={0FF24F07-579B-4427-940D-DE8FC1DE7F0B}</author>
    <author>tc={649A5253-0859-4F1A-BB86-07E39C416B72}</author>
    <author>tc={D30482AC-CDF1-472B-8406-F12B239ABF0B}</author>
    <author>tc={39E78A64-7267-4595-93CC-DBBFC3F07E15}</author>
    <author>tc={3B4C4D01-0A43-4A61-A217-4E68749724EA}</author>
    <author>tc={DC402314-88AB-41F1-8CF8-669DDA4EC091}</author>
    <author>tc={D5B6AAE5-C618-4643-8890-1390899ECA09}</author>
    <author>tc={32879C43-77AF-4659-8619-F90BE5674F80}</author>
    <author>tc={A22BB3B0-B171-421B-98DB-F95BAAC9BE9A}</author>
    <author>tc={503539AA-B2E0-463D-B2C1-BA3082F8EB83}</author>
    <author>tc={85E97D2C-EBBC-40BB-9873-C70FA1721AA5}</author>
    <author>tc={48EFABB0-F4BF-473C-803E-73D04CB6EA96}</author>
    <author>tc={745EF65D-D4BD-43E0-8913-C94D35D14C00}</author>
    <author>tc={FC8DD7E9-5D94-4BD9-AF54-5C9B7584DFDF}</author>
    <author>tc={A9E0E480-7D01-4B33-9C47-11776EAB26B3}</author>
    <author>tc={79979319-747C-422F-8903-2AEB74433395}</author>
    <author>tc={42EB4001-D1B4-45D3-81DF-C271325152B8}</author>
    <author>tc={1DA67AD7-0A98-4DDA-AF69-B16723749AE4}</author>
    <author>tc={A198A96C-7C5F-4BD8-9895-6DCC7FCDFB06}</author>
    <author>tc={48C18ADD-48C7-4E41-B054-64CFBA5E4189}</author>
    <author>tc={B75E21E6-8C86-4209-8180-5FE8B46D3887}</author>
    <author>tc={619DC1F5-B799-4BCF-A912-078390E4DA48}</author>
    <author>tc={22EA4D71-8EDB-4A0D-9702-E0AD5D3E7274}</author>
    <author>tc={5AADE75B-52FE-49AD-A08E-AA87AA5E170C}</author>
    <author>tc={D8003A21-5B3C-4066-853B-7E086D945C76}</author>
    <author>tc={0DDD62BB-B766-47C2-84AB-439CBE2E3587}</author>
    <author>tc={87648328-FBCA-4EDA-BDF4-6642D1865B23}</author>
    <author>tc={C4ECFEE2-1ADF-4003-B58C-CEB917946FB8}</author>
    <author>tc={5F78BA57-C2C5-4E77-9F4E-59F4982537FD}</author>
    <author>tc={113E583F-90AC-40CE-974F-A68DEFE47D5E}</author>
    <author>tc={6880CDE6-2706-4DBE-9F22-5CDAACE723D1}</author>
    <author>tc={1B905092-1FEC-4489-A45E-75CBD262CEE1}</author>
    <author>tc={D28C4B6E-FF1D-4854-B9A3-0C7FDE570B63}</author>
    <author>tc={73971FBE-2301-4931-9979-828EF4CFD52D}</author>
    <author>tc={8C20F0BA-B820-416B-B7E8-C88118867EBD}</author>
    <author>tc={B8518CEA-2724-4A51-B7D5-2BA1C1F7F249}</author>
    <author>tc={BC2EC9E6-C0B1-4D71-B988-841C505F4797}</author>
    <author>tc={07380A06-C3F0-4123-B8BE-7EEB712BF1BD}</author>
    <author>tc={641CC03B-6D8C-45C0-80EC-CF4EA526867F}</author>
    <author>tc={C35AC3BC-F5B2-4D70-9F1B-771EB6A230D9}</author>
    <author>tc={51B6D6F1-77A7-47B8-BB72-4C0F48505880}</author>
    <author>tc={C33522A2-DE38-480D-9300-673CDE9C44CD}</author>
    <author>tc={93BF04CC-CD88-44B0-8BF8-910B79C2099D}</author>
    <author>tc={40A2315B-ACE8-4F93-8775-8E705AA4039F}</author>
    <author>tc={1B002F73-9294-4E90-8C64-43D9F9D7393A}</author>
    <author>tc={C0821C09-F372-4674-A384-058213A24806}</author>
    <author>tc={16D56D6C-3110-4CF5-ACDC-3F23BF69A646}</author>
    <author>tc={738B7ACC-2B6C-4F04-BD40-BA51A413A1E0}</author>
    <author>tc={8911CBC2-1FD8-456D-AEA9-C77A4004F373}</author>
    <author>tc={4697F9C6-AC38-4967-94D2-8EF710AE39A0}</author>
    <author>tc={3CEDF060-6E3A-4272-BA12-990F91AE70BE}</author>
    <author>tc={17618077-C63A-4DA0-8B71-33AB71C7D6CD}</author>
    <author>tc={54887CB1-3ECE-446E-92EB-E3B6B3775AA9}</author>
    <author>tc={CA364521-2357-40CE-9D78-BBFF9F7F9DFD}</author>
    <author>tc={381BB2E0-9C21-4B2A-9844-A7A689E39359}</author>
    <author>tc={7AD9E669-602C-4003-A6AF-76E49D449EB0}</author>
    <author>tc={06DC4321-CDB0-4A97-A706-177D2B8664B3}</author>
    <author>tc={4F1C19D4-217A-41D0-8C4B-4AC231B68E5D}</author>
    <author>tc={CC3594E0-079C-4C78-9B75-1B4237C8B24B}</author>
    <author>tc={B4D7B083-CD20-4009-AB29-CDE4100EE540}</author>
    <author>tc={49D2DC32-0474-4C8C-8968-A594EA37B842}</author>
    <author>tc={65917565-686C-43F3-8DAF-D6EF397B7004}</author>
    <author>tc={4A9FC644-B5BB-4BC6-BE18-77DA5BC40543}</author>
    <author>tc={761FCC20-178F-4AB7-9E9A-04D9EC4A81C0}</author>
    <author>tc={EE4E4E0A-2B04-4D49-A21A-BD988F44B214}</author>
    <author>tc={408F56C4-5ECA-4958-89FA-D95228F48180}</author>
    <author>tc={9A170E1B-41B9-429E-882C-D78029261FA0}</author>
    <author>tc={FBA0A861-F7CD-4F53-8592-90845CCCE0B5}</author>
    <author>tc={06C94B41-682C-4EB7-BC19-5C5298849B64}</author>
    <author>tc={4F804BF5-2C2D-42C1-9CE2-DCA95EF67836}</author>
    <author>tc={0AD1B923-52AD-4F83-B05A-CE06CFD753C8}</author>
    <author>tc={EC71C59F-19F9-47C4-8359-D54A3DF770D6}</author>
    <author>tc={68E5AEF7-A8A7-435A-83B3-049AE90F75F9}</author>
    <author>tc={D1C2EBEC-A4BA-4AE7-A7F6-19737B799BD3}</author>
    <author>tc={99F503C1-BC9C-4F40-9DB0-A7E912166093}</author>
    <author>tc={35825BDA-CB7C-4D23-82E0-F2F8C54CD70A}</author>
    <author>tc={FD1E6C37-85DB-429A-AF53-1B50C18D1772}</author>
    <author>tc={386C2816-AAAB-4106-BCA6-D1C3D8564647}</author>
    <author>tc={86D82F25-9760-491D-882D-E43ABD843739}</author>
    <author>tc={06F797FB-F11F-4E2B-B4B6-F0D57B64CD93}</author>
    <author>tc={CDE3D130-C463-468A-A475-666B3E15069B}</author>
    <author>tc={DC67B121-F770-4CB4-B009-AB9DFF051E29}</author>
    <author>tc={879F5519-F013-4B35-BE98-91AE8FDB35B4}</author>
    <author>tc={9AFF13D5-7DD8-4F9D-8CCE-99BD2A00CBC2}</author>
    <author>tc={069AC37B-1857-49C8-92DB-C4AD4F43BF99}</author>
    <author>tc={B23F0850-FBCA-4687-98F6-AB30495F5B08}</author>
    <author>tc={D77DE950-2DAE-46AF-B645-F6CF3C62DEAB}</author>
    <author>tc={988A8BFD-3A59-42AD-834B-79582D9BB73F}</author>
    <author>tc={456D825D-EC42-40C7-8EF9-53AC7511E308}</author>
    <author>tc={50FB2D91-0009-4860-BA06-6CFFC2136606}</author>
    <author>tc={17CC7BDB-7E7D-450B-9CE1-AB0C8ADCDDA8}</author>
    <author>tc={AF7A2169-DA63-4887-8454-8C937C05362E}</author>
    <author>tc={A4D5CED7-427E-4054-AC8F-E2AB83BC357D}</author>
    <author>tc={D02B7639-4788-4C1F-A01C-2E215A92C551}</author>
    <author>tc={4D6071DC-CEA0-4B59-9901-6F4FAC027625}</author>
    <author>tc={9E0EACC5-7A9B-4954-A88F-8CB9220BD2EB}</author>
    <author>tc={39F6FDD6-9A6E-496D-8CEF-22B4510F6C6D}</author>
    <author>tc={B46C1E29-413D-4CEF-BF48-F7B1BC523450}</author>
    <author>tc={1E971634-20B7-4259-B3F3-9DC17E659AEB}</author>
    <author>tc={976A065F-06A8-4AF8-9B5F-0ADF1ED4A08B}</author>
    <author>tc={0D56F109-91D1-4E63-8ED3-92F965564A48}</author>
    <author>tc={3EDF2778-81DD-4388-9832-8E2391B781A8}</author>
    <author>tc={5D197B63-3E12-4980-92DB-1D733A3A3635}</author>
    <author>tc={C378F9EE-283F-42ED-97A2-12ED70B97954}</author>
    <author>tc={1C0E2A24-EEC9-4AE0-94D0-C9B7F70452C3}</author>
    <author>tc={062D92EC-48BB-4A76-94A8-79E21AD23908}</author>
    <author>tc={DB09B922-F60B-4993-88A6-E501DDFED4A3}</author>
    <author>tc={24415BAE-9255-4C84-9DB3-7E773F5CD964}</author>
    <author>tc={38A65729-6C02-4ED3-A073-71ADA0AFDD2A}</author>
    <author>tc={8D23CCF6-5779-4110-A07C-218D829E83F0}</author>
    <author>tc={27670C6E-A5DF-41C5-AC91-86DAEA0E590B}</author>
    <author>tc={145F3EFF-6056-4B8D-B938-92D3135A906F}</author>
    <author>tc={3562FDD1-2B4E-4DE1-BF7B-3F2186B25958}</author>
    <author>tc={9EA822B1-4115-46AC-8BD2-3D7F6355D5D3}</author>
    <author>tc={25BFF859-2055-4A40-9B75-45798EA30A16}</author>
    <author>tc={923ED572-C106-41E8-954D-C476635F880A}</author>
    <author>tc={A1996176-F558-4808-9028-13B0CCDEE522}</author>
    <author>tc={D2F28A33-CAB2-45DA-B165-E7DCB5C82C66}</author>
    <author>tc={D25EB5D5-6ED7-4D73-92B9-D7206F0D81FA}</author>
    <author>tc={BE99A1BF-EEDF-440F-9C50-7F7213B7D86B}</author>
    <author>tc={CCCD5EA3-E4B5-45F8-83DC-075BD679721B}</author>
    <author>tc={9CA4BAE9-980C-49D7-B146-8BFA26D9F5C9}</author>
    <author>tc={01DB3FFE-BE63-48E5-81CD-3D013F8338FB}</author>
    <author>tc={EF3DCE70-10C8-4D99-AFFF-03F6EFF1840E}</author>
    <author>tc={6E833CBF-B51D-4360-A211-01BFB31DB609}</author>
    <author>tc={5176CAB6-3BBB-4530-9936-74B786FF53CB}</author>
    <author>tc={989158F9-CEEE-481D-B2AC-0C34B058F89B}</author>
    <author>tc={F1665684-50DA-4442-8F77-ACEAC7710D42}</author>
    <author>tc={4269B8C8-FFCF-4848-B561-33FDB0A0D909}</author>
    <author>tc={9CA771FC-B3FB-4D52-B599-0BDA2FD6E1D3}</author>
    <author>tc={6890FC22-94ED-4D01-BE59-4D3CDE7F9B95}</author>
    <author>tc={022D082D-623A-4EEC-A781-3D8D11270CAE}</author>
    <author>tc={2C5F35AA-0295-4763-9D87-D99F1E29E9F2}</author>
    <author>tc={3A04798F-640F-445E-B2BB-02B20E35B60C}</author>
    <author>tc={79DAD702-FE4E-4A52-80B5-CF22FEB79378}</author>
    <author>tc={CD9F8C77-006F-45E3-A3AA-D48C6FAF7578}</author>
    <author>tc={D5CB71AE-E38A-4B30-87BC-745A5C14B85C}</author>
    <author>tc={B16437A2-1DE1-47E5-9F1C-0E0043ACE866}</author>
    <author>tc={2BC177B7-D937-4307-9D80-28A72855C4F8}</author>
    <author>tc={52B971F4-AFEC-4F95-AF1E-741C5A50A45B}</author>
    <author>tc={532040DB-4867-469C-BC70-CDF9A136CF3A}</author>
    <author>tc={37EBBC81-909F-46AE-B2D7-E3CA20918672}</author>
    <author>tc={2131AA85-0A0E-4F74-BFAA-C7BFA9CDC79A}</author>
    <author>tc={B665239B-63F9-4601-BB26-C2A11DCF758B}</author>
    <author>tc={B4606CCF-8D8A-46F8-9B0E-54D886C8AAB4}</author>
    <author>tc={822D7D5D-2D03-4A4E-A70D-24D31C8303E9}</author>
    <author>tc={A4777F2E-5FB2-4636-A6AA-257EC6A0A833}</author>
    <author>tc={A1F637FE-8A10-44D5-98ED-F8CE187DA373}</author>
    <author>tc={97AF41BA-345D-432C-9A86-E1C985FC0455}</author>
    <author>tc={9B42FCE6-D065-4014-B48A-1EA6CB40D085}</author>
    <author>tc={1056880D-2B39-4E99-8B77-E9E7B9680C45}</author>
    <author>tc={33E30C24-2C77-4424-9819-9560D79685A7}</author>
    <author>tc={D283AB07-731D-429E-AA9B-7B3F02CA08EF}</author>
    <author>tc={CE41E035-BACD-4054-84EF-348614805B52}</author>
    <author>tc={9635D72D-AF67-4069-9A49-84E214F9BD21}</author>
    <author>tc={839D0B92-9506-471C-BE98-4CFA30A334D4}</author>
    <author>tc={F322E264-6BB5-44A1-83EC-B313FEF94B1B}</author>
    <author>tc={FBB7C086-BA52-4154-809E-18F4CAD12425}</author>
    <author>tc={759D8C5E-C5B8-446A-AF8D-B59C6C23C1D4}</author>
    <author>tc={CB7D0FFB-A682-4FD3-AD08-CCAF94ABA9B3}</author>
    <author>tc={0B4D9C47-2948-4455-A5B1-6B89769FD2DE}</author>
    <author>tc={7AAF310E-E45F-42CF-954F-6E5399079FBC}</author>
    <author>tc={351C4408-254A-43D2-B16C-42A874F8CD9C}</author>
    <author>tc={91B3D6E5-541C-4450-B51A-F6612580A148}</author>
    <author>tc={EB9AC5A5-45B1-4A25-A552-E7A2633BE931}</author>
    <author>tc={19CA4E03-C79B-418D-A245-2910833C24B9}</author>
    <author>tc={41C48C60-DA21-43D9-A0D0-D68058F87C46}</author>
    <author>tc={86072278-C216-4037-A312-18B59A970D38}</author>
    <author>tc={FB771DFE-0397-43FC-BB9F-BA0EE017A62F}</author>
    <author>tc={7053A207-3CD4-4060-8DD1-CAC61111611F}</author>
    <author>tc={58FA9074-91B5-48C0-B793-AFD312015A5F}</author>
    <author>tc={FBCC81B5-9AAD-4602-A60A-26A888FC9EF8}</author>
    <author>tc={7FB04550-6E82-4A09-AEC8-826DF2CE7AD7}</author>
    <author>tc={53D09169-EE95-4907-8278-B5E3A7F9AA61}</author>
    <author>tc={CC256C64-46B0-424B-A887-111992DBE52C}</author>
    <author>tc={52C1ABC2-5E2E-4131-A912-E044C47D971E}</author>
    <author>tc={E329AEA8-8980-4FB9-A467-18922CAA2B84}</author>
    <author>tc={D219C817-CBBC-4A86-A817-FD393D913BDC}</author>
    <author>tc={BA6BED4B-7CD0-4C5B-AF66-1919ECC69B9F}</author>
    <author>tc={9EBA6017-6377-4390-9ED6-ECD59B55D2E5}</author>
    <author>tc={D9E91B31-3A23-45BA-8330-E5FE59AC4C1F}</author>
    <author>tc={96B8DAC1-8830-4582-8794-43FAABF71E61}</author>
    <author>tc={B4AFFE6E-2464-4841-A2DD-40E205B10200}</author>
    <author>tc={B8D51499-010F-4532-8E01-D27287889604}</author>
    <author>tc={BCF43F16-0A21-4B45-A8BB-641FA6554FF3}</author>
    <author>tc={AEAB9934-1877-4C02-993B-48EF2CE27CDA}</author>
    <author>tc={841A6A72-9776-4792-990D-512C44AA8AFA}</author>
    <author>tc={6E839C02-7F38-4091-BACB-85E5263F166C}</author>
    <author>tc={1E54DC31-1FDE-4123-8064-FE3797B967C7}</author>
    <author>tc={7B6CD39F-1C66-440E-BC6F-EC811F109C92}</author>
    <author>tc={85319026-42AB-40A7-B7B8-015AB678AA5A}</author>
    <author>tc={98AEC95B-FBBA-4BA5-90D3-F4F06DFEDE88}</author>
    <author>tc={EC7753A2-CF33-41E7-9CA8-7B4E7341526F}</author>
    <author>tc={EE79538C-C9AB-4D05-9AFF-3FAF336CEE2E}</author>
    <author>tc={E1DE138F-060E-480D-A4D3-F409A6C02C9B}</author>
    <author>tc={FF4CC1CB-5D6A-4B00-B0D5-D467286ED87A}</author>
    <author>tc={74BFCFBB-B958-458B-AD91-9CF76E78B661}</author>
    <author>tc={38F983BD-1D45-4C49-B41E-B02AE49269D6}</author>
    <author>tc={138A2FE2-F999-45E1-AB14-5E9B729BB7C7}</author>
    <author>tc={FA00C1B7-A3CD-4A75-98CD-A2A670E7BFE9}</author>
    <author>tc={D568B417-B2D8-4F52-922B-716C7A044541}</author>
    <author>tc={D860074A-F9E1-4538-B54D-37B3F196A3E0}</author>
    <author>tc={32481DD1-12DE-4146-B97B-676FC179A26B}</author>
    <author>tc={CA7091F4-1A9A-453A-BE6C-D72BCDCCA150}</author>
    <author>tc={4662686D-5A8D-431E-941F-A964BC5DD63B}</author>
    <author>tc={72A6FD45-27DD-489A-8B82-B9175803FFB2}</author>
    <author>tc={9FBD3D19-EDFE-4967-BBAE-A48CBC5A2490}</author>
    <author>tc={B8F705FA-4F09-48BE-A91A-2F4564125911}</author>
    <author>tc={FAC04C0E-C297-4079-B9C0-E61F75D7D3F3}</author>
    <author>tc={7A1A8F9D-D062-4940-8F36-B0F7972E8078}</author>
    <author>tc={AF3ECE4A-2E91-472A-BEBF-AF32B3AE9503}</author>
    <author>tc={F13E61D5-72F7-49D7-8249-D8ED31BF1526}</author>
    <author>tc={1C4D660E-D656-4D3D-AC4B-B590524E7996}</author>
    <author>tc={87C5F530-A0EF-4B6B-BA21-EBCE4E6E468D}</author>
    <author>tc={2CECAC05-A719-4005-AA87-667F50F5341A}</author>
    <author>tc={52E9B864-C442-4DC4-83C6-DF587DF1701F}</author>
    <author>tc={46D04EBA-9504-4AF0-BFEC-F82FF6D4E55D}</author>
    <author>tc={E7B4ED15-DA55-4F7E-A701-EA58A345412B}</author>
    <author>tc={4EA1D829-9EA9-4C76-9990-1870905234D2}</author>
    <author>tc={641C8E9F-E0D9-410B-9CA2-196EE9F7712C}</author>
    <author>tc={16CF94DB-1654-4DDC-8A05-1273714C310A}</author>
    <author>tc={036017A0-46E2-4505-8539-152E8326B215}</author>
    <author>tc={D4C3E7AA-71FE-48A9-8382-E00102873A8E}</author>
    <author>tc={87D1C5CC-A6F8-4097-AE24-8B91307BEBE4}</author>
    <author>tc={DE5E70DA-0E58-4B0C-AC85-C25D95C47E60}</author>
    <author>tc={9A632DC5-9AE2-4BBA-A298-6D86CE2C36DF}</author>
    <author>tc={FA82DA22-70BE-4653-BEB4-362280FF5E3C}</author>
    <author>tc={389283D2-20A1-4023-BFE2-2695C0A7B11A}</author>
    <author>tc={95A107FC-1E8C-474B-9BD6-7E98663F18E5}</author>
    <author>tc={924E77A4-AF92-4C4D-9C35-16FE4C47FFFB}</author>
    <author>tc={B154803D-9397-4911-9100-F1ECE7473EC7}</author>
    <author>tc={F1EDDC82-2A2E-497F-B7C2-40ADA35B7FB7}</author>
    <author>tc={1722FDC1-3D0F-4CD9-B457-4ADF911C2416}</author>
    <author>tc={914494D5-CDCC-4CE0-B6DF-0AD15278D76F}</author>
    <author>tc={C52F702A-1CF2-4E65-9C01-A4A57BD6BD5D}</author>
    <author>tc={679972DF-A93F-46E6-87D5-741A3173729B}</author>
    <author>tc={076A9153-0FF5-4947-BC58-6F2CF44070F6}</author>
    <author>tc={EF750055-DF50-4EF9-BE13-C16CE6585E25}</author>
    <author>tc={77262847-3F0F-47EE-8096-E8CBF80C1C24}</author>
    <author>tc={C60A5981-4A35-45E5-9E9B-918CB78A8F4D}</author>
    <author>tc={4062D328-CE05-452F-A54C-F975CB714ECD}</author>
    <author>tc={5A895D76-410B-4727-8D63-65421B21542A}</author>
    <author>tc={B841CA22-4FE6-4A66-A2C9-C9EC6B57E7EE}</author>
    <author>tc={EB06E7E9-A461-4C04-9D2E-BF2D6F5117BA}</author>
    <author>tc={7C27D0AE-A8BD-49B9-BEE6-C7E1E40C9342}</author>
    <author>tc={CCA9FA5C-E8A1-46E4-80DD-9977104FBC31}</author>
    <author>tc={D42FFF44-1A92-4D25-A8F5-6AF3410E0BE9}</author>
    <author>tc={72C0F5DE-3F7D-40A9-B9CB-48689B139C66}</author>
    <author>tc={F151CD82-9A01-420A-B994-57CE3AA36723}</author>
    <author>tc={82DA6046-15A3-475A-B5F5-91B68E2D6FB1}</author>
    <author>tc={6544019D-E7BA-4D11-B55A-030E56D93E97}</author>
    <author>tc={24D261DF-E23D-4279-ACE2-BF6EF9C1C8F4}</author>
    <author>tc={B816A782-2EE4-4BCF-A9A5-FBE83B5DE1F9}</author>
    <author>tc={1594B533-7E01-4243-B685-565107D60590}</author>
    <author>tc={0080F789-D21A-435E-A0DD-BC7C4BA04C47}</author>
    <author>tc={D0BF3377-1082-4DE2-B948-4618B07233D3}</author>
    <author>tc={895BC7CC-2A22-4E24-AC4E-779D6DABC429}</author>
    <author>tc={C6AC277F-BF89-4EDC-BBAA-03F40D8E1B31}</author>
    <author>tc={EA341540-0643-4F12-92EA-64256EA53BF4}</author>
    <author>tc={DC000F16-CC1B-45C1-87C5-E520FC99DEBD}</author>
    <author>tc={80D3263F-EE00-4BBD-A3C8-64D4D5F1317C}</author>
    <author>tc={686CCD2E-A6E7-466B-BEBA-4BAC29DAA1FA}</author>
    <author>tc={C1666A12-3B18-4F9E-A433-B795716E6AD1}</author>
    <author>tc={0B00D12F-15ED-4972-9001-3977602C21BE}</author>
    <author>tc={44F79FCA-F5C5-47C9-AB29-66E92C98E10D}</author>
    <author>tc={364CB6F5-D42C-42AE-9EA5-0272464214F2}</author>
    <author>tc={BE4C09B8-EC6C-41A8-82E0-D3B07AF16B6C}</author>
    <author>tc={76574908-F700-4025-A251-1EDD59C742D4}</author>
    <author>tc={6D4E99C9-138C-4ADC-9A60-8D55C2DDF771}</author>
    <author>tc={0355E47C-E2D1-4E5D-8E7A-527FE20FAFA7}</author>
    <author>tc={430D98EC-F0BE-44BF-A0F0-6A03E2033230}</author>
    <author>tc={6CF8F20A-8C93-490A-9C25-0C7E64DA1267}</author>
    <author>tc={BFA36648-7163-4F12-BAA8-7CA4B6B6FE0B}</author>
    <author>tc={2A1E811A-4DFD-48DA-A4AA-17AC66D08B58}</author>
    <author>tc={6B60C2C2-0DC9-475A-8D07-B3AD1D09E1AD}</author>
    <author>tc={0A5752AE-0720-4D3D-B9DA-5DD8B58C6BA2}</author>
    <author>tc={545CD80A-AD23-434E-A7AD-C4D7360C172C}</author>
    <author>tc={AB8FDE3B-E07C-45FE-92F9-B04D0AF64F69}</author>
    <author>tc={652E95AC-2505-4370-A054-A17A9350098C}</author>
    <author>tc={7762DAAA-906E-49F4-93C6-E38DB0D53AD5}</author>
    <author>tc={A5B87777-5950-48A7-AA4C-84EF2ABF1BB7}</author>
    <author>tc={933E71FC-B3D6-40CE-8587-EAB9C3051D04}</author>
    <author>tc={AE2FF9F2-6674-48E0-9C1E-45FCBF850DA9}</author>
    <author>tc={9BA71311-5B71-4831-A62E-6CE6791F2298}</author>
    <author>tc={0EDE56A9-CF5D-4E45-8C2B-65276541E27F}</author>
    <author>tc={F5814B2C-D608-429C-B122-5A6DF54F5887}</author>
    <author>tc={2B39DAA5-3365-472C-8630-A3F015AEF52E}</author>
    <author>tc={A4062CD6-A007-4E56-9002-183DD01A8FC1}</author>
    <author>tc={010320F1-E5E7-4B2E-9F41-313EDF093E14}</author>
    <author>tc={4143C475-6D80-4C52-AD59-4557CE3F4326}</author>
    <author>tc={4DCC41F7-D005-4620-8FB2-CA7615370D53}</author>
    <author>tc={4DAD3395-0A56-47B0-820E-0107790A47D3}</author>
    <author>tc={8E06E173-19FB-4CF7-B7AC-AA53C78689E4}</author>
    <author>tc={451A430E-D3FA-49EF-9DB6-F770951BE032}</author>
    <author>tc={1DCE1AFA-72DA-4C70-9E9E-2ADD213A12FC}</author>
    <author>tc={8B8704F4-E555-4E84-89F6-C87392DE7325}</author>
    <author>tc={3F72FF83-14ED-4BC9-A735-4C7BC3EB00F3}</author>
    <author>tc={635648E7-3D92-413A-A24F-667D04B3CFAA}</author>
    <author>tc={C2CA39A7-2897-4376-921C-352CCD47DC32}</author>
    <author>tc={D1444BD5-064C-4B79-87FF-6D785D8900E9}</author>
    <author>tc={ADF59284-A7DC-472C-944D-14DBB18CFE1A}</author>
    <author>tc={1F8CD0A2-52FB-4691-AB65-90DB36C482BE}</author>
    <author>tc={6E0591A2-95FF-4FBE-BD2C-B6F438C6A6C3}</author>
    <author>tc={69D0EEC0-80E0-440D-BBC3-D826C249E13B}</author>
    <author>tc={CE5BA848-AD8E-4FE3-939A-9E92FE061D19}</author>
    <author>tc={EC8059A4-5CE1-4BB7-8D9D-8508D16240B4}</author>
    <author>tc={266A494F-DA40-422F-A64D-EC21C14CC66E}</author>
    <author>tc={D2B8E01C-0E10-4D4E-AA52-28D05FFACA9A}</author>
    <author>tc={6CDC948A-A0A1-4920-B01B-6E823B3A4AAE}</author>
    <author>tc={2B13BE41-E870-42A7-A999-F68CC5774AF3}</author>
    <author>tc={3A0CCF5B-9608-4582-AC41-8227E85B94CD}</author>
    <author>tc={88E9DD00-662F-4AA1-A30F-AC759746AC5B}</author>
    <author>tc={21DCBAE7-1A97-4010-B22C-CE6C20D92BE5}</author>
    <author>tc={8BAD114D-E1A1-44E7-A1C2-5F16857F5559}</author>
    <author>tc={5AB06B94-49EE-440C-B3EA-8A8C68E1BB10}</author>
    <author>tc={1273FFB6-609D-429A-988E-9178E976A94B}</author>
    <author>tc={A74B1A96-C491-4450-8ACD-1A83FFFFD8F0}</author>
    <author>tc={C1C0218A-3482-4395-AD91-4EE0B3326E77}</author>
    <author>tc={D7DEE35A-60AC-4815-A85F-50ED1DE32019}</author>
    <author>tc={5F36C94C-593B-4BE3-8B44-E2C8AE3C841A}</author>
    <author>tc={3B1A143A-B3EA-4310-B3B1-071D751A8497}</author>
    <author>tc={FF3041AF-2566-4520-AA7A-E585BF6A3FCD}</author>
    <author>tc={85E63BF8-0872-4592-90C0-6548B17615E6}</author>
    <author>tc={9396B8C9-760F-48A0-9E79-FE6E31E54C09}</author>
    <author>tc={2EB1EDCC-45EB-4699-9BD9-F531EC8D2C1F}</author>
    <author>tc={E210BB3E-9989-4FC0-97A1-041F9EE7BF28}</author>
    <author>tc={10041DB8-1273-49C4-9380-264CB5239C6A}</author>
    <author>tc={8BACDE40-A0FF-4D8A-8447-09CB7C91C84E}</author>
    <author>tc={F6F1E606-A29C-44D2-A768-E396462FB847}</author>
    <author>tc={21F1FC97-899D-435F-AE7F-F5F77CC8B848}</author>
    <author>tc={6B17E308-3D0A-4EB3-AAE2-139CF0A23D5D}</author>
    <author>tc={26B2B20F-A8B3-4676-ABCA-2A18CBD9A33D}</author>
    <author>tc={CED3FF07-6AF8-4BE5-8F63-0F937E09EEA8}</author>
    <author>tc={88E20FBD-63C0-4694-995E-BB234B165BA2}</author>
    <author>tc={D702C755-56BC-41BC-8272-AB885BBA6345}</author>
    <author>tc={CC6C19B5-BA1F-4A6B-849D-4EFA52DEEE73}</author>
    <author>tc={E5F89761-8BE1-461D-BE0C-48ECEA9908F4}</author>
    <author>tc={8A403E8C-7373-4409-9A10-FB8665BB10E1}</author>
    <author>tc={6B9BD53D-2349-4326-9DB4-870F48597E6D}</author>
    <author>tc={E6F43313-188C-4DE0-B93A-96CD38D4362B}</author>
    <author>tc={B5DEFDC1-530F-425F-B08C-AB80998EE4AD}</author>
    <author>tc={C8880BB1-24D1-4EFD-A93B-C0736C572CF8}</author>
    <author>tc={02FBBBEE-E1AA-4241-8D95-7C25F28B24E1}</author>
    <author>tc={72F79AAB-3507-4693-A780-A0FDB5A3D96E}</author>
    <author>tc={333F19D1-62FD-41B6-A399-F1AFB1D69767}</author>
    <author>tc={DF293728-D90F-48EE-A983-9A83FEDA9CFF}</author>
    <author>tc={9BA94208-D84D-4230-B909-AF660D79C9ED}</author>
    <author>tc={E8870250-B6D5-4D3A-BD60-2B234EDAD7C5}</author>
    <author>tc={283A69C9-D49C-4D1A-B7F6-BCDE12E7946B}</author>
    <author>tc={3496CAFE-1525-4941-9D9D-3A46B36F395A}</author>
    <author>tc={4B71A27B-185B-47B8-93FD-86B13ED99691}</author>
    <author>tc={D0372802-2A98-41C6-83EF-B68695B02A0D}</author>
    <author>tc={E5F119A4-907E-4CC4-A86F-F6711D57D78A}</author>
    <author>tc={03B6ADD4-5CBE-450A-94DD-5D43AF6581AC}</author>
    <author>tc={D7BE10A1-C21E-4B49-9503-D195ABA327EA}</author>
    <author>tc={298F1800-518A-4CCA-BC49-BC77F06BDD78}</author>
    <author>tc={3A621725-C017-40DD-9DF8-FB23E91B0FE1}</author>
    <author>tc={8E803E95-F9D4-444E-86D7-BC7F56607C50}</author>
    <author>tc={F0A8F0E7-FEF5-4D34-84D8-27F4AEA545D0}</author>
    <author>tc={E8B1774A-5833-4506-8BBB-0E39AA3E91F3}</author>
    <author>tc={2BB4B998-4818-422D-A2D0-3FE940F47D09}</author>
    <author>tc={63D2B4AE-48FE-4FCE-A981-259731908380}</author>
    <author>tc={EBFB3024-57E8-4BF5-8204-043E572A5C34}</author>
    <author>tc={978F9A22-3842-4E0D-B1C9-A363F616C93F}</author>
    <author>tc={BA8EA880-2D54-4538-BAEE-DB7BDD1CDF53}</author>
    <author>tc={A9987CDB-72A9-4736-B4A6-A875A9F5F87F}</author>
    <author>tc={1F2A4DDF-E14C-4BD7-9A6C-E893959E99D6}</author>
    <author>tc={B96D7A3F-CB8B-4769-A4CC-C335438892D3}</author>
    <author>tc={27BAFF08-6F95-415B-BB3C-A09590DF67D1}</author>
    <author>tc={6D047495-F34F-49F6-A3E0-89A619C2EB16}</author>
    <author>tc={25672225-4806-4FE8-844F-3BE3A4D695C5}</author>
    <author>tc={7D79E726-8845-4C98-BB3C-A34554147FBA}</author>
    <author>tc={8D842576-832A-4197-927C-38BF5FA1297E}</author>
    <author>tc={270EF813-0D32-41C7-85AE-6BE75E6B3902}</author>
    <author>tc={6956D786-7F15-4A0C-A8BE-C3D535CF32A5}</author>
    <author>tc={26EAC919-6067-4387-A701-4830D9FD4771}</author>
    <author>tc={16296CCA-1AA1-417F-B2A4-E8547BBEBB5C}</author>
    <author>tc={21C4CEED-E31A-44DB-BB2F-515639A94474}</author>
    <author>tc={8B689C84-B42E-4C81-BCFD-EF6F85F6EDB8}</author>
    <author>tc={B6FF1FBC-3575-463F-A66A-6BCB712A71DE}</author>
    <author>tc={597788F9-A6F5-4F5A-B22F-63E7CA9812DA}</author>
    <author>tc={8A05CAD2-E504-463F-87CC-45DE51D5427E}</author>
    <author>tc={D7443544-C692-4BC1-951B-3125FC71571B}</author>
    <author>tc={A2F41CAA-7571-45C7-A0A8-7E5700DC1F66}</author>
    <author>tc={F2D445B5-DF55-4E9C-8898-2681F5BA3774}</author>
    <author>tc={36A8172A-AA05-4C96-8D11-7AAF73EC54E6}</author>
    <author>tc={4DC99BBC-DF37-4A01-AF93-A7AA0CCA2B39}</author>
    <author>tc={F5AF931A-14A5-46FE-945B-C514A43A7AC3}</author>
    <author>tc={4B8F8BD4-6E4D-4132-8B25-1BE08E124A38}</author>
    <author>tc={692BE434-63BE-4140-BA2D-2D48A0195E64}</author>
    <author>tc={E42F6645-3535-459B-A990-7E9B7F561065}</author>
    <author>tc={A97E5779-55A7-4881-9709-E582B8BC076F}</author>
    <author>tc={E54F9962-F640-4FEA-BBE9-F0BF8C932FB9}</author>
    <author>tc={CAFDDAE4-8D23-439C-82CC-F6CE0B127B09}</author>
    <author>tc={0A2C35DB-ED13-43C2-822C-301408C52735}</author>
    <author>tc={1207155A-60B3-4396-82F0-8B264ADF37BF}</author>
    <author>tc={369C3425-619E-4CF7-9E8F-06BEE17AA642}</author>
    <author>tc={22CDE9F7-941C-47BB-A340-AAE9191F6ED7}</author>
    <author>tc={04CB4DFE-23D0-499E-8F21-B9A24346462B}</author>
    <author>tc={A8E028CD-B458-41C8-899D-50CDE9534892}</author>
    <author>tc={8E86BCBC-EDC6-438F-80BB-F349121DB36E}</author>
    <author>tc={CC83A375-DEB0-4A9A-AC86-141D612AE2E2}</author>
    <author>tc={4C666AD4-70B6-498D-A6F5-3C3351513E2D}</author>
    <author>tc={A4B93147-943D-41B8-AE00-4BACF8D4B384}</author>
    <author>tc={64DAC661-3D9F-48E2-8620-0B0CF5560354}</author>
    <author>tc={15EC6D5E-2290-479C-BC52-5386FA5D8E1E}</author>
    <author>tc={2D3F88F6-31D1-4BBC-ACFD-0E6C913E56AA}</author>
    <author>tc={9C94E218-3AE5-442C-A07D-6D103A63F248}</author>
    <author>tc={DBFABEF4-837D-42C6-B490-A4329C68D2BC}</author>
    <author>tc={56F1E81E-8418-4E88-B142-24C010EE1653}</author>
    <author>tc={A3B2573E-DD08-4518-A442-AF37443633DC}</author>
    <author>tc={4E706D91-7E0A-4952-BD77-6C1151102414}</author>
    <author>tc={4027A674-F2FF-400D-8AAD-8B6E300C4B2B}</author>
    <author>tc={7CBC8E2B-CD90-417C-A7BE-5A618665B00D}</author>
    <author>tc={19643E89-50BD-472F-8346-98D358101A99}</author>
    <author>tc={C14ABA19-5FBE-4F6A-A0BB-C41196C09262}</author>
    <author>tc={3B055A2B-5438-4F1B-922C-0F25A19AB79D}</author>
    <author>tc={45F17078-15FF-4A75-9245-7F30DAED054F}</author>
    <author>tc={44C72E8C-9439-434D-AA49-AB5669ADBE15}</author>
    <author>tc={E2AE0BCE-CE92-4873-A99F-A84A5B9F65CD}</author>
    <author>tc={2F12D265-D536-4BC5-B2DC-234BA53D5E22}</author>
    <author>tc={4697A3F2-81DC-4290-8673-69B4FEE0B804}</author>
    <author>tc={3F0C1577-CB16-43E1-B488-5351FF4FA580}</author>
    <author>tc={3388A4C1-2F05-4D8B-8024-5592A2A7796B}</author>
    <author>tc={4D430FA6-7B01-44BA-A0FA-AAB8EAC7B6D4}</author>
    <author>tc={C215845A-CF7C-441B-AFDB-CBB3E36DF47A}</author>
    <author>tc={EDCC44A8-AFD5-4C49-B27A-0EC2738E0087}</author>
    <author>tc={193EDD26-F04B-4AAB-9400-EC64078C8696}</author>
    <author>tc={2C0D988D-EE0E-4070-A802-D77BEC0B1409}</author>
    <author>tc={B727D7E8-5545-4548-962D-57AC75EA9C70}</author>
    <author>tc={C828D973-A2D0-49C2-9773-CC7B2270796C}</author>
    <author>tc={8AAD7C7B-69F3-43F9-AB6D-77EBEC4B43C2}</author>
    <author>tc={C565D260-1970-4953-B191-240656C8BF20}</author>
    <author>tc={923F4422-7663-4BB9-AD74-7AC5953DB12D}</author>
    <author>tc={A569E75B-BA32-46DA-B402-692216353811}</author>
    <author>tc={C4C1CC35-0D6E-475A-8494-A1E573CF2C70}</author>
    <author>tc={7B492017-664C-47A7-8E21-80669FA8ABF5}</author>
    <author>tc={8233EBC9-C710-4B75-B245-CDAA56AAB2DF}</author>
    <author>tc={75B32025-DC94-4F88-8DC5-D95D9E693E35}</author>
    <author>tc={D0B7B03E-328F-4AAB-93E2-29629EF3DCA0}</author>
    <author>tc={C74C0D1B-5D42-4235-AE03-8742DA43981A}</author>
    <author>tc={75AE22BE-D9EB-4F01-9F40-8B2EE9B0AAEF}</author>
    <author>tc={9AD74769-9072-46DC-AD39-25657628872D}</author>
    <author>tc={7798177C-54E7-427A-8CA1-0A477362679B}</author>
    <author>tc={25646177-9838-4149-A50D-111786707F68}</author>
    <author>tc={3D0DE255-3FD5-42E1-8822-2383F9F7EBD0}</author>
    <author>tc={60D6E841-6329-4759-9860-BC71211E3C7B}</author>
    <author>tc={21EB911C-E823-4681-BA43-641A0878A7B5}</author>
    <author>tc={92BD999D-02C9-47F8-A271-19249FB79BD4}</author>
    <author>tc={2BC174F1-E616-4C7A-93DC-F5F570AEEA5B}</author>
    <author>tc={A97AF8D2-9AB3-4432-8A91-4D19F07AC8E5}</author>
    <author>tc={1F2F59DF-CE46-4B30-A7B7-BF7BA0E6EF49}</author>
    <author>tc={C8F9570B-A3FF-402E-88E1-A7C4DA4D96AE}</author>
    <author>tc={837FD4DE-6AFB-4D69-8C7F-71CCDC081F79}</author>
    <author>tc={4C6ABCAE-8727-45A9-89A4-AC77DD38693B}</author>
    <author>tc={DC3F9D5C-EB93-47A3-94D4-3AED178C2682}</author>
    <author>tc={B557FDD2-09F6-44BE-9641-138D81E6B921}</author>
    <author>tc={70E7A3EE-ECAB-4BF0-A5B9-0D44C2253B53}</author>
    <author>tc={8E43CF6F-1F11-4C9C-8EC0-747999FD7528}</author>
    <author>tc={CD0B05CA-7F02-4DF0-B864-BD7108ABBFC2}</author>
    <author>tc={1E89FEBE-3AB9-4EC4-9472-D085DC421B20}</author>
    <author>tc={24222E27-E0BE-4E36-8F9E-34146C7110D5}</author>
    <author>tc={B1E5CB24-0321-46ED-9204-8216CAFAFF21}</author>
    <author>tc={943C705E-EE08-4251-A11C-D45A283AEF01}</author>
    <author>tc={CDA3AC5F-457D-4D8B-BD6E-58D04DE2EB1D}</author>
    <author>tc={C4928E83-46F0-45C1-B8B5-CDE586C45D61}</author>
    <author>tc={4AE92C41-A171-439F-A3BB-3D98CAC1A395}</author>
    <author>tc={1123D2E6-0F15-41B0-9550-A431AC9D2C60}</author>
    <author>tc={408661BE-7B9B-4FBB-B6E3-1BBD6D5CA1F1}</author>
    <author>tc={0C25EDF2-94BA-446D-BC51-5684968C5266}</author>
    <author>tc={00ABC21B-B45A-4B72-9F75-864021CFF6FF}</author>
    <author>tc={6337B217-3162-4D8E-817D-535ECA38EABA}</author>
    <author>tc={021DDFC8-8DAC-4B36-882E-5BA69157C094}</author>
    <author>tc={4856F1A4-10F2-47E4-A253-C6C81C4EE9A9}</author>
    <author>tc={922EEDEF-E9E7-4530-B795-AFA074056C45}</author>
    <author>tc={955B01D8-2EF7-4229-B6BF-140EA8EAAD51}</author>
    <author>tc={A797DF83-C73E-4BAA-9CB4-9053E2CCCAD5}</author>
    <author>tc={277DD9FA-9C22-4DE8-B679-D9A1D67FE480}</author>
    <author>tc={7F024443-ABBA-409D-AEE3-6C00EF91C591}</author>
    <author>tc={2ACF9FC5-0A57-450C-90E5-4F8A31F3B250}</author>
    <author>tc={1D914A00-4F5E-4482-90EC-42BCFAD05500}</author>
    <author>tc={4D527FB4-AD3F-425A-B237-59480A59C646}</author>
    <author>tc={72CDE663-6733-442A-BB51-30C286D080D6}</author>
    <author>tc={F9320F5B-D556-4D14-B528-5DA19608B35B}</author>
    <author>tc={2742711A-F0EE-4217-9066-18F756495560}</author>
    <author>tc={67C909E5-909B-4C60-9A07-7833B9BF96DF}</author>
    <author>tc={A0173985-4F80-4C58-A7C3-F9E14AD5F953}</author>
    <author>tc={4B1B7D3B-BD78-4827-BDF3-D7375AF46132}</author>
    <author>tc={0966EECB-163A-49BC-92E3-FC0078A2B5E3}</author>
    <author>tc={660E383E-6670-4DBC-AEF1-DB6174E8BFF4}</author>
    <author>tc={BEB2F1E3-09E9-4DE0-8323-03AAF6DCDCCB}</author>
    <author>tc={443C8C13-9B36-4637-8651-D56EF21C6F76}</author>
    <author>tc={D2FC9E57-1AF4-4B60-81F5-8872B31709E1}</author>
    <author>tc={7F5D57AC-4EE7-40B1-ACB6-AFE01114594E}</author>
    <author>tc={941CFB2C-5DD0-4EEC-91BB-C11549A4E5D4}</author>
    <author>tc={B97B6041-F0EC-4E52-BE46-927AA898E26A}</author>
    <author>tc={6DC9B35E-4567-4194-9362-829026F9DBFF}</author>
    <author>tc={AFD28316-A408-4A57-8ABA-98B46A033226}</author>
    <author>tc={186E736D-203B-43D3-8469-67589C338343}</author>
    <author>tc={7B18AB7E-776C-43E0-BA2D-D4A22BFDE27D}</author>
    <author>tc={E062EDA6-76BF-4785-827C-6007D4EEB996}</author>
    <author>tc={00120400-9F15-44DA-8C37-6E7CA943928F}</author>
    <author>tc={1AAC4AB1-7B34-49E9-B2BB-74C19A5BFA4F}</author>
    <author>tc={2D764FE6-E209-41F2-A97F-DCFFC4D821C1}</author>
    <author>tc={1EF71451-0EA6-4BBA-9B4B-56604B55CC97}</author>
    <author>tc={6D3AAC14-BB50-482A-9A86-85F11305DBE4}</author>
    <author>tc={9E70F32C-83DB-4C44-9D65-34EDE93FA020}</author>
    <author>tc={6F17A808-88E2-4FC2-BCB3-6227E8E0078E}</author>
    <author>tc={4C4E740F-7BC7-4DB3-9CE0-B774CA857B68}</author>
    <author>tc={8B4D1AFD-2D5E-45BA-89D4-09D7D4DE8CB5}</author>
    <author>tc={B3A4B7B1-3AA8-4AE8-931E-776C55A1C3D2}</author>
    <author>tc={631645D5-F92C-4F1C-BE1E-BF70A1829556}</author>
    <author>tc={AF9FAB2E-984F-45EF-80BC-8588DF0A4F90}</author>
    <author>tc={0069E17D-9D3D-4127-9B4B-1D666484D946}</author>
    <author>tc={52671D4D-B2CB-4B20-94A1-49B306FE71EC}</author>
    <author>tc={031A9A04-68BA-4B44-8841-4AE7E17E6923}</author>
    <author>tc={BC13D063-CC26-4786-98AF-1ED8CFBC4E84}</author>
    <author>tc={DEECA3AE-F8F3-4F5D-B767-F75E53A25C7D}</author>
    <author>tc={705F9844-7DEA-4FA8-9A28-F503EAC73F06}</author>
    <author>tc={BF85E6F2-F437-4D47-AADC-55CCF21B11BD}</author>
    <author>tc={42062088-7466-4CC0-8956-D2524DC5D9C1}</author>
    <author>tc={C79E5097-2003-4BD6-A22A-D44D1047F4FF}</author>
    <author>tc={7EBA61AA-9301-451B-A847-B4875956F35E}</author>
    <author>tc={F6352A2C-1263-49A0-B985-67519C10EA3E}</author>
    <author>tc={91C6C1A8-2597-4785-B696-10BA7C27431A}</author>
    <author>tc={0F67F6DE-52CE-4848-A100-C2B669ADC338}</author>
    <author>tc={68D4CCE1-6C35-4A2F-8F78-4DAD162D0987}</author>
    <author>tc={80934D7B-F492-400C-9153-A6E2AD67CD35}</author>
    <author>tc={07E3A668-F228-4BF7-BEBA-A20DC65DAA31}</author>
    <author>tc={50E92462-0CE5-4E52-8D1A-FF9D31749FC3}</author>
    <author>tc={C22B16EF-BCF9-4382-9BDA-09A004795D98}</author>
    <author>tc={9333D6FE-6944-4FFC-B184-E994AEA0C037}</author>
    <author>tc={450CEC61-2ECA-4BFC-80AE-6DD552BBE23E}</author>
    <author>tc={9ABA9A00-1A5E-45DE-A252-B242FC2FDD9B}</author>
    <author>tc={1F9DAF4C-698F-4EE3-BDED-AA0AE7785C04}</author>
    <author>tc={FD38C5D2-4F6D-468C-84DA-F4F4D468F4F6}</author>
    <author>tc={79F898F6-6733-4BA1-9D74-35AF0C520F1E}</author>
    <author>tc={F9FAD435-4CD2-4344-B2F6-93B4D0CAE6F6}</author>
    <author>tc={83BCB9AD-F3F7-4A34-BF99-B15EBFDCDF79}</author>
    <author>tc={5798CEAD-DCAB-4D05-87F4-2FF949D8E5F6}</author>
    <author>tc={B7D11CAD-E8F5-4E72-97FE-143957772A57}</author>
    <author>tc={70DD440C-63B3-4176-9001-075198A37F9B}</author>
    <author>tc={D196DABE-5629-455B-8878-A23CD36BED6F}</author>
    <author>tc={EFE9C569-BC26-48A5-85BA-ED35B3EA6610}</author>
    <author>tc={9487C13E-8A4D-47CC-A4B0-ADC993AFDB2C}</author>
    <author>tc={0DAE3141-4ACE-4592-88F1-CF5304329FF7}</author>
    <author>tc={EA62BCE2-DC34-4854-AE47-A89676562A53}</author>
    <author>tc={BDDDDB39-7370-4F03-B3B5-86448077531E}</author>
    <author>tc={A33FF6E4-1BD9-4F74-BBC9-8D96EC4EAD1A}</author>
    <author>tc={7A3A8A23-0BC7-4AE4-874C-544488639B1D}</author>
    <author>tc={9C67F575-6075-4D63-A6A3-9937E62EF32D}</author>
    <author>tc={20156AF9-61E2-4A48-A79D-B5EF6A28D3E5}</author>
    <author>tc={7B690806-B090-4CE6-B547-FFAD6FF3613A}</author>
    <author>tc={D46E3D45-5B8E-4806-AE57-5EE128362B05}</author>
    <author>tc={657BB269-7957-4D0F-AF50-53C75F5CB5B7}</author>
    <author>tc={8B329C8A-B8E7-4188-8A05-99AFC895A1B6}</author>
    <author>tc={F2C78062-2DA5-4723-A34F-2EAE2F31C866}</author>
    <author>tc={E00268A9-2C2C-4FF8-AAFD-4BE02C14D997}</author>
    <author>tc={6B0A0BE8-2727-4BDA-AEFF-C57266E271BE}</author>
    <author>tc={CA616E78-4093-436A-839F-859FBD9971CA}</author>
    <author>tc={5DCB04EF-ABEF-49E2-9E23-03BF1C103CE4}</author>
    <author>tc={A5577259-0413-4B8D-81A8-1768841675EE}</author>
    <author>tc={0C473354-DFCB-4498-920B-9EF3AA0BB881}</author>
    <author>tc={2C46BE96-6B5F-4DD0-A77C-653947B1F4D4}</author>
    <author>tc={AF26AF07-5DB0-41CA-9BE2-87583B35EFA8}</author>
    <author>tc={8745A646-38FE-4FB8-9D6D-886D3B90F3EB}</author>
    <author>tc={AC6C41B6-D037-4AD1-B706-BA387BE01688}</author>
    <author>tc={40CEF52C-3D99-4C3D-BAEB-3830A8CE4131}</author>
    <author>tc={5FCC8255-25D7-42AC-A3E9-9DDC10CA4E48}</author>
    <author>tc={0DD0891D-0ECF-4213-B076-0143AE2F5631}</author>
    <author>tc={3AB632A2-CC8A-4706-BFDF-CE7DFEF93F71}</author>
    <author>tc={51C178FB-E156-4E40-A223-B41E688843D3}</author>
    <author>tc={1A48A692-220C-4A2D-BB42-E8A3FEE07979}</author>
    <author>tc={2C1BB935-89B8-4AFF-83B5-BFE902D33C42}</author>
    <author>tc={AB09B217-E295-4D33-A2A1-86CB8666D343}</author>
    <author>tc={7B6890B8-16E7-4B74-8CE7-8ACB64954544}</author>
    <author>tc={6C065922-8117-41EF-AE6F-5C2C5604D448}</author>
    <author>tc={86C0CE64-824C-4BCD-9B7F-76C1A960F664}</author>
    <author>tc={630BB9AA-ACD2-412B-8F12-0E9D699D40AF}</author>
    <author>tc={B4988F39-DA0F-467B-B33B-AE580B08100D}</author>
    <author>tc={A7F51006-5C14-4D2A-8D69-FEAC5F0A6D0C}</author>
    <author>tc={95ADBB36-1782-43C8-B244-5453606FB1BE}</author>
    <author>tc={69735F4C-4CEB-48D5-877A-8AFE9D828B6D}</author>
    <author>tc={32E9EC29-4BA7-45AF-96B5-B8032C97F1C0}</author>
    <author>tc={EEAFC4A6-47EB-49E7-9AD8-1CC7C6E9B648}</author>
    <author>tc={FE7BCA60-DD2C-4E1C-8C98-7E6B0B0E40C9}</author>
    <author>tc={C2BF2F21-90AC-4880-8BB8-0FF315944713}</author>
    <author>tc={577E65DD-02AB-4200-BE48-3A6B15F173C5}</author>
    <author>tc={3E4102AB-64D8-4198-B557-43F94B2F85EB}</author>
    <author>tc={CE03AA09-8AFE-4AEA-83D1-EFAE211DBFE5}</author>
    <author>tc={7D9F1E48-8142-4E10-977E-602FFF168400}</author>
    <author>tc={9D1D6D0C-0071-476E-A69F-8773EF43232A}</author>
    <author>tc={CCF2609B-9AD2-4844-924B-D2751E8B84AE}</author>
    <author>tc={D54045FC-ABF6-45AC-9031-913A8E6C8E4D}</author>
    <author>tc={24229C87-6A1F-4F77-99D3-25F376E40354}</author>
    <author>tc={51F3A20C-003A-4025-AE9D-39AFD488BCEB}</author>
    <author>tc={FC94D8DE-FAD1-44F9-AAE2-471BC4131101}</author>
    <author>tc={98740AFC-A4F3-4807-9352-495663689088}</author>
    <author>tc={E8658288-F176-4911-8AAE-2BD2F0CA0000}</author>
    <author>tc={9BFDFF48-4E53-42A7-8566-488BD1562752}</author>
    <author>tc={12C043CC-9039-4186-9A9F-29D4FD6CCA7A}</author>
    <author>tc={5419481C-346C-44DB-89A5-112799B38347}</author>
    <author>tc={687CB6E2-D252-42CE-B76F-31F0C2734911}</author>
    <author>tc={DA437F69-6706-456F-AC4B-FECC40561304}</author>
    <author>tc={3E20B854-DD61-4D5B-8929-2E36714532EF}</author>
    <author>tc={64E6B64D-BB67-46A3-AB7E-777FDA5A20FB}</author>
    <author>tc={9F077AA5-CDB3-4E9B-B3F6-1499D3B31137}</author>
    <author>tc={AAFE1DEB-41C5-4C12-AA18-DC0383A998E4}</author>
    <author>tc={76E579D1-1541-4B9B-9054-2EF9B6F3D3D5}</author>
    <author>tc={CE775400-30B8-40B5-B727-CAD59D63D865}</author>
    <author>tc={B9075CED-B738-41F7-9FE6-9EDC2BF1C0A4}</author>
    <author>tc={E85B84EB-6B8B-4307-BB40-28494FFB77D9}</author>
    <author>tc={14E17071-63C3-4DA1-832E-BF754CF42BC6}</author>
    <author>tc={772220FC-5D56-4685-B275-22B669BCB3B1}</author>
    <author>tc={9FA82A16-173D-4E94-A225-BAB7FBD225D8}</author>
    <author>tc={DAEA41B4-F690-4796-BB66-72979054657B}</author>
    <author>tc={CA3CFBDF-4B31-4193-A34F-F8115F3C7DBD}</author>
    <author>tc={52A4953B-7A9D-4053-A60B-43E80F437F8D}</author>
    <author>tc={C6A5CAB2-A710-4173-AB28-52072450E24B}</author>
    <author>tc={B023630B-0E0F-4EB9-A46F-042769310B11}</author>
    <author>tc={F348F0AC-9516-4D0F-85AF-1BD5D14120ED}</author>
    <author>tc={E0363ED7-BB02-41C2-843F-2EAD381D06F6}</author>
    <author>tc={4DB025F9-D10D-4D46-BC37-78C9FB78FBC3}</author>
    <author>tc={9E19B9C7-FA4F-4416-A2E0-C0D2DF3649EF}</author>
    <author>tc={10944CDA-4614-41E9-A788-8BDB8088477C}</author>
    <author>tc={4F2F0A14-DE30-4538-BF6F-F03FF11D975B}</author>
    <author>tc={62B172A8-8764-40D7-B829-04A141E4EA8B}</author>
    <author>tc={A3995DCB-FA04-4668-A31E-2E57DE08D05C}</author>
    <author>tc={994466C7-A351-4051-898E-31EF57C02E3A}</author>
    <author>tc={A61AB78D-53E0-4E5E-94E6-E1156A8D2C2A}</author>
    <author>tc={99263465-508A-4BF8-A717-64B7F55F8F34}</author>
    <author>tc={732AD7E4-D667-4768-8C7D-F027C5F35685}</author>
    <author>tc={10B55C61-4709-4EBC-966B-0E828A68CDBC}</author>
    <author>tc={62F6DC34-1C7A-4CFA-8E1F-BDA3AD7A8211}</author>
    <author>tc={7B159F32-FE32-43AF-A84D-7EA74EE6397E}</author>
    <author>tc={2B472F88-99F4-455D-BE40-41CE0AB5C7AD}</author>
    <author>tc={A3D0B3E8-C765-4A44-BEF2-ACD0B5174059}</author>
    <author>tc={1B4CB6AF-442C-48F3-B3E8-1F88429DD4E1}</author>
    <author>tc={890EA50E-B99F-4937-B4DA-EF2409D0A503}</author>
    <author>tc={A466D48A-F9C0-4C85-B0C5-C8C7ED66D5D7}</author>
    <author>tc={BA8268F9-BB10-48ED-8CB2-F60AEEF8F180}</author>
    <author>tc={AC23805F-7858-4F69-A061-3711520EC8AB}</author>
    <author>tc={8890AD5C-D102-4A98-8712-76D8F3ACEBF3}</author>
    <author>tc={469290A9-D948-4ADB-BFCA-8CC1BD273CD9}</author>
    <author>tc={149BFF59-D0AF-4BAC-AE5F-B592D1046159}</author>
    <author>tc={A9FB6B90-5C62-47BD-88CE-E98AD37F232B}</author>
    <author>tc={099018F2-14CE-48E7-8B72-B926683ED944}</author>
    <author>tc={ADF43BE0-A424-4C83-8605-F037F4380111}</author>
    <author>tc={E3E14C5F-1DA4-4E36-A778-22E5D1E0F170}</author>
    <author>tc={C0A48D1C-8A9A-4BDC-9343-979BD62C2978}</author>
    <author>tc={55882521-FFBE-45AD-AF08-4EE456DC9969}</author>
    <author>tc={41CD1C17-9430-4E2E-93F8-ABBEA20785AE}</author>
    <author>tc={D6714E9E-C6FC-44F5-9105-52AE851C8E8F}</author>
    <author>tc={33C7DD5D-1F9B-4572-8176-015ADF393900}</author>
    <author>tc={BBEB8599-8308-413B-BC0D-F78E4C9A3C8C}</author>
    <author>tc={EE519DDE-DFA7-477B-BADE-4C72244D816B}</author>
    <author>tc={3D8FC83A-0842-4542-ADE5-120112952286}</author>
    <author>tc={0D72FB16-9858-4F87-8790-AA31CEE6059A}</author>
    <author>tc={D085630B-BA1D-41F5-AEBB-461447B81E9A}</author>
    <author>tc={C57E5A47-85F4-4B4A-B284-3C312A71FA29}</author>
    <author>tc={A00E6BB0-112C-45A7-AE1B-3FFA7D385FED}</author>
    <author>tc={BA3AA559-6D9E-477F-AC55-FF8A22383C83}</author>
    <author>tc={DA5EFEFE-182C-4549-B222-E5C72633D847}</author>
    <author>tc={EB42C0DE-2EF7-4122-B290-2A46D23FCB8C}</author>
    <author>tc={6ED1CBB5-424E-4E4D-B097-D91AD0A11086}</author>
    <author>tc={5AB9DDAF-D8E6-4845-805A-E55992751DE7}</author>
    <author>tc={B6CD2B03-03EA-45C2-B3AE-8800EB8AED21}</author>
    <author>tc={34B6754D-8F0F-47D5-BAF7-7696303824DD}</author>
    <author>tc={8EDCFC95-1FCF-4506-904A-BE55E6DC1E55}</author>
    <author>tc={B2D942E7-C2FD-48CC-B8FC-03E10198896D}</author>
    <author>tc={BF651A42-2886-4623-ABF5-1E0F7FA42C1A}</author>
    <author>tc={C3F13CF1-BA8D-4A8B-8504-B5C7A57C47D4}</author>
    <author>tc={EAF2D661-7386-4D16-996E-52BFDF167CF9}</author>
    <author>tc={7649B306-8747-49BE-8523-D243F8307165}</author>
    <author>tc={020F7928-1E8F-4E52-BC76-D1D84F386318}</author>
    <author>tc={C7D74AF2-3390-4A8B-996D-314756082D0B}</author>
    <author>tc={9BC0E8E2-59A5-4F7D-8B4D-8B6978EEE389}</author>
    <author>tc={3806F2F1-86A1-4AB7-897F-7303C5DBD255}</author>
    <author>tc={A29E2F23-1735-409E-ACBB-CA0C514FD655}</author>
    <author>tc={68702C72-BE8D-43AB-8146-18E6E128F791}</author>
    <author>tc={7712C6A5-DB18-4396-8BAB-16A2F8ADE41B}</author>
    <author>tc={F73F0E5C-573B-4191-ABA4-A2F97A4E3D51}</author>
    <author>tc={AFCB26F1-2EA4-4B7E-998E-521536B1C294}</author>
    <author>tc={723CCDBC-FEB1-47AF-BAD3-77E2DF4FF1D7}</author>
    <author>tc={FA4ED377-E892-420D-8640-403679BF94DB}</author>
    <author>tc={4197151F-18D9-4E4C-BFB8-9A64AD32DDD8}</author>
    <author>tc={D4BC8F89-1876-4921-9A55-98416367FFEE}</author>
    <author>tc={F6EAEA99-0462-4855-A06F-0DFF29456CB0}</author>
    <author>tc={B8966D68-48C9-4B94-BDEB-9055960EFAD9}</author>
    <author>tc={1AEE7D15-9859-4BE8-BFFC-A94054D04D93}</author>
    <author>tc={AB8F2232-B02C-4754-B684-A02FB0293C1F}</author>
    <author>tc={6EDF3E74-69EB-4379-84E5-407EECED2440}</author>
    <author>tc={8CA76726-5F45-40DF-9D8A-C15469267EA0}</author>
    <author>tc={0FF767B6-F657-4E19-AC9A-99517BD72674}</author>
    <author>tc={257FA89B-0F0D-432A-B80E-4902B19D120A}</author>
    <author>tc={7F64C47E-0247-4A01-A160-70B767395A37}</author>
    <author>tc={FC0BDA24-4E97-48E7-851F-6572C7BD5DAE}</author>
    <author>tc={518A4DC6-2F49-4EE9-AF76-B8E327404DF0}</author>
    <author>tc={31B4C56A-D36A-45E1-8C12-35554A1CDA72}</author>
    <author>tc={7EFA3783-7F04-48D2-8904-4F46FBB34B08}</author>
    <author>tc={1B546CC8-23A2-4EC5-B517-116089AC4833}</author>
    <author>tc={6321065B-4F46-47BB-9E38-64220CDF8EF2}</author>
    <author>tc={22B286EC-7033-41DE-94AE-829D112EF94D}</author>
    <author>tc={26882DC1-8A29-4B92-97B6-F7D7859576EF}</author>
    <author>tc={852811C1-EE1C-481C-AEC4-4F2CBA4F30B2}</author>
    <author>tc={A461A7A3-AA48-4B1B-A417-1D19C86D0C2C}</author>
    <author>tc={059045AA-E823-4FEB-88A1-1B1D5ABF3E25}</author>
    <author>tc={30FC73ED-2081-4C07-84C4-5894993B2BF6}</author>
    <author>tc={67C3A12C-6161-4275-ADFA-7B0B6A235E3D}</author>
    <author>tc={AC76C75B-421E-4606-9247-80A0003D021B}</author>
    <author>tc={6FC521F4-07EB-472F-82C9-BE3ED31BB13F}</author>
    <author>tc={48CCB7C5-DDF4-40F5-BC1B-8FE69002A51E}</author>
    <author>tc={2754E182-67BE-4419-B56A-4FBF3334F472}</author>
    <author>tc={91F12E9D-094E-44EE-BD6F-6A7937BC56E1}</author>
    <author>tc={FF31845A-8970-49A5-AAEE-08ED74E561B6}</author>
    <author>tc={FF3C29CD-1F21-480C-8C7B-51F28F045768}</author>
    <author>tc={824876DE-5F7F-4C88-B1DC-9A657B4AF59C}</author>
    <author>tc={FFC1EECD-AEEB-4BAD-A3D0-ADE5F30FAB94}</author>
    <author>tc={55E2FDF2-5797-4EB3-A0D9-8A07DFD71CA9}</author>
    <author>tc={54A638D7-6839-4A59-9052-F24C03A3C60F}</author>
    <author>tc={175CB098-6301-47CC-B735-5CE5394E8F46}</author>
    <author>tc={602E774C-9298-46E1-8DCA-B220696F8C87}</author>
    <author>tc={37EA9C8A-D344-4AC8-AF67-3A92479A7D3E}</author>
    <author>tc={E92A7301-6501-45F1-89CF-F25916724CC0}</author>
    <author>tc={175FBBAE-40DF-4A94-98D1-4DA7F323F3C2}</author>
    <author>tc={16C87A4E-AB8F-4388-9F84-4BDD430DDDB0}</author>
    <author>tc={EC33346F-F58C-4A38-BD63-662AC86D8171}</author>
    <author>tc={50BA2026-406C-4757-BC52-350579492D68}</author>
    <author>tc={A5DA4BB7-2747-4A19-9329-600B6B6A3529}</author>
    <author>tc={3716A2CE-C1CE-4A2B-871E-5492455294FB}</author>
    <author>tc={6739EE6B-61B0-4B21-881E-91A31BE75B8A}</author>
    <author>tc={4025DAE5-5E60-4C36-86FB-730DB1065B25}</author>
    <author>tc={AA82E281-BD4D-494B-87E0-6AB3E9F22E27}</author>
    <author>tc={566299AB-E139-4F7D-AEAA-98B1C74E12E5}</author>
    <author>tc={3FDBC382-3289-4310-89C7-86407167562D}</author>
    <author>tc={4D8138AC-A25B-48F1-A925-5ECC3E55A262}</author>
    <author>tc={52E291DB-65E2-4519-AE46-2EAB7BC0802C}</author>
    <author>tc={7E3F2065-6941-4CA6-9D1D-24CF0F48610B}</author>
    <author>tc={F0D707C2-10F9-4164-A347-E42E515D2EBE}</author>
    <author>tc={C30CF64D-00B3-435F-9D14-5164EF0ADE27}</author>
    <author>tc={B31465A8-02BE-4F5A-8EBA-8B18E917FD7B}</author>
    <author>tc={B3B2FDC3-6F59-45B7-89C1-0FDA1DCFFF3E}</author>
    <author>tc={1E367128-97AE-4533-ABE9-6E01DA8FD8B1}</author>
    <author>tc={E350C2CC-447B-4853-B800-FA5D797E4AA6}</author>
    <author>tc={D25C97FA-D7D2-4DE6-A302-050CC06A1A80}</author>
    <author>tc={488144B8-13DA-4451-9245-F2A71BB2103F}</author>
    <author>tc={C8414DC0-C998-486E-B4B8-BFE2A8658DFB}</author>
    <author>tc={1D08F4AB-A337-4EE0-B794-44F5A87466F7}</author>
    <author>tc={62DBE99B-48BF-46B0-9742-2DFEA4BA5B87}</author>
    <author>tc={11F69588-38E6-4148-9D55-D7B6974F99A2}</author>
    <author>tc={FEFB0262-101D-472A-A5CC-D42CB3545797}</author>
    <author>tc={F254883C-B428-441F-9E86-A0EC25B08E39}</author>
    <author>tc={51F3B24D-0F72-4F97-8F8F-2F3F3A9C6651}</author>
    <author>tc={13031055-8E6F-48E8-9A48-10DCC3CF1B59}</author>
    <author>tc={43A51A2B-4BF1-443C-88C9-329338416356}</author>
    <author>tc={DF8D1B65-1070-4550-8C68-8C220B3B06DC}</author>
    <author>tc={5AD06799-D415-4105-AF9C-863EDF4AFCF2}</author>
    <author>tc={000F52E6-5CB6-40A6-B352-647BE51489C0}</author>
    <author>tc={962A6459-1A80-4C94-81AF-2EC1946F1E4C}</author>
    <author>tc={C1667216-4DAA-4EF3-8B71-D61BA7EC1135}</author>
    <author>tc={C3809E71-EF8D-43EE-A32F-8113EB64FD17}</author>
    <author>tc={B918D984-4AB8-4151-88E9-A2F74822AF38}</author>
    <author>tc={78820F41-F2D9-48B2-9742-D4A4CE109E17}</author>
    <author>tc={ED77DEF6-F651-4148-B842-06A8FB1276A4}</author>
    <author>tc={89835411-830B-40A3-874E-BE3E54D4A51E}</author>
    <author>tc={87228CDF-B520-4A66-BA71-2F28DD184B7F}</author>
    <author>tc={45235AFE-829C-45D3-9EB5-722F7E884C55}</author>
    <author>tc={7F1AD2E6-EABE-4547-B70B-9D56876576EF}</author>
    <author>tc={7275C76E-BF11-46FE-AA8B-568CD57CC4C5}</author>
    <author>tc={0B9191DB-49A5-40B0-AA69-DC044A3581A8}</author>
    <author>tc={D378D54D-3C42-4E75-A9A5-481DDD6FCB69}</author>
    <author>tc={51EE69E2-E4B0-467D-AF9C-0AB34C8FCD32}</author>
    <author>tc={EE011DF8-397F-446E-8839-07372DAA0627}</author>
    <author>tc={F599BBD5-F3B0-4CA7-B028-DBB94855B728}</author>
    <author>tc={605656A3-211F-4B25-9808-39173EFB03A7}</author>
    <author>tc={69131091-5D16-4462-91E9-336191ABC098}</author>
    <author>tc={65BE44F0-192A-4233-BE9D-ACF3932E8942}</author>
    <author>tc={B8CA43B8-B240-4D02-9B95-0EE092C66D93}</author>
    <author>tc={CDBDCB6C-8394-4D91-A19C-584871239632}</author>
    <author>tc={A70F9589-9817-4C2D-A5B7-63745BE23B41}</author>
    <author>tc={C92D5A97-0C03-45D4-AD9C-5386D1D91858}</author>
    <author>tc={8AACED8B-79F8-416E-AED6-2E4831DBBFF3}</author>
    <author>tc={780BADF9-D24C-45F3-A1D8-27E1C506999C}</author>
    <author>tc={61F0E3EB-D1B2-42A8-A453-800D10E046B2}</author>
    <author>tc={D8C598DF-DF00-4CD8-B027-F29D50BFE479}</author>
    <author>tc={2F258BA0-1B17-49EF-B6B5-7ADCBED8A99C}</author>
    <author>tc={96C47512-8B33-45D9-A947-43F400676FDF}</author>
    <author>tc={EE1C3909-45E9-4686-A637-C7815D515F4C}</author>
    <author>tc={543493A6-9C88-4FBD-9583-732012D49C05}</author>
    <author>tc={7CAF1C62-1429-4235-A865-3EE80DC7B238}</author>
    <author>tc={53E0D119-281B-48DB-8641-E99548AC35B0}</author>
    <author>tc={9C6C013B-7056-44D7-9BF6-60600EC6ABA2}</author>
    <author>tc={7F2AEA8D-5D2A-4839-8A08-AD00587482BF}</author>
    <author>tc={483A83E4-5601-45F1-865C-BC06C917534D}</author>
    <author>tc={36176397-41CF-4E1A-A0E6-A91BFA92609D}</author>
    <author>tc={FAB92507-77FB-42C2-90DF-9800FD6FA865}</author>
    <author>tc={C9400640-784E-41E6-AA91-CBB81F6BC44C}</author>
    <author>tc={DF8EBC62-AB27-49A5-AD00-F0AD7CD702C5}</author>
    <author>tc={07F3E0F2-7FA2-484A-8B3F-56E15EE89DB1}</author>
    <author>tc={4C2994A2-B405-419D-8B47-65DC97B317C0}</author>
    <author>tc={FF602350-057A-45ED-90CF-8677A8D4AE7B}</author>
    <author>tc={0E5D89B2-A580-4485-894E-4F1540807A24}</author>
    <author>tc={9A975291-33B2-4589-80AA-4A174394D444}</author>
    <author>tc={532C9FBF-C212-46F7-BF07-98A5F501D0E9}</author>
    <author>tc={CDDD0FEB-A16D-4AF2-A763-7E037E46A395}</author>
    <author>tc={2027CFA0-85F5-4C6A-AC16-0A61D717CC73}</author>
    <author>tc={ADA69372-1C2D-4073-996D-29EB917D95B0}</author>
    <author>tc={19A4732D-5E5E-4395-B957-66BB29C7C300}</author>
    <author>tc={220C205B-95E7-4B45-8860-C32DC3312928}</author>
    <author>tc={4B18AA41-B444-4938-A867-57F391D336E3}</author>
    <author>tc={45EC96AF-3525-4755-B443-8C7D037A14E2}</author>
    <author>tc={D527E090-592B-418C-96C1-F22E2D034C8C}</author>
    <author>tc={20E6D81B-EDA6-46BE-AA8C-05272B26988D}</author>
    <author>tc={7844CE45-548E-423D-B4F9-4A763B53C551}</author>
    <author>tc={9237684A-B891-41F5-B46F-0EA2CAAA0616}</author>
    <author>tc={8E2281EA-0C97-4250-A25B-7BF20BD220F2}</author>
    <author>tc={B94497F1-9A75-411E-8334-834B6452135F}</author>
    <author>tc={953A93E8-653E-48A2-81FC-E294E8DD2D7D}</author>
    <author>tc={7458B841-E3EA-46FE-95D3-27DC48CEF4B2}</author>
    <author>tc={049E4533-443C-4ED1-98D5-2892902FB7AF}</author>
    <author>tc={8A80D2B2-10BB-4D33-9977-0C9140C3EC1A}</author>
    <author>tc={EF19FE31-1EC9-4EA9-B714-BAD8C13F64BA}</author>
    <author>tc={47E01D13-7BD8-4E88-911A-25314D61544A}</author>
    <author>tc={B0D990E9-5B32-4F13-A529-F407E9ED181E}</author>
    <author>tc={120E839A-8ECE-4554-A6B1-E36FB0932986}</author>
    <author>tc={18A055DB-D294-4A48-BF3B-EE1EF5A1F47D}</author>
    <author>tc={9D289296-153E-4AC8-9A2E-3473D0416257}</author>
    <author>tc={11D3496C-5D5F-4BCD-BA7E-548637C27D7B}</author>
    <author>tc={967DF03C-FE26-42FB-A75D-F9D71909279B}</author>
    <author>tc={3858BC52-0EB8-4AEE-9D19-200EE9CD8F2D}</author>
    <author>tc={27186F54-5457-435E-A9C3-84B268EA3225}</author>
    <author>tc={8F5E669C-3CD7-4E9F-A46F-1952573B2738}</author>
    <author>tc={650C43FD-2BEF-4FEF-BFEA-0F77DCBDDD45}</author>
    <author>tc={BEC4C278-31E3-4D56-A34A-2A6433F3B91C}</author>
    <author>tc={D4A8792E-C237-48E9-B0EB-3FAF7E3B83B0}</author>
    <author>tc={54F7A8BD-52DE-49E7-88D7-DC43FEBB1F73}</author>
    <author>tc={88DD6A8E-78A2-4210-8974-50F39D6C46E9}</author>
    <author>tc={69FAB410-7014-4954-8CC2-132F9F30D156}</author>
    <author>tc={C879865A-ABA4-4D4C-9CAC-4E8F23873A39}</author>
    <author>tc={45268E69-5982-4205-9945-9CED84C188E0}</author>
    <author>tc={72166393-AC3E-4900-9EB4-05AE972D6F5B}</author>
    <author>tc={ACE9D498-C88E-4254-AF33-EA00AD07F01C}</author>
    <author>tc={C2AFAFE5-973C-4C1D-A25D-043A8ED3D12F}</author>
    <author>tc={A8CEFB79-A7F0-419D-B3F6-EF35185C1E19}</author>
    <author>tc={FB867FFD-0176-4DB8-B1C9-D7B8615DF91D}</author>
    <author>tc={365ED58F-6511-47F9-95BA-660BD572DE67}</author>
    <author>tc={339562F7-8B47-456E-AB64-6AF42A40F1C2}</author>
    <author>tc={29B6F9D5-0731-43F0-89F9-7D592C0C6C28}</author>
    <author>tc={BE27A9E3-3CE7-4FE3-A85A-A4136B002EF0}</author>
    <author>tc={C7BC7205-4A8E-4831-8523-0A0825C2C91F}</author>
    <author>tc={4AD83470-52FE-4EBD-89F3-0D3B6F34C8F8}</author>
    <author>tc={D770366E-3EFB-4126-8537-31F805E4F24A}</author>
    <author>tc={1F506365-3C9C-4AA7-B353-D78630498C1D}</author>
    <author>tc={A4C7D1CF-7EB9-4023-BC20-A624FD023B81}</author>
    <author>tc={8B14DE13-4F90-4E9B-9CF9-0CC9AEBFE72A}</author>
    <author>tc={46F55885-80AB-40B7-9F08-09263255CE1F}</author>
    <author>tc={6AC84CA2-F7F8-44A1-A184-DA5F22A20C92}</author>
    <author>tc={1B6F6EB8-C901-4C15-9D61-2A7448B4DD4E}</author>
    <author>tc={9626241C-39F2-4A74-90D5-C1385330B545}</author>
    <author>tc={1513A08C-059D-412E-87F2-4BE5BED354BD}</author>
    <author>tc={1D78BA36-3091-428D-AD98-554373848679}</author>
    <author>tc={459A55C0-B1F9-4DBB-A4E8-098E68202A93}</author>
    <author>tc={F2AE2B3A-8D92-4B62-837F-84BE95BE61F2}</author>
    <author>tc={73FC03F1-7740-45C4-884C-A05DDFDED989}</author>
    <author>tc={21928236-4BEB-483C-A964-CE7B0C7021AD}</author>
    <author>tc={4E805CF8-A8C7-46C1-9BF7-06B35905386C}</author>
    <author>tc={DE8D356D-0665-42FA-9BFE-30DFF357ABE6}</author>
    <author>tc={C7FDED17-AF27-43BA-8E11-56E1C81B5CCE}</author>
    <author>tc={2F89E793-0FCD-4238-9BBF-3F875D3DA436}</author>
    <author>tc={C1875961-498F-4E03-8995-45237CC25613}</author>
    <author>tc={072C3BB0-0AAC-4A18-8615-DD677AB1CF32}</author>
    <author>tc={610C96BB-8054-4E8B-BC88-76CCD52F3EE7}</author>
    <author>tc={8ED8258D-2296-4E77-9DA4-1DD78C70F37D}</author>
    <author>tc={70AE1F77-4613-4E1E-B051-3F9CF2A812C3}</author>
    <author>tc={D716E51C-B5BE-468B-886E-F6E07D831A9E}</author>
    <author>tc={00B7807D-9767-40F8-9FB5-ED151B6F21E2}</author>
    <author>tc={CDBC5032-371F-4BCD-970D-D41BE0EAB5DE}</author>
    <author>tc={B74AF3B2-CEAB-49E6-9C61-67A949176D6E}</author>
    <author>tc={3055B160-C9ED-4F5A-9643-3B49852ADF19}</author>
    <author>tc={3F347F6A-2520-4B86-9126-1B4E9C04942D}</author>
    <author>tc={03372148-3583-4E4E-997B-D8C89FB3B7EA}</author>
    <author>tc={A8594C45-229B-4FA7-9202-E8DFD9620192}</author>
    <author>tc={8663CAC2-0706-4187-8855-F09E9AF2633D}</author>
    <author>tc={8A025546-F776-404F-899E-46A015C7BE15}</author>
    <author>tc={C9A5A504-04C0-4452-A9F7-14F9A1DDF7A8}</author>
    <author>tc={7BD596FA-7AD8-42A6-BC34-47F2FB07F51D}</author>
    <author>tc={A9FACDD6-02C8-47D6-947C-BC933D6C389C}</author>
    <author>tc={DB54BB9B-C55B-4941-BC90-2F92510AEA08}</author>
    <author>tc={7D20796D-2665-48A8-9532-E8B156488D3F}</author>
    <author>tc={5904553E-9090-405A-A183-187D445F7EAA}</author>
    <author>tc={371D118E-D573-4C72-94A4-E7FA481B8E27}</author>
    <author>tc={F625D644-DC42-4A91-ACAD-3C879002240B}</author>
    <author>tc={0D6460D3-071F-4002-B8D2-EC88AA8F0948}</author>
    <author>tc={DBD06691-45B1-468A-BA79-AF651E99BEB5}</author>
    <author>tc={632A026D-03A7-43A0-98EF-6325186BE9F4}</author>
    <author>tc={826F8ED0-6BF3-4420-9A22-D8DE6A7C6699}</author>
    <author>tc={5AC5D1E9-3189-43B2-8A57-FDCD4532E7CD}</author>
    <author>tc={F443B7AC-22E9-4113-AD38-6D195051D726}</author>
    <author>tc={88D90328-840E-4E6D-A52C-C6EC5D09CF0C}</author>
    <author>tc={CEE45C7B-0FE5-4627-BB21-2370BC95CC45}</author>
    <author>tc={4BE2D722-17D2-4F04-8730-8610196EAFDB}</author>
    <author>tc={DB9FE1DD-3D21-4DCE-BFDE-9C016DC1D467}</author>
    <author>tc={4CBBC2FA-F814-4056-99BD-486DBAF55A75}</author>
    <author>tc={D7635FE4-7F2C-4672-86BE-4772BBE71FA3}</author>
    <author>tc={EDC4AAF3-4D25-4256-B3FD-445D947259CC}</author>
    <author>tc={8C327754-4FF1-4C0C-9B32-FCCED79086FA}</author>
    <author>tc={831EB04B-013F-4AA9-8B80-8515DCEEC2C1}</author>
    <author>tc={333C0D9F-BCBE-4CB6-A5FE-BE2782A0353C}</author>
    <author>tc={1697CA5F-06DF-45C2-BD94-1DB16F5C6134}</author>
    <author>tc={12DC9AA4-1FE0-4A7F-8457-562D51738755}</author>
    <author>tc={DDFB49E9-4F6F-4144-986B-F5269D34D549}</author>
    <author>tc={4A28C5F2-CB0B-442B-988F-1835B7E5EC70}</author>
    <author>tc={6BCE1550-BACE-4F01-9AD9-05819F94347D}</author>
    <author>tc={1C00B58C-92AF-4F34-909D-D9ABEAFCE92F}</author>
    <author>tc={347874A1-9791-4F52-A3A8-92C55A3E45EE}</author>
    <author>tc={14815CF3-E4FA-426B-8B78-1830D7EF2AC4}</author>
    <author>tc={E7D398BD-0234-458E-ADC1-453BD698A7EE}</author>
    <author>tc={F1376645-26AA-4A99-8B1B-18CC1836BB0D}</author>
    <author>tc={8CFEF8BB-A68D-4818-B3E5-07244D41EBC1}</author>
    <author>tc={32586613-300C-4DD0-867B-75B5DFF17EF2}</author>
    <author>tc={59840A1C-65F5-4079-BFDC-0412FB11B430}</author>
    <author>tc={783CEA0A-6AB3-47C0-A2C1-641FF4F3A172}</author>
    <author>tc={67F5296E-4A81-4BFA-9093-1A5649F03C6D}</author>
    <author>tc={3F79F2DE-A86B-4908-ACA3-C4C69CA34BF8}</author>
    <author>tc={1771458E-D5AE-43A5-AB88-CC0FDBD276A2}</author>
    <author>tc={5BF5D87F-44E1-4A02-A09C-307F1F6BD067}</author>
    <author>tc={6BD391C8-26B5-4CB7-A1C3-E5790955180C}</author>
    <author>tc={A08AD26F-998F-468F-A2FB-466A207502F4}</author>
    <author>tc={31088524-5B1A-45FE-8BA8-BEE39DBBB1F0}</author>
    <author>tc={EC860416-4454-40EB-BCD3-EB9A48DB1C2A}</author>
    <author>tc={553AA8DE-5584-40FD-BDB6-65D9D8C7A32B}</author>
    <author>tc={6741BC34-2532-4D14-88DF-A4E48C0EBFDF}</author>
    <author>tc={7BDE61DE-27A5-473A-8458-A0B365B02215}</author>
    <author>tc={19430DCD-E908-42FB-9908-EDCCC5FF2B96}</author>
    <author>tc={2F597921-51CB-41D2-B340-CD28D5AB99E8}</author>
    <author>tc={BF4ECE17-6BF0-48EC-9DF0-41D92C5A42F9}</author>
    <author>tc={0F6BD030-EB20-4F20-8A47-EDE5A91587AE}</author>
    <author>tc={F96A9AF5-CC79-43B4-8607-A38AB14E84E4}</author>
    <author>tc={23D0518C-74FE-434B-9743-C891917D4D9C}</author>
    <author>tc={9949FE53-0F19-451D-9E44-FC0BE796DE2A}</author>
    <author>tc={7247B684-3254-4CEA-8131-00744DC93C5A}</author>
    <author>tc={42029C79-B348-4ABF-891B-0CCF4E15035F}</author>
    <author>tc={C33C07B0-CB73-4F0F-B414-552D49A9AB53}</author>
    <author>tc={5B95480D-FC72-4EB4-BD76-7AD7BBF7F33C}</author>
    <author>tc={E61B0F97-421B-46A8-9482-62283015A3AE}</author>
    <author>tc={4BE581D7-9338-4B65-8156-DA885BA9B65B}</author>
    <author>tc={D3AC3660-E8CE-4E29-AA32-E3813E489084}</author>
    <author>tc={E3FB3C95-2154-4BCA-BB52-5280CAEDC396}</author>
    <author>tc={ADD4DC51-C040-4A20-96F2-0491DA4A13F7}</author>
    <author>tc={DD836BDB-B68A-4421-B1FC-FCCED3210C7D}</author>
    <author>tc={811B7787-D98F-4EB4-BEB1-8F0FD76B7FA8}</author>
    <author>tc={A888BEA4-5938-4E87-B907-91C5D4688972}</author>
    <author>tc={F19C94B1-D65B-4412-BFDD-F402EE0F4472}</author>
    <author>tc={EC2DA8CC-0A51-4445-B6FB-AD6CBE88F64C}</author>
    <author>tc={8244A065-CC40-44D8-A7D7-C38EF2F19F22}</author>
    <author>tc={9166C34C-1802-4931-880D-E5265A0426A6}</author>
    <author>tc={D08ED4EA-1E40-4ED3-8397-2631C327F25F}</author>
    <author>tc={10A03A41-5328-43BC-B499-957C7A16C190}</author>
    <author>tc={3A2538F2-9FCD-4D6B-A88E-03806FE71707}</author>
    <author>tc={5E5840DF-41C4-4656-B8C0-DD71F09F8E89}</author>
    <author>tc={F5C0B4E0-AF88-4BA1-8D76-663BE11250CE}</author>
    <author>tc={59E1FA4D-AD64-47C3-8C4B-DF864DCDCE56}</author>
    <author>tc={131AFF2F-0461-46D4-B0A3-030E023BD275}</author>
    <author>tc={EBF2F787-3E68-4143-8E3B-73DB1B43B859}</author>
    <author>tc={E9E27F91-CF92-4FE4-8A47-479C17551850}</author>
    <author>tc={4B4FD292-9A0C-4A0A-91A7-C649CECCE149}</author>
    <author>tc={3EDCC0CF-93F7-4B8A-8C13-799C5A3110EB}</author>
    <author>tc={788DFBB2-657A-4DB6-AE14-F919965A4094}</author>
    <author>tc={9122318A-3B64-44CF-BA6A-10B6D0072368}</author>
    <author>tc={6D993F39-ADFD-44D2-A023-B5A3280DED52}</author>
    <author>tc={57E1856D-11D8-4B7F-BA41-BBE4BBD1249D}</author>
    <author>tc={64842401-D4D2-4DEA-A43E-4BB46CE39500}</author>
    <author>tc={D399FFF1-FF80-4F95-9B1E-A28D0A99D39D}</author>
    <author>tc={4F19BB9A-DBF9-4CE2-A822-0DD849E98672}</author>
    <author>tc={B6761D1C-7122-4240-8C47-6150DE65195A}</author>
    <author>tc={82A0B5C4-D200-43AE-BB64-1CB95007744D}</author>
    <author>tc={97361049-2E19-412C-AD78-D6254F2BD0F1}</author>
    <author>tc={AEEFD733-A9E5-4975-9766-D1590984EEB0}</author>
    <author>tc={05D999BC-C66E-4D2A-8F7A-94788E09F06E}</author>
    <author>tc={3E548D34-D94C-4BF7-8229-1F222E71053A}</author>
    <author>tc={EF16E2DB-3A0D-4E97-8D4A-8CE2CD217637}</author>
    <author>tc={2319960C-0070-4CF9-8177-646A9D5BE885}</author>
    <author>tc={EE5ABC1D-ED51-4358-8D50-4C67808B4D70}</author>
    <author>tc={B8DED17D-285A-439F-9CFF-F81AC19175EC}</author>
    <author>tc={25556D20-7E0E-4A0B-A7FC-F8BD2332D033}</author>
    <author>tc={24ECDD93-DA80-45E5-8DC4-10A6AA0EBCD1}</author>
    <author>tc={66853D75-E66E-4B28-AD7E-78C2B1E561AC}</author>
    <author>tc={27D815CF-DB3A-4540-95BB-140ABD7EFC4C}</author>
    <author>tc={1FA4E4E5-86D7-43FA-983C-B051A87BC6D1}</author>
    <author>tc={56C5F17B-1A33-4884-BC1E-AD1D037E6261}</author>
    <author>tc={F5674B70-D41F-4F12-9049-38824FA167F3}</author>
    <author>tc={DF48D073-19F2-4D85-9AA5-F7F80D73E64B}</author>
    <author>tc={5C83065A-D0EC-4E3F-9023-E64EC5E895B4}</author>
    <author>tc={3C6DC662-8E7F-4D4F-8736-754840A4415C}</author>
    <author>tc={B83AEA26-333C-45B7-9EE0-3F0B936250FB}</author>
    <author>tc={A29461D5-4E02-4524-9481-16FA3068A828}</author>
    <author>tc={079E1F05-9704-4819-86C0-BC25DE0271C9}</author>
    <author>tc={537EA187-41B5-4FF4-B22E-0363CD07AEC3}</author>
    <author>tc={0D022CFE-7390-48A6-9830-977BB72AC76F}</author>
    <author>tc={D57DD492-61A5-441B-A3F6-7309A5533606}</author>
    <author>tc={C9CA2EC8-A455-44AD-8AB2-6984DAAA1EAD}</author>
    <author>tc={7B8DB71F-90CE-448D-83A6-9699785F6A57}</author>
    <author>tc={88E103D5-6C6F-472A-8D55-5BCFEBFA1EAB}</author>
    <author>tc={355CEAAD-5F46-4C22-B3D5-6ACF4BA64326}</author>
    <author>tc={B695AD45-FCDB-4907-84DE-13F537B1D98A}</author>
    <author>tc={CB21E1A0-9B5D-4435-A7A7-6C982C44B4EF}</author>
    <author>tc={9BB98CE5-BC02-4779-8B62-21D54FD3266D}</author>
    <author>tc={C5ADBE3C-C2DB-4511-96B5-24641AB82C3B}</author>
    <author>tc={09062E7A-179F-45A2-9FEA-0DA07752764F}</author>
    <author>tc={FD0B93E8-C0D1-43BB-B206-CC30DC945173}</author>
    <author>tc={0ACA067A-572A-4960-BFE2-E6B9C65086C9}</author>
    <author>tc={748C298B-B0F3-4827-BB9A-B6686D0F9EA3}</author>
    <author>tc={001894D0-D008-46D8-9A2B-C7AE44D5FB05}</author>
    <author>tc={6C35CDF4-2E19-4A93-BF38-DD163FC8687B}</author>
    <author>tc={6888E321-F27A-471C-B600-0DDEDCE129C1}</author>
    <author>tc={DBF0A7F2-7BDE-4411-9863-0FB24E2BEB40}</author>
    <author>tc={20F32CB6-8B38-466A-8776-000F5C69AB3F}</author>
    <author>tc={4C795462-66D6-4931-95DB-A9ED89FC63BD}</author>
    <author>tc={10F6C30C-79BE-4707-9116-E73B07895BFD}</author>
    <author>tc={B3FCDA5D-B418-4428-A25F-E66AF07C2BF6}</author>
    <author>tc={916708AE-6F56-4457-8CAB-3632D41A1FD3}</author>
    <author>tc={A853E446-C913-484A-9930-689A8F2BE3CA}</author>
    <author>tc={27BEB39B-CD42-4E31-80D9-FBF54BD5712B}</author>
    <author>tc={8C2FFF56-6339-4CD6-B36E-8B7B786FEBD9}</author>
    <author>tc={2DF49976-4456-4AC1-867F-7488BCB7F21A}</author>
    <author>tc={2AA6D6DB-64E3-4828-A8C3-0AAC86CA82C3}</author>
    <author>tc={AD03086A-8B5A-4D45-8492-21132F2B426D}</author>
    <author>tc={7437F22E-62BF-48FF-AB9C-78D39B1F6FDD}</author>
    <author>tc={6A86CDCD-B01A-4524-836B-6ED004E8CB62}</author>
    <author>tc={D0B5681C-077F-4EE2-B0A5-FD9E576488F9}</author>
    <author>tc={A802D638-C6D4-43F9-BE2B-0CC0D3A279B7}</author>
    <author>tc={4CB2F97C-FAB7-4687-89C2-398E67AE3020}</author>
    <author>tc={077680B6-1148-4B6F-B99D-F89097739D6B}</author>
    <author>tc={F5BC8C4C-231A-4D54-B94B-13E0F2AC9BF3}</author>
    <author>tc={2743F7C2-6896-40E7-99B2-FAEC86936C86}</author>
    <author>tc={AE7D6422-3F57-42D4-AB81-58C9BA101079}</author>
    <author>tc={15D0E2F1-FB86-4B76-91B3-28245F5C4E3A}</author>
    <author>tc={D7283C0D-6794-47D2-B6EE-395A3FDFD63E}</author>
    <author>tc={9DE1FF14-AEF3-4165-82E0-B15031397925}</author>
    <author>tc={D45DC28D-60F3-47E1-BB7C-801D92E0BB27}</author>
    <author>tc={5CD2C124-7BC2-454C-970F-4D967F635C1A}</author>
    <author>tc={BABDE8FB-4244-4B43-A38F-B8C2E2896040}</author>
    <author>tc={B7FF7652-9273-484F-A83A-AD7D56C43EF7}</author>
    <author>tc={F6AB9E83-08D5-47DC-8D6D-4B5871F62F0F}</author>
    <author>tc={2CACA152-3D6A-4450-B8C2-FDB5E2CD2541}</author>
    <author>tc={1EA6CBEC-D43E-4FF9-B865-C6978619EDA1}</author>
    <author>tc={772F4539-E897-46E6-BB5E-91EBA5905269}</author>
    <author>tc={F6B01655-11F1-4B80-B7C8-47745214D13F}</author>
    <author>tc={ABC77FE8-30EB-4FA1-A5CC-6042D305D8E5}</author>
    <author>tc={A2C7EECA-D511-4B5C-B215-DB8D05C058D5}</author>
    <author>tc={73F7DF6E-B5A3-4E1D-9077-6AE11CFDDD4A}</author>
    <author>tc={64E5B8B8-A97C-4E27-95DC-F9B0131C70FE}</author>
    <author>tc={45186D61-C9DD-495D-86F8-F73FD3FA5DBD}</author>
    <author>tc={7D4F85DA-4BF5-4D54-A821-2A6540579443}</author>
    <author>tc={9DE8DE7E-7FA2-403C-B367-0D5CDBD72134}</author>
    <author>tc={0621D4C7-C170-4056-A555-BE68814B7A6F}</author>
    <author>tc={B2944770-B486-449A-B48E-F139595726F5}</author>
    <author>tc={31E837CE-7605-458E-AE58-3056380A2AFB}</author>
    <author>tc={80053C2F-478D-47A2-9B8F-BD5376DEE059}</author>
    <author>tc={5D01212E-9C83-4F58-A5D4-B8D8DFA7F999}</author>
    <author>tc={EABFFFB6-26DD-4E4E-9D6C-61F6DA15986D}</author>
    <author>tc={1864E7B5-47AF-461E-AA7E-22A9DCAA04AE}</author>
    <author>tc={47F5EEC2-DB5A-47DA-BF58-CB421D43B2AE}</author>
    <author>tc={0CA8C733-2C59-40BC-ADDF-66DB477AA0F8}</author>
    <author>tc={FB8790DC-2260-4089-8A4B-8F6643C02F48}</author>
    <author>tc={B723FC2B-763B-4853-9D7A-2A4D3B8A0D5D}</author>
    <author>tc={78B0D8D3-804C-4B5F-B2C3-DDCA0E73CF79}</author>
    <author>tc={1FD2894A-5D6A-4B24-BFD8-F22668E63EDC}</author>
    <author>tc={5B272982-99D1-4312-8973-A380C9D7719B}</author>
    <author>tc={4F9AF585-FFBE-4189-BADF-490427996A46}</author>
    <author>tc={1386B7A8-F329-4391-8DBB-8DE4B0A0C894}</author>
    <author>tc={2A4E2326-0090-4C7B-B1A6-651567CDB7FC}</author>
    <author>tc={6C721AD4-83AA-4383-ACF9-3F6BB5D94D91}</author>
    <author>tc={FA8FC76A-6301-4D17-AADF-7FB289D88DDF}</author>
    <author>tc={2052CBA7-BFC5-4C98-9CBE-0A1E4A371F58}</author>
    <author>tc={E5ABFC20-6823-4B98-933E-1CB39AD838D8}</author>
    <author>tc={CDA54767-C8AB-4E03-8314-5793F3DBA572}</author>
    <author>tc={89DF47E0-3C38-4B34-B488-315BD838CAE1}</author>
    <author>tc={FBE1A528-3A5B-47B7-A598-51773E434873}</author>
    <author>tc={6045891A-ADF4-46CA-8BD1-E4DBC18A2566}</author>
    <author>tc={938B8996-9D24-4010-9880-30333FD43CF8}</author>
    <author>tc={2BED59D2-87A3-4D51-8246-74F52DE5C28E}</author>
    <author>tc={FB8A478C-1BAD-445C-B8D7-A49CB74ED1D0}</author>
    <author>tc={9F196607-88DA-440F-920C-1905EE4476D8}</author>
    <author>tc={C69C436A-B563-4282-AB32-71A1F96E3E79}</author>
    <author>tc={22A463FE-0905-4478-847A-C7EBB95860B7}</author>
    <author>tc={35A61461-489E-404B-845E-1348E50E5EED}</author>
    <author>tc={54F2C8E5-2601-47C2-8FBD-0CA6B0464431}</author>
    <author>tc={6AE51674-C1EC-46E3-A89E-88214AEA24C6}</author>
    <author>tc={B5380528-8551-4C22-BBA7-4D0AC3D28B7A}</author>
    <author>tc={A11E5CDC-C20A-4E81-8ABD-9A44D48DE7E3}</author>
    <author>tc={6D46C58F-15F6-4C3B-A317-C54336DF178B}</author>
    <author>tc={305625F6-AC0A-4E71-8FB0-CB67ACDD8361}</author>
    <author>tc={2876C38D-A2D4-455B-A77A-8D8BCE838152}</author>
    <author>tc={6181BE73-4F17-4D94-BD7F-B6769619DC5F}</author>
    <author>tc={2D35737E-90ED-49F3-B85C-059F42556C30}</author>
    <author>tc={5727151B-D83C-4935-8579-F168E2EAF854}</author>
    <author>tc={E444D0B3-D1D3-4F06-B2B2-FC5621042D92}</author>
    <author>tc={FCBDD5E2-EFF1-4745-89AA-9FBB33879952}</author>
    <author>tc={82DA14E5-91C1-4A5E-82B9-6376851F2C41}</author>
    <author>tc={D933C0B0-45A0-4B99-A03A-C77D86F197EA}</author>
    <author>tc={292E71E0-4DF6-4682-AE6B-610695EEBBD5}</author>
    <author>tc={CF1A3BCF-7398-4316-BD8C-C5125032921E}</author>
    <author>tc={47E09159-BE50-4DE6-8BAB-673CC8EB426C}</author>
    <author>tc={6F0FF1BF-04E8-41B0-90D3-EFB414E9B191}</author>
    <author>tc={BD1F4447-E7C8-4C16-9153-08C43BAE8B90}</author>
    <author>tc={9A931B98-FE43-475C-BC1D-AFE34B3880F7}</author>
    <author>tc={F457FDE8-ADC3-47F8-AD3F-739448632907}</author>
    <author>tc={89C261B6-BF61-43AC-8507-8A2F78684A39}</author>
    <author>tc={85671B34-F965-4D16-8941-5E83D39DD848}</author>
    <author>tc={27B6DEF1-8B11-4DD2-8FDB-E8CB38862465}</author>
    <author>tc={B136F78D-E84F-48C5-A0EF-14A4A1EBAB31}</author>
    <author>tc={AAAFA09B-838D-4D95-A476-9BEFCB9D22CE}</author>
    <author>tc={172B7E37-CB8E-469F-A815-08386664126D}</author>
    <author>tc={D6F43A7E-0659-4679-A6A3-4C5B1AD678DA}</author>
    <author>tc={15038E7F-0D99-488D-9A1C-4CF9CC25C819}</author>
    <author>tc={24F80D34-FC61-497B-BB9B-C8DD92145B27}</author>
    <author>tc={4D8A2C9B-26BD-467E-A32C-49F4BF8D6A03}</author>
    <author>tc={819431D0-18E1-4E41-8E1C-8D268AB9FE52}</author>
    <author>tc={E666F6F1-ECDE-49CB-A6BE-47767F7F7F10}</author>
    <author>tc={80273C9A-59A9-46DA-A166-B8A352F2733A}</author>
    <author>tc={F16A1D9A-C2B6-44D5-B6D5-DD268FE49572}</author>
    <author>tc={0601CB7C-9A78-4286-B4B0-90DF5B2A45DC}</author>
    <author>tc={99E6D192-18C2-42B9-8A25-A96F2BFB9EF4}</author>
    <author>tc={A861850E-028D-48D0-892E-49EA26FC6D79}</author>
    <author>tc={943DB9EF-7F81-4F8A-A95C-33CDB76FCFD5}</author>
    <author>tc={2C67AC50-A7DE-4DCA-B338-371161D3F49E}</author>
    <author>tc={8B8F59DF-BD7A-4469-A845-12860362BEB1}</author>
    <author>tc={30C4F02A-D116-44B1-BA6B-7AC4FB3265AD}</author>
    <author>tc={2953F327-5C33-4BF5-8701-A70D5F13770E}</author>
    <author>tc={B60EB329-D565-4E7E-8E73-7BF9E7F0DF88}</author>
    <author>tc={1C7CAA6C-F204-4D24-8DBE-2CCE1FA360CB}</author>
    <author>tc={E383B642-4624-4814-8E51-0E5F3D48D2BE}</author>
    <author>tc={F4DCA2DE-60A0-438E-AC99-276D0FCA7969}</author>
    <author>tc={29C6CAFB-822B-469E-B2D9-3D99CB78301E}</author>
    <author>tc={C30FE382-AA65-468A-A4C1-3ABA0586AA2D}</author>
    <author>tc={89B80E55-6785-48C0-8F5E-5948F6667700}</author>
    <author>tc={A9620937-719C-48C7-88C1-88AF7D98E5F3}</author>
    <author>tc={25C89A06-61DE-4AD8-AD4C-62BB13246A05}</author>
    <author>tc={183B97BE-5987-4BD6-8454-A582B348D3F3}</author>
    <author>tc={0A7B71AE-DB7F-4AED-BEF7-CE7A256D73E2}</author>
    <author>tc={1240AAA1-EEA6-4F8A-9D53-76FB96CA875C}</author>
    <author>tc={561FBD39-66F7-43B6-8F82-9F15DDA5241A}</author>
    <author>tc={AE9DF711-B0D3-4028-AC90-6DFC82CE2238}</author>
    <author>tc={253C83B5-C1DF-4BFD-85B7-642764AA44C3}</author>
    <author>tc={1CAC0B51-7DC2-4603-B236-784C8F555396}</author>
    <author>tc={837DB9A8-7E26-4308-A774-1349F773A00C}</author>
    <author>tc={FD06C536-EAEF-45EE-B8C1-EEC39A44B375}</author>
    <author>tc={4D9D2A45-E8B6-41D1-BD74-7865DF585910}</author>
    <author>tc={52B57787-7742-4F07-B90A-C1F337031DAC}</author>
    <author>tc={36A7A7AE-A243-4D52-A98C-806625A13505}</author>
    <author>tc={0638E3F0-5040-4618-A41B-EEFBF20A8FD6}</author>
    <author>tc={E74F812B-BA96-4668-8A5C-08D687D80048}</author>
    <author>tc={F9AF34AD-1CF1-415B-BD8A-D7EB3C195977}</author>
    <author>tc={C75C38F1-4001-49D6-90F8-505B7284BF6B}</author>
    <author>tc={D5FFCB19-A21C-44D9-A253-8F7E7520E274}</author>
    <author>tc={6750431A-5F2F-4EA5-A1E1-0B856C3B8DA1}</author>
    <author>tc={084CD0EE-77FA-4F82-88BD-2E2D5EB393B8}</author>
    <author>tc={782A9806-58AB-429C-9728-55F4DD8EA5BC}</author>
    <author>tc={C869EB3D-6440-48AA-B650-8274A649A9CE}</author>
    <author>tc={318B93B3-C7F6-48A6-B17E-CF94BEF10D05}</author>
    <author>tc={5B605D9D-A4A8-4865-97A1-65E8DE3EC18A}</author>
    <author>tc={25BD8581-1860-4D03-8D5B-4707EC9389FF}</author>
    <author>tc={7D3EB2E9-17E3-47E9-9D1F-942CD0FF1BEB}</author>
    <author>tc={F2BB1C24-D05D-480B-B775-1800E87E17C6}</author>
    <author>tc={EF947636-0545-47BA-9759-89880EA44F1A}</author>
    <author>tc={8290987F-E2C9-487C-9DFD-C92CBF01455D}</author>
    <author>tc={FB9B3520-B51E-4E2E-96C9-B438FCF4115A}</author>
    <author>tc={F0FD3CF3-B302-46D0-9384-415FE164509F}</author>
    <author>tc={1F2E7A5B-D85C-408C-AF8A-A2EB88989A44}</author>
    <author>tc={FAE3FC31-D66B-463E-BDC7-3BA61DB75FDB}</author>
    <author>tc={2EC22EAD-BD2C-4C77-BC4C-63B48CE60DD9}</author>
    <author>tc={58503E8D-13D9-4ECA-B471-78AE10ED1D53}</author>
    <author>tc={6888EC31-1C7F-4449-B425-07E823761DD7}</author>
    <author>tc={FB5D0ED4-28C3-4A0C-BA0C-37ECEA2ABF69}</author>
    <author>tc={BBF14820-381F-4E54-82C7-37CE476DCC79}</author>
    <author>tc={915D98B9-88E6-4255-9F62-ED32082A7E54}</author>
    <author>tc={51590524-ECB3-4F88-AB27-8E8DD2014F6F}</author>
    <author>tc={F6561FF9-6800-405D-875F-AB4A69E9D8D0}</author>
    <author>tc={4C7917C6-C992-426E-A441-797CBFDEAFEF}</author>
    <author>tc={EF21E9D1-F50D-4D14-9CEF-F48AE09C3CC6}</author>
    <author>tc={48958D01-2B9E-4C41-9B7E-0DE8EEA68759}</author>
    <author>tc={7571D383-799E-4403-847F-F9849C2DDD42}</author>
    <author>tc={90D00B40-1FC7-44AA-9A48-7E6506A904C7}</author>
    <author>tc={5686C53C-037A-41E0-A305-86581A6BF3CC}</author>
    <author>tc={1EC3AF67-35F6-4261-8D9B-1D07AE14DECC}</author>
    <author>tc={A02AE614-8314-4B34-BAB9-1BA6209CA76E}</author>
    <author>tc={D8777D5B-696E-4C58-A21B-E9E5F0CC9123}</author>
    <author>tc={41A299FE-6624-4B28-9516-2CB269DCE9D0}</author>
    <author>tc={CE305D14-B9C8-4775-BCAE-178607B95254}</author>
    <author>tc={8C3BE1FF-C731-46E2-91B0-03FEDC03DC93}</author>
    <author>tc={63C14D11-CDE9-45C6-A550-C95B10D85252}</author>
    <author>tc={DE9140B9-60A5-4C67-B4D4-CE6961DC1F0B}</author>
    <author>tc={7360D816-1285-4F45-A6CE-CB1AE34A775C}</author>
    <author>tc={2FC83F25-6C51-479C-A244-2C9B47EA9667}</author>
    <author>tc={E94BCA51-40C7-4D16-B8AC-D54478052E75}</author>
    <author>tc={F388102C-70EC-4A18-A86E-122769E72D27}</author>
    <author>tc={2A1170B9-31F2-438D-9900-251C28E83A1C}</author>
    <author>tc={80F0F4AB-7180-4BF9-AAAE-57EE09065B4E}</author>
    <author>tc={817DF13F-6F53-4219-AD5D-04634706D2AF}</author>
    <author>tc={022C8D00-6FE3-4242-ADBB-D7B0179973B1}</author>
    <author>tc={7BB93C53-1032-449C-A340-2716C98DA25B}</author>
    <author>tc={00E3438C-5E7D-47C6-9B86-BC324AD343F1}</author>
    <author>tc={048BE6EA-715F-4B61-9D87-FD11725C4A26}</author>
    <author>tc={0274A2D5-A2C5-4A5B-B6F1-ED20C1DA9655}</author>
    <author>tc={3C8EABD6-0140-4582-BA03-4EE1F6D9301F}</author>
    <author>tc={8BFB9B56-8F6D-4BB6-B461-872FAAC765F5}</author>
    <author>tc={96A1AC06-0B01-43A2-9EBF-E510FB6F32FE}</author>
    <author>tc={39209FFB-2206-4F9C-B0A2-A75EC8B8AEAD}</author>
    <author>tc={5B8BAC25-B09C-41FF-9123-616836A6ADB9}</author>
    <author>tc={3A8A30A6-F435-457A-8C49-35D7FF072DC4}</author>
    <author>tc={1F6CB73A-4026-4437-94B4-08F0251368A5}</author>
    <author>tc={112C745B-D328-40FC-9CD5-493F9E27382A}</author>
    <author>tc={12F40113-6D96-4901-A5FE-68AC92329F9B}</author>
    <author>tc={DDC2AF77-3734-4826-B8D5-154EA43D7461}</author>
    <author>tc={ED49750E-5427-405E-A281-409C213638F5}</author>
    <author>tc={BF22D128-33FF-4B4F-8526-1967FF4AB3FD}</author>
    <author>tc={7091BB68-7B2F-426E-8812-3C2007DE8695}</author>
    <author>tc={831C9875-E678-411A-9650-CDAC98EEE8DC}</author>
    <author>tc={6A68B88D-C020-41FE-BCBD-27D0B5A112F8}</author>
    <author>tc={FA9768A4-5D0F-4695-99C2-50E94793207B}</author>
    <author>tc={762787ED-DC7F-4AE7-88E4-378DF1511DA6}</author>
    <author>tc={A13F8974-CC5E-4319-AD8C-8C6E89D9C953}</author>
    <author>tc={4CD9BE22-2095-4B86-8FBA-06E9D55B9A74}</author>
    <author>tc={7A2CB3E0-4713-4364-B8FC-DC3C4496942D}</author>
    <author>tc={4119C9CC-A554-4CE7-B5E4-E01EEECA7176}</author>
    <author>tc={40578E20-2B92-480D-96E3-D4D121E04613}</author>
    <author>tc={7096904B-AC13-4157-805A-25BA6628256F}</author>
    <author>tc={2D7E146C-1507-446F-A667-A39FB6436CC7}</author>
    <author>tc={CA16D9F8-60FC-4DC5-A691-CE97559EC599}</author>
    <author>tc={887C8081-B5CD-4841-81C5-DA5172540D08}</author>
    <author>tc={D8919206-BCE3-45CC-ACE3-5C5A5E858F07}</author>
    <author>tc={CB93B753-1ED9-42B1-8124-090799225227}</author>
    <author>tc={8890E9B1-65AF-4D2D-B581-DBB559F2D0B9}</author>
    <author>tc={56B041F5-BB94-486B-B5CE-A14AD345C586}</author>
    <author>tc={33980F58-A4C7-4D4E-8927-FCBD6ECEBD0D}</author>
    <author>tc={4232C5C5-8DEC-4C5C-A40A-784582EDC9E9}</author>
    <author>tc={41E6EE32-4552-49AB-A59B-660373ECE927}</author>
    <author>tc={9583075F-010A-4646-B31D-284D543B3C64}</author>
    <author>tc={ECC33E9F-4636-4664-879C-7D04E0039244}</author>
    <author>tc={66239651-43F6-45AE-8CCE-4FA54BD8A5A1}</author>
    <author>tc={CB25F510-1C0A-4535-8E23-2BCB7AE5C550}</author>
    <author>tc={F7A78EEA-2CCF-4F36-9616-EB5FC39C45C2}</author>
    <author>tc={82C0ECE7-544A-4A63-98C9-0C33F62DBFD1}</author>
    <author>tc={B05D4EDC-00BF-4272-ACB1-E40E7F3EA9F9}</author>
    <author>tc={14317BC8-9F41-404A-BB89-E83416993204}</author>
    <author>tc={72766959-AACF-4BFF-9C43-BB477DAAEAA0}</author>
    <author>tc={0ABB1814-43CA-4893-B028-552CE553E392}</author>
    <author>tc={3136A730-E73E-4B5C-8345-5117FD2CA93E}</author>
    <author>tc={F829448E-6FC8-42B9-830D-44CC6AF38BF7}</author>
    <author>tc={3A2BF88F-5220-418F-A907-6B3332F4F6F2}</author>
    <author>tc={2D928347-875A-4BBA-97C2-5FAEA241D07C}</author>
    <author>tc={AC30C79C-7A58-4A8B-839D-DBE351007D0F}</author>
    <author>tc={03C2E73A-13E9-46DC-98A0-42C3B8CA3723}</author>
    <author>tc={1DBE8E99-CE45-4FDA-99AB-F848AED27F2F}</author>
    <author>tc={8622ED1D-538D-45BA-9D48-422CDF92E99C}</author>
    <author>tc={CE9524E3-D6CE-4F25-9577-3B54222C4778}</author>
    <author>tc={ED16E47F-9FA6-4610-883D-3A049F633E50}</author>
    <author>tc={F7A3AEE0-E715-4DE1-8DD9-B8CCD7F406D5}</author>
    <author>tc={3D0375C2-9C73-40B4-BE3E-DAFED62F234A}</author>
    <author>tc={7CF50C18-F49D-4F6C-83CE-BA8ECD19F42E}</author>
    <author>tc={E34DFD85-8F34-4D83-A69B-4600DA808055}</author>
    <author>tc={125AAE1E-E144-402F-B745-6E0A9D35FF73}</author>
    <author>tc={EEF130A1-6ADB-49C5-9411-1A2158ADF33D}</author>
    <author>tc={86A762A9-9B7E-4BEB-B595-0A7996B420F7}</author>
    <author>tc={8731496C-5235-4D7F-8691-362F18B7F8AA}</author>
    <author>tc={0A2327C8-7D18-409A-8000-ADD4AF8EEB75}</author>
    <author>tc={35E944BA-DCD5-492B-8B07-93123E49699A}</author>
    <author>tc={805C9F52-A8AE-490B-8F7D-5B8BA047E799}</author>
    <author>tc={0FB01837-499E-4BF8-8F20-275526ECC9BB}</author>
    <author>tc={3681CC47-79D7-4A2C-B2F6-EFC18C250E14}</author>
    <author>tc={DB4DE964-6F5E-4E8F-A965-E51A2B080B32}</author>
    <author>tc={D792B3D5-C9CA-4B4D-B632-6D7B5FC04CE5}</author>
    <author>tc={F30B1142-D5D0-4955-B491-9FE2AB210AEE}</author>
    <author>tc={183CE20D-EFBE-47D3-9473-A2E9A98B4B80}</author>
    <author>tc={8C5FA0E1-7E67-4F89-89DE-AF23B9D51EBD}</author>
    <author>tc={8BD7C274-5FD9-43FE-884D-60C92FB44819}</author>
    <author>tc={0F6CA59E-0679-410F-9FD8-9F27C6915B08}</author>
    <author>tc={F8176F44-8798-415C-92F2-B6BB1F188D3A}</author>
    <author>tc={34E63E89-2E77-448C-B94E-770131FB5C45}</author>
    <author>tc={57D2915F-AAB9-4DA9-BF15-46591261DBEC}</author>
    <author>tc={F022B9D6-BFDF-43FA-8CA0-5AD90F883DCE}</author>
    <author>tc={A6DB4A55-2D24-421D-AEBC-A2B7F69C7C0D}</author>
    <author>tc={E8EEBED8-CD7F-447C-9AE3-986DDFC306B5}</author>
    <author>tc={BC1E5FA6-027C-42DB-92FF-01AE485FA8FF}</author>
    <author>tc={5E2E77C7-51C7-44E0-BFEB-0F44FDE199AA}</author>
    <author>tc={22107A44-16A0-4F78-9CCB-08C41EBE2D13}</author>
    <author>tc={52D5C8A1-17DE-4D7D-AE0E-FB020AC6FF7D}</author>
    <author>tc={DFAAA4C8-78BA-4B54-8AE1-2C4A753B6228}</author>
    <author>tc={1A33F0A4-DB1D-477D-9F98-13C6A08D810B}</author>
    <author>tc={AC1E5B8B-F3ED-480A-9320-F9120063999C}</author>
    <author>tc={DD1EF0F9-1621-493D-8649-93769F187842}</author>
    <author>tc={825D4F8E-05A4-4FFA-89B9-C0687A9798AF}</author>
    <author>tc={5CCECD78-A76B-4133-AE83-D73A64B61A0D}</author>
    <author>tc={E6FB255D-0BEB-4EA5-B93D-4ACA04293E98}</author>
    <author>tc={06655E49-1989-4D06-A85D-F40B962F8352}</author>
    <author>tc={1E599A64-A648-40D7-B54A-9F1F884BDCC1}</author>
    <author>tc={C9E1EDED-7B3F-48C1-9F60-401F08E77BC8}</author>
    <author>tc={7005D126-CC50-47D9-B431-1A6AD28747AF}</author>
    <author>tc={61A32D96-775B-4A24-8407-23EDDA6FFFD6}</author>
    <author>tc={3D95AFDF-B9E6-4D41-86D5-FBF980850C4A}</author>
    <author>tc={A0BC7497-3E67-4E75-AAF7-AA3069B44E41}</author>
    <author>tc={0917449F-7963-483B-8117-CE97897E4D18}</author>
    <author>tc={C011E748-EC1B-4A0E-A27C-6CDAFDF27B2D}</author>
    <author>tc={E1E7E52D-202C-4A71-A81F-EAD83D97D44D}</author>
    <author>tc={BDFCB0F3-F130-4E7A-B286-207996727556}</author>
    <author>tc={594A64FA-2A81-4784-9443-070E387CDCFB}</author>
    <author>tc={488EE657-B5A9-408D-812A-BCC5D4C04138}</author>
    <author>tc={6402065F-1EE3-4370-88B3-2D7B3FFB2CF3}</author>
    <author>tc={4240E8A5-D652-4D7C-B2CD-0BD3C6AB5F7F}</author>
    <author>tc={91C12962-62A5-4E26-B627-38B40012C431}</author>
    <author>tc={1A8740EA-3E98-4CB8-88B9-AA66C4F04301}</author>
    <author>tc={EF83E192-EFB8-4F40-AE73-38991E6E5F3D}</author>
    <author>tc={AA32C07C-38F6-41B9-94C8-A8A96FCD4120}</author>
    <author>tc={2CD5F56B-E664-41DC-B048-E2200AA94855}</author>
    <author>tc={274531B4-3C05-4862-A068-AF0C550A5EDF}</author>
    <author>tc={56BF67FE-26CC-46D6-9211-8EA9DE461514}</author>
    <author>tc={FC850725-9965-4F0F-A511-3F113178DD26}</author>
    <author>tc={73BBABF3-0B60-4F01-9340-01D350716807}</author>
    <author>tc={DEE0CF3B-F4B7-457A-8BFF-44678C5687A0}</author>
    <author>tc={410716A7-EED0-41DF-903A-735EAA1BE1BE}</author>
    <author>tc={6CAFA0EC-27D3-476F-9E48-CE692C63A93D}</author>
    <author>tc={0CE593F0-3138-43C7-8D15-30A00F76E011}</author>
    <author>tc={FE86D460-0896-40C0-A302-4495AB18ECED}</author>
    <author>tc={FAC2A49E-DBCE-429D-B8B5-0EF11797B44C}</author>
    <author>tc={1E5FF8C6-7370-4E7A-9A59-D5756E3AF47E}</author>
    <author>tc={495A66BD-4EF3-46C7-B209-3F43011CAC63}</author>
    <author>tc={74C31FE1-94EF-47B9-B6E3-DF7C7352260E}</author>
    <author>tc={E603FD15-7604-4BF2-80B6-93F92DD4097B}</author>
    <author>tc={6F31E71E-AC98-49D6-96EF-CC206B80CA89}</author>
    <author>tc={103D0AC1-2404-4A64-8362-292D19153B51}</author>
    <author>tc={F0B071F6-8F07-4D20-BD94-1C23A824B905}</author>
    <author>tc={C1AE27FF-8149-4279-9831-ABB47490A090}</author>
    <author>tc={404D1E60-30A2-445A-B15F-FD4F07FF86EC}</author>
    <author>tc={AC1FA66A-D50C-455C-BE02-141CB1605ADF}</author>
    <author>tc={2E2236B2-9686-4909-B7E5-F4140A3E661B}</author>
    <author>tc={4BC32912-7F9B-4870-A5E7-640D9EA4F4BE}</author>
    <author>tc={E5ED765C-CF59-4719-9433-1CB6385B62D3}</author>
    <author>tc={F631960B-FF72-4603-ADD4-2E8CF426F358}</author>
    <author>tc={69FB99DB-DA3E-4618-8313-B483D07C8FBC}</author>
    <author>tc={8D850159-D400-45C2-A2E0-5986E1B0BAF9}</author>
    <author>tc={AFEC66BF-05B5-4B3E-8985-856F1E46A274}</author>
    <author>tc={6D38CF47-7BB4-4D29-9CF5-3E06CDD0ADCA}</author>
    <author>tc={9D64B2E5-7CD3-4373-9702-0421A8ACDC64}</author>
    <author>tc={F1E12011-FC31-4F5D-BC91-8AC6F1F540F3}</author>
    <author>tc={0F5E714D-1826-4836-B28B-1058B06B0CAD}</author>
    <author>tc={D246AB13-AFDC-4997-9555-1B5B46BF5CFC}</author>
    <author>tc={EED4DF45-AD78-49F6-96CD-56186510507D}</author>
    <author>tc={6216B066-F722-4DC6-B96A-A7B1346FA8AA}</author>
    <author>tc={892E068A-0766-4171-A23A-FE922E2EAFC4}</author>
    <author>tc={2E3F0BDC-6A98-4026-8E97-C97B86F77E72}</author>
    <author>tc={039B0437-1FD3-4CB2-8E47-C7B64FCF6911}</author>
    <author>tc={FF04B5E8-5937-49E7-9D67-00B1A817F483}</author>
    <author>tc={69E48AD8-DF2D-40EA-925B-8CB343B9D77A}</author>
    <author>tc={06F84C58-189A-408F-9133-46DF103B73C6}</author>
    <author>tc={7DDBD608-C4C4-4C3B-A0E4-517B41CAA1DB}</author>
    <author>tc={CFB2E2F5-6DAF-47DE-84E7-653A1567C742}</author>
    <author>tc={C14906F7-354C-440B-A3EC-25AE5501F1FD}</author>
    <author>tc={D2F9F566-4CA7-4E1F-8985-03E724577FC2}</author>
    <author>tc={8EB5AE9A-962C-4940-8559-FF4FE09B21A0}</author>
    <author>tc={D1681A9F-C95C-4ACC-ABBF-BE423CB4F4CB}</author>
    <author>tc={4C197E29-2747-4626-82C3-DD05E90B8917}</author>
    <author>tc={540F0EF5-A83F-4B74-8B17-57CD9AE62320}</author>
    <author>tc={687678E0-314A-4146-B625-CC65ACA726AD}</author>
    <author>tc={C75745BF-E928-4D74-BA6B-AA42F4249DB7}</author>
    <author>tc={684CCCA7-AC89-43F3-A04C-8FA2E922030B}</author>
    <author>tc={5DE07417-7D7B-4545-925B-387D45D950BB}</author>
    <author>tc={13C39641-9697-4CC9-918B-C48C090981DA}</author>
    <author>tc={A63BB63B-483E-4DE4-BA35-3A9FDAB78C13}</author>
    <author>tc={C7712045-4CE5-4474-9A7C-173711F63F92}</author>
    <author>tc={62272320-103D-4B81-BB87-5C51A444CE1E}</author>
    <author>tc={873EB353-F207-4981-A77F-8FC567AAEC40}</author>
    <author>tc={3D2E7B06-A862-49FB-86D5-3ECCE6E9403D}</author>
    <author>tc={A60914A8-1944-4BAD-9278-4733D8D960AE}</author>
    <author>tc={95DC42E7-83A4-4750-B03B-C815C63C87A2}</author>
    <author>tc={9A68510C-39F3-4624-8CC6-D6D233882877}</author>
    <author>tc={E0C1F425-0BBA-422C-8474-286740F5B65E}</author>
    <author>tc={C657F018-F3CB-4227-9ACE-B75B8DFE80CF}</author>
    <author>tc={CF6930A4-33B3-4C06-BECE-6562FB5466AD}</author>
    <author>tc={416C8A07-9DD0-4CB9-A908-406F9641DB24}</author>
    <author>tc={726AD5A3-1DBD-4952-8395-22EF54485C39}</author>
    <author>tc={00E472DA-543F-4D67-A792-FCF0E994E9ED}</author>
    <author>tc={507E5D90-6B6D-44DE-B9DD-901317671C67}</author>
    <author>tc={DEAA0A2C-A1FC-4884-A930-CD97D39126C4}</author>
    <author>tc={AF1EA9DF-FC63-47B3-A6AF-7514A9E80D85}</author>
    <author>tc={2C064EF5-4131-441E-BC7F-D29E9FBB72BC}</author>
    <author>tc={E046EDED-0CE9-4C44-B474-DB71946204D8}</author>
    <author>tc={62137C76-A068-4687-9527-71ECCC6EBBC4}</author>
    <author>tc={D2C10832-A5AE-4D1E-BAC8-5E3E106D98C3}</author>
    <author>tc={FB01D7A8-31AB-4B10-A651-0E76BE352F8B}</author>
    <author>tc={686561CD-3264-4896-9C00-1BB45A8BBEA9}</author>
    <author>tc={24D8F83C-A16E-4893-BAFF-A2934EE2E309}</author>
    <author>tc={19F1416A-0020-44DA-A39B-2905859314AD}</author>
    <author>tc={E472F03B-ACA3-4823-8DF5-05971278AA02}</author>
    <author>tc={9014B307-1C1C-40F4-9043-2166F4139E10}</author>
    <author>tc={63590E7B-B569-49B5-B626-27C04845BD2B}</author>
    <author>tc={34340028-2F2A-4198-B269-683D4594D9E0}</author>
    <author>tc={50D454DD-510B-4762-A7CF-A569325529A2}</author>
    <author>tc={9D0B275C-2789-4E72-9F0D-99DD8DE56D18}</author>
    <author>tc={225AA474-174D-47B0-BBB4-953342665833}</author>
    <author>tc={AA309D41-002D-4BBB-807C-1095B709C3DC}</author>
    <author>tc={F1BF7267-2405-4B2E-BCEA-6C4863032E26}</author>
    <author>tc={ACB9891D-0FD4-4A5B-A370-BBE184D1E5FF}</author>
    <author>tc={1EDA8D99-1198-4B3C-A712-E009092D4208}</author>
    <author>tc={C54A6794-E9B1-49B1-91A5-5C86804549D8}</author>
    <author>tc={F591C3C1-AB20-4F16-9D8A-E64794F1228F}</author>
    <author>tc={516201CC-FEEF-494F-B1BA-8097459C79A8}</author>
    <author>tc={541D7DA1-8103-406B-8A28-9EF7F403683C}</author>
    <author>tc={1272D006-C037-4EA6-AD1E-4D985B6BD016}</author>
    <author>tc={DC3DE0C8-72F3-4D62-A23B-EF2BD3A98D15}</author>
    <author>tc={6334B4CE-D7E3-45A1-8FDA-401EEC40F78E}</author>
    <author>tc={6DB4362F-5BFE-49FD-AA9C-643E52760190}</author>
    <author>tc={4418C93E-B634-4CFB-BAF9-CD2758201BC4}</author>
    <author>tc={4EB58F7A-9B88-4105-A5DD-5369BFC914EC}</author>
    <author>tc={4CC5BBC5-25FF-49CD-BDB2-2E34D8E57E06}</author>
    <author>tc={3984A834-6E9F-4688-8624-E189BFA00384}</author>
    <author>tc={273882BA-99FC-4CE4-82F7-269D3827E500}</author>
    <author>tc={0346F079-31CD-45EF-A7E8-417B3821EFAD}</author>
    <author>tc={F74A40CE-7FCA-406D-800D-60E5EC03A0BC}</author>
    <author>tc={DB693B5B-41FE-4A13-89FA-CFBEC3A5FA58}</author>
    <author>tc={608E3F01-51D2-4ABB-80B7-AAF7C3FABADE}</author>
    <author>tc={BF675F57-7934-420E-9EFB-347D64EC23C1}</author>
    <author>tc={A084AC9E-0E27-4386-A3D0-1D58B8BD228D}</author>
    <author>tc={62F42F4A-147B-4267-A3FB-E185395D2F55}</author>
    <author>tc={5EB0BBBE-34E5-4F56-9081-59C1E7477E19}</author>
    <author>tc={9758B58F-0DD2-4A94-8893-32281220CD43}</author>
    <author>tc={CF0D372C-3B41-40F0-9903-9A6B8796521F}</author>
    <author>tc={6233F428-EE02-4F8A-A848-F9BD9ED2F98C}</author>
    <author>tc={E17D725A-7F6F-4B1F-8B90-9D5579A2EC8D}</author>
    <author>tc={F99B897B-B554-4F04-99CF-D3E2769CACB7}</author>
    <author>tc={87D0D057-61A0-48A2-A221-0E7F0D7A7767}</author>
    <author>tc={51A36D94-50E1-4BAE-8D6C-C156167EB121}</author>
    <author>tc={D2B1B231-FD65-49CD-AB40-7080A23846A2}</author>
    <author>tc={F51D2ACC-3AE1-48A5-BD79-B69D052D61FC}</author>
    <author>tc={57D649EE-378B-48BD-80E2-E1C1DED0DACE}</author>
    <author>tc={CE1A454D-CA6D-44BB-B57B-926AD3F95150}</author>
    <author>tc={1EB9D4F6-40BC-429F-B014-7F4171E7BB25}</author>
    <author>tc={909D16B0-B7ED-44ED-818C-57415D0983F0}</author>
    <author>tc={FFEF0651-F071-4D4E-BD45-A189AF10DFD1}</author>
    <author>tc={99E325DD-2BA1-4017-B23C-A5BA37F6659B}</author>
    <author>tc={8C11A1AD-A227-4E66-A973-7B8ED578E9B3}</author>
    <author>tc={8DA313EE-C8D3-4645-998D-E17544624048}</author>
    <author>tc={1B762AA1-E749-4C3D-9FC4-CEE5B951A2FB}</author>
    <author>tc={8755B437-954E-4E08-B8E2-5A30106B78D9}</author>
    <author>tc={9D133474-8F23-4B41-8699-005B1D2FE6F1}</author>
    <author>tc={2F68578C-76F6-4263-B844-ED320F6CD80D}</author>
    <author>tc={D66BE932-3641-443A-B463-9828A32D51F0}</author>
    <author>tc={2C4EC528-5A8F-4998-973C-C8766ED0C70D}</author>
    <author>tc={84D3A9F4-1076-4A05-A31F-6E994FE00C0C}</author>
    <author>tc={29DDE063-E517-48A7-AB60-8485851BDEF4}</author>
    <author>tc={408CD191-ECC1-46F3-96C4-98CDBDF1057F}</author>
    <author>tc={F717C7E4-802B-4C84-A38D-904D9A681105}</author>
    <author>tc={6DDE818F-492E-4096-A8A0-5A731064B421}</author>
    <author>tc={1028216C-8477-4CDE-9420-D37D759F7F60}</author>
    <author>tc={726A3C56-370D-484D-8298-DEEC164EE151}</author>
    <author>tc={4C4A1B4C-7358-4905-AE87-717FA5EBD64D}</author>
    <author>tc={534A8682-0B08-49E1-8274-B195F3FE8AA3}</author>
    <author>tc={1D23D434-7FBA-43F1-ABE7-6889A4430B91}</author>
    <author>tc={E1C1F333-ADC7-4813-B296-DBECE117774A}</author>
    <author>tc={74FD6A71-5028-4489-9452-3D3F096215D4}</author>
    <author>tc={33CFC279-EDBF-4AA0-9DED-89AEC8F492DE}</author>
    <author>tc={2A4172C0-CB4B-47E2-BB0C-8AD08035736A}</author>
    <author>tc={3A8D75C7-B73E-4E80-9F64-B1333D9393AC}</author>
    <author>tc={63DFA5F4-813F-4926-A08C-EC698AD92E32}</author>
    <author>tc={F60B8AB3-B4E7-4F03-BBD9-7F4B8E95F2D6}</author>
    <author>tc={F53757C7-C4B3-45BA-86A9-2482FBC929F8}</author>
    <author>tc={9AC4796C-12D1-4DA0-B440-2B2F8E08B81A}</author>
    <author>tc={FD18E176-2BB0-4656-9079-CE568C36A787}</author>
    <author>tc={090435B8-51E4-431A-B07E-F609DE529BDE}</author>
    <author>tc={DFC34735-7D82-4570-BE82-D50738207C67}</author>
    <author>tc={E96428A7-270A-4F29-A85E-2D758FD4981A}</author>
    <author>tc={67E10B81-A676-4858-81A3-A35AE7BAD612}</author>
    <author>tc={87DE865A-62AD-4ACA-AB95-1F863169CC6A}</author>
    <author>tc={A904EEF2-0C3C-4374-A857-0C42E3C8C600}</author>
    <author>tc={4EE02ED1-6C6F-47E9-9AD3-66B4F6BFF93C}</author>
    <author>tc={30BCFE89-C15B-46E2-AE36-27707888F064}</author>
    <author>tc={C8E44BF8-D6DA-470A-8B6D-FFDEEA7B0B8B}</author>
    <author>tc={01DC64D7-9AC3-4AE4-BD74-0CC9EDB54BED}</author>
    <author>tc={18406DC3-26E1-489A-A0A9-B4D327861DBC}</author>
    <author>tc={7193829F-7805-45CD-8BA9-BC586D7AFB72}</author>
    <author>tc={235DA230-07EF-4F25-9A19-F6D635F892BC}</author>
    <author>tc={1051871A-3990-44A0-AF24-03D08D218983}</author>
    <author>tc={04C2D8A3-3B30-4532-AB45-A85D7B32096E}</author>
    <author>tc={FAA3B761-8609-4180-8F1B-9171C2A48266}</author>
    <author>tc={9C81A87F-2D7F-4B14-B265-338403F17BDF}</author>
    <author>tc={F7FF8E2C-B601-488D-96F4-10D98E24FF7D}</author>
    <author>tc={C0543692-B1DC-4E23-A71F-C17ECC0AF7DE}</author>
    <author>tc={51077283-77E7-49E3-BAB3-1CD0F9B8B8EB}</author>
    <author>tc={C6C1B5B8-EEC7-4FFB-A43E-4F54E15908B2}</author>
    <author>tc={1CC72325-5318-4851-9610-CE3231CD6EB5}</author>
    <author>tc={DAA5FC9A-67AE-4650-9A5B-FA0BCEA8BEDC}</author>
    <author>tc={08D91A8D-AEBC-477E-B88B-3BA6ADE3D8D2}</author>
    <author>tc={9B630B72-857C-4A7C-97C7-3F673F532E21}</author>
    <author>tc={62624323-2796-4F33-BA7E-8429ED310A49}</author>
    <author>tc={D3FF3849-B83F-451E-AD05-EEB9365C3BA7}</author>
    <author>tc={F2D1296E-4105-4AC3-8B6A-BB3F2C679803}</author>
    <author>tc={11D69E76-868A-4506-AC86-14129FE4FE3F}</author>
    <author>tc={BB141FD7-1133-4196-A340-394D86601F67}</author>
    <author>tc={4FDAFB1E-A03A-4E4D-A5AE-E80C7039F34B}</author>
    <author>tc={D8108BFE-7CA2-4F4D-9613-6AF3D58A78B9}</author>
    <author>tc={2B555650-CC03-41A8-9DC7-195A8522C764}</author>
    <author>tc={B9E0C330-54D7-476A-B18A-BC5788076EC8}</author>
    <author>tc={27952382-7BB0-43F2-A96E-0BFF63FC525C}</author>
    <author>tc={B89693E0-AAE1-4453-B115-5F470EDF46CF}</author>
    <author>tc={6F03E8FD-F682-4A5C-8E02-2F7F39EE14F7}</author>
    <author>tc={5ADC78D2-ABF8-4876-8266-F235F853309B}</author>
    <author>tc={C302F1CF-C40E-463D-831E-A6D98ED96965}</author>
    <author>tc={3C4538E6-B710-488A-B7F7-020A828C20D6}</author>
    <author>tc={FBB86888-CA23-41B4-96CE-00C506BB9008}</author>
    <author>tc={1FF477FE-B477-4F0B-B063-8F4FBB90C76A}</author>
    <author>tc={C49E40F5-EB2C-47CC-B941-D976B93D6741}</author>
    <author>tc={15EFA7F2-CDBB-4DE2-8AC0-C4917D689DE1}</author>
    <author>tc={50159452-F8EF-48E5-AEAA-F90AAF53F9DD}</author>
    <author>tc={792DDA98-1531-4F12-950F-84E46B44E3D9}</author>
    <author>tc={888AB848-7B11-436A-A6B9-BAA169E7BE44}</author>
    <author>tc={63328658-CD8F-453E-9422-403E4D395E31}</author>
    <author>tc={050842AA-EF63-4A91-9699-47C824950F78}</author>
    <author>tc={C540F1EC-75D1-4D2A-A674-E55AE2D53885}</author>
    <author>tc={8DE273EE-6741-4D82-B918-F899D8A21453}</author>
    <author>tc={1D0CEBCE-516A-4D3F-A13F-10516B39EECF}</author>
    <author>tc={7DC3DFDD-55F7-4402-B1DE-F69690D565AF}</author>
    <author>tc={E4BE8F1C-1EA0-4201-8454-9267CE3159FE}</author>
    <author>tc={1E9E2869-17FA-4052-A7CE-4144A78218BE}</author>
    <author>tc={ECB1ED53-76BD-40E9-AA4F-00B5A33F3208}</author>
    <author>tc={0AA3D184-147A-4064-B5DB-7F37EAC38A05}</author>
    <author>tc={FD453ADB-9D5B-43ED-B82C-B10DD6432EC0}</author>
    <author>tc={8BCF016B-9D7C-4ACB-9ACC-48FBF7F636D0}</author>
    <author>tc={3CA19F51-6BFC-4EE7-B557-16827BDBE00B}</author>
    <author>tc={36DD2F7D-738D-42EA-96E0-1DDFC9C1C840}</author>
    <author>tc={358CB0FF-5F45-4140-98B1-A34C005639B8}</author>
    <author>tc={3DE0AE93-1EC9-49E5-A93D-24C2FFF870E5}</author>
    <author>tc={7FBE7D54-1D24-4A11-8875-96030A54D09F}</author>
    <author>tc={215FCD2F-D292-4B43-890A-51876193BBE8}</author>
    <author>tc={273A2821-9655-4612-849D-79A8F27BC955}</author>
    <author>tc={8B913732-D04E-4DAB-95B3-EBDA641A9456}</author>
    <author>tc={67DF66C4-55CB-4053-B22D-3A81DCF578E9}</author>
    <author>tc={46A1E2C8-D0EB-4B1F-9EDF-5FA2093ABD83}</author>
    <author>tc={2F9F0A4D-4861-4F17-A4F3-43F14196504F}</author>
    <author>tc={9C130E8A-1C27-4EBF-ABFC-66CC6BC67B91}</author>
    <author>tc={3E3F2A81-1A67-4BF8-AE0D-D11377DFB8EC}</author>
    <author>tc={F7CA4371-40E7-4A63-BDD2-6C87F2F86E8F}</author>
    <author>tc={547F27A4-E80D-40FF-9116-50710E3990DB}</author>
    <author>tc={0DD63CD9-577A-4480-8D48-24664B60B6E7}</author>
    <author>tc={A1EEA6A2-314E-47E8-AC88-5FFA121120DD}</author>
    <author>tc={F06A4875-D607-4939-A6FD-B61E09E5FE47}</author>
    <author>tc={79ECB6AE-92B0-4E34-B521-A3C77C3453E5}</author>
    <author>tc={C37CB17D-2B57-4207-B7C9-4F2F787DE892}</author>
    <author>tc={8B37A77A-301A-4898-800C-08E782AD340D}</author>
    <author>tc={22139792-8447-4629-B282-BE355F7B9CF2}</author>
    <author>tc={D5B03DB5-2B09-46CE-B3AE-B5F36A29D71B}</author>
    <author>tc={F70A5666-1EB6-4FD9-9E90-071062CDEC99}</author>
    <author>tc={48338108-B285-41B4-BB9C-B9F7E3E0DF7F}</author>
    <author>tc={EA02C0F7-C177-4FF7-B94A-7DF18E5A784E}</author>
    <author>tc={73BC58D1-BEA6-498B-8EC3-2651EDFC3590}</author>
    <author>tc={DC6BFCCA-1E8B-4D10-931C-B0FBEDBB4854}</author>
    <author>tc={28991B5E-313C-46EB-ACDA-0FF613026936}</author>
    <author>tc={7DC4D8D1-B6A5-413A-8A4D-FC2625D8CE33}</author>
    <author>tc={CD0574A2-1FAA-4872-A7B1-1BD17E35DE38}</author>
    <author>tc={E83F559D-747F-48DB-920E-9B85AB74B294}</author>
    <author>tc={4DEB0BDB-E2AA-41F0-82F4-ECFBAB9DA8E3}</author>
    <author>tc={D1356471-6E86-4FA2-9BF3-9E076F1588A1}</author>
    <author>tc={16C2BBAA-837B-45B0-9BF7-321C38AC36D9}</author>
    <author>tc={B03DC8AE-A073-4CE4-B5AF-8B86EC1BBBC3}</author>
    <author>tc={47419726-C95E-4DBA-82C9-D5ADD83698C1}</author>
    <author>tc={182417F1-62C1-4A5C-88D7-B890233FE002}</author>
    <author>tc={0CCF1C7C-08B9-49BF-BE51-76CAB1ECC12B}</author>
    <author>tc={B0400DD2-DA7D-42A4-82A1-FF6383E1F92F}</author>
    <author>tc={0A2CAD21-8F46-4B21-B4A4-BF0F9114A016}</author>
    <author>tc={B305FD33-359F-48E5-B3D1-41913C476CBA}</author>
    <author>tc={47052B40-499D-4794-A77B-A157BC238C94}</author>
    <author>tc={AF6020C1-C8F8-4F4E-87EE-2781E5B2E636}</author>
    <author>tc={A37ECE7F-01FE-4A23-A7D1-69136D3246DF}</author>
    <author>tc={DE5A3051-B7B7-4A2D-995D-7A603253926D}</author>
    <author>tc={B149AB42-72C5-42D5-8817-D1578A738701}</author>
    <author>tc={E225B567-E474-4D61-9F09-685B9D893A26}</author>
    <author>tc={E498CF6B-A3A8-466F-97EB-90C7AD7F1724}</author>
    <author>tc={B193B6D6-8885-41E4-A87D-42D5C103254E}</author>
    <author>tc={C62100B6-C817-4FB2-828A-CCBA97ADD730}</author>
    <author>tc={320BB78D-B2EC-477E-87E5-6F816E658AC3}</author>
    <author>tc={FDEA2704-58F8-436C-B8C9-937556EC6290}</author>
    <author>tc={CFBA37FA-94F2-48B1-8273-1D95380F9E13}</author>
    <author>tc={C72AC03F-8CF7-43D2-BBF0-31838756A6C0}</author>
    <author>tc={828B62CB-5EE6-4596-9903-58A831F2A627}</author>
    <author>tc={5D586BDB-F7C7-488C-9A4C-122C3D24ADA1}</author>
    <author>tc={3E04AF97-B8C4-43DC-B6C7-76FD9559113C}</author>
    <author>tc={35B3B206-A8EE-44FB-9A1A-C814A1D40DE1}</author>
    <author>tc={50878DDC-7F80-4EF3-BB09-75DEFCB72914}</author>
    <author>tc={38CDA627-83DC-4913-9A43-B4FE812F4B05}</author>
    <author>tc={EC21991A-A459-4F77-A394-4B368EB37391}</author>
    <author>tc={449FC800-82ED-4C4F-B071-A97849106CE5}</author>
    <author>tc={AF1C38B1-9695-4091-9A3A-F609C54B99A2}</author>
    <author>tc={BBCD8101-F5CE-44B6-B5C1-F9E614DE672D}</author>
    <author>tc={F984A899-473D-42E6-8134-9E510B6BFF4B}</author>
    <author>tc={D71B204B-7DC9-4D5F-B8CC-EEF377A9344D}</author>
    <author>tc={C839AEBF-E0F4-4930-A52D-734D83A35751}</author>
    <author>tc={92228BC6-B6DE-40E8-AF83-57F7ECC4EE87}</author>
    <author>tc={97A0C34D-BB5E-437C-96A2-63D8C3D6C2D3}</author>
    <author>tc={9A659BD8-4B7C-405E-8495-E8E8276CCD5F}</author>
    <author>tc={424E0EAF-8452-447E-B7E0-2B85F4E49D72}</author>
    <author>tc={3EE73D6D-581C-4669-9D2E-78A9DD77A454}</author>
    <author>tc={B7853242-88BA-4ADF-ACD8-2671D6B5466B}</author>
    <author>tc={D6EB68E5-6E1B-4B99-AA61-B5E8618929FF}</author>
    <author>tc={960B8C53-A181-427D-8D14-362046D5821C}</author>
    <author>tc={666A7D30-55AA-4081-84F8-1AD455A566ED}</author>
    <author>tc={10EDF46D-00EB-4E29-9185-E7071E180400}</author>
    <author>tc={A49FA861-CE99-4F2A-B163-2DC47AC48362}</author>
    <author>tc={D74DB645-759B-4886-A72A-02E0FF183B75}</author>
    <author>tc={5B86965C-84C9-49A9-895A-E2070921D188}</author>
    <author>tc={110043C8-4D62-485B-9441-30DF6C9F9A42}</author>
    <author>tc={CB79BB75-40CD-4189-8121-469656BE1D2C}</author>
    <author>tc={A4ECBE3C-CF1E-4B65-B2A4-ABCC1F9B348E}</author>
    <author>tc={84D18B4B-F956-4B83-BF9A-C32F79BD02BC}</author>
    <author>tc={93B65362-6D87-4EA3-9F5E-DD93C03309A7}</author>
    <author>tc={4A98A4D3-6625-4472-A85C-890EB63FE6AE}</author>
    <author>tc={85D29106-43E2-4779-BF3D-C1F48B770FE8}</author>
    <author>tc={31A1CDCC-5C86-471A-9446-E45278D91D01}</author>
    <author>tc={00D8679F-A7FA-4F4F-BECB-0B7EBD173B20}</author>
    <author>tc={12767557-E156-4482-9C9B-983F9D392216}</author>
    <author>tc={95A10B63-59E4-4A9D-92D1-CEAFF7EA7270}</author>
    <author>tc={D3386F7C-3C61-4271-A4C4-7086F5F782AE}</author>
    <author>tc={E1F03F88-59BB-4B57-9CB4-500617CB9CE1}</author>
    <author>tc={10174B3F-8201-45F1-B765-0D6CBF7A0F0D}</author>
    <author>tc={5B4FFAAB-A49A-4190-8127-7C1EA70896CB}</author>
    <author>tc={CF7C7D46-6625-4374-973E-ED0F52D912F5}</author>
    <author>tc={3C0D23D3-8483-4B69-A479-1945DAB67509}</author>
    <author>tc={C4273EB7-5298-494A-ACB2-730FAD9C1EDA}</author>
    <author>tc={17314EF5-91DB-445F-A791-A739E9FB85BE}</author>
    <author>tc={5F991341-75A6-4B5C-A586-20EF11DB4E10}</author>
    <author>tc={0CA351D3-A678-4046-A9CB-7E42354823E0}</author>
    <author>tc={94ADF80B-D42F-45F2-A11E-35E0DD6C8CCC}</author>
    <author>tc={C1D382A5-6ADB-41B6-9125-812F4913515B}</author>
    <author>tc={242033E0-90AF-4750-A320-BF88FF92388B}</author>
    <author>tc={78243A97-EE0D-459D-A066-0AB0F7F3B1AE}</author>
    <author>tc={EFE87FE0-C146-4264-B36D-A951A5546359}</author>
    <author>tc={034EB561-9A35-4908-8FA1-EB223DB0DFB5}</author>
    <author>tc={BCC49200-E1B0-4DD6-B1C7-6B0B226EBE14}</author>
    <author>tc={D40E2F02-BAEC-489F-828B-E8C461E12D22}</author>
    <author>tc={C7289007-5235-49F1-AE1D-B022CCFB4DEF}</author>
    <author>tc={C0408E9D-B17A-4373-A905-F25B175D82BC}</author>
    <author>tc={14CB3244-2B15-4C5F-9A12-13FA71C2C733}</author>
    <author>tc={3A37F285-0B29-4393-918C-E529590E177F}</author>
    <author>tc={69534B88-3176-40AA-B155-3BF4B027D67E}</author>
    <author>tc={892DC517-8382-41F7-BAE5-C9CFF3943A7D}</author>
    <author>tc={BCED1867-2F36-4AEE-8951-BB5155041B93}</author>
    <author>tc={38156A8F-DC5C-4FA9-909B-6A767B1D5438}</author>
    <author>tc={5EE01EC4-CE7B-4F1F-914A-D8CD896437B2}</author>
    <author>tc={75373702-80CE-4E17-A70B-C45281CB3DCE}</author>
    <author>tc={39BC99DA-922B-4ABB-8207-3596C8C3A797}</author>
    <author>tc={95816E93-8A97-4C66-A9A3-DA835E23D3EA}</author>
    <author>tc={41A55DB7-57C3-4172-94E4-7F636FD76545}</author>
    <author>tc={94E38B71-EDA0-4FC2-89C2-6FFD9EF984E1}</author>
    <author>tc={DEDC0A2C-E87C-4388-AC6D-5F81029D3693}</author>
    <author>tc={5BE58FC7-F0D6-4638-9431-089498F67D7C}</author>
    <author>tc={72C2730C-7D59-4135-A5A4-B33A3E5A3374}</author>
    <author>tc={7A1BEFBE-4BFF-420E-A9F5-F681B84B1D60}</author>
    <author>tc={D5AB538F-42F0-403D-9413-ADC0226C1F93}</author>
    <author>tc={E43D7F64-B576-4717-B1F9-80D14197CA55}</author>
    <author>tc={EA8FA66D-8A1E-4381-960B-F1CBEC831022}</author>
    <author>tc={1FD27A09-AAA5-4E6E-8120-C6A78AD80C5D}</author>
    <author>tc={AED572C9-B010-4529-8931-4F9E86FFB553}</author>
    <author>tc={39F011E9-A545-4369-B8C3-91D0FB49DE04}</author>
    <author>tc={2C9C1009-2AA3-4B2D-A606-1B8BE8B280A7}</author>
    <author>tc={52311821-6385-4883-861E-8A2ED3F2794A}</author>
    <author>tc={394F7536-7EA8-4C41-99D4-D6F6706BA61B}</author>
    <author>tc={506DBDE4-23D2-43B7-96F6-2900FA569680}</author>
    <author>tc={F4CF0358-0FB7-40ED-9E47-4A61172B06F6}</author>
    <author>tc={DFF4C1FA-DA8D-4196-9B4A-C561D951014F}</author>
    <author>tc={FE2A8CC1-BEA9-4F8E-899B-30645667C98E}</author>
    <author>tc={A4BEFCD3-0E79-4FC5-9278-2B6220C168AC}</author>
    <author>tc={A9545917-C4AC-49A7-81BF-D20822718913}</author>
    <author>tc={39707CD5-62A8-46F9-9CC7-2DBFCDDD80BD}</author>
    <author>tc={A72F5798-1A57-4F3C-A640-FD53379880B9}</author>
    <author>tc={29DB5578-9643-426B-A483-06059533B230}</author>
    <author>tc={A32E2266-775D-4E0F-A2B8-64FB5A76A247}</author>
    <author>tc={BDEB5AB9-1D86-4461-939A-95CE5D0D1780}</author>
    <author>tc={531C7492-D3B0-413D-82F5-C77C32223664}</author>
    <author>tc={06B8F553-9B4D-42A7-84F9-AB2E5D68D5FB}</author>
    <author>tc={7D87D2AB-8F48-4DC4-9D5F-C0DD61795366}</author>
    <author>tc={7529CA10-06D7-41E9-9A65-E1A05DD4BB1C}</author>
    <author>tc={5FFBCA18-BDDA-48C8-B1D1-734BF2655031}</author>
    <author>tc={07A8A4E7-A03D-4D6E-9980-CF5E43D20E21}</author>
    <author>tc={00429796-1630-45F7-B2DB-927621EB4CCD}</author>
    <author>tc={C625BD3D-4877-42B0-896A-DA42681ADECD}</author>
    <author>tc={B36FBDE2-08D4-4452-A814-F27B2A7C2B63}</author>
    <author>tc={417A0ADD-E172-45B8-9162-78C22AFFC485}</author>
    <author>tc={DB06D39C-500A-4E70-9AA2-128768AAB1D5}</author>
    <author>tc={E81825DF-3F62-40FB-A19C-74579F645AF2}</author>
    <author>tc={282FEEC0-1B65-48C9-A2C4-95AC0E8088EF}</author>
    <author>tc={BF3A1CAA-F5B9-49F1-A8ED-141F084D25F9}</author>
    <author>tc={391A94D9-0C14-4FBC-97A5-263037B222FE}</author>
    <author>tc={795DE29E-1EC1-4D92-8927-FDB8BF7C7F8B}</author>
    <author>tc={BA5C7837-21B5-40F5-8944-8A7D888CDAA0}</author>
    <author>tc={825B306B-C376-424D-AE69-595540FE2203}</author>
    <author>tc={B71B8A05-C62F-42CB-96C5-8D07C65FABD2}</author>
    <author>tc={CEDBADC4-1781-493A-976D-94A104D4445D}</author>
    <author>tc={5D07D667-DBD3-428D-8741-D4E4CE7F4F69}</author>
    <author>tc={6E241D00-A6C8-49A9-8A65-94E9487229DC}</author>
    <author>tc={7E2A95D5-E773-44C7-916F-AC243B5084A9}</author>
    <author>tc={4EE3F82C-5346-4960-8A12-AB9A277973C8}</author>
    <author>tc={F9125D75-6C06-46B2-A37C-88D445CBFEA5}</author>
    <author>tc={BD57463D-F65D-41BF-8249-D703263C46EF}</author>
    <author>tc={D610ABE0-831E-4595-9C73-894EBFF6CDEF}</author>
    <author>tc={933E00E4-9A55-4370-9D64-35EDAED3CD5A}</author>
    <author>tc={FBAA640B-8055-4ACC-A655-9BA7A22F8F63}</author>
    <author>tc={6D64EB5F-F31C-4C2D-8EED-B55184281123}</author>
    <author>tc={069BAC01-1EFE-440B-9E2E-9215FD806C74}</author>
    <author>tc={F43C618C-D050-4A04-9116-9A8762E71BCD}</author>
    <author>tc={C96DAB14-1458-47FD-977F-AD0FCCF051B6}</author>
    <author>tc={D876F0CC-D845-47B6-8019-4EDCD8A4FAB7}</author>
    <author>tc={C0C83EE7-C498-4238-82D3-DE46D5A13864}</author>
    <author>tc={4FE54B13-64E3-4630-A24A-BFEFA4A4212D}</author>
    <author>tc={B4C7F8BE-8896-4079-91F1-828C563DD3C5}</author>
    <author>tc={8D9A5F63-4E5C-4579-9B12-46E68E5978CA}</author>
    <author>tc={843A3C04-306D-4BE6-9133-7357BE2C45AD}</author>
    <author>tc={7B0993F1-9DA8-4B9A-8BEF-3C89158242A6}</author>
    <author>tc={1CBD9345-AD7A-4746-A571-CB503B2A2088}</author>
    <author>tc={22F90B72-AD5B-464A-8900-8FC38B4C1AA5}</author>
    <author>tc={BF4D3362-39D1-4527-BE38-A3128B94C0C2}</author>
    <author>tc={72FDBF8A-7F4E-459E-9DC2-5A83EB9A2AE8}</author>
    <author>tc={45A651CD-228B-4C62-AA35-CEACF6200268}</author>
    <author>tc={C3A9C4E8-94C1-48B7-9017-76E9A1CE7972}</author>
    <author>tc={2D3D5584-C610-4D6D-8474-6A98CE8AB8D3}</author>
    <author>tc={6CD3EE8D-CD8B-40BF-8C47-B7CFC6BA80F2}</author>
    <author>tc={6D6134E8-BB20-4C5F-9D0D-EEC21132DBF4}</author>
    <author>tc={9EF9C91E-76D4-40DF-89BF-8BD53A18AB1F}</author>
    <author>tc={D4D582E3-02F5-4837-8BA6-38C97922CF82}</author>
    <author>tc={A6196F7E-C2F4-4E40-AB47-92769249A332}</author>
    <author>tc={5AB400E8-C51A-42D9-92A9-9321FAB81BEB}</author>
    <author>tc={39B2B899-A68E-47DF-A608-C6173C0AE01C}</author>
    <author>tc={DC9DE1E5-3A4E-44D8-9E1A-E6B6EC78A05E}</author>
    <author>tc={959A184B-8700-44BD-B5D6-0E110CDDD474}</author>
    <author>tc={8F3E6113-C8DE-4010-AC51-687D25A491FA}</author>
    <author>tc={F288D660-9606-46C4-BC91-A1B56F3168CC}</author>
    <author>tc={5D8BF7AA-9F8C-4797-915E-703301B2E3AD}</author>
    <author>tc={4B2DE12F-320E-4398-9940-1F6E57B91ED0}</author>
    <author>tc={7E37BBEB-68E4-45CA-A300-1C11E61B7CEE}</author>
    <author>tc={D7BBEEFB-BD8E-43E1-9695-E26E76B9F30D}</author>
    <author>tc={D6AC1090-3E86-4EA4-A2D3-20A4E2B6B20D}</author>
    <author>tc={94F7E601-62F0-4823-94A6-49061E7C0899}</author>
    <author>tc={CA001326-D54D-4829-85ED-87B0B092EAD2}</author>
    <author>tc={4FFCEA5B-92B1-49B0-8892-4BFB71CC1BD5}</author>
    <author>tc={DB621564-F952-424A-9A50-805B23DFA5E6}</author>
    <author>tc={59FEA008-4B41-4775-9C55-65F5FCEB60F9}</author>
    <author>tc={200F0827-FAF3-4A1A-A9D7-6527FB06B869}</author>
    <author>tc={3CE1EFC4-9C60-4E3F-AE6A-867C3AB24FA6}</author>
    <author>tc={C327EE28-5297-47CC-98C9-2588826F905B}</author>
    <author>tc={972AA207-0A68-4857-BB2A-7E1449B04F43}</author>
    <author>tc={AFC5C636-2477-4354-A01E-EA10E795B06C}</author>
    <author>tc={2BF1E52A-61AE-4DBF-91D8-11095B3737AC}</author>
    <author>tc={F268CE54-1B93-4999-8B44-008D99506AC3}</author>
    <author>tc={AD636364-0977-4954-AF13-39EC11A622B6}</author>
    <author>tc={B36EF01C-A018-4C26-93C2-B7D2945AE596}</author>
    <author>tc={D0930640-6AB3-4334-B298-3EE13047957B}</author>
    <author>tc={2DFD8580-F0BB-46AE-8B39-E336F039A4C6}</author>
    <author>tc={72577E51-5778-4501-8DB0-D508117C43C8}</author>
    <author>tc={AD0252FD-0229-44C0-97E1-F7A80107150D}</author>
    <author>tc={5C09F902-7962-4701-9407-C439ACE93006}</author>
    <author>tc={9B1F3C42-C850-44D3-B1C4-C966F7797D40}</author>
    <author>tc={281EA037-CE56-4232-B51F-E59B8E7291E0}</author>
    <author>tc={389C2658-0654-4B00-859C-D3CB007A1A5C}</author>
    <author>tc={6C41C530-8296-4000-B54B-5EF2CAB8E17D}</author>
    <author>tc={835DB815-B17C-4809-B86D-49C5628759B2}</author>
    <author>tc={9EB92CD8-3B33-4AFA-966D-B50E1A225F5E}</author>
    <author>tc={9D40ABE9-7600-43F9-8365-4AB4E344EF7E}</author>
    <author>tc={6A2E59DC-F467-4620-A644-B565093B49DF}</author>
    <author>tc={C63747EC-6589-482B-ABB4-000F24CA8A0A}</author>
    <author>tc={70D26728-0762-4BF5-B122-879B2DDF13E6}</author>
    <author>tc={33E2DCB4-FC2E-41BC-AF5B-10A8D00BBB33}</author>
    <author>tc={1E56FC27-1B80-423C-AB6F-BF4343E55868}</author>
    <author>tc={51E83894-DE19-41E6-98B0-4EE20D3CA019}</author>
    <author>tc={9C4FC105-090C-4115-9542-98D31D4EAC29}</author>
    <author>tc={6BCAEC8E-DC75-4C93-94C4-1646AC6A64F6}</author>
    <author>tc={D4210E7E-4689-4A0F-9EBE-564C1BF0BBF2}</author>
    <author>tc={0D2435CA-08BD-48BA-B2AD-2F6C8EC4E686}</author>
    <author>tc={8964E631-06BA-43FB-9331-B4265FD8DB1A}</author>
    <author>tc={5094AABA-8FE3-48FF-821A-A87C11F6EBA3}</author>
    <author>tc={DEED5B6E-5C2A-44AF-B7AD-85F7685E562F}</author>
    <author>tc={DE3F9753-BBB6-4EC0-A198-FE664463E10D}</author>
    <author>tc={860EEB8D-5AA0-4EAA-9C81-A080101028BB}</author>
    <author>tc={A2BAB908-39F0-4229-A298-C30B2E37A6EF}</author>
    <author>tc={6B4C539A-9BDC-4A47-898F-AE34AF3EEDA9}</author>
    <author>tc={0D82DA3A-8070-433E-A384-7E6A9AD12328}</author>
    <author>tc={D18000E7-0BD6-46EB-ADC2-7FC5FD0A5D1B}</author>
    <author>tc={6C2A4CAB-396F-48DF-A47F-59E1C678EA92}</author>
    <author>tc={E3C1B810-C85B-4314-83C3-038F99D64ACB}</author>
    <author>tc={07E56D54-B77F-417C-92C0-1C9D590DEA17}</author>
    <author>tc={AB5AAE23-7B55-493C-9029-DDA8F299C712}</author>
    <author>tc={0E30FA61-03EA-416E-91CE-2E92F1E4E2C8}</author>
    <author>tc={795BF860-FB79-4C93-8464-0ADD47DA2F91}</author>
    <author>tc={2D9EE6BF-2A25-4E2B-AEB4-1D10C647BF8E}</author>
    <author>tc={FAF78E4D-A4F5-4E8F-B775-3659670A8C34}</author>
    <author>tc={052F817D-911B-47B8-8255-851511D6A2E4}</author>
    <author>tc={5E9AC3ED-7677-4E20-A281-5C636B2745AD}</author>
    <author>tc={C4348491-F1F1-468E-993C-A8A40E6DD630}</author>
    <author>tc={AC6D6840-E9F2-4F08-8152-C0A932F576DC}</author>
    <author>tc={75BD4E92-14E5-4C70-B965-A1D2FB9E9BB3}</author>
    <author>tc={861532BE-E69D-494D-A68B-0D03ED6C8487}</author>
    <author>tc={27BBB93B-3471-4F67-9AF0-64818339DD3D}</author>
    <author>tc={6B37988D-2535-4606-958E-7AC4C875EB0C}</author>
    <author>tc={D57ED098-B44A-48D9-8054-6D73C6D013BC}</author>
    <author>tc={85832067-4C2F-487B-9F36-8403F8227D06}</author>
    <author>tc={260C81F0-7B3D-4C9E-851A-C2FFA56507E6}</author>
    <author>tc={ACF9C291-E861-48F4-B1E6-24746E7EDE99}</author>
    <author>tc={27B7794D-AD97-45FF-B405-9DE469C0254A}</author>
    <author>tc={D0EE9723-D3D9-4DF3-A4E0-41EF33DB2167}</author>
    <author>tc={82A162EE-3906-433F-9DA9-99E10746C2DE}</author>
    <author>tc={A9F2951A-C9B7-4D71-A00A-3255A265EA25}</author>
    <author>tc={15CD3BCA-9578-45AA-B76B-0BC1B0E09838}</author>
    <author>tc={BF55430C-09E6-4824-ACB5-D4AD941D058E}</author>
    <author>tc={002B7DBA-19E5-4072-933B-F53552F63F2C}</author>
    <author>tc={22575044-8F5A-4E1D-8E08-6750C38F8335}</author>
    <author>tc={FBF5687A-62A0-449B-8C6B-52725DAC69FD}</author>
    <author>tc={AB1F61F0-E0FE-4C94-810F-120499FAA22D}</author>
    <author>tc={B8DF4D34-0386-4FAE-B844-A23D235F00F5}</author>
    <author>tc={62F9B72F-49B4-4F44-A0B6-65486EBC756C}</author>
    <author>tc={40A70A05-4A7A-4811-96F2-67013A484D9C}</author>
    <author>tc={BCAA8AD3-2280-4DF8-86F4-72A225A33ED8}</author>
    <author>tc={2D8E9275-10FE-4E01-BD65-CA4A7E95B802}</author>
    <author>tc={288840DE-73E7-44A8-8AF5-56F68E9BCD17}</author>
    <author>tc={ABC63501-F301-4E33-BDE2-7E02CC535C66}</author>
    <author>tc={9C4FFE1E-4313-4BEC-8446-263AFF249398}</author>
    <author>tc={858B8090-1F42-4208-A959-5D69A73716EB}</author>
    <author>tc={EAC10BE9-A8BA-4016-8A25-305416521095}</author>
    <author>tc={484229C3-9ED3-4832-8E87-21DC281ABBED}</author>
    <author>tc={0DF995CD-8C2A-4AE1-B464-F585B5AD75C4}</author>
    <author>tc={A62342E4-215D-4EAA-9957-D1587440FA8D}</author>
    <author>tc={F10C93FA-C49F-42A0-B8A6-26B13B1A8FA8}</author>
    <author>tc={220CE54F-4549-479E-AA28-06F9B12AF0EF}</author>
    <author>tc={B9D79411-2CF7-459F-AC90-83BB618BC2A0}</author>
    <author>tc={FDFF02B8-4FA1-410A-8AD4-93A294DDC42F}</author>
    <author>tc={3A09E158-10F8-4D66-BA84-D65CBF9DE8E8}</author>
    <author>tc={9582BFF0-8AE7-4915-917D-7F2FD20BC6E8}</author>
    <author>tc={7A2B1E6A-1F3B-4BFC-9574-77BF2ED4BC23}</author>
    <author>tc={60B0919D-6225-4293-911B-E7D1D9404BBE}</author>
    <author>tc={70B3D214-E721-452B-920D-86882EB1EBBB}</author>
    <author>tc={C95D4E14-2069-46B6-ACCB-722EEF4FC6D0}</author>
    <author>tc={FBDB8656-24DE-4D13-8209-8D4F4AB2879C}</author>
    <author>tc={9ADE8F39-5E6C-4813-BA7C-F80E46CE6EDD}</author>
    <author>tc={03A24307-1C03-4382-B6EA-381D0F8F2591}</author>
    <author>tc={352686E7-BDFC-485F-AF7A-79ACB0908957}</author>
    <author>tc={A59D7FC6-B8F8-48F1-ADEC-6BD8BFD9A779}</author>
    <author>tc={396ECE29-7D05-41D9-A971-18D28DF6A0E9}</author>
    <author>tc={C8118E69-C87B-4E63-AB7E-479AB114F1F2}</author>
    <author>tc={A917EC5C-281F-4EB5-88DC-E50EA2F9A431}</author>
    <author>tc={2EA1EC82-B881-4CA0-ACF4-176ACDD2F36E}</author>
    <author>tc={96B88FE8-614D-4423-A299-7059482C49C6}</author>
    <author>tc={8ADEB362-50A0-453B-933B-2B6804E0972E}</author>
    <author>tc={60523F58-F682-4BA2-9342-94B95A097FF7}</author>
    <author>tc={A22E9039-131B-4276-BFED-C9C0D7E1CC76}</author>
    <author>tc={E34285AB-D075-4BDF-8301-C09E11DA2CBF}</author>
    <author>tc={DF7221F2-454F-4EC1-AC6C-5FAF61F85426}</author>
    <author>tc={6E82B03C-006C-4D20-877E-B6678E35EBD5}</author>
    <author>tc={26972398-1639-4C1A-95AD-35FB4B087C28}</author>
    <author>tc={87C783A7-18B9-4CAD-8028-6A1DCF3C2001}</author>
    <author>tc={39AC0D10-FC01-426F-9101-4C9BFDACFD0F}</author>
    <author>tc={11161EBC-591D-4E20-9158-83283FA93E2D}</author>
    <author>tc={DEC747FC-C1BF-4D3E-84FF-9A7F7CBEE612}</author>
    <author>tc={79B83BE3-8638-4A42-B52E-DEB385776423}</author>
    <author>tc={EB70AF01-9672-4F44-BD7E-B9D89684B706}</author>
    <author>tc={D2A5AA3C-D105-4B3D-AB49-B70C0746B437}</author>
    <author>tc={61C31DB9-B433-421C-94B3-0766BEB6A0FE}</author>
    <author>tc={66908BED-2F0C-4267-9671-073343C14FD6}</author>
    <author>tc={FD47BA12-FF94-4EE2-95B4-634CBA88FCC2}</author>
    <author>tc={3ECF65AC-68F2-476A-A77D-6191F82D2576}</author>
    <author>tc={77B6B7B2-33CD-44F8-A651-1D4E17A09600}</author>
    <author>tc={9983E294-EA5D-4017-AFD6-15F7BFF4AC4D}</author>
    <author>tc={5AA543BF-CD23-4E9E-96CB-131C93DF5DED}</author>
    <author>tc={EF16E913-52BF-458D-8745-1BDBE47B2A27}</author>
    <author>tc={09140BA1-8AC0-4528-8C92-E98B2B3D609C}</author>
    <author>tc={5DCF9C12-B8ED-4A7F-9041-D053F415A0E1}</author>
    <author>tc={B0E7D269-55FB-4197-85DE-B88F72ED19BF}</author>
    <author>tc={2AEF24B1-5988-4195-8280-7D4C9E894C5E}</author>
    <author>tc={EA26867B-5106-4ED9-A96F-E155D1EEC50C}</author>
    <author>tc={D6C593FC-F335-4C89-AC74-0453366686C2}</author>
    <author>tc={2F2C9431-C9BE-4007-B493-FC63A5321216}</author>
    <author>tc={49A5BF6F-6CB2-4E91-9309-203AD83AAA46}</author>
    <author>tc={331819D5-FFC3-4092-B82F-E55D06D7E0B1}</author>
    <author>tc={A19043F7-5C15-488C-9D0B-EE5663FF86DB}</author>
    <author>tc={BE8980E7-7422-4BC8-B70F-518D866540E7}</author>
    <author>tc={2628F8D5-B6DE-430C-A6D1-C8501FD4D0ED}</author>
    <author>tc={7F29D82A-17FF-4CAD-917B-0E071E0DEC4C}</author>
    <author>tc={4D218ACA-2E9B-4DF8-B56A-B71FF3CAAE87}</author>
    <author>tc={DE9CA5E9-7760-47DA-BDE6-7D669460E1BE}</author>
    <author>tc={B82C5BBE-59B0-4CEF-82C2-64CB09F1A8FB}</author>
    <author>tc={99B29888-2DD6-43E9-A17E-F6A4DD6FC006}</author>
    <author>tc={A5ACD43E-AB26-49CD-9486-C7F7D0C45B14}</author>
    <author>tc={3D196B65-C0EF-484E-B416-5A65C2629532}</author>
    <author>tc={4FF6FFB6-D1D8-4253-AF81-790F26744893}</author>
    <author>tc={28C9849D-D30F-4CD6-ABE0-65C3FF3BE717}</author>
    <author>tc={12BFA61D-0327-4B8E-9A83-126609DAF738}</author>
    <author>tc={307DD103-ECFE-4C81-9B38-B2D74B0AA6A7}</author>
    <author>tc={E77C1C19-E735-4E8F-93B5-4F8075AB47F1}</author>
    <author>tc={9654E282-742A-433B-AEF8-0D5F9389010A}</author>
    <author>tc={75E674FC-9F00-4D81-9447-F84135D7E0A2}</author>
    <author>tc={58934A5C-A213-4D84-8DCA-FD99A7EA5F77}</author>
    <author>tc={33354205-2858-4EF3-8E41-3FA35A39FD8A}</author>
    <author>tc={D7961970-8CF0-4467-8EB3-4F8F0B429DDE}</author>
    <author>tc={78E65FBF-3C42-4E80-A5E4-3D79FC1FCD84}</author>
    <author>tc={DC7D2664-E1C0-4425-AF35-6246CB3E4DD9}</author>
    <author>tc={44372C98-3E4E-4D99-8514-649D85586415}</author>
    <author>tc={D5C62456-EE9F-45D6-8DDA-94136BCFBAF7}</author>
    <author>tc={FEA44299-DC6C-4012-87AF-BB13FF8251EE}</author>
    <author>tc={003FB4DD-EA10-4BC3-BBBB-F3AF0D23A60E}</author>
    <author>tc={350590EC-5DC0-455E-BACB-2DEEA7DF0B41}</author>
    <author>tc={B0954262-2966-4D85-ADF7-C6D3AD6DE248}</author>
    <author>tc={2AF2024F-9D37-4CE6-8930-F90F527C16E2}</author>
    <author>tc={84FF0DDE-7A9E-4C93-99F9-4D3ECCC2714E}</author>
    <author>tc={C5B7FF1B-6AA2-4473-936A-CECEA43D8948}</author>
    <author>tc={8BC6D909-ECC6-465A-AC70-6D604EBE3FDD}</author>
    <author>tc={DF223733-B286-4B82-84AC-6B68C6DB55D6}</author>
    <author>tc={069721E0-CC90-4A97-A918-3ED3E605338E}</author>
    <author>tc={FCFAE6C6-6D07-4AE1-ABF5-724FEA836683}</author>
    <author>tc={6A5BCEAA-EE98-4A69-AAB9-47594AF56D28}</author>
    <author>tc={7F171177-3217-4663-B76D-B3DC8ED7E971}</author>
    <author>tc={E4250DA4-DA1A-4BFB-A2AE-EAAE78BDE206}</author>
    <author>tc={14DEAE47-B231-4C29-A683-219560027C70}</author>
    <author>tc={6911C88A-68D0-4898-A19D-62A983C5CF48}</author>
    <author>tc={70C50A70-755E-459E-9F47-3A0B0D460DE9}</author>
    <author>tc={B2B02B4C-FBFD-418C-80D1-3B79D818327C}</author>
    <author>tc={C2F1A6A2-E573-41EC-AD61-0314465A8F35}</author>
    <author>tc={91B7446C-EE96-4E7F-AA04-11F5450C8D21}</author>
    <author>tc={107ECB57-EC79-4299-98A6-D69C5F8EC434}</author>
    <author>tc={A0018C53-ADEF-4ED8-AE4D-4EA1CDB71201}</author>
    <author>tc={1D98822F-E09E-4DB9-8CB6-D1BA87B61AE1}</author>
    <author>tc={D16F05B1-F2B6-4B79-85F5-54AA4FEFE62F}</author>
    <author>tc={5FDB2DCB-7DF0-439D-B08A-841A705AAA06}</author>
    <author>tc={3C484915-0393-4242-A3CC-7DC962E41D77}</author>
    <author>tc={BFCF7CB4-B200-4250-9B1C-45C304C222E0}</author>
    <author>tc={D92E1C0A-0089-4C6F-93AC-D7D4F02ACD3F}</author>
    <author>tc={04D81FF7-6C2B-405E-84F8-3F43C9B744B3}</author>
    <author>tc={5801AE9C-1C3F-42D1-AB9F-DC06D1DCDFEF}</author>
    <author>tc={8D931092-3A4B-49C5-82B5-84B8524C9316}</author>
    <author>tc={7ECAC983-CC06-4829-8D09-A1C661DD72AA}</author>
    <author>tc={6BDD758C-5922-4382-A2EF-4D090ECA3CDE}</author>
    <author>tc={400992EB-92FD-4A9E-92ED-AB0EFE5EF5A6}</author>
    <author>tc={C37857A5-D7F0-428D-8365-5A8D47C504F2}</author>
    <author>tc={2FD6CE7C-6D10-4084-8913-3F56B0B93EA6}</author>
    <author>tc={BD34F09A-D7C3-4ACD-922E-B77FBC21E455}</author>
    <author>tc={51020C48-24D7-4364-B4F6-6B53B60F34C6}</author>
    <author>tc={39578734-BC5A-46F2-BAA0-C49FBCD2A6B4}</author>
    <author>tc={70BD9B1E-116A-47FD-BEC2-04BE3B4E9834}</author>
    <author>tc={50784C43-1325-472E-BC96-5942C8408EF7}</author>
    <author>tc={98E03FA8-6820-45A4-BB5A-EB7406D57862}</author>
    <author>tc={BFEF5912-532F-4BFC-8467-2E42032113F0}</author>
    <author>tc={9903906C-B62A-46A3-9B27-41DF00CCFDB7}</author>
    <author>tc={EF9D8537-58B2-4A90-AB56-D4E9D22710A7}</author>
    <author>tc={B3D82E83-33D8-4147-98CC-05E9FE2F5066}</author>
    <author>tc={E315B3AC-4AA3-4DE9-AF2B-ACBD5B818613}</author>
    <author>tc={2BE0D43F-ECFA-4CD2-8158-2E447DAA9420}</author>
    <author>tc={756FCEF4-C6AA-4D25-962D-08F108A748AC}</author>
    <author>tc={90717DCF-731E-484A-BB7E-F14D7A800DDA}</author>
    <author>tc={FB74C034-8080-4746-A043-C3734C529D23}</author>
    <author>tc={FA16904E-2BE4-4893-AAD2-30C2DB0D2C4F}</author>
    <author>tc={F23BB136-D7F6-4392-BF1D-1265698AFF14}</author>
    <author>tc={CE61A29C-F89E-4B84-AE55-B4F03958673E}</author>
    <author>tc={B5C58670-364E-4940-91CB-CFCAEB864238}</author>
    <author>tc={EE071472-9B05-4F2D-8F5E-F71AE3D2CDFD}</author>
    <author>tc={C973DDE5-3A42-4A05-8E71-876CF0C62400}</author>
    <author>tc={B47A980C-02B0-4394-82D5-8CBEF75A96B9}</author>
    <author>tc={B4C63377-8492-494D-B2E9-A55BDFE3DDB3}</author>
    <author>tc={82F2DF3A-25ED-423D-BEB6-8A085877C0D1}</author>
    <author>tc={ECA70F8B-859D-48F7-941F-627B9EB267EF}</author>
    <author>tc={8071BEC1-EAA4-4559-902B-C965BE277210}</author>
    <author>tc={15D4E7F5-17C1-4C1C-9742-1AFFFC6170A9}</author>
    <author>tc={6F2BD537-60FB-4535-A2A4-4BC703EA4CA9}</author>
    <author>tc={BDADA285-CCC4-4132-BD88-8E1093D44165}</author>
    <author>tc={D22DB8E8-2D5A-4E88-A9CB-BEAEA4F9BBD8}</author>
    <author>tc={11CF78F2-BCEA-42AD-A52F-86931CC7832D}</author>
    <author>tc={FA306C7A-D6A8-47D1-81CB-AD8638A37DEE}</author>
    <author>tc={C63076E7-78E5-4084-A317-661545520473}</author>
    <author>tc={771800BC-B5C4-4FBE-81D2-DEF6B8EFAFF3}</author>
    <author>tc={705844D2-F284-4EC0-BC98-526CB5FB0BE4}</author>
    <author>tc={5228B1A1-41C5-44E7-BE41-CB465A9AB4D9}</author>
    <author>tc={5F4464D3-B638-46FE-88E0-5A818C09B3DC}</author>
    <author>tc={8E7911B8-3481-456A-9657-AC5B0709DF7B}</author>
    <author>tc={30F2BFB7-0681-470A-9107-50E496011F65}</author>
    <author>tc={941BE780-E613-4233-A57B-340AA54CF406}</author>
    <author>tc={064F7E56-3DB2-48AA-8CC9-84D8E803FF09}</author>
    <author>tc={49C6444C-D1E7-414D-80DE-9A5149BA933D}</author>
    <author>tc={FE01326E-291D-4CE6-8EBD-280DBBFE9DC5}</author>
    <author>tc={F08CABE2-A77C-4AA0-A0A4-65023B249BAC}</author>
    <author>tc={056E593E-19F3-4F51-9F00-776E3FEBD7FB}</author>
    <author>tc={0B77CFE6-CE7E-46C2-8AD3-2845896E712F}</author>
    <author>tc={485DD884-8724-4D96-A69A-70181520F801}</author>
    <author>tc={F2F6AF5D-7A51-47CA-8D5B-AE4DB8862F59}</author>
    <author>tc={27A55BB2-2597-4AA7-85B0-3200CF58F7EA}</author>
    <author>tc={852E303C-4D6E-4818-8D00-E7F1320BE487}</author>
    <author>tc={EA5893BD-1C24-4AEA-B2BD-D7DBD5CA25CA}</author>
    <author>tc={C80CAA17-DDC5-4930-B0B0-E229B085AAD2}</author>
    <author>tc={A62BD793-766C-4F99-8450-4E93A331712A}</author>
    <author>tc={B6E3D246-BB69-43CC-B2F9-A300758F78C8}</author>
    <author>tc={1EB58BE7-C927-4A1B-A11B-21C7E00DE016}</author>
    <author>tc={31CDDA2C-EF5A-4639-A524-00FE8B7CAEF5}</author>
    <author>tc={2698AB2C-95D3-42D5-8F9E-9D58378502E6}</author>
    <author>tc={C7B63BF9-3BBE-40C1-8793-F7D4401B49ED}</author>
    <author>tc={B60CD5BF-3E70-4C86-99CB-47890410B3BB}</author>
    <author>tc={75723E1D-682F-41D3-A63B-1F64C0C05E4D}</author>
    <author>tc={FAB907CC-7A3B-4363-AACE-59FD2678EDA9}</author>
    <author>tc={1622F456-C83C-4EE5-A2A8-DD080A9504EE}</author>
    <author>tc={622CE299-5672-4F7E-BDEA-35066A8EB8C7}</author>
    <author>tc={1AB7602F-A646-4607-BB31-B4CC49915E29}</author>
    <author>tc={FA2F2044-E4C1-41C1-8034-440D1A17DE4A}</author>
    <author>tc={A9C43A8C-59B9-42F4-9C1F-29F8B8A5DAA4}</author>
    <author>tc={685643D7-7245-4848-831A-A710D56FC07F}</author>
    <author>tc={418E549B-5E2E-44C2-ACB2-197BC59C1874}</author>
    <author>tc={CD091F58-E8B5-4E9F-99EC-9B6624E2A79E}</author>
    <author>tc={855CEFD0-1E1F-444A-B34B-6395543D03CB}</author>
    <author>tc={D96FB62C-C798-4AC5-A4E4-F7A544058F7B}</author>
    <author>tc={D453B314-FCF7-4BC4-B91F-B6790B08876D}</author>
    <author>tc={290E82B2-EE64-4A6F-ADD1-EBC1F2F7B894}</author>
    <author>tc={CEA284BD-474B-4B53-BC11-F433B0204B9A}</author>
    <author>tc={E764088F-319A-4C1E-89B3-0D97646F67F2}</author>
    <author>tc={8C0996FE-C7DA-4F10-B1A8-1CEE988E855E}</author>
    <author>tc={F431D816-111D-4AE2-97DB-F51CA6E1D5C0}</author>
    <author>tc={E07F9EE1-446E-45C7-912B-E4C760ADCD23}</author>
    <author>tc={7F4E02EA-7046-4F8E-8C5F-5A18548063B5}</author>
    <author>tc={E48C76CA-F3D1-4C5F-84E6-D7CFFF93CD28}</author>
    <author>tc={2549518E-BF19-4FC7-B9AD-05E920A7DC71}</author>
    <author>tc={06622BF0-E33B-4627-BB9E-ACB933C36E03}</author>
    <author>tc={2A5A221F-6E04-41C2-89D1-7DA603CCFB15}</author>
    <author>tc={A962C8DC-1BEA-404C-803C-7FC9856A847A}</author>
    <author>tc={D80270D0-971B-4627-B04B-F2F835432E7C}</author>
    <author>tc={3DB9FF6A-888B-4C54-8E67-0CB09C358A73}</author>
    <author>tc={9663221B-A9A6-49A6-9907-B177EC316270}</author>
    <author>tc={E908B76E-6066-4D13-90A4-CC52713F8F49}</author>
    <author>tc={BE0BAD7C-732F-4D82-91E0-F321CC553833}</author>
    <author>tc={90262A92-B043-4413-99DA-926F3A2EE261}</author>
    <author>tc={15901A45-8123-4325-8C2D-F06E9576D3AC}</author>
    <author>tc={621EB5D0-010A-475D-966A-DAB59EB6B4F2}</author>
    <author>tc={A2446AEA-CA02-40AA-870A-F412FC075745}</author>
    <author>tc={54778904-3578-4A75-8FB6-2711DCAB5CC7}</author>
    <author>tc={6899D58E-60DD-4169-AFE0-97C0F36C232F}</author>
    <author>tc={91B807FD-3668-4067-9CE4-FCD30E9EA6FD}</author>
    <author>tc={55D68509-D5C5-40E8-A7A5-9B503CB8D45F}</author>
    <author>tc={46AF3B44-F552-4FEF-9A2F-598E1AE7954A}</author>
    <author>tc={46C283F3-25D2-4505-8E82-497C72F9D6D3}</author>
    <author>tc={449A556D-3F15-4E9F-A191-9C994063C13F}</author>
    <author>tc={33EDE09F-2CAE-4C78-A901-D8893DBB6EC3}</author>
    <author>tc={9EAAFB08-8151-4524-8F9E-F1155B898D5C}</author>
    <author>tc={9300D037-0A6D-4490-9E28-9D9406A7B3B4}</author>
    <author>tc={FB2E25EF-4C8D-4F80-9900-2752DED2C11C}</author>
    <author>tc={07D75257-C5D5-4A63-B91E-DE40096F514E}</author>
    <author>tc={2C5C7562-C8A2-40B2-AEBE-7C082394BCB3}</author>
    <author>tc={760B2672-F7FE-4D2C-BA09-E8ECEA59012E}</author>
    <author>tc={F0E97D12-22BD-46E5-BABF-D87AE63F6C45}</author>
    <author>tc={D3B63CA9-A61F-4287-ACFF-219185C6BE3E}</author>
    <author>tc={ABBB36E2-46E2-4818-86A5-A357DF02AE7D}</author>
    <author>tc={3BD2B22B-DB8A-42E6-A261-81B8C7BEC592}</author>
    <author>tc={F8AE39AB-5711-4103-9E16-30236C807346}</author>
    <author>tc={5C4456EC-1F17-4360-B039-516D678BD7C2}</author>
    <author>tc={B0D89B5F-4ED9-444F-8A68-0EE0ECC88E47}</author>
    <author>tc={E1C8C1E4-65F1-4E13-A495-84EB924BFE62}</author>
    <author>tc={83A8CF91-02EB-4BDC-B11F-9D0CD61EDC5E}</author>
    <author>tc={650D9466-B013-4EF4-B8BD-F6A559B868CA}</author>
    <author>tc={67753426-FAF9-4FDB-A71D-58C8775F4EAE}</author>
    <author>tc={1CE467BE-AC92-486A-8A0B-E40FC4475B76}</author>
    <author>tc={7A2E50B9-3088-4093-8F7B-A277E937E2CF}</author>
    <author>tc={157FE0E8-9DD2-4C98-B596-D6709174724E}</author>
    <author>tc={933822D0-7058-4A04-82D2-1D12A1D3B0C1}</author>
    <author>tc={8575C09F-3677-4D41-A5DC-910E9552987B}</author>
    <author>tc={A52D91E8-7960-4C6F-8786-E35D12FED145}</author>
    <author>tc={A797608C-357F-4A58-8B39-779E986168BD}</author>
    <author>tc={0E72D8D2-2907-4732-ADA0-4D5DE1D6247E}</author>
    <author>tc={BE42D72F-A89E-45A2-A079-0CB0BA57C2B3}</author>
    <author>tc={118CCBCB-1955-4762-93B9-580DC700F1FA}</author>
    <author>tc={DD5F0180-77BE-4E0D-AA2F-17670C6D2398}</author>
    <author>tc={F3EB43F1-9C73-467C-9607-70075D818B04}</author>
    <author>tc={4A683F8E-A365-4BE8-A5BD-BB66527DA851}</author>
    <author>tc={B945874E-9EED-48D1-8A85-F3FCAE5E5B21}</author>
    <author>tc={09140A33-AC8B-466F-BD2A-82F6A354BF90}</author>
    <author>tc={66B79F32-9BB8-48DA-917B-D2DA9F18F829}</author>
    <author>tc={BD500D3C-C03B-4C26-A595-8CC017792614}</author>
    <author>tc={0B8A4741-91B3-4B8C-B3CE-C8CE07507E91}</author>
    <author>tc={3B1B90FA-E6E0-4FE4-AFB1-8C8297B98548}</author>
    <author>tc={9A9845F2-E441-4C6F-9066-09F8548B3D71}</author>
    <author>tc={02DAE641-EDDF-4A56-A796-447CF1567447}</author>
    <author>tc={CF793661-9713-449B-BBB2-14356E81EDA6}</author>
    <author>tc={9A7E6AED-49B7-4999-8FB0-337A34D1F08D}</author>
    <author>tc={065C31DE-DC0A-44A6-BC8E-283E5A890887}</author>
    <author>tc={9D0F45D5-F7C4-4E45-BA01-22091D14AD1C}</author>
    <author>tc={A1266F9D-5716-4974-8E1C-2C4D2E9340F0}</author>
    <author>tc={9BED9608-E333-4406-9217-8F49B712D539}</author>
    <author>tc={6D2F2226-282D-49BF-A9C7-4D16D768D0BD}</author>
    <author>tc={54A93A54-68EE-4F9A-9037-B5790B5CB90E}</author>
    <author>tc={C215DE38-9903-4752-8147-93C758A6056E}</author>
    <author>tc={F9B51FDF-CA7E-4042-9BC3-AA250DD053ED}</author>
    <author>tc={1E560464-7E1D-4652-831C-D684825A1172}</author>
    <author>tc={6C59E022-781E-4AAD-AAB9-0B4ECE9ED1BC}</author>
    <author>tc={2465E733-5B73-4DE2-9B28-20AD18A2865D}</author>
    <author>tc={118F0F95-6AF5-4841-8E6C-F5EACCCC6A5D}</author>
    <author>tc={22566CF7-65FC-4EFD-8457-972A38EBE5A6}</author>
    <author>tc={7BF45B8E-A3EF-4E5B-88DA-2B2922574AA9}</author>
    <author>tc={734B0925-01B0-43CE-9389-861FD3C1EB45}</author>
    <author>tc={0C7A181F-CF1D-4529-A626-79946F96B448}</author>
    <author>tc={680123F9-0D39-4D11-82D7-1C164224EB4A}</author>
    <author>tc={B603BEE1-FF18-4258-91A4-6906B118A9AE}</author>
    <author>tc={7C9B5BD4-EEB6-4789-9E31-920B3FC0A693}</author>
    <author>tc={1006DC4A-F445-4201-8EBB-640D7FF5EAAB}</author>
    <author>tc={5D8F38F5-E07B-4670-B63C-93C187D11776}</author>
    <author>tc={08E81102-0C77-409E-9FFD-B5301155D116}</author>
    <author>tc={9455AEA3-0CCC-46E8-91D5-222CD9EEE0CC}</author>
    <author>tc={E5DC602E-FA94-4ECA-BC7E-DE1EDF2C9DCE}</author>
    <author>tc={DC2DD4F9-33A2-430C-AA45-932B30F5A1D4}</author>
    <author>tc={1BA90773-5243-43D9-8B75-46388E78B008}</author>
    <author>tc={AB204ABB-E9C4-416A-A5F6-59C1504631DA}</author>
    <author>tc={2B11E262-ADC3-40FE-8C2C-41B466B4AB15}</author>
    <author>tc={B1A2322C-D6D9-49D0-9166-B044EDDFB52B}</author>
    <author>tc={D979467A-1B13-48D3-87EB-C5779FC91C34}</author>
    <author>tc={AF5B10AD-BD1E-4012-876E-64BBEB0198F3}</author>
    <author>tc={DFF42B77-EA8D-49BA-AD1A-61792BC82124}</author>
    <author>tc={C8D2C7AD-E5AD-4106-9548-B344D81C92CE}</author>
    <author>tc={F8BEB70F-3F17-4BE0-BDA3-5A5CF3DFEFEB}</author>
    <author>tc={B48224A5-5ADD-4DD3-905C-C371134AEC16}</author>
    <author>tc={95924913-A28A-49FF-B42D-3335299B9648}</author>
    <author>tc={8E137125-2E11-4D4D-B937-EB5043BA2066}</author>
    <author>tc={44C7F38F-0B6A-4F75-8408-0DCF38F0082E}</author>
    <author>tc={3D365AB8-BA3C-44B6-B6D9-C092668CFEBF}</author>
    <author>tc={E85D645B-FF2B-43AC-8939-C1A1F05D7C5C}</author>
    <author>tc={8EA686D1-2E04-4285-8C57-00EE60234CF3}</author>
    <author>tc={EA1068D1-E69E-455F-A8DE-D9A1A8F6315D}</author>
    <author>tc={30FA1FD3-DA32-4D00-961F-887619712B5B}</author>
    <author>tc={D4841467-6537-428D-A3F3-0A0D0B7CBA47}</author>
    <author>tc={E0C221D2-4D3E-493C-BB1C-BEAF5E5877AA}</author>
    <author>tc={76CC22A3-0473-4C03-8E24-D370ACDFF29A}</author>
    <author>tc={96D71D25-DF16-4BBD-9958-4EB69AEF2326}</author>
    <author>tc={8D8C3D6C-18B5-4CEE-815C-F5F57A82BB3C}</author>
    <author>tc={A440FAA5-38DB-4FE7-95DD-BA8871FE9A00}</author>
    <author>tc={732312FA-EE15-4A00-8CAD-F01E23F542EC}</author>
    <author>tc={B5D6BA03-91D8-48E7-8BD3-569BFBFBC23D}</author>
    <author>tc={F04EE5D2-394F-4ACD-87A2-7C30C22FD3FB}</author>
    <author>tc={AAEEE107-12DA-4008-81B0-1CFCDEC7C2A7}</author>
    <author>tc={8DCBCA4E-41F2-4C3F-BB95-1619BF98043D}</author>
    <author>tc={D4F31934-6614-4AEC-B8FC-690869FA91BB}</author>
    <author>tc={46CC4D3E-47B8-4006-A1F6-8EE08830F60E}</author>
    <author>tc={C9AE66D7-7462-4EE2-BF37-6EE5150B82DE}</author>
    <author>tc={C1FED32F-0AD8-4414-B423-7D2400E7E4FD}</author>
    <author>tc={ADDF608C-D361-41B7-809C-FE75C225FC8F}</author>
    <author>tc={B34B78D2-EBF9-436D-AA16-5A1A7C06FC38}</author>
    <author>tc={5B1B8DAB-AAD3-4437-B79D-A1CF35711F0A}</author>
    <author>tc={D0BFA2EB-230E-43B7-8ACE-1CD852C65883}</author>
    <author>tc={C62ED52E-05C0-479A-A1B3-002A22E99979}</author>
    <author>tc={4B10C6AF-74EA-47F4-BAFD-741C2134D15E}</author>
    <author>tc={44B7DFB1-2B07-43CA-87B5-37D8E614291C}</author>
    <author>tc={71F328B4-4B62-421B-8976-1E3949CC3BB2}</author>
    <author>tc={BE7CD7E3-2F85-4FFD-9417-1C717B6C5A43}</author>
    <author>tc={CC99F671-EE38-4BB7-ADBB-564CB2836409}</author>
    <author>tc={2C1E1ECE-9FCD-4532-A27D-52F6C87CEAF0}</author>
    <author>tc={4BD91870-6D7B-4595-A25D-F746B7576AB3}</author>
    <author>tc={E862EA4D-6596-451F-B1D3-4ED09FB5128F}</author>
    <author>tc={A7D0445E-39AD-400F-AD7E-9C7522A1D6F8}</author>
    <author>tc={A3BA9EAE-7EA0-4F91-BADD-2BDDE6607300}</author>
    <author>tc={8BDBEDCD-3984-4E54-B53B-EB00B2DC951A}</author>
    <author>tc={BDD30AC8-6A15-4B49-BBDE-DD7A2E6B1DEF}</author>
    <author>tc={3554AE8D-CD12-4557-8F97-77DEE2C9144F}</author>
    <author>tc={F162459C-025C-4A4E-AF33-9FEACD91DA5B}</author>
    <author>tc={87A118B9-B016-4032-AF4E-5E9DBAA87289}</author>
    <author>tc={D113DBF9-19C7-4FA2-AC8F-3DF2F10B14D3}</author>
    <author>tc={B0A84C60-9051-4CA4-B811-FFEC532FF3FE}</author>
    <author>tc={514D2CCD-AD6A-4B14-AC75-161E6B75AA30}</author>
    <author>tc={ACE04D3F-6B89-454E-8710-48F0C947AE18}</author>
    <author>tc={15DECA62-6A71-4117-873B-A7504F55E9B2}</author>
    <author>tc={590D73AD-EC9B-478D-8CBC-79A066B127D1}</author>
    <author>tc={F97D675E-300E-4FC5-AF3D-610951A75B08}</author>
    <author>tc={A19CE141-F217-49B3-AD2F-114C1ABD1AA6}</author>
    <author>tc={91361AC5-A59C-4BD7-8062-EA2F9A244470}</author>
    <author>tc={E7052DBD-8A6D-4110-B7F8-E7FAC6E4D6B7}</author>
    <author>tc={8B28E05D-68F3-4709-BD07-A3649FA8DE59}</author>
    <author>tc={7519414C-B716-49A5-9B7C-03676746E988}</author>
    <author>tc={523FB7F5-0E9E-47C9-956D-BD506F966B2C}</author>
    <author>tc={DEB808EB-C917-4899-81E9-12D33B1856C8}</author>
    <author>tc={C308E63B-8EC3-424C-8887-962A8158D922}</author>
    <author>tc={F70A3995-0F7B-4EAC-ADD5-15105AF6A4DD}</author>
    <author>tc={8DCA1E40-1E7C-4F6D-8C2D-CF2CF9AE00C9}</author>
    <author>tc={2D32743E-9BB0-4E2A-B993-02F05DF83DB0}</author>
    <author>tc={5D7FD367-F7CF-4C4C-B8C6-E844531F7E1A}</author>
    <author>tc={F54BEF4A-E306-4CC6-A793-7AEC55B12314}</author>
    <author>tc={BE4FDF45-E978-4A18-A3BD-D79F4CB0BD35}</author>
    <author>tc={40AD5AD6-1814-4FFC-8BF3-F5D88C1DBA28}</author>
    <author>tc={6A612851-049C-4F9F-98F2-E70725FB7CEA}</author>
    <author>tc={DA8A316C-4835-46A2-8F84-34D7CE5527F6}</author>
    <author>tc={E2B13F65-4943-4CA8-ABA8-75D04993DE18}</author>
    <author>tc={7FADA0EA-B559-40C2-B8C1-35C8E086C523}</author>
    <author>tc={A86EB483-0A19-4BC6-B2E2-58CBC796A070}</author>
    <author>tc={37B21F2D-919E-4C8A-9158-24CEEA8EA0CC}</author>
    <author>tc={004D195D-A305-4631-AA37-AAB4F384FE09}</author>
    <author>tc={C65D0D3E-0BB8-4ADF-968F-33C6DBDCB609}</author>
    <author>tc={5D6B73A5-E658-4651-B150-D1F1E1743B29}</author>
    <author>tc={1F9FA1DC-8064-479A-B75B-7DA0A7A847F1}</author>
    <author>tc={A3BCEDB4-B2DA-422C-BD0F-D6A4D2A32E31}</author>
    <author>tc={D59B8B29-48D1-4B0E-8C25-C1E3657169C1}</author>
    <author>tc={6A40BBED-8E79-46BC-97B8-8A218B0C601E}</author>
    <author>tc={0943A0BD-6C5A-4AD2-93F7-E8E45BEF2FCE}</author>
    <author>tc={E2F6D85B-CD25-4EC7-BE22-D77B08D31004}</author>
    <author>tc={0909C82F-2465-4602-B54F-DF88CB59FA57}</author>
    <author>tc={C5E81B42-D8A1-461C-A4A5-E774ACC9ECAB}</author>
    <author>tc={D6344868-7691-4C9B-8570-05C444388C93}</author>
    <author>tc={625F038A-8DB1-495A-AE01-9C6C1753345B}</author>
    <author>tc={76275675-0D57-475B-8670-5B747F9A2991}</author>
    <author>tc={89E67829-D9DF-4C48-9D9B-E3980DF051A1}</author>
    <author>tc={C260BCB7-D742-482E-A7D4-72B475FADA0F}</author>
    <author>tc={9D0B2081-4742-4764-B5EF-322EB060AE0C}</author>
    <author>tc={0D1A94DB-AF34-448B-9CCD-1AAD11FFFD8E}</author>
    <author>tc={E72EAADE-1EC2-44B2-BA42-52F218990A71}</author>
    <author>tc={244006FF-03EE-4F4D-AD02-B0110E451C81}</author>
    <author>tc={D28BEA62-084A-4029-AA47-10D6AF184DBF}</author>
    <author>tc={642D1F81-A266-4551-B436-6F77D5246AB0}</author>
    <author>tc={B45598AA-BB12-4940-9564-D742C9613385}</author>
    <author>tc={FCA32E43-9C16-4275-A149-F67909FFCBBE}</author>
    <author>tc={D9BEE0BD-C84B-4870-9F7A-10B3317B29A9}</author>
    <author>tc={CC6A89AE-2F80-4F85-8F67-40CE3E015E80}</author>
    <author>tc={40F9BE87-BBAA-4829-A06F-E713AD5778D8}</author>
    <author>tc={1BF7E742-F072-4BFB-AD4D-831ACE0FEE65}</author>
    <author>tc={5FBF99BE-A306-447C-8221-18A003516832}</author>
    <author>tc={AFA0CB99-FC3C-4549-8BED-59C4A919F0FF}</author>
    <author>tc={BE871ADD-03CB-400B-A766-79AC641C7108}</author>
    <author>tc={07588343-81EA-4F95-B499-0C651D5E3FAC}</author>
    <author>tc={202F5F1E-7175-43EC-A97E-8CE6736CC5FF}</author>
    <author>tc={E4E96293-B9A3-445A-A8C9-81AE529522D4}</author>
    <author>tc={1E617A72-D89F-42A1-9C14-1E9C9FC4752D}</author>
    <author>tc={71D719B3-7B2A-4DD4-A899-2F00180DC235}</author>
    <author>tc={721C3ED7-7EAB-4C2B-87E2-C744F37494EC}</author>
    <author>tc={B669B356-F8EE-48D6-84AB-47834B623FD6}</author>
    <author>tc={7EBB0C09-4DEB-43B5-8ED5-C9F3018F1F60}</author>
    <author>tc={04E10312-B9F6-45C7-98F8-B389D124C6EB}</author>
    <author>tc={4EB698BE-9E5D-4928-BBBF-01D12A2DFEDD}</author>
    <author>tc={6E1601F0-36C0-49B2-84E9-ADC24C81DABA}</author>
    <author>tc={DC6A8526-F471-4BE0-BD8F-36AD717E38B8}</author>
    <author>tc={21294B9C-BFFD-48F5-B513-87990D250D41}</author>
    <author>tc={A071E22C-170A-4E37-84E2-F628B932CB3D}</author>
    <author>tc={58805824-7BA9-4269-B9D8-D04531CAD068}</author>
    <author>tc={235C3A34-8E5B-4B31-B559-DED9B41D4A09}</author>
    <author>tc={B19082D6-0873-427F-84AC-035ABD911627}</author>
    <author>tc={5DE783F7-E57B-493B-97BA-081765E7E474}</author>
    <author>tc={85E05DE1-1C09-4F7E-A267-6D5596C7493C}</author>
    <author>tc={B2B1B60C-7844-40B0-BA73-1BEC1CB4F54A}</author>
    <author>tc={3B1A40FA-FA19-427B-8184-61864708D344}</author>
    <author>tc={1E44612F-1A1D-43E2-B8F0-91B4ABA4CBA5}</author>
    <author>tc={553ED539-328E-4DE2-B3DC-AE3E26423E6D}</author>
    <author>tc={06E96D73-0512-43C1-BC3F-A25EB55BAA4B}</author>
    <author>tc={5591CDC5-6AC4-441B-B5B4-342B596DE6EA}</author>
    <author>tc={1C67F845-C6C2-4725-AFD7-AEF82D1352EC}</author>
    <author>tc={380FB309-AB6A-46A7-B7EA-19855A9135C3}</author>
    <author>tc={865BA151-55A6-4E9D-9DB9-139C071B6A8E}</author>
    <author>tc={A7EDC60F-A182-4BED-91F7-44BBBFF0C3AB}</author>
    <author>tc={FF260CC5-18D4-48CE-83D8-CDAE153737CD}</author>
    <author>tc={D4B747CF-8C9C-47C9-98D2-5CD11FC4DB8B}</author>
    <author>tc={C28E698D-A839-452F-AF29-CF26C107B0F2}</author>
    <author>tc={0B726D13-394E-4706-9841-7BB97ED5501E}</author>
    <author>tc={F7E0A2EF-6EB5-4C43-ADB5-0CED4E9F93F3}</author>
    <author>tc={DED2B926-442F-4418-88F3-A58C6A050F7A}</author>
    <author>tc={D24B2E87-1B77-4D1A-8F5A-9EC7C76D04A7}</author>
    <author>tc={12F2A85F-D1D2-47CC-8F4B-9A668688D67D}</author>
    <author>tc={D9BAD02C-C1D7-4104-A2FE-225A111C5775}</author>
    <author>tc={3F96EA22-C08E-434A-AEA4-606473BB9BA1}</author>
    <author>tc={D0A94A55-AEA7-4B04-B8EC-692871CF6B9B}</author>
    <author>tc={AFF7F225-B7EB-4F3F-8565-394E6CEEEBD7}</author>
    <author>tc={40166F2F-029A-4C45-96B2-AEE1E05EE1E1}</author>
    <author>tc={EE0C2042-054F-4E4A-8274-CE47167C44E2}</author>
    <author>tc={409EDC53-5234-4897-B4CE-41262E880627}</author>
    <author>tc={06D48FEA-31FD-4BFB-A172-675B2B69DAA1}</author>
    <author>tc={2CB19FBA-A0CA-4092-826B-B2787936CC06}</author>
    <author>tc={2087548B-AF71-4CA3-B295-38FF4F730B42}</author>
    <author>tc={B8A8A69E-E86C-45B0-9AD4-72DB39425545}</author>
    <author>tc={4047DEE4-F943-441C-A978-FC7C0BACA33B}</author>
    <author>tc={91BAB6E2-80F2-431D-A7CB-22F2CDC23C93}</author>
    <author>tc={0D362737-6638-4690-9507-FC6AFCED1D71}</author>
    <author>tc={0A58EF80-7E11-4024-9A61-FA187D0358C5}</author>
    <author>tc={3E8A7236-EA55-4963-B91C-C1F8FDE56C11}</author>
    <author>tc={B36FC6DA-0A6E-4348-8F2B-9E3FC606F36B}</author>
    <author>tc={2ACAC7B6-73B3-4AB7-8D4C-616B61F503E9}</author>
    <author>tc={7BE72443-13B1-4B7D-9A0E-9E2696DDF3E5}</author>
    <author>tc={B51A69D4-55ED-4A2C-87F1-D4A973C9DD5D}</author>
    <author>tc={A59AAE34-4679-48E9-B57D-2DF376086A06}</author>
    <author>tc={D6CD4479-1AA2-4370-8FA4-A4E69C7569A0}</author>
    <author>tc={D97D8A32-B6AC-42BF-9244-13C8217134EE}</author>
    <author>tc={751F1993-A4E9-45B2-BB63-E403F146C573}</author>
    <author>tc={4496BEE2-4B36-456C-9804-74D101E7885C}</author>
    <author>tc={A3CCF7D3-49A7-457E-B8A4-1D2373697EA8}</author>
    <author>tc={AF2BFAFE-1B7D-4E96-A4FC-7846852BC42E}</author>
    <author>tc={DBC17E8D-390F-4398-BC9D-842CC96B5717}</author>
    <author>tc={96DA6081-6E4C-4AC1-A4A8-2B779D40E48E}</author>
    <author>tc={D53C6CE1-D162-4A63-A0CC-A7105B7B0295}</author>
    <author>tc={E5C8FC6C-137D-4009-B0D7-E586EB38D8D8}</author>
    <author>tc={89C7437B-EB67-492C-AB81-77A6D0B70CDC}</author>
    <author>tc={00DD59E8-30B1-48CD-BDF1-0E3BE99ABEA1}</author>
    <author>tc={C9CE8870-CA46-4E7E-B0A1-1BFA1FA908FE}</author>
    <author>tc={BC8745D1-FEFC-41B9-BDEA-E05AE81235DE}</author>
    <author>tc={104579BD-CBDF-46C7-9884-DA8ECE4CEEED}</author>
    <author>tc={D40100DB-A5CE-4A5E-A7A0-6843C14305C0}</author>
    <author>tc={68E494C3-EFFD-480C-A060-15720801D2E0}</author>
    <author>tc={834886F1-C821-4749-8E80-593B8A2530F6}</author>
    <author>tc={82304531-25E7-4F3B-B544-1046351CE806}</author>
    <author>tc={9FB85E7E-9CB5-4C94-B842-747EE73401F1}</author>
    <author>tc={6ECA048D-5C03-4E5A-B6CB-E3C08F2AB6E7}</author>
    <author>tc={D771C55D-1164-4252-98C1-850E403EA46C}</author>
    <author>tc={4ECB95D4-BE11-4DA4-8A39-9BA447DD4D40}</author>
    <author>tc={8D621897-69B5-4243-A503-7B9F19F21166}</author>
    <author>tc={802D9DE0-776D-49C5-8EE2-19B00F404665}</author>
    <author>tc={C0009D9B-AAD5-47CB-A977-9DDD1B1F8D50}</author>
    <author>tc={6BC3A6DD-2F5F-4675-B9F5-16A997692AC8}</author>
    <author>tc={C166466E-63C2-4B3B-B202-CE7EAC261C1B}</author>
    <author>tc={00E44EF9-932E-4823-B43A-CF031B3015D1}</author>
    <author>tc={E17DC24D-C11A-444D-AEBD-710E28F829BB}</author>
    <author>tc={7B5D9696-3C85-4DDF-86E4-FCA5EF14DE37}</author>
    <author>tc={0E10C381-B8C3-45DD-A67E-867DB36DDF55}</author>
    <author>tc={505BA856-D677-4DB2-937F-A993DE85892B}</author>
    <author>tc={7F4E563A-3692-434E-A1D5-5F4C47135823}</author>
    <author>tc={8BD64E31-0ACF-4255-B053-94D544F9D677}</author>
    <author>tc={C1E02D23-38D0-468A-A58C-49EB4A880F83}</author>
    <author>tc={18902211-EA40-41BD-9663-0C1F9879A0FB}</author>
    <author>tc={B6207572-3635-4ACA-9C05-A024689F5734}</author>
    <author>tc={693CD326-7DDB-4D83-B600-CBCC491E6AE5}</author>
    <author>tc={67843661-7494-4670-ABDC-71135DD16C18}</author>
    <author>tc={57A3792D-2B03-4EA5-AB64-AA360A1C2095}</author>
    <author>tc={C0BAA1FB-72AF-4DA0-BFDB-DCC4FFCD2D2A}</author>
    <author>tc={BEFF2375-B590-4DA0-9211-8354C5EE1F0F}</author>
    <author>tc={AF5324AB-7A88-437D-9EB9-962562DB7B49}</author>
    <author>tc={7C25500D-12C9-41FF-94A1-76C47096B87C}</author>
    <author>tc={10C04FDA-FD4F-4168-AA39-1F84B47A1228}</author>
    <author>tc={0E9C1E4B-287B-4BFE-A122-B5499C0AA84B}</author>
    <author>tc={479D02B5-902E-4057-A89B-085B462831E4}</author>
    <author>tc={E7A83F24-5B10-4DDD-BC95-647F3F1AA011}</author>
    <author>tc={43F88CB7-F875-4886-8C05-DD6472B0E43C}</author>
    <author>tc={54ADD456-C44B-4311-B9EC-969E45502145}</author>
    <author>tc={5F25172C-746C-41E1-B796-2DD404525373}</author>
    <author>tc={431BCFF2-414C-4C0F-B6A1-839445E51223}</author>
    <author>tc={FCAB6733-22A1-42F1-8587-2AA480113E51}</author>
    <author>tc={F8636D3E-017B-48C2-BD7F-88311BB20C68}</author>
    <author>tc={22FFC0C5-09A3-484C-BE06-A1061A2C5D21}</author>
    <author>tc={E6386A10-910D-4CF2-87D8-04F937FD0599}</author>
    <author>tc={1876B228-78BF-4743-87BE-3F51E74146A9}</author>
    <author>tc={A2348E13-1A9E-4982-93A3-4730C9B6D1B9}</author>
    <author>tc={D4D32639-B4B8-4215-B56B-7961FC198C97}</author>
    <author>tc={91FC600C-5B2A-41C7-8942-543D652C4EBC}</author>
    <author>tc={8037ED47-A7CF-406A-B894-97104D9CF4FE}</author>
    <author>tc={25A8DDD7-1777-4644-8F5C-342F1DC6AADC}</author>
    <author>tc={EF6244B7-15AC-4E73-869D-203EB02F058E}</author>
    <author>tc={51A17F56-605B-4F5C-828D-ACDA15F3CCAC}</author>
    <author>tc={B629797A-107E-4C4E-887F-BAFB47CFC4D2}</author>
    <author>tc={73AD26EC-CE52-49FB-8E81-22C8C2DB1259}</author>
    <author>tc={C7F14CB4-4E37-4795-8DD0-0E7D1740C16D}</author>
    <author>tc={CF87B15B-97E6-4A06-958F-77C953C5D343}</author>
    <author>tc={ADFA1C35-F5EE-431F-A74D-E1EBCF0BE9E5}</author>
    <author>tc={E59052DA-05F1-4C03-BF93-61DC474F9E2D}</author>
    <author>tc={7985DFAF-04FC-4532-8E1F-B852AFBF9C5C}</author>
    <author>tc={2FC78040-338D-40B9-8469-C6E8704EA3ED}</author>
    <author>tc={EBCB813C-2EBB-4B6B-AAF9-56F479388653}</author>
    <author>tc={C48653AD-6E00-464E-98CC-40E1E03BF17C}</author>
    <author>tc={40874A33-CFA6-4B02-9E44-1253D9B66946}</author>
    <author>tc={CC2C82A1-4299-4BA7-A228-1695E9D5151D}</author>
    <author>tc={00EB213F-3B26-4BEB-9F77-D41384956E4F}</author>
    <author>tc={3C9ABF1C-87D9-49C2-9C36-2C850F722C85}</author>
    <author>tc={1C6B4B9D-D1BF-47BF-A82E-1DEF0B045376}</author>
    <author>tc={9260EF9A-6CF0-4F20-A4A4-E7F511CAEFE6}</author>
    <author>tc={68ED7134-80DB-4245-9433-69AE77DA252F}</author>
    <author>tc={BD3E9966-5A9D-413D-A5C9-653C669F7CB9}</author>
    <author>tc={0BE69EC0-E1F4-481E-9ABE-E63A9319827B}</author>
    <author>tc={C8AA9BA5-EED2-4C73-8235-E8101FACE8F6}</author>
    <author>tc={12336959-BF01-4138-9FB0-395A8C30F672}</author>
    <author>tc={17EAF479-FBE4-406D-BFC0-B84E7EBFBA38}</author>
    <author>tc={9B3D1C74-7844-4F7B-9A92-861E8D31BBBC}</author>
    <author>tc={6BD0FA3A-1923-447C-BF25-12A2E6AE241A}</author>
    <author>tc={740D00CC-364B-4488-A5C5-068280D009FA}</author>
    <author>tc={79DBD18D-9C03-48DD-A312-619AD5879304}</author>
    <author>tc={A27DF4AD-7AB1-4748-9F9C-5D4DD074A212}</author>
    <author>tc={5318EB60-7E33-4B20-9B72-2403EEA22BCE}</author>
    <author>tc={8E2279BD-01D3-49AC-B9F7-F8314D2DE077}</author>
    <author>tc={6DED4BC9-79DC-4CE8-BDBD-096A9E478F4D}</author>
    <author>tc={E12333A8-8A4E-4F07-B5DE-E38397FA3DC8}</author>
    <author>tc={F6CF19F8-E303-4F3E-96D0-BE2FCF5EF89C}</author>
    <author>tc={8BE2C263-ED9B-4921-940D-195FD06EF3CE}</author>
    <author>tc={FAD3F9BA-50AC-4C78-9FA2-18650237A2CA}</author>
    <author>tc={948FA309-F793-48D8-AA3F-375FBB0982D2}</author>
    <author>tc={78DF8892-A470-4D76-B483-8BEF50C84C21}</author>
    <author>tc={16038A02-6B79-4874-BF00-300B1C0BA7CB}</author>
    <author>tc={5B5AC7EE-E8DE-4651-BC6A-C9AE2CAB7834}</author>
    <author>tc={03353534-DEC5-41F6-815B-9D2116CEF1E0}</author>
    <author>tc={0C2ED063-F928-4ADB-9031-29BAE01331B0}</author>
    <author>tc={B5C9D8AB-CBC2-4C41-AA74-47DB8D2B1D7A}</author>
    <author>tc={59EBE3BF-77C6-464A-80F2-3A1A5D28814D}</author>
    <author>tc={BEB240E0-1A38-45E1-812B-1D7F3A1B3033}</author>
    <author>tc={8BCA66E8-1CFE-449A-A01A-D3C2606E9FAF}</author>
    <author>tc={B51BAA50-E807-400E-86F1-657AB33366A6}</author>
    <author>tc={2EE69732-F115-4194-ABE7-4B025FB0EEC5}</author>
    <author>tc={A1D2805F-9657-40AB-87CD-1EFE33576FA5}</author>
    <author>tc={5EE16DC9-673B-43C1-9206-110861501CEB}</author>
    <author>tc={050A62BD-5CAA-491F-A117-CDC9F371C02E}</author>
    <author>tc={15D8B7D3-D33E-410C-A801-AFFB518E893F}</author>
    <author>tc={CD91BE74-7395-4492-B629-7570EFF6D58E}</author>
    <author>tc={E0553522-DF04-44B7-A2CB-062205F00B17}</author>
    <author>tc={A96B45BB-53CE-4527-99ED-2320342577DE}</author>
    <author>tc={795DCFDC-D2CD-40E6-9FEF-E3D80B860D8B}</author>
    <author>tc={CE5766BC-8206-4762-B3EF-37D778158747}</author>
    <author>tc={C95A38AB-8CAD-4603-AA6D-CAA46CA411CC}</author>
    <author>tc={CB86A1F4-8512-405A-B772-77651D8003BA}</author>
    <author>tc={E71F4197-7D1D-4B37-B3E1-46466E63EDE9}</author>
    <author>tc={441257A4-1BCA-4AAA-A3D8-DE06FC61E523}</author>
    <author>tc={0C391540-E77E-4CFF-9255-08242EFE565F}</author>
    <author>tc={506EEF95-0926-46CF-A23D-5EBA36CC517C}</author>
    <author>tc={0E48960F-F487-447B-BCED-0CDABB939656}</author>
    <author>tc={96B4B1A6-48D9-40EF-B78D-791849B9383A}</author>
    <author>tc={9203141C-BEB4-4994-BB73-1F2546723364}</author>
    <author>tc={3306DF54-7E14-4313-8470-B5B2B66198C4}</author>
    <author>tc={B776DC69-2339-4424-8C7B-5CABA8B15F96}</author>
    <author>tc={CCB5E4CB-E0B0-49A4-8BE5-894E42A0CAFC}</author>
    <author>tc={284903EE-23CA-4B73-862A-79EE5EDF91B7}</author>
    <author>tc={B2649280-FA0F-4878-B775-802CBD690137}</author>
    <author>tc={22037264-845C-41DB-9EA9-94509AA6BFDF}</author>
    <author>tc={BAAC7CD9-BFED-4210-AB5A-1E554BB17C2D}</author>
    <author>tc={0B017936-6354-4F07-A90F-1AB7985E73C0}</author>
    <author>tc={1B6FA250-9505-49F2-BA54-814129268AD1}</author>
    <author>tc={BA0DE21C-4633-4AEB-8089-57F2307E975F}</author>
    <author>tc={0CDA119C-C94E-4CC1-9FD8-D94931127CFD}</author>
    <author>tc={24F7D4AA-AA4D-43CA-815F-E65CA4E9ADD8}</author>
    <author>tc={528DD73E-B490-4769-AE97-7EEE995CE7AF}</author>
    <author>tc={217706FE-024E-4B03-8DA4-23C41BAC1A62}</author>
    <author>tc={77339074-4E9F-49A8-BCC6-8F20DAC913F7}</author>
    <author>tc={47CB8CFB-BF3E-4118-8525-D4849F350EE0}</author>
    <author>tc={B8F2D7EA-C6E9-4E81-8A2E-C3730A1C6B22}</author>
    <author>tc={09EEA295-0896-4055-8DB4-CDE8386055E2}</author>
    <author>tc={1FF14342-8F3C-4C7D-BF2E-518E18C9A090}</author>
    <author>tc={DCFD8AE8-1D76-4A0A-8C9C-431A51AC81A5}</author>
    <author>tc={2EE09F22-5258-42ED-8885-8EFA130911A9}</author>
    <author>tc={8A13431F-5295-4386-9390-3118C6C5CE39}</author>
    <author>tc={C5D8665C-505F-4966-9DC4-9DA493098200}</author>
    <author>tc={AD982DD6-3B5B-4EF8-9598-CA463791594C}</author>
    <author>tc={12072D61-A38B-453E-A591-BFAC70C5F849}</author>
    <author>tc={C7E2667A-E021-4DD2-8E41-2F31378F391C}</author>
    <author>tc={0DC763F3-D57C-4BB0-8E16-2E315E8614D4}</author>
    <author>tc={9AF33115-8F0F-4FBA-8F31-9820B47F053C}</author>
    <author>tc={8C421245-6D4D-42E8-BB32-94A3FEEB208A}</author>
    <author>tc={C64F955C-3854-4C9B-A0A1-4B705218446A}</author>
    <author>tc={723BAFCB-6347-4879-886A-3FEDB00B1D0C}</author>
    <author>tc={5D10CB2D-E426-4254-B4CF-5AB0F82A4703}</author>
    <author>tc={72774215-04C4-4384-AA58-84F6F9A6DFF6}</author>
    <author>tc={B1D79785-F009-4E17-9083-B69B3254EB39}</author>
    <author>tc={D09DB8F2-1965-45C3-B035-C92ADE851D97}</author>
    <author>tc={7B562761-2F19-45B9-AE05-65BA4EB0FBE3}</author>
    <author>tc={20FCFA4D-E915-4EE4-9B9F-40C821917534}</author>
    <author>tc={C5E1F83F-B272-45BF-B592-0F2324E0CDDA}</author>
    <author>tc={C3961744-07C4-4074-B1CC-A5FCC8E92D2B}</author>
    <author>tc={331D9466-96D4-48BD-A4FC-C832EC2F569A}</author>
    <author>tc={CF1F0DE2-7239-4FFD-9312-597FD4C41D8D}</author>
    <author>tc={FDAA77E8-CBFA-4B4F-A950-A0F7CB6C3DAA}</author>
    <author>tc={472B8453-61BC-44C6-8955-B2E265610DE2}</author>
    <author>tc={555014E8-EF8C-4FF3-8D8A-84C56B37AD27}</author>
    <author>tc={6CCD8F12-59E4-47D9-BE7A-B8FA98AB50D8}</author>
    <author>tc={34B9A9AF-816A-42A4-BECD-CFC36FD4B1AE}</author>
    <author>tc={A258DCDF-CB4E-4A3F-999D-74FC94CCE3ED}</author>
    <author>tc={949CFD0E-7274-454A-AF87-5063BB31853C}</author>
    <author>tc={301A696B-14A0-4F55-81EC-015712106631}</author>
    <author>tc={14CB48FA-AD29-4F17-8985-7FA8B3FE94B1}</author>
    <author>tc={0DC547A2-7EEC-47DE-82B4-B3748033170E}</author>
    <author>tc={9A4CB785-2664-4467-8ABA-BF0ECE64E51A}</author>
    <author>tc={B8CFF8E7-1E6A-4BFB-A558-DA7184366D76}</author>
    <author>tc={F61CB40F-440B-4470-8E80-5B7D9AEF704A}</author>
    <author>tc={08F6A2B0-1DDE-415B-AFEA-5BF45D83C444}</author>
    <author>tc={16026081-E953-473B-8610-3E1544C5433D}</author>
    <author>tc={06FF2A38-C440-4645-90BB-E7C2A39B8AAC}</author>
    <author>tc={1A32DBFC-E66C-41DA-912B-4AFC6A4D3F67}</author>
    <author>tc={06EE9987-7925-416A-8273-4A1B2056896D}</author>
    <author>tc={F8D26C87-8AC4-44E3-8A2E-8102D92A2B61}</author>
    <author>tc={D55C91F5-0B40-4216-A418-036FAA40F922}</author>
    <author>tc={2DE0E556-3148-4B7A-9AD4-EAC3868D3DB2}</author>
    <author>tc={31CE2277-F378-42E5-B9B9-C2DE412BA143}</author>
    <author>tc={BEE0E493-02A3-4FCD-9ECC-B17E037EBB65}</author>
    <author>tc={5EB0411C-45E3-4242-AF68-047E1A92332A}</author>
    <author>tc={E77777C9-B331-41C8-99AC-6A291D4C59D7}</author>
    <author>tc={9BD3173B-4B2C-4F70-9710-8BF4353852BF}</author>
    <author>tc={9A74895E-8A1C-4984-BB29-AFA755B27B68}</author>
    <author>tc={6DB17864-F688-4E4F-8FE8-3165613BDC78}</author>
    <author>tc={4C89A036-D46C-4AE0-8B63-428B7268C725}</author>
    <author>tc={5DDAEA45-ED56-4AF6-9BDC-5F2FEB14FC67}</author>
    <author>tc={D633B3E1-2AE7-46EA-877E-68A1ADE1257C}</author>
    <author>tc={D7F589E9-4844-4AE8-A3BB-82690E36914C}</author>
    <author>tc={9CA7DF0C-C8A2-4C8B-B35A-1763DC776B91}</author>
    <author>tc={34B665F8-E4C8-4C0B-89C1-6A1B83B4955A}</author>
    <author>tc={82B3B1DD-4577-42FD-A26A-E7974A83513E}</author>
    <author>tc={4D170C25-2FF6-4618-8C0E-EB0B2976AAA0}</author>
    <author>tc={80D5E933-6FB7-456F-BA75-B85B42AAD847}</author>
    <author>tc={99A0901F-5856-47C6-8EB0-554C00551F7A}</author>
    <author>tc={DE77073F-8FD7-45B9-B29F-4A223089D5E0}</author>
    <author>tc={C254EC6A-BE40-42C5-A674-CD777D3820AA}</author>
    <author>tc={6EF376EB-05B1-45AD-A067-4B5AA5934D79}</author>
    <author>tc={B14E9854-3256-4DEB-A490-BFDF96A8D719}</author>
    <author>tc={F57678A1-FAB3-4E83-9567-F0FD0ECDF683}</author>
    <author>tc={60752993-3E88-4A0F-9735-A18CA8E67FE0}</author>
    <author>tc={8F5EAA6B-61B4-408B-B9CD-7DDF303D3817}</author>
    <author>tc={210C9F17-234F-4EEC-A225-B5240F7A0E3B}</author>
    <author>tc={6C5FD71F-3A0B-49E1-A717-EA08AF1CCC2A}</author>
    <author>tc={DA362C75-CD5B-4DF1-9678-4F60727F5C15}</author>
    <author>tc={2B98BC6A-37BD-4905-AF75-72AE5429A4CA}</author>
    <author>tc={7EF91DF1-5938-4CCE-8B50-584276ED814E}</author>
    <author>tc={EA150CDA-AF36-44D7-AAD8-7E09C841A989}</author>
    <author>tc={6A95F722-028C-4DA3-B84E-BAFBA9AFB932}</author>
    <author>tc={EF22CC35-6EB5-4D5F-8460-2DF028AFADF6}</author>
    <author>tc={043C86AC-EDC1-4B3E-B76D-4D72E6D5C4F5}</author>
    <author>tc={5BC4D4A3-C51C-44F3-8924-C9BC45D934EF}</author>
    <author>tc={7B02B8BE-91B8-40D6-A8B8-81AA19ED1E3A}</author>
    <author>tc={E858B76F-5F93-4A87-AC5B-C7B4C49F9885}</author>
    <author>tc={6C2AA124-BA8B-4A68-A431-7E1620DEE0CC}</author>
    <author>tc={FAB2674F-48EB-4436-B051-17B5B4AAF7AA}</author>
    <author>tc={21F38497-C810-4C06-B751-8DCF1361217D}</author>
    <author>tc={FBDEAC83-1E17-4958-829A-F2193D12245E}</author>
    <author>tc={4115F6CF-1965-4CC9-AF25-3FB79D574246}</author>
    <author>tc={7328DE7B-6730-4703-BA66-F3E4B25EE1AA}</author>
    <author>tc={627E8FA4-9DC7-4886-823A-39CC6B028D27}</author>
    <author>tc={4A54881A-82EB-41D9-A11F-CB8A347D3FF6}</author>
    <author>tc={E5EC3D19-0101-4521-BDB1-FDA01C6096C7}</author>
    <author>tc={9BB24C75-1FFA-4DE2-93DD-F3A85696CE42}</author>
    <author>tc={B9771CEF-6797-4F77-9028-67614C197096}</author>
    <author>tc={9EC73743-9E14-4157-9648-B1DF727B47F2}</author>
    <author>tc={AAD4844F-B5E9-44CF-9112-15897562171A}</author>
    <author>tc={F8C53AF9-E5E3-4909-B7F7-ECE2903688F5}</author>
    <author>tc={0CA98CEF-12CB-4010-B49B-95D75DFC216D}</author>
    <author>tc={5307AE31-9267-49DA-BF2D-C4B14E31346B}</author>
    <author>tc={9AAD42EE-A1F9-477E-9623-7816796FDCF0}</author>
    <author>tc={5CAAFA6E-8028-4243-8AEE-44F36CF09C47}</author>
    <author>tc={7E3D17D6-66ED-4193-A849-534E484175DE}</author>
    <author>tc={3E70CE35-8211-43C5-BF0F-12BB413F245B}</author>
    <author>tc={E56F4E09-5E9C-4DD4-9ABF-BC41BE0DE74A}</author>
    <author>tc={61BF786B-1E60-41A9-87D7-5BC2D02FC542}</author>
    <author>tc={60B2E599-6C9B-4C87-A93C-1F9BF8589ABF}</author>
    <author>tc={3271FAEE-D547-46E1-A6C2-D9C25B4DB63D}</author>
    <author>tc={BE09738B-9EE7-424F-9F24-AAD44A481460}</author>
    <author>tc={644F8FA3-A500-429B-9D4B-52C0FFCDF696}</author>
    <author>tc={A3B3CD52-C6D7-4C67-953B-33F017D53DEF}</author>
    <author>tc={CF0DE9FD-22CE-46EE-AC17-F453402FCEC7}</author>
    <author>tc={EB392761-4811-4EAC-9E65-42D4B4742BDE}</author>
    <author>tc={E1366CE4-D2DE-4311-8F0C-A671F4498E2F}</author>
    <author>tc={BCCFECBE-0448-4E0E-8B37-3F8D45A92F34}</author>
    <author>tc={689FED7F-B03C-43EC-AAE0-E48332173C9E}</author>
    <author>tc={85047443-2AE7-4725-AEFC-8ECBA08C1294}</author>
    <author>tc={95BC78DF-FDF5-4906-AE43-F63612FD55F2}</author>
    <author>tc={9A3362A1-E1A7-4F0D-A17E-3362F64358FC}</author>
    <author>tc={4C89D516-6C93-43CA-B0AF-A6250680A43E}</author>
    <author>tc={32AD88F4-297F-44F6-AA63-5A5665B1CBEB}</author>
    <author>tc={7C59EBBD-E3DC-47B4-8845-E7ED98B5B7C6}</author>
    <author>tc={4E11D0AE-DEA2-4BDF-87E5-3047C631B9A1}</author>
    <author>tc={1A8227CF-8941-4288-83F7-861CCCEF65F3}</author>
    <author>tc={8AE97630-4AA1-4773-B7EC-5C84E1218CCC}</author>
    <author>tc={FC4302A8-7F01-48FC-9F20-95E0DB986F1F}</author>
    <author>tc={8392BD78-B27C-419D-96F5-B1556BB37A3E}</author>
    <author>tc={3F2C755E-ABA1-4247-A421-E794A3F7406B}</author>
    <author>tc={72C0BB04-8949-4B1D-BAB7-6C41A9313441}</author>
    <author>tc={D28C8785-5D6D-4CAC-B1F2-0982A3437529}</author>
    <author>tc={0CE9626B-035F-4C8B-935D-E75036DE7DC3}</author>
    <author>tc={3AF00ED2-CAC8-4555-8EE9-1402935EC41D}</author>
    <author>tc={0E08B171-EA26-4157-95EE-3E14A1453E1A}</author>
    <author>tc={8A5F4A49-C12C-4D71-BF32-F5B8A2FB3DB3}</author>
    <author>tc={DEEE7453-A391-4801-89BF-C08E2D00A44B}</author>
    <author>tc={EFCDDCF0-85C7-408E-BCAB-45588C266FC9}</author>
    <author>tc={1434834B-4ABA-4D8B-B32F-A2D732B1A427}</author>
    <author>tc={05B3B6ED-FB96-4172-9453-E19BBF535A45}</author>
    <author>tc={6C3F35E5-7D25-457B-82AE-3DB724BEDD99}</author>
    <author>tc={D7FEA412-401F-475D-ADF8-08B663ECF54D}</author>
    <author>tc={42741E10-23AE-48A6-B45F-66E2D4F1760F}</author>
    <author>tc={B8F223AF-9CE2-408B-B07E-D44BE67169B1}</author>
    <author>tc={CFB8E7BF-3F50-4CFB-8509-8ABA5EC3866F}</author>
    <author>tc={26A5FBB0-AAE5-4C10-80D5-A802E6E47869}</author>
    <author>tc={E79E7BCF-0461-4AA0-899F-B5B5E2F47D0C}</author>
    <author>tc={347D6831-246F-442B-A4D9-92C6F24C84F4}</author>
    <author>tc={BFA49D39-E0C3-4338-808E-DF9D8D1F73C7}</author>
    <author>tc={70F70014-BCFF-49C8-93D7-70DE1C699647}</author>
    <author>tc={3CD7010C-B9E7-4C75-B2CF-F2D99E1C1307}</author>
    <author>tc={A9736F9F-63BE-4005-95B7-225B1514882C}</author>
    <author>tc={6693DE7A-9FB5-49A6-B07B-2BA01A0B8E5E}</author>
    <author>tc={4DE28BCF-7815-4322-A497-54DA69B7A0E1}</author>
    <author>tc={2057115D-C5A1-46BC-A084-8B4171B3B4DA}</author>
    <author>tc={B5723D04-F500-4D8A-BF41-50681F2C0039}</author>
    <author>tc={E55DEC0E-3881-4C32-AA65-5722392F8D54}</author>
    <author>tc={5DE61DBC-36AA-4361-BC38-E0BD26E9B55F}</author>
    <author>tc={F56FEC09-A800-4857-A646-73C3E673863D}</author>
    <author>tc={38FC5089-01D5-4E3D-A143-AB77A2F4FC10}</author>
    <author>tc={385D564D-DB82-4F95-B87C-D3878DE6DFB1}</author>
    <author>tc={D16B26A0-90CA-4371-AB01-2C9B5761080E}</author>
    <author>tc={7183B5EF-84C9-4DD7-8BD1-47B007118FF1}</author>
    <author>tc={DE15C482-7C56-49E0-8D4C-E3FE6BAB146F}</author>
    <author>tc={2F0870DC-BA04-4F94-943F-ECB7FB1C68D1}</author>
    <author>tc={99154771-FE43-4542-9809-5C57E7855739}</author>
    <author>tc={6583A363-7620-491A-A228-A1F71CE46115}</author>
    <author>tc={89DB2FB6-C032-4D54-815C-3820C4BE1768}</author>
    <author>tc={C7705A02-187E-4C77-9980-E9F1DD09CF89}</author>
    <author>tc={59865553-0E7A-419E-9CD5-CEEA1CF6BEFA}</author>
    <author>tc={BDE02CBF-579A-40E9-B361-EB2B246964FD}</author>
    <author>tc={8EE715E1-31C3-4ABD-9D46-9D3A98E729AB}</author>
    <author>tc={56D3FD67-B896-406F-86D1-FC21EF400CAF}</author>
    <author>tc={9C0E3FA3-C8F4-4931-A2A1-E2A579B98667}</author>
    <author>tc={D597BDE9-E8D6-42E9-98A5-0E04186F5EDF}</author>
    <author>tc={9D6C3BB9-316E-4FA5-9DA6-B85574363ABD}</author>
    <author>tc={2AD04AEB-49DB-43DD-86BF-4935A4F05BF8}</author>
    <author>tc={69C98DC7-DD88-4F3A-90A9-69702AC81596}</author>
    <author>tc={63C2ACF3-8A1B-4143-A0DE-0DA17F5D9B23}</author>
    <author>tc={08F4450D-FA73-47F9-B4D6-FA2CF90D738D}</author>
    <author>tc={0DA5D896-D26C-458F-A506-8F3896A265E4}</author>
    <author>tc={186E0007-8E4F-46F9-A79E-5575A0401AA3}</author>
    <author>tc={8763CCDE-ECA3-4620-AB6F-BE9CA462E136}</author>
    <author>tc={BD9EE941-521B-4E09-ACCD-0258D398F437}</author>
    <author>tc={A62BAE7E-F0A6-46C8-B671-ABF8637FBB44}</author>
    <author>tc={D45463C8-8D0F-425B-82D3-A8A6EC98AFE5}</author>
    <author>tc={391F5045-159A-4420-A741-3F573F89DBED}</author>
    <author>tc={825170BC-3677-4B58-B647-DBCEBA25FBBB}</author>
    <author>tc={5CB15D57-F7FC-46B5-B7AF-B49FC066B9C9}</author>
    <author>tc={791D6EA5-9898-47DD-812B-FE5BC75F464C}</author>
    <author>tc={257B487A-1AA6-4CBF-BCD1-BB7BFCA2E942}</author>
    <author>tc={44E71821-27F9-455F-AFC7-570E75E7970B}</author>
    <author>tc={12EFCBE4-5575-4A13-8C22-3ABEB1707337}</author>
    <author>tc={BB7B057D-5DD1-4207-8371-41B4F966E537}</author>
    <author>tc={4A89A9B3-2FB5-4242-859B-39DF3BF8DEDD}</author>
    <author>tc={FCCFE588-596C-428E-91ED-0DED762E8841}</author>
    <author>tc={55D6036A-E15C-4B12-9E3B-E5F31A861B1A}</author>
    <author>tc={9F2C28F1-8747-4832-AD1D-2BD2912FEF00}</author>
    <author>tc={8E96163D-329A-4B74-AE6C-6ADA3B579EEA}</author>
    <author>tc={20B9A1A6-BB5D-4454-9CF6-D30920C22911}</author>
    <author>tc={C67F369A-B5F0-4575-AED2-4BCE5FE5BD41}</author>
    <author>tc={8C0A21FF-204F-422F-A17B-88607CC2C6B5}</author>
    <author>tc={A4CB36D3-DA2F-4C87-8D1B-603DD52D9756}</author>
    <author>tc={7AD273E5-188A-41C6-8778-49405B4A4F51}</author>
    <author>tc={5C1E12F4-49CA-4A92-B6C3-ED8282EB9BBD}</author>
    <author>tc={C753BF0D-098D-4ADB-844B-E5D395CA5E43}</author>
    <author>tc={AC637682-DB52-40FB-9325-05A72E628D77}</author>
    <author>tc={5D726B8C-CCC4-4FD2-95FC-A766AE2A4DB4}</author>
    <author>tc={D3B1DBAC-6B2E-43CE-B8A9-E46936334A1F}</author>
    <author>tc={AE090213-1BD0-43A6-8890-54ABA7950A37}</author>
    <author>tc={D05A9B2D-FC2F-4F74-A679-BD378F0740FA}</author>
    <author>tc={FE772502-57D0-4A8D-B6F9-73DF94EA1909}</author>
    <author>tc={5473C73B-536A-43B1-8183-0C6684708E9B}</author>
    <author>tc={2B4C1424-1CEA-48DD-BA39-1DB181AE3793}</author>
    <author>tc={7D622151-665D-4D8D-A6AA-07453D12C9B8}</author>
    <author>tc={8E1B66A7-2BEB-4C23-A769-324F9E61DC34}</author>
    <author>tc={7DC45E9A-198E-40E0-B957-BCF0F88502E4}</author>
    <author>tc={5603EC96-7717-4CBF-9F5C-582F7F66D5C4}</author>
    <author>tc={0C5B5D90-C137-4914-B494-676B9CF616FE}</author>
    <author>tc={77BF7A1E-42AD-4D8A-B27B-E502D5F7041F}</author>
    <author>tc={F1433A92-0AC3-4CC2-A4B6-FC42583AE5C2}</author>
    <author>tc={A0076F09-520E-4389-9FFF-44936A8989FC}</author>
    <author>tc={8160BF3B-CF53-4B5A-923A-8025E92A784A}</author>
    <author>tc={9EED387B-5CB3-4E2C-B7B4-24D6E89BD322}</author>
    <author>tc={8B8A9875-57D9-4541-9D5E-66F001FD23C6}</author>
    <author>tc={ECF26DEE-D794-4D5D-A8A8-F8921A078C7D}</author>
    <author>tc={312AB47F-D68A-41F9-AFC1-9EE95F3E3369}</author>
    <author>tc={EE93C329-B9ED-4473-A9ED-8053AD597526}</author>
    <author>tc={A0DC8545-F7EC-4A46-9B88-C05B3ECE49EC}</author>
    <author>tc={62F0B72A-9DE7-456B-A122-F0F9D21EBA8F}</author>
    <author>tc={014FE862-FDA5-442B-81F4-D6C791BF5FD7}</author>
    <author>tc={4C37E325-DF15-48EC-BFFE-FB4D3B8DFC23}</author>
    <author>tc={1E34F2FD-A0D2-43F9-BE0D-41112BC51EAF}</author>
    <author>tc={B5AADF15-0444-42CB-BCD5-C510BE861DED}</author>
    <author>tc={72F10312-A628-454E-A706-BC46B9569314}</author>
    <author>tc={2430CC25-F35F-45E0-AAB5-6845E07587C1}</author>
    <author>tc={E93A09E6-DCF8-4EA1-86A5-1D23FE1C859E}</author>
    <author>tc={06AC624C-C7E5-47DF-84DD-21CB1544CCCA}</author>
    <author>tc={38358D33-B2B1-4C60-BA24-AEA6AF25C56C}</author>
    <author>tc={499B241D-BBE8-4D70-A05A-2F98CDFB062A}</author>
    <author>tc={9011D8DC-021E-4881-88FB-CB0BB7D48A7D}</author>
    <author>tc={870B0D2F-231C-4756-A8D1-0F66435EB977}</author>
    <author>tc={17357616-9C81-4AD9-B60B-AEC1D9942205}</author>
    <author>tc={DFECD7EC-1DA7-4984-8C5C-B5BAC7674865}</author>
    <author>tc={2368B07D-6760-4CCA-AB63-8B8DB29B0789}</author>
    <author>tc={A591CBC6-4100-4339-8495-3DED744CC5B2}</author>
    <author>tc={F8D549EF-9760-4BC1-8C0C-77A5E348D30A}</author>
    <author>tc={088F0657-CE0F-4F81-9390-3CAFF8068FEA}</author>
    <author>tc={15F01C7C-A1A9-43F5-9CB6-DF199A95B189}</author>
    <author>tc={B89977DC-4CB7-4768-B923-D601A7812CBE}</author>
    <author>tc={6769D29C-3599-43B2-A64E-166CE7A3ECC8}</author>
    <author>tc={10D5C938-5ED7-4414-91AD-70DED09F4ADB}</author>
    <author>tc={9F66B2B1-8084-404A-A65D-3B27748BB3B1}</author>
    <author>tc={233933AA-9C06-4893-9EF1-8D2CCE3A221A}</author>
    <author>tc={10062FF9-25F9-4350-BBF5-F8490FE0817B}</author>
    <author>tc={CBDB07DF-114E-4B75-AA8A-CE93797EE2E4}</author>
    <author>tc={50752852-F659-492D-B7FD-2208DFFE4E86}</author>
    <author>tc={D726B912-BCCE-4260-9339-19BE58A31732}</author>
    <author>tc={309ABB92-197E-425E-9023-82D1B2557712}</author>
    <author>tc={F529B899-9940-4F6B-BCFC-C65569440403}</author>
    <author>tc={0CF29F96-402C-4AF3-B0BE-42741DCB370F}</author>
    <author>tc={186D82A8-46C5-419E-8C33-07C3B86FE950}</author>
    <author>tc={62C9479B-3858-47C0-8747-C1952BFAE3D0}</author>
    <author>tc={6171970A-90FF-4D93-A8B9-4454333E0E30}</author>
    <author>tc={CDB7EB57-1506-4E58-85F5-DF8105C8F6CC}</author>
    <author>tc={CE99197B-636F-4AFD-8731-68F83B3989B0}</author>
    <author>tc={F9E7C11E-E563-4800-861A-2E7786C07326}</author>
    <author>tc={16547850-3939-4936-B5DE-1DE619FF2D2A}</author>
    <author>tc={24D43D63-EBAB-4AC8-973B-1E8D5CD0ABB4}</author>
    <author>tc={93372CC1-EEC8-458A-9509-26DFCB4EF015}</author>
    <author>tc={D156941B-64D0-4DE1-ABDB-E45F4AE77F8B}</author>
    <author>tc={AA94A243-EB94-4885-8E75-79A15E5941CE}</author>
    <author>tc={B2C0D99B-709C-4CBC-9D11-8C37E5D5F992}</author>
    <author>tc={1ADD74AD-23A2-43A2-BB09-2E009A74E216}</author>
    <author>tc={3435877B-7128-4264-B2C8-F59A7306422F}</author>
    <author>tc={C9B418A6-7112-4F93-9369-78557F0219CF}</author>
    <author>tc={F39ECA1A-0BF7-4F12-90AE-6A367B5DDD78}</author>
    <author>tc={0FCC41D8-0B9F-4874-8896-94BF7550985B}</author>
    <author>tc={D8DBB80B-80E1-4C3A-BD23-75D36ACDA0D2}</author>
    <author>tc={0B699F5C-C432-474F-A629-BEC6A153F8C4}</author>
    <author>tc={43126476-5A1C-472B-8A17-69C3D249A001}</author>
    <author>tc={CE7FB047-E36A-4C90-97DD-E18E32BC8250}</author>
    <author>tc={865A92EF-10F7-43BD-AADA-15937860176C}</author>
    <author>tc={C48A4A9A-72EF-466B-9EFE-18AA52F8749C}</author>
    <author>tc={5E0AB0BC-2A5F-4FED-8401-DA660C64FD6D}</author>
    <author>tc={5EFBA0C8-D71E-44C1-AEC1-9B0D3ABFB551}</author>
    <author>tc={D898A515-792C-4CD5-ACD5-E9E6A16DCFAB}</author>
    <author>tc={91F28A41-CD0A-404E-841A-8C6BD4CF599F}</author>
    <author>tc={8BF1884A-C457-4FD1-BA84-1AE4CEED3C3E}</author>
    <author>tc={267C8F29-EBCF-4BB6-9398-EDE08B4A3899}</author>
    <author>tc={2A5C383C-04CD-43FF-872D-C9EEE579EC8E}</author>
    <author>tc={2DD3BE73-C8CC-4AEA-8F52-6432216FB371}</author>
    <author>tc={DE0AE8D9-23FE-474D-AFC5-CF0154DC8BFE}</author>
    <author>tc={AD5DEF20-821E-47E0-A150-74765019CDE4}</author>
    <author>tc={61255628-FAD2-4D5D-8687-A21ACDC37AE4}</author>
    <author>tc={47EF4EA1-5ADC-49C6-A94F-AAAE9226849B}</author>
    <author>tc={CFBF1477-9419-4EC6-B500-363EF0F27538}</author>
    <author>tc={6B433F92-20D4-449A-B057-849897274ECE}</author>
    <author>tc={B6B0242A-A669-4EEA-BA26-B5EDF6880AC4}</author>
    <author>tc={108C19C4-3983-43AB-8505-98D5B0B67D68}</author>
    <author>tc={C1747232-D23D-450B-B183-FB53B31B4EE5}</author>
    <author>tc={817B30A2-EDB8-4AAD-B8D0-B91B1E0014A0}</author>
    <author>tc={43AD3F78-E19D-4CC3-B25F-E5D1E9947F19}</author>
    <author>tc={89BBF2AF-D149-4BAB-9262-9AD19DB34FDD}</author>
    <author>tc={71508583-2568-4459-862D-F2A8B70054D9}</author>
    <author>tc={AC713BB5-0CC0-4B84-A018-750D3CF960D9}</author>
    <author>tc={13240F71-FBA9-4813-998B-8B19F2AA383C}</author>
    <author>tc={4874037B-20F5-434D-AF8B-633008114E8A}</author>
    <author>tc={77D6506E-43CE-4C60-989B-99C44A5200E2}</author>
    <author>tc={C923928B-7A66-4A5A-A3C6-457FCF9F86C0}</author>
    <author>tc={04750618-655C-430B-B6E3-BC41F36B0D65}</author>
    <author>tc={25B53B64-FDC9-4F3C-B2CF-963F65C11D73}</author>
    <author>tc={E4168149-398D-4903-9E5E-EA38AAB387A2}</author>
    <author>tc={CB0C3862-29B2-4EBA-8130-6BD8C15AB913}</author>
    <author>tc={39D7F820-F901-4B66-8A33-FB6DD47F0FCD}</author>
    <author>tc={F243288E-4DB1-48E9-BF70-E289507B525E}</author>
    <author>tc={24971600-26B9-4D7D-BA6F-C21305E6CB3C}</author>
    <author>tc={52B95EC5-0CBB-484E-9EF1-4ACCA1AF6CBB}</author>
    <author>tc={F4DBE0F1-7387-4A73-BA93-B18B630ECE5E}</author>
    <author>tc={7BC6BBF6-FB92-4B95-A2A7-7E1D4296686B}</author>
    <author>tc={D3DED176-2730-43AA-A1C5-98D18168623E}</author>
    <author>tc={9DA8E340-7C02-438C-9822-A9E8ECC72D83}</author>
    <author>tc={A158F34F-8FA7-4F9C-AA19-2CC9C8EA97FC}</author>
    <author>tc={62B93B1F-55F3-4249-BDE3-1D0F94885570}</author>
    <author>tc={1ADDED4B-430D-49A3-92FD-CFB390446299}</author>
    <author>tc={DD6DBF74-5D32-4FFE-950A-8F8AD3D29517}</author>
    <author>tc={4FB343A9-7A0B-4ADF-97A8-0BD897E4A40C}</author>
    <author>tc={476F9D5D-17A0-4D61-9FD0-D0A69C081B86}</author>
    <author>tc={F9D1D600-CFA6-45D3-8C4E-C87590488BA2}</author>
    <author>tc={1056F654-DA08-47C2-8729-25F2056F2984}</author>
    <author>tc={8A6FD794-0D6C-4738-A3EF-026C2D464A3E}</author>
    <author>tc={546F83C7-0A60-495C-BB22-9B3E31A58A8F}</author>
    <author>tc={69B38F14-0EA5-48E5-8784-CB3E999B482E}</author>
    <author>tc={5861AB3F-5E72-4569-BFEE-19C06CB29C5A}</author>
    <author>tc={5A3A0ED3-7678-4EC4-A515-57EF66DC3849}</author>
    <author>tc={57808CDF-D973-40EB-BB83-2D6221192A0C}</author>
    <author>tc={2C0317BA-D34F-44F0-BD23-74E0495B52FC}</author>
    <author>tc={8315CD08-4099-4D3F-9CB5-00F9D8F6845E}</author>
    <author>tc={406D1023-FE6D-4ADA-A545-8F783561C1B4}</author>
    <author>tc={E58F4A78-A69C-47FA-9A8D-A9E0D76A5688}</author>
    <author>tc={8F26EF15-FA12-4614-8D42-7FD8348593F4}</author>
    <author>tc={E5D6F777-A413-404D-A70D-568EEFE7AF58}</author>
    <author>tc={606C7CE5-07EA-43E2-8DB0-E903A5378587}</author>
    <author>tc={6AC874E6-2D3F-4550-B678-FA1483962D5A}</author>
    <author>tc={A2EAC016-C114-41C2-81C7-3277F1CDA40E}</author>
    <author>tc={24A3E1E9-D504-4561-A919-1A5EB779648A}</author>
    <author>tc={73609373-5DA5-4DFA-8570-1502E2859DA2}</author>
    <author>tc={F4071896-629B-4803-B5E5-92F1ABFC2AB4}</author>
    <author>tc={808A6D48-AB1D-4284-8949-0DE5DC16544F}</author>
    <author>tc={3EC095C2-70F1-4067-BEB0-229FC81BC248}</author>
    <author>tc={41DF0486-6CB1-469A-BBC0-8BFA34D8597B}</author>
    <author>tc={6FF8D328-8414-4F97-A7CB-528EC12DE727}</author>
    <author>tc={7D78F989-DE15-4208-B4FA-D49E443969E2}</author>
    <author>tc={BCC53862-E630-4370-A102-06197B49A1DE}</author>
    <author>tc={195B479A-E7BE-40D3-9FEA-2EBE46BE2376}</author>
    <author>tc={CF7B2285-7C4E-42B6-95B3-BD907596F4BE}</author>
    <author>tc={78BDAFBA-EC22-414E-832E-F4145D1F1933}</author>
    <author>tc={59DD9214-4858-41B3-A9F4-8AB64DEE07E5}</author>
    <author>tc={5F01D97C-872A-4C86-BC21-356FF7D68D07}</author>
    <author>tc={08832139-C5C9-4E8D-BA22-B4D2C4705CA0}</author>
    <author>tc={281F98E0-2DC3-461C-90DC-2032C611D7A5}</author>
    <author>tc={B9B39A06-2CA7-411D-B85B-9D807E81D7CB}</author>
    <author>tc={DC701EA1-B074-40A3-A55F-812D90062209}</author>
    <author>tc={98F81948-8E01-4A93-8CC7-36CC919B9B68}</author>
    <author>tc={7A1BB831-C9AE-4820-9382-EC1675AA457C}</author>
    <author>tc={4E53D7D6-8347-44AB-B975-CF509633D872}</author>
    <author>tc={7FC252CE-AB67-43DA-A833-C0BFEF9FED5D}</author>
    <author>tc={83D60492-EDA7-41B0-99C9-D73B4D7ACBB5}</author>
    <author>tc={DDE6B6D2-DC18-4C2F-8D82-8698D55DF7F3}</author>
    <author>tc={A962B81E-9593-42F8-ABA5-C8D98AC82C61}</author>
    <author>tc={95EB3314-6D91-409A-A77C-9A6832C56E54}</author>
    <author>tc={26644D77-AA18-4DF5-A445-9B3E7F6EF158}</author>
    <author>tc={4AD952E2-15BA-4A0C-89EF-FAD0F5189CC5}</author>
    <author>tc={02F2857B-ADFE-40A5-8C23-B0C5A3204923}</author>
    <author>tc={F6CB1998-15B7-43FC-BFBF-5E7EBD26CCE0}</author>
    <author>tc={9FDDA990-7FEB-4754-8398-0D7863E9FF2A}</author>
    <author>tc={600A5DD2-DF3B-4763-A26F-F511D5B04221}</author>
    <author>tc={A01CCC71-AEFD-4788-A21A-ECD81B1B4FBB}</author>
    <author>tc={57ADB1CA-D04F-43EE-B7E2-D24E944BA69F}</author>
    <author>tc={ED55FDA0-8C52-4B4B-8654-23C0E112CCA5}</author>
    <author>tc={2B74B4E6-6505-423A-8F08-6D3EAF841590}</author>
    <author>tc={BC2793F6-75A7-4461-946B-A4F44250CBC7}</author>
    <author>tc={22F9C165-9E80-46B8-9D75-9523AB505B79}</author>
    <author>tc={E2790BFE-7CC6-4315-BAAC-2E758F5C5A4A}</author>
    <author>tc={7F6A0822-8B40-4C19-B95C-C4C9E7A50295}</author>
    <author>tc={21BACA40-1C29-4E24-B349-9AD6C28AE91F}</author>
    <author>tc={E4473837-5A45-4D10-98EB-865A82DE1000}</author>
    <author>tc={B6A058FB-5EB7-4217-B090-50F8AAC44840}</author>
    <author>tc={2B173731-A7CC-4713-ACCB-C54D221A5FC0}</author>
    <author>tc={87D8AD47-2346-4EFF-9135-321898175037}</author>
    <author>tc={EAD44E92-FF48-46EC-87F9-D56CE8D25F52}</author>
    <author>tc={DC13AF9D-2CD7-4776-8D97-7F0B2AC28F4B}</author>
    <author>tc={654E8D30-55F2-4748-B7F7-274F8742CD44}</author>
    <author>tc={1CB2AFAA-E402-4D29-A68D-193585E39D62}</author>
    <author>tc={04761428-84A4-44DD-A19D-C0D8E7F4EC82}</author>
    <author>tc={72869207-27BC-4F81-AB2A-C1F40879F68F}</author>
    <author>tc={4FFDF0E6-D075-4B5C-8386-69AF5D4B3359}</author>
    <author>tc={9E68CC12-5E79-4C76-A9C4-633CCD14004D}</author>
    <author>tc={7B846D0E-F4BE-4F35-8A51-47F596C7F5BA}</author>
    <author>tc={F790A8DA-F265-446B-B8D7-39DBA63C9451}</author>
    <author>tc={B57C2AF4-5085-4CDD-B4F2-C8B768B4CD41}</author>
    <author>tc={73D0D55D-535B-49A8-8A75-0C8B07BADDB9}</author>
    <author>tc={E0CBC220-A834-4AA2-BE6E-796525627CB6}</author>
    <author>tc={E9829769-B4DF-413C-819F-08B90378EAD7}</author>
    <author>tc={B3B30FEF-F689-4533-BFF0-3620055CA690}</author>
    <author>tc={7801C0F6-C729-4BD8-878C-5034A995F2BC}</author>
    <author>tc={8411564C-EDF3-4A46-BAB2-4272D8CD6D1B}</author>
    <author>tc={9C19B308-6709-48A1-83D2-E3360DF338A8}</author>
    <author>tc={8DB94388-D15B-40F7-9B18-FFE782DBD1C9}</author>
    <author>tc={38F61C38-6D67-4E79-A8A1-33E547519279}</author>
    <author>tc={2542FF75-6D57-4D25-A2DC-B10E62CBC6B3}</author>
    <author>tc={123CAD91-7253-4B88-9027-02E0A44AC89D}</author>
    <author>tc={C2020B22-34BC-443A-B95D-C26621113C13}</author>
    <author>tc={DA0B82CB-491E-4FDE-A514-1A7ED8B31390}</author>
    <author>tc={E139E544-6104-4296-97B6-D216B973E714}</author>
    <author>tc={1962D34B-978A-4172-B125-4B812A42030F}</author>
    <author>tc={F02BA910-5FFC-4D3A-B323-282B96E9A002}</author>
    <author>tc={24CF834F-71D6-407E-8973-39719F16F16E}</author>
    <author>tc={1E507951-565B-4CF0-9C66-46C33435BE82}</author>
    <author>tc={DAE64BE3-0A0F-476F-B43F-CD8FF6DF31A0}</author>
    <author>tc={C362632E-C8DE-4CD2-99C9-371F332D80CD}</author>
    <author>tc={4E754121-4E6D-4C4D-9E60-AC6B37EC9ED1}</author>
    <author>tc={4F05C1DB-804F-4378-8ACD-253CD2A8F245}</author>
    <author>tc={6302EF74-FE7A-4E90-84D3-551311B3265D}</author>
    <author>tc={FD1DC2E1-0F10-4E8C-8CA0-BA5EBC4DC97B}</author>
    <author>tc={A135B5C4-D74C-4312-A80C-34964A041322}</author>
    <author>tc={824B0071-07EF-4269-BCE2-C7F6C07260AF}</author>
    <author>tc={16DACEF1-684B-4054-956A-70390D97639F}</author>
    <author>tc={757080FC-70E2-4FA3-AA26-930EA1DB79D4}</author>
    <author>tc={6B9582C6-B314-40C5-9CDE-D569467B55D5}</author>
    <author>tc={AE840F06-3FB1-40C8-B2EF-651FFF434AA0}</author>
    <author>tc={CC344405-444F-4C1E-8FBC-C48DFE71726C}</author>
    <author>tc={8D28A361-CFA3-4A13-8D20-C91309002A90}</author>
    <author>tc={857F729C-3A64-4E87-9AFC-CDBAF8C26B5E}</author>
    <author>tc={394244F8-70DA-418B-9CD8-096C3C96B658}</author>
    <author>tc={9CC4E5A9-D074-4907-88A8-81729D2DCBFA}</author>
    <author>tc={A217F32A-45F4-45A5-BCF2-E659ACB82A82}</author>
    <author>tc={8EC87F2F-6D0A-4209-B838-96E0A50B424C}</author>
    <author>tc={46083FDC-7564-4095-894D-02AE2FE4FA59}</author>
    <author>tc={6039C536-0198-4ADF-B5BC-0F2CA248333D}</author>
    <author>tc={F61BCF8D-EAC5-4598-BACA-93611E24DBD5}</author>
    <author>tc={1744B3A8-6F8A-4130-BEB7-DD6104F8D2EA}</author>
    <author>tc={ED9D06C5-BDA9-4F88-A054-33A755401BD9}</author>
    <author>tc={FAB7CFAD-A719-469D-B630-D6F7A3274F99}</author>
    <author>tc={B194EDD4-6B5D-4559-9630-EE326FA38962}</author>
    <author>tc={ED89A1C3-EB62-4D59-9CD2-AE54C7131C72}</author>
    <author>tc={F0CA3285-D691-4107-ADBF-B33F9241FA6E}</author>
    <author>tc={C35B3394-4E10-45A5-B9A3-91A30929F825}</author>
    <author>tc={6EA992FD-D90B-4855-9275-1CF6DC4647D9}</author>
    <author>tc={DD36C2C6-091C-4A41-A986-44C50704760A}</author>
    <author>tc={C6B00BFC-FE13-4D47-BB2B-A83004B7C313}</author>
    <author>tc={FBC504DF-75A5-4BB4-AC86-8CDC46C18FDF}</author>
    <author>tc={BD662A48-B6E5-4881-94DB-3345C5B75BD3}</author>
    <author>tc={F2FBD507-BE9D-4FB0-A397-2764E85A78AA}</author>
    <author>tc={410C9FCE-6372-4ED7-B3D2-D3C0C6FE97BF}</author>
    <author>tc={9658E395-B834-485C-80B8-6A6876026FFC}</author>
    <author>tc={EED270C9-264D-49D1-915E-52A3182134C7}</author>
    <author>tc={186A62F5-150C-4E63-8803-DB3858840BC6}</author>
    <author>tc={433C4AD1-0F64-41EB-9A2E-C1EDB0BCC9D0}</author>
    <author>tc={19399F02-7379-4F3D-9473-D868472FAC03}</author>
    <author>tc={CCC55A7D-F292-4E07-A2A8-78674FD8B85B}</author>
    <author>tc={BFE63CB8-86A4-49F5-B653-B4E378F67891}</author>
    <author>tc={FF52DDE6-347F-46DB-B82F-B7AA41719F94}</author>
    <author>tc={D06FDE5F-62EB-4B40-9DB0-8FFA7FD492E0}</author>
    <author>tc={8F32622D-339D-4EBD-A49A-B0CE9A6AEA2A}</author>
    <author>tc={A4EB7FFC-E544-477B-B813-0F1F56ED2D0E}</author>
    <author>tc={50E8AD46-3233-4E8D-AE3B-E5ECB8EBDC52}</author>
    <author>tc={AD6B362C-05AA-490D-868D-1165FE1F1923}</author>
    <author>tc={661325F2-0567-47F2-A825-9AC8C1931D82}</author>
    <author>tc={C1AFFA6B-2406-43D6-BAC8-341E4735B26B}</author>
    <author>tc={6B8280A7-886E-47AC-B01C-6351FA1F053C}</author>
    <author>tc={E55E3CC1-FEC0-4A18-9F77-EA96D871E86E}</author>
    <author>tc={D0CE0EAC-960D-4601-A435-A1BF7B9F3634}</author>
    <author>tc={E679B436-5E1D-4470-B378-87DFC4A0375D}</author>
    <author>tc={1975E221-5122-4C85-8DF5-4513BDDA3BB6}</author>
    <author>tc={8AA64C4A-97F8-48CB-AF3E-4C0119DA9373}</author>
    <author>tc={84A96171-E8B9-4BCB-99E2-559C79AA553E}</author>
    <author>tc={812D7D6A-2787-40F2-A850-89D645444402}</author>
    <author>tc={4D1675FB-7EC1-48EB-BA9C-8FF0FABE7065}</author>
    <author>tc={81D8B1CD-6A7F-46CB-B962-632C94037327}</author>
    <author>tc={966C38C8-64C7-4E66-9238-5D9A3A2BF8E6}</author>
    <author>tc={1CA480E3-14BA-4DA0-A428-2666E3278D3B}</author>
    <author>tc={9682CDB8-3DE9-4642-A081-5A5D828BD56D}</author>
    <author>tc={DBFDA696-CD6B-4117-9102-D1842637ACDE}</author>
    <author>tc={12DDADE2-D74A-4D15-A535-791BB55E344A}</author>
    <author>tc={F9AD359D-BE60-41D8-B6CD-2C2F3141F15C}</author>
    <author>tc={8FFA49A9-C99E-4047-9E5F-096678D2FBD9}</author>
    <author>tc={4381F57A-0889-47E2-8C23-F3E6271E73EC}</author>
    <author>tc={92A119DA-1B34-49F1-81BF-EF60FB3261E6}</author>
    <author>tc={2DD3769A-C792-4293-ABCC-576C8B9778B1}</author>
    <author>tc={31F14EB4-E89B-4108-A449-FDA69C3090C1}</author>
    <author>tc={7C530D58-071B-4636-976E-A3677B14721F}</author>
    <author>tc={EF83D6CE-96DB-4765-8512-2412D3F14195}</author>
    <author>tc={4D2D0875-0835-46FA-A3C5-E6E3816DCEF2}</author>
    <author>tc={B024A7E7-C2DB-43BC-B6EE-5EB3FF18776B}</author>
    <author>tc={AB125323-74DE-4CED-81BA-7F5CD3BFCCD4}</author>
    <author>tc={458C78F1-8D80-4A46-8587-8E6A37F1B8DC}</author>
    <author>tc={1DD09725-8540-44A7-B94D-5E9FC7EF6222}</author>
    <author>tc={C2998A08-785D-4161-B8BC-F73B75550F95}</author>
    <author>tc={42B6A773-460D-427A-8B1C-B340A6BEB39E}</author>
    <author>tc={65569EB9-D817-4FC0-BF89-1412F3CE6651}</author>
    <author>tc={51F3A2FC-784D-4D2C-A2C9-F0AA20EE424B}</author>
    <author>tc={C0964D9D-E0E3-410E-9998-84776A05A284}</author>
    <author>tc={0AAC9F89-298C-4375-9601-1FDD3F1ED104}</author>
    <author>tc={D90053CE-4588-4435-89A3-E23E638AF1F7}</author>
    <author>tc={AC1C8225-3408-4893-A798-427FBDFD8D69}</author>
    <author>tc={3050D47D-0AA1-4BE8-9F9B-886F00785836}</author>
    <author>tc={DF2CC156-B058-450D-A9D6-3B6D33145171}</author>
    <author>tc={DAA5726F-862C-4998-8CBD-60EB33B28265}</author>
    <author>tc={2490C7EB-409D-463D-9F30-F9EEC788404A}</author>
    <author>tc={501BAFF4-A15D-435A-92D2-6A878AD93874}</author>
    <author>tc={9DFAF36A-29EB-4B7B-B9E4-17BC499B3D26}</author>
    <author>tc={B45E0178-DB39-45EC-AD26-666146D1B4DD}</author>
    <author>tc={C8ECBB7B-567D-4232-A3F3-F9E15CB2CDD8}</author>
    <author>tc={64485A4D-16FE-4399-AC00-5B1CCB9B7BD8}</author>
    <author>tc={C2879D8C-F2C8-4F5D-ADF4-537ECD4F7C7B}</author>
    <author>tc={E561335D-EF00-4140-9EE7-A41EB4A5612C}</author>
    <author>tc={2F78F3EA-BBEB-41BF-9410-769CCE1DD436}</author>
    <author>tc={08211615-551D-43F6-BF49-B76A1073B4DD}</author>
    <author>tc={9FAD8DC2-C6E2-499E-B4B0-E8879023959C}</author>
    <author>tc={E1F24A6E-C34F-4A30-A4C2-C0B51711C34B}</author>
    <author>tc={F6117F8E-1779-4610-BE03-F1D923A272D5}</author>
    <author>tc={A80A3B70-2EE0-4A44-BB07-3940106BA2AC}</author>
    <author>tc={6E88DC40-64A4-42B3-8271-3EDB2E1CA19F}</author>
    <author>tc={961039BB-8B46-4C47-B282-97FADDFAD6C8}</author>
    <author>tc={E78C8283-D250-4EA9-8F05-76BC59DE6F05}</author>
    <author>tc={EA1119AD-DD06-4EE0-A979-34815DF8A767}</author>
    <author>tc={A9EE7EFF-719F-4E96-8DDD-6D8E6F3A80DB}</author>
    <author>tc={BC482F07-C36F-43FA-B116-A538FE4F7594}</author>
    <author>tc={492596F6-89F4-42C5-8754-6A8E5DE5EE3F}</author>
    <author>tc={38F38F6D-E351-4451-B060-B43AA5903452}</author>
    <author>tc={0902DBD4-27FB-42D0-AAB7-20F95DC3479E}</author>
    <author>tc={879D95A7-E9BE-46B7-85DF-4DF2BDEBD257}</author>
    <author>tc={0854156E-1AB7-48EE-B35E-CE98B46CAAD0}</author>
    <author>tc={0D48B038-4DF5-46A8-B5B6-1C114DC07351}</author>
    <author>tc={11E2C88C-26CB-42D9-823F-D69DD8664719}</author>
    <author>tc={04D0A374-A1A3-4C6E-A9A4-5A59ED18C1CA}</author>
    <author>tc={4E88A1A1-10EB-43CC-B708-9240B3E44787}</author>
    <author>tc={7135F065-0E6B-41B1-8528-A2A6C13FA76C}</author>
    <author>tc={40C7AE8E-252B-4F4A-B1CC-1F6208100282}</author>
    <author>tc={3418AA0A-8C44-4953-9AB7-3373FF9828A3}</author>
    <author>tc={8E321588-58ED-4BA5-BEA8-C18EC08BE056}</author>
    <author>tc={4AAD35C1-3055-456B-8322-BA4F9606BF1D}</author>
    <author>tc={2F47C09F-02BF-42E3-A717-D48495650C56}</author>
    <author>tc={58910C31-3330-49FF-88AB-AC362A393C2D}</author>
    <author>tc={64A80C96-310E-43D7-9EBC-30877C334E75}</author>
    <author>tc={1BB79C43-3D24-49AC-ADE5-433804CAF85C}</author>
    <author>tc={7DDFA765-721A-4B75-9997-058960562DC4}</author>
    <author>tc={6F1A35B7-FE90-4607-8581-03DECA57EB05}</author>
    <author>tc={5ED72E85-2D1C-4A3D-9172-04C9313F8373}</author>
    <author>tc={A848A53D-9784-40AB-9D74-00CEED96307B}</author>
    <author>tc={A33CF9F5-E4AC-472A-82A3-B8318E99F248}</author>
    <author>tc={78B08E86-C171-4024-AB16-A7E5C15E9016}</author>
    <author>tc={EEB9D083-7248-4075-A51D-FE80894E1E7D}</author>
    <author>tc={B9EE162C-65A8-42C6-AF6F-4854FE057BAB}</author>
    <author>tc={9DD8DD74-6F58-447B-9018-208F8EA35ED5}</author>
    <author>tc={F16ECCC3-C660-419F-BEBD-8461DA8D31F6}</author>
    <author>tc={C802DB7F-1721-4A7D-8005-B4ABB3754341}</author>
    <author>tc={0368F74E-27CA-4DA5-849F-614C1A6D10BC}</author>
    <author>tc={8A681774-F28B-41E2-A1DF-FC8C258E463A}</author>
    <author>tc={AEA69125-F794-48DC-9CBE-F30BE8DB453D}</author>
    <author>tc={EA27C9EF-0F3D-44F7-96CD-B9B1D6177DF7}</author>
    <author>tc={CCF0DB0D-5B9E-4EB1-85F7-F343E43D24D4}</author>
    <author>tc={1357FF5E-8461-4547-AB34-307EB091461D}</author>
    <author>tc={2254C569-67DD-4ADF-A61B-D9009DE74D52}</author>
    <author>tc={360C93DA-DCAE-4B29-8E55-42269648E7B1}</author>
    <author>tc={C716E557-F9EF-46A9-AA9C-BFA32EF0384E}</author>
    <author>tc={14C39EBC-7E64-4EF4-BD99-B2D66844F238}</author>
    <author>tc={3FE98490-A4A3-426A-A1AB-151B708CADFB}</author>
    <author>tc={F741929A-3E57-4BC1-85DC-65F99617A795}</author>
    <author>tc={996CDF1A-710F-4182-B4D7-12EB390B9FC7}</author>
    <author>tc={5BF2F4ED-EF52-4354-81AC-5BB9007D117C}</author>
    <author>tc={27B78031-FE6E-4B41-9566-B735937ECFCE}</author>
    <author>tc={BF6B1C1C-886F-4595-A096-4EF095671AA4}</author>
    <author>tc={D139DC91-44EC-4511-A9B5-A1087D6895F4}</author>
    <author>tc={99C13148-EB91-4C5B-ACEA-B68B52F6889A}</author>
    <author>tc={37C9B100-C874-49E9-838E-07FBEEA89431}</author>
    <author>tc={9C2CBE71-67F3-41C2-8CC0-990505167BFD}</author>
    <author>tc={1414FAD9-1940-4542-8829-A719231D19CE}</author>
    <author>tc={D1CE4F07-9B2D-4D5B-BC2C-042900025BDC}</author>
    <author>tc={96ECEA72-4D51-44E3-A132-010D5134034B}</author>
    <author>tc={87FC52F6-AC48-4ABF-90C6-C05E37B19D1A}</author>
    <author>tc={F2E76C1C-683F-41EA-88E5-D945CAE69758}</author>
    <author>tc={7A6E717C-368F-484F-B24E-F512E482A820}</author>
    <author>tc={D82D01AB-AC78-4220-9A3B-64660F8EAB82}</author>
    <author>tc={C4645AA7-D9C3-422E-97B1-B84F89877482}</author>
    <author>tc={49C4EF8F-4CA0-49D6-91F5-A9D95DF9CA33}</author>
    <author>tc={87A9D741-C8DA-4DF1-85DE-7D912DB75AD2}</author>
    <author>tc={908CF2FD-0861-4E1E-B5BF-67E5BDF1742E}</author>
    <author>tc={3E61DA80-58FC-47C7-A71E-828D32285259}</author>
    <author>tc={A29E445C-40E4-4C5C-BB45-0E24BEFB0DC0}</author>
    <author>tc={D881B196-DFE3-43FF-8F62-0F90AC432DB4}</author>
    <author>tc={35244F0C-625F-4D42-B5CE-83554BF699E2}</author>
    <author>tc={DD917F7A-F078-41AC-850D-6EBD92F9A14F}</author>
    <author>tc={0B0EC61E-5D3A-4429-AA0F-9EB6179AE9C3}</author>
    <author>tc={CEC04983-DEBB-489B-A782-B393A29E823A}</author>
    <author>tc={34C1DBE1-F952-4642-9740-ECF9C35D4F41}</author>
    <author>tc={F254D8B9-B6ED-4ADD-B2BE-328BE7C17E37}</author>
    <author>tc={D07E11E0-C389-4F34-89A5-80605F33F16B}</author>
    <author>tc={39CCA737-7583-4EFD-8EF0-DF496248DFAA}</author>
    <author>tc={30520F83-90E9-44E0-BFA1-DFC1861A403A}</author>
    <author>tc={38602510-8D4F-4832-9C80-1DBB658C7D00}</author>
    <author>tc={DA41A35A-18B9-4B62-A03C-1000605F0A0B}</author>
    <author>tc={D80366C2-DC3A-46C4-934A-AB13638D1575}</author>
    <author>tc={BDB72F68-E728-443C-9776-B38A9314A7BF}</author>
    <author>tc={ED4979A6-CEE4-4E18-BD3A-1E2FCB3FF173}</author>
    <author>tc={62F28745-8725-4877-8F53-0560C7BC73F5}</author>
    <author>tc={12EDCF12-845A-4862-9D8E-F9ED5C1BD426}</author>
    <author>tc={8FE8677E-4F45-49BA-8965-9C5189E9AC52}</author>
    <author>tc={AAD78066-8436-4CEE-A705-8BE8382A26B1}</author>
    <author>tc={9FC0F152-4702-406E-9A45-5EE216F17D9D}</author>
    <author>tc={DA3DBFBB-021A-4ACB-A731-D8F66131F067}</author>
    <author>tc={FBCA98F1-6425-42C3-9573-3C42BCBC9253}</author>
    <author>tc={37836686-70FA-447F-A48B-AD682E0FC3AC}</author>
    <author>tc={DE1502FB-03E1-476B-9F52-F17D2DFD65D3}</author>
    <author>tc={1EC6E96F-C5CA-476D-9B64-073A70E440A8}</author>
    <author>tc={BAA57A65-0EB7-4139-88D2-2C48A53443B9}</author>
    <author>tc={C6360F6B-E06D-4D8C-986C-9DE8CFC71261}</author>
    <author>tc={2A0D44E0-C362-4AA8-9381-85F2AD619331}</author>
    <author>tc={51002FED-4AEB-42BE-A3A1-7CA535805E42}</author>
    <author>tc={465A3161-EEAD-42E0-BF77-E022C311A7DF}</author>
    <author>tc={1597F443-59C1-463F-A597-2A9897609D81}</author>
    <author>tc={E05BC638-1AF6-402D-BE07-6A0F426E1CC7}</author>
    <author>tc={5B5F81A7-535A-4A5C-A91D-C02FACB992BF}</author>
    <author>tc={F3126A89-E1AB-45D5-9850-BC23DE6EB785}</author>
    <author>tc={FDC02BF2-F7E2-4C75-A1BD-13650C5759EB}</author>
    <author>tc={58D9639C-32B7-49BE-8EC9-5C6746CDA977}</author>
    <author>tc={84BA090C-D1EB-4EE2-A88E-95B9A4297A61}</author>
    <author>tc={404A4554-659D-4A0F-A327-D148DAA87CD5}</author>
    <author>tc={2F0B8E73-E182-4521-AEA6-E5EEC4A422E1}</author>
    <author>tc={C42052FD-424B-45DD-9C1E-4F9F49C87C32}</author>
    <author>tc={614E51B6-2EB0-4A9F-9C90-D6D7B0491343}</author>
    <author>tc={040AC810-211D-4DAB-B1F6-F9FF51FEF89C}</author>
    <author>tc={7C7145C2-FDD2-46C7-9293-5C408B43AAFF}</author>
    <author>tc={1C638F38-602A-4DF0-8CC0-65CF89001D42}</author>
    <author>tc={E615B6CF-F054-4407-830E-08FCD74386EA}</author>
    <author>tc={F2C6226E-5B5D-4D6D-9405-5937209A28BA}</author>
    <author>tc={D6F4995A-EDD4-4353-A15B-058D7AAC3E06}</author>
    <author>tc={9B7473E1-BA00-4FD7-965E-4BB1C3F90CF1}</author>
    <author>tc={95E3007F-B5B1-4ADF-AE3F-DABA8B3D37F6}</author>
    <author>tc={02BEE2FF-5531-4E69-8BD3-25E25821BBF3}</author>
    <author>tc={BEF1C010-3BB6-4FB7-B555-95889678BAEB}</author>
    <author>tc={63CC7AB8-8006-47E1-9DC4-975C099B20D1}</author>
    <author>tc={5EF1760F-1879-4A15-83C1-32F8733AD47F}</author>
    <author>tc={DD856411-8D11-42D6-BAC2-8A6D8E8720CA}</author>
    <author>tc={1F091954-CC69-4CA8-AFD9-00A1ADFD8E41}</author>
    <author>tc={A70EB32B-B113-4ED8-B9E8-8B6F860E8E22}</author>
    <author>tc={2C3ABD1F-357B-491E-A4E1-0061B7358D4E}</author>
    <author>tc={79424B83-4801-4202-A30F-D4477408F9F1}</author>
    <author>tc={A96D1D8D-7B71-44E6-9654-FE9D8C8D8E77}</author>
    <author>tc={25AF3C84-4B11-438A-8130-7A9C286256F4}</author>
    <author>tc={D80D4ED4-DD3C-43A1-806E-E36A99C94DA6}</author>
    <author>tc={073E2D95-0DBB-4961-87D4-26E9820651B4}</author>
    <author>tc={8AEF3DA3-319F-426B-BC9D-346EDEFA36AA}</author>
    <author>tc={A0FBDE8A-4CCD-4A62-ACC6-BC57B15111F6}</author>
    <author>tc={64298F39-A328-40B5-BF80-52A459895817}</author>
    <author>tc={547720E9-32E4-4EFF-B686-BFFA0AA8F21B}</author>
    <author>tc={F42FFDF7-2885-4938-9E03-B7C1FC064E66}</author>
    <author>tc={8616C050-2A32-4B77-A59B-865CC915304A}</author>
    <author>tc={133FF333-F769-4AF1-A382-00E221CF3E93}</author>
    <author>tc={2B6C31EB-0093-4013-B2AF-CF8A9F1406AC}</author>
    <author>tc={542C9426-2D24-444A-9352-2ABD0D536277}</author>
    <author>tc={61B6AF41-19CB-47F8-AA60-BEE37F982B3E}</author>
    <author>tc={98454F12-AE40-4ABF-BCC9-B55241EB3F92}</author>
    <author>tc={699939DB-23DF-4997-90A8-9B954AE7B2E6}</author>
    <author>tc={D60F474B-87D3-4D28-AFC9-60F4FE8A163B}</author>
    <author>tc={234A5C7E-F7C8-4B9A-89E0-ED82024110D1}</author>
    <author>tc={30B2B96F-566E-4B81-B365-37262098E5B2}</author>
    <author>tc={1D87FF2B-DFEE-4BB3-B103-63F6A589F69E}</author>
    <author>tc={DE4984FF-C69C-4109-BB68-11AF8FCC7616}</author>
    <author>tc={FEFDCB84-9BA1-4F8A-9EA1-A3096633DBFE}</author>
    <author>tc={A9DB562B-B7BE-4ED9-B54E-379F44D64BE0}</author>
    <author>tc={2BD92287-38F9-40E0-8C3A-25082B080D4A}</author>
    <author>tc={771E2454-32CA-45D9-876B-0AA545CB3B84}</author>
    <author>tc={612BA4BD-7102-4BD8-A00D-06B9A870079B}</author>
    <author>tc={9D6F0E8A-FC39-4865-AFC7-0C76760CEDD1}</author>
    <author>tc={E1EBB647-2E39-465D-A4D5-6F670D72EB21}</author>
    <author>tc={D813A8A8-EDDE-4829-BCE3-E3FB4D110B50}</author>
    <author>tc={7684BA35-FF70-4A1C-A3CD-EACD83AB2935}</author>
    <author>tc={39E4D291-0A3B-4B41-BFE6-1C4C6CD640A3}</author>
    <author>tc={5066041E-E923-4340-9435-CD5E5A795A25}</author>
    <author>tc={9F9298BC-8FD3-4B85-8D90-FDE7E4B1E5DD}</author>
    <author>tc={9E767376-8D5D-4A35-81C0-B715591F76F1}</author>
    <author>tc={90804172-B0C7-4310-BE72-6A91F25DAAD8}</author>
    <author>tc={F075CF68-8443-4FDA-A35D-AD95D40FF687}</author>
    <author>tc={80C5DC76-D702-4E7E-9E29-D1DBAABB7549}</author>
    <author>tc={CD841E74-F90F-4906-A230-2AEE4138C082}</author>
    <author>tc={4767A0D9-8598-498D-9D83-36C377F1D2B3}</author>
    <author>tc={1D840E80-57BA-4E48-9427-85B0C80B7D52}</author>
    <author>tc={3738C004-98F3-4AE1-88BA-0EF8542B49FB}</author>
    <author>tc={0AD1BEA0-7E64-4787-B1D9-5B544D28606C}</author>
    <author>tc={C30BE8E6-F1B3-4218-BC81-64578464B136}</author>
    <author>tc={246DA2CF-C7EE-4465-AA6F-91219A179FC2}</author>
    <author>tc={A4E7451D-BE0B-4F28-B641-970D90DB5EA6}</author>
    <author>tc={E29D109F-99A7-48DC-B8BB-61BA0007127D}</author>
    <author>tc={8E6A3454-9F1A-4E70-B948-F0B0BCF9D663}</author>
    <author>tc={1CA35E5F-9CCA-4967-B898-E4F5FA11CC48}</author>
    <author>tc={8250AB67-DA19-411F-BC54-E4736476C720}</author>
    <author>tc={6EA5EBC3-213C-41E5-AD72-B0B1D74BC142}</author>
    <author>tc={A68B4E10-887E-4224-AAAB-DC1C1DA28365}</author>
    <author>tc={6C3CC897-09F3-4C4E-9997-E2BF86A04583}</author>
    <author>tc={DF9E978D-EC5D-4540-A832-529DE0223AE0}</author>
    <author>tc={58B83DB8-BD94-4C37-8066-5D3F6826A63A}</author>
    <author>tc={3025B7A9-B2BB-4894-8400-FEB69D2D35F0}</author>
    <author>tc={FA5FD769-D67C-421D-9577-8990F3A9373E}</author>
    <author>tc={67D43E04-0870-4BCF-9509-110B19C02810}</author>
    <author>tc={BF7DAFBF-6489-48C6-8A6E-31D5ED570196}</author>
    <author>tc={63A0D346-F5AA-4BF8-A954-23858F3596C8}</author>
    <author>tc={4CB889D9-0CFA-483C-8B30-F76BC34868ED}</author>
    <author>tc={8897C1FF-1ACD-422B-8EDF-8D34EB8799B9}</author>
    <author>tc={D63FE7DE-8841-429C-9B30-2F2D4597F475}</author>
    <author>tc={F57BE401-43B2-4E08-B301-5F26EF839E51}</author>
    <author>tc={2A2016BC-85CB-47A5-9803-0B35231ED386}</author>
    <author>tc={9DCF2690-4FA6-4BB6-A99C-41A70A89B2A3}</author>
    <author>tc={9DAA8C4A-BB06-4E60-83EC-9C32DCED6817}</author>
    <author>tc={A3CE9A43-5829-49CE-869C-D16D29AFF182}</author>
    <author>tc={4A75D42E-9B88-48A3-BAF3-48DFCE601814}</author>
    <author>tc={D0FF8BCE-9660-4B44-A185-3683E4CDE104}</author>
    <author>tc={73E7B502-E6C2-4CAF-9564-2307823EDA11}</author>
    <author>tc={9F290042-A5E6-41EC-8B31-FC54E8330082}</author>
    <author>tc={7B21B82F-12E7-413E-B04B-76E6F4F10C9B}</author>
    <author>tc={947A535B-5853-4A9B-9735-D6A3275AE32B}</author>
    <author>tc={23627F04-C947-4A4E-80BB-2E206F98016C}</author>
    <author>tc={F418A05D-5823-4C3C-9BDB-1AE1D5BE8264}</author>
    <author>tc={81A5E3D0-DA94-47B4-8EA4-B1A300E16EDF}</author>
    <author>tc={3AFD0369-49F2-4C56-B07E-5506DAC916E3}</author>
    <author>tc={EDE43656-2224-4DB5-B585-E0107CC8C3A8}</author>
    <author>tc={B2CF8C04-B312-4A9E-B2A9-252390B9EB98}</author>
    <author>tc={4ADCF64A-9017-4BD1-BA4D-94369706C158}</author>
    <author>tc={90A81429-0227-49C8-B4FD-19B333D28D3A}</author>
    <author>tc={8F9DACBC-69A9-4BF6-AD85-02A17BE42832}</author>
    <author>tc={810EBEF4-0249-49F3-BA1F-56A2B2453769}</author>
    <author>tc={3E88DB5F-3001-47F3-9BC3-A89E34BC3EEA}</author>
    <author>tc={C96D299E-B6FF-4BED-A555-80B8985B6CEC}</author>
    <author>tc={FE4CEE72-F8E7-461B-AD1C-98AF284DAA0A}</author>
    <author>tc={F15FA2E3-93B4-46E0-AB8A-7B091BE86823}</author>
    <author>tc={D99BB9DE-200B-465B-998B-E34017994479}</author>
    <author>tc={F6CBF39F-96C5-4F7E-B665-C5BC1B2B07CD}</author>
    <author>tc={C3C6D0B5-BFB9-4F8B-99CC-60D8E4651321}</author>
    <author>tc={DB4982F4-1D02-4568-801B-A80DA0B3BDB0}</author>
    <author>tc={27409107-9739-4884-8512-E9D1C61DCBFD}</author>
    <author>tc={70CBEB58-5532-4889-868C-40E4554B0E79}</author>
    <author>tc={CA50EFF0-FDDC-4492-ADA2-28C4A04CEB8C}</author>
    <author>tc={A0F0F0E6-2867-4974-B559-869501F76307}</author>
    <author>tc={8120B886-B895-4DFD-A16B-3DCD602E2513}</author>
    <author>tc={27C5C24E-2AAF-4F87-B2AB-127EA3731AEC}</author>
    <author>tc={CFC66A42-CF45-4E13-ACB8-776679B5361E}</author>
    <author>tc={191390B7-0BCF-408B-8D16-BF1E14B1F9AD}</author>
    <author>tc={2FA8FA62-5433-411E-A287-9474B32544DD}</author>
    <author>tc={62EAC55E-3514-4A40-906C-DBFF0E3340EC}</author>
    <author>tc={7B83A14C-BE47-4E92-9FA4-F21FFAD3E0F2}</author>
    <author>tc={85A412B7-275B-4A17-9786-C5027FE8BE30}</author>
    <author>tc={0C076204-DA14-4D86-BC49-5DDE9B568291}</author>
    <author>tc={07ACB861-3E41-49AE-8D4E-1AEA80F648A8}</author>
    <author>tc={8E751C8A-0075-4B98-B8F2-909AEB319B0B}</author>
    <author>tc={EE48483F-61AB-4619-889E-65CAF018BD5F}</author>
    <author>tc={8298E4F2-8124-46B5-8B27-1947C37AAD65}</author>
    <author>tc={F7ACBB63-926F-4D18-B85B-2305DE0C2ACE}</author>
    <author>tc={7CABE236-5BF0-4676-8F0C-414F313F6A80}</author>
    <author>tc={D7C35507-3D4E-4EF1-9B8A-CAAAA2CA74B0}</author>
    <author>tc={09ACB7FF-202D-41A1-B594-F0ED2ED6E449}</author>
    <author>tc={7BBB669E-67DB-4506-BC4A-C58247BB882B}</author>
    <author>tc={D6722DC7-1740-49D3-96D9-0AF9BE81FB10}</author>
    <author>tc={2C50D0D8-475B-47A4-BAFF-2B8F8AD0B7F9}</author>
    <author>tc={9F3DA239-4221-4EA8-8C78-BDF71B248F48}</author>
    <author>tc={FFA45B8D-66D6-487F-9021-6002047B9AD1}</author>
    <author>tc={F41B634F-CE25-4320-97E0-C76FD4524DC1}</author>
    <author>tc={A74BCE9D-5725-4F01-82D6-BC59E61E1E23}</author>
    <author>tc={8E3FF99B-863C-46DB-ACE6-8C93F39F109A}</author>
    <author>tc={B4FC363B-2B0F-4802-A2B0-30CFE3AF33B7}</author>
    <author>tc={D39C53DD-8F43-4CB1-BAFE-6453A87F5F7C}</author>
    <author>tc={27E11170-7DDF-489A-B506-68C6F414256E}</author>
    <author>tc={EC9AB2E6-F3DA-46C3-9059-24E9C93A3428}</author>
    <author>tc={C9F1365A-B4A8-486A-8171-1BCC4B47147C}</author>
    <author>tc={737747A6-96D7-4C6A-9BA2-B93596FDD4EF}</author>
    <author>tc={6B66BFC8-0A25-4B46-B177-7E1037E8726E}</author>
    <author>tc={9E56A1EE-68E6-4819-8B12-318899A24B03}</author>
    <author>tc={4A810B7C-DC22-402D-9890-F6DE24327EA8}</author>
    <author>tc={9D953454-042B-40FB-A464-445D47643260}</author>
    <author>tc={AF776437-508E-4607-81E9-CE11A96D491B}</author>
    <author>tc={91ABA908-FAC7-485B-B432-2A0B7570A90D}</author>
    <author>tc={6B3D7059-384A-4F37-8DD7-AB53E6146041}</author>
    <author>tc={F7C173F4-9CC1-46D5-9685-E28D2F6E9BDE}</author>
    <author>tc={F114EEBB-0C6F-4FE6-A26C-24C7C0DF42F6}</author>
    <author>tc={6C84AF4D-4D9B-4355-AE50-62327CDF3ADB}</author>
    <author>tc={FFB94523-F372-4A33-9D7B-82DCBE18876A}</author>
    <author>tc={70F35852-F843-453C-A960-2E0CC50C6D98}</author>
    <author>tc={67AF17BF-FE6C-4BE1-B5CA-C710054BE93D}</author>
    <author>tc={1C079057-D998-40DC-896F-CA7AB6A4A95D}</author>
    <author>tc={BA48A45F-C3EA-4521-9782-1B38194010D0}</author>
    <author>tc={C3796761-CDD0-4C4E-9977-8328108ACB20}</author>
    <author>tc={E5F8D7E4-8C3E-4B14-AE1D-CD60043337E1}</author>
    <author>tc={70A4C93E-04E8-4D5D-8FA5-1785A82F816A}</author>
    <author>tc={3F425EBA-A8BD-4FD9-9F99-BC3BFE3D5E51}</author>
    <author>tc={A7447939-F755-433F-8CE4-FC80B1215282}</author>
    <author>tc={02013D3B-707A-4B1F-B9D0-7FF1A64757F3}</author>
    <author>tc={9C5E2067-4D02-45AF-930E-D62BE237A2AC}</author>
    <author>tc={554CE84F-E1AA-47B8-8477-3CDA608C6B8A}</author>
    <author>tc={806ED247-BBFC-44F2-9A09-15AB75C7A125}</author>
    <author>tc={AEAF79A1-2963-4AEC-996C-7D5B943FF2A3}</author>
    <author>tc={502A3A6D-1A3C-47AC-B6E0-3EA398BFEF37}</author>
    <author>tc={5B0DD266-1D66-4662-A125-0D2F614A664E}</author>
    <author>tc={FAA19D81-8C46-45F2-A1D9-04DDFF68634B}</author>
    <author>tc={62FEC350-264A-47E3-8F36-5CC6712E018F}</author>
    <author>tc={881171B6-A68D-4251-A7F8-714F061AABBB}</author>
    <author>tc={297BC0D1-9E31-430A-9CCA-AE0FFE155E3C}</author>
    <author>tc={5E73FF2C-382C-48EA-AFF4-2F80900D3A21}</author>
    <author>tc={B072E250-A906-47FC-94DB-0817AD86E5ED}</author>
    <author>tc={F615C0AC-DAE8-4380-AA45-964234AE209C}</author>
    <author>tc={5534A631-63B0-4474-A0AA-4215625D6791}</author>
    <author>tc={9DBC03C2-9D6C-4FD3-BF53-2CA4D1D73BF1}</author>
    <author>tc={A60C3415-5E07-4E51-BC1C-CD94F9359813}</author>
    <author>tc={922BCA69-5722-41D7-A152-1F16E6D5AAA0}</author>
    <author>tc={6B5E3E62-6D9B-476C-A656-8039108966D1}</author>
    <author>tc={329426AD-4998-49D8-B88C-0DE27D7BDDAD}</author>
    <author>tc={9E9DCD59-8669-4069-A140-A7ED2FE7A69C}</author>
    <author>tc={EC6051A8-B73B-455A-BBE7-30073C9C6DF2}</author>
    <author>tc={C3CFB6D5-235E-45D4-B268-620CDD0B949C}</author>
    <author>tc={09720A86-EC6F-4162-8B0B-2018AF7C37CE}</author>
    <author>tc={79849865-9B66-48AE-9165-2645620B627F}</author>
    <author>tc={E7897B34-5D37-4AB4-8964-741F98797683}</author>
    <author>tc={A8A5B11D-7040-4DCF-873E-EDF7458BA814}</author>
    <author>tc={7D6C4D18-82EB-4589-8DFA-7E0A938D1E00}</author>
    <author>tc={268EF4F5-DBE7-4C17-BD7F-1F507600975F}</author>
    <author>tc={FDA1B4D9-6FF2-4188-9B75-20DAE2DFF20E}</author>
    <author>tc={F3061C50-76BA-421F-8121-81E0574D41E2}</author>
    <author>tc={53E8261C-F563-4C9E-9372-D44942921AE9}</author>
    <author>tc={FDC7B628-BC6F-411E-AAB3-BCE3993C0E4C}</author>
    <author>tc={F4B18FAF-6DD5-471A-8121-EBA8C329EE16}</author>
    <author>tc={D2BC5580-5CB5-43E9-BDED-24AC415E2C97}</author>
    <author>tc={01EC69E6-2BA8-4F61-A0D3-C97237A59987}</author>
    <author>tc={70E8E8B7-D18F-47E2-9867-E1DE63C31FC8}</author>
    <author>tc={5CCA8B2C-B767-4D9A-9289-477CDEBBB8AF}</author>
    <author>tc={D81867B0-7595-4EF5-9F07-798AF72E3AEC}</author>
    <author>tc={11DE59F3-2DD1-41DF-8E4A-3898A7C26269}</author>
    <author>tc={3B6096B4-F50E-48F3-B08C-84A649D5D085}</author>
    <author>tc={DFF1686E-363A-49A2-B455-0B76124D3D05}</author>
    <author>tc={D9A87091-566C-480C-81B7-8DE3FB7454B4}</author>
    <author>tc={E96BCAB1-1A8F-4523-BAD4-EA45FD3C71D3}</author>
    <author>tc={0076683F-63EF-48E9-B895-B6B8E3211A91}</author>
    <author>tc={5DB727B5-8ADE-479B-BF47-5EFAF8E681D2}</author>
    <author>tc={C9E675D8-D57A-45DA-A16D-7F5006927792}</author>
    <author>tc={014B262F-0F1C-40F5-9F50-C53F71D00B74}</author>
    <author>tc={A16B26CE-0C68-4292-95DF-65626D235EF4}</author>
    <author>tc={7D519BBF-D776-4F87-939C-143AD79D8533}</author>
    <author>tc={7972F756-CB34-462C-8105-47DA31970D43}</author>
    <author>tc={133E693B-CB83-4B7B-8B60-C0248232CC51}</author>
    <author>tc={FE66A0F5-0B5D-47CF-B491-9F17D387383E}</author>
    <author>tc={62FFE5CC-19BA-4C2E-AA69-D9D56153BB1F}</author>
    <author>tc={5A41DAE5-A71C-42EB-BB23-6FCB206B9A33}</author>
    <author>tc={404405E8-1FCC-435A-95E9-B1A033256C23}</author>
    <author>tc={23871ADD-8F6F-461F-A626-A3A5135C4956}</author>
    <author>tc={2C5FE1A1-2247-4937-A24A-4C86923953DA}</author>
    <author>tc={C45BAAD9-4456-43A2-AA28-C92E627C9DE9}</author>
    <author>tc={3E5776E2-A70D-46CE-AA98-A947430A2CC3}</author>
    <author>tc={95AD14FB-CDB9-4C86-96C2-0ECE0FC5BEB0}</author>
    <author>tc={3139FFB5-C054-41A8-B67F-96451A928B41}</author>
    <author>tc={7CF9336A-CAF9-4C54-AC8A-F035BAD8095F}</author>
    <author>tc={83B2809A-A3A0-4497-8D18-F69AD7ECC3A0}</author>
    <author>tc={DAFCE64F-2DBC-436D-99E6-E54F57001CCC}</author>
    <author>tc={A5B2E866-FC09-4293-93D9-F1FF59D8D053}</author>
    <author>tc={E1AB2E17-B890-4A5B-8622-67E26FEA11C6}</author>
    <author>tc={56BFFCF7-78C9-439A-9C14-B51D566A5D4B}</author>
    <author>tc={AA89D851-9F86-46C9-9057-659CB6265ABE}</author>
    <author>tc={65C00B76-CEFE-4411-97EB-BC0488314F8E}</author>
    <author>tc={35C8689C-39FB-424F-9F0E-8A10DE856AEC}</author>
    <author>tc={9E5E6CF9-2860-4D17-A30C-A38CB0A0699C}</author>
    <author>tc={80FA3B34-F980-4B77-8B44-0504FF1574FC}</author>
    <author>tc={BC2B1DD9-A095-4102-8D0E-80CA6AFC29A8}</author>
    <author>tc={0B9B34B1-E352-42DD-8680-C6919930E46A}</author>
    <author>tc={07B6C628-720A-4304-A60F-3294D6D3E02D}</author>
    <author>tc={DEAA03E8-5847-43BA-B846-E04027E2B29F}</author>
    <author>tc={590A20EB-AD95-41D2-AE7D-8761B0D659D5}</author>
    <author>tc={C3EBC4CE-FFB9-4B85-B1CB-ABA9840267E0}</author>
    <author>tc={349F9EA1-29ED-4ED7-8C06-86497A06669C}</author>
    <author>tc={61B07038-F97A-4A36-815B-29DF6E75C7F2}</author>
    <author>tc={115DDF5F-5786-4AD7-9AAC-60A56A3C2086}</author>
    <author>tc={527BE84A-8263-46A1-8653-19F76B866016}</author>
    <author>tc={29B31A64-DA34-4C4C-AEEA-B55B49CBC320}</author>
    <author>tc={8CBC7E58-7DE6-4CCA-8383-6F1D132F32D3}</author>
    <author>tc={2B027EEB-053A-413B-B386-86D3854B9DBA}</author>
    <author>tc={CDC37339-7797-408B-B4E0-D8DBCB6F88F1}</author>
    <author>tc={8CA57C99-E790-4CEC-BDD6-8260BF4FCE02}</author>
    <author>tc={91239C5A-C718-49BC-80D1-4864B1EC95E2}</author>
    <author>tc={6C845819-D02E-4A62-A828-72469A1C7D43}</author>
    <author>tc={C6510092-9B91-456C-8976-86CA9A286DEF}</author>
    <author>tc={6C47E329-657F-4DD6-B95A-6BC893255D68}</author>
    <author>tc={6ED69961-ABB1-4F36-9F10-C838D0DB4957}</author>
    <author>tc={C83D48B5-D446-493A-9A77-C33393DAECDA}</author>
    <author>tc={CECDB2DF-016D-444F-B939-E8919E237D1F}</author>
    <author>tc={47ED71D5-48EA-4E1C-A522-2DD1098EDD9D}</author>
    <author>tc={33BA4020-8BEE-4502-AA5A-A40B191670C3}</author>
    <author>tc={8BF0BBEB-03C2-44B1-BFCA-64C03E05905F}</author>
    <author>tc={2FB1B6CD-8688-4CC4-B5D1-7270A996ED85}</author>
    <author>tc={AC159F0A-14FE-47F5-A25E-C4BF036EA421}</author>
    <author>tc={6BA92846-3EE7-4026-AA6F-2D1053579B05}</author>
    <author>tc={DE065F2D-7549-43FE-BC1E-0271DB754BB0}</author>
    <author>tc={141AE0A5-F417-4765-967A-1190CD4AFAC4}</author>
    <author>tc={575CBE83-05AD-45EF-A74F-DF2F975B9473}</author>
    <author>tc={F9D83F7C-D24E-4E54-B85F-DA951FF466AA}</author>
    <author>tc={2E38C9B3-7F81-4E0D-8648-1C963B93E8B5}</author>
    <author>tc={419EC6F9-3AF6-45DB-8C28-43CECA2A8B4C}</author>
    <author>tc={5CB10710-0C13-4874-B9B5-82C2FE2A7DC3}</author>
    <author>tc={CABD0A27-A810-429E-B5D9-9E07E08FA9FE}</author>
    <author>tc={B6C2965D-6497-4421-BC0B-C890CBACBB6E}</author>
    <author>tc={D18AC135-0C59-4DA6-8974-5944A6B2CF37}</author>
    <author>tc={616BC7B3-8437-4486-8BE9-3C9E3CB80CCF}</author>
    <author>tc={61DA0187-D88B-4F30-B162-82A6CF9C055D}</author>
    <author>tc={097AA18E-1006-41A0-A01B-EE019A5B0527}</author>
    <author>tc={9216D34B-5F94-4BFC-A3AA-5FBFF2A4DC05}</author>
    <author>tc={7077C06F-5DF4-4AD6-A6B8-E8864F1E64BC}</author>
    <author>tc={2289C2C8-B19E-4F54-87F9-EC9237BC1421}</author>
    <author>tc={327C5B19-B53E-41C7-A0E1-7CAD0E9ECAC4}</author>
    <author>tc={39276669-2CD9-4292-ABF8-DBEA71E6E418}</author>
    <author>tc={589FBB2A-5589-4B49-A547-03873DF88B0A}</author>
    <author>tc={F7890BFD-BDA2-4D55-AE75-95DE8F078A3C}</author>
    <author>tc={60EE8898-6DDF-4C35-8D4C-F1BE41D2FEBE}</author>
    <author>tc={C084BFEE-3233-42BB-AFDC-87919A05C250}</author>
    <author>tc={921ECFF5-8DF5-42D7-9776-028D502C8C13}</author>
    <author>tc={C5D98708-C566-49D5-BAFA-31EB4F59BA11}</author>
    <author>tc={7EDFFAD9-008E-4779-8ACF-95D3D20ED21C}</author>
    <author>tc={C7480EDB-0D90-4C1D-99C4-0098B4E18404}</author>
    <author>tc={7CE00C37-64CE-4A46-9500-7BCB55EA4F63}</author>
    <author>tc={67AA80AA-5558-4966-A714-F37018FAC12B}</author>
    <author>tc={0BA81D8F-D821-4B97-B019-0EB7FEA61A0F}</author>
    <author>tc={35A29881-6A2B-401A-82E6-93F2AC34127B}</author>
    <author>tc={EEC954B3-5899-4132-B588-C652D495BCFA}</author>
    <author>tc={5DAD5FFD-0EF3-4E8F-8811-D2F3C8CE4503}</author>
    <author>tc={33416DB9-08D3-42E2-94C2-E42AB895C6D1}</author>
    <author>tc={0D775C6F-2DA8-4B3B-82F5-F83B9B9828E4}</author>
    <author>tc={1721DA29-722F-47B6-9085-5E0B0962D434}</author>
    <author>tc={251174FF-D5B3-468C-9C40-CF2AAD90F546}</author>
    <author>tc={7FA97961-496C-4AF1-ADAD-B09EF78A21A2}</author>
    <author>tc={DB1E2E83-F022-41A5-91FE-55D0021121CC}</author>
    <author>tc={7C87F253-A516-4B43-99EA-95AA20D77B15}</author>
    <author>tc={522D83A6-9310-49B0-AEF8-2F9F91DEFCBE}</author>
    <author>tc={16DD129B-DB5E-404F-BDE6-CA38979B03A0}</author>
    <author>tc={346B7C20-CCE1-44FD-8C07-DA1FAAB9C6E7}</author>
    <author>tc={4F3EB052-2CE9-482C-9EC8-B5202BBB6A95}</author>
    <author>tc={F44357C4-6F5A-41CD-A9CC-241DFEDBF5CE}</author>
    <author>tc={533CAD49-C4DC-4B02-9DCC-751C843038A6}</author>
    <author>tc={0B797C82-39D7-4BFB-8481-50533371CF26}</author>
    <author>tc={0684BA3B-2FB8-4BC5-A93D-847540D116D8}</author>
    <author>tc={1EB66DF9-E926-4186-99BD-CE36318425AE}</author>
    <author>tc={BAE0DE1D-2D8E-49B2-B427-D888CA14A539}</author>
    <author>tc={532E204F-7043-49AE-A9BF-DB3B71671A8E}</author>
    <author>tc={41C65399-9D5B-4A13-A42E-42D93BB4C1B4}</author>
    <author>tc={2F81BE60-ECA3-4EA5-A388-481D43B7DE71}</author>
    <author>tc={22989F3C-E920-4248-817D-34C511BE3914}</author>
    <author>tc={CF840C0F-0C62-4B57-B9CD-5D251825A450}</author>
    <author>tc={A2B028B4-2D1B-4348-9A79-F88CAEDA7620}</author>
    <author>tc={80893E38-CC44-4577-B273-277C4551306B}</author>
    <author>tc={0DB56EC3-8BD3-4F1F-A04E-6C0CC88138F0}</author>
    <author>tc={F05BB37F-5CBE-47E0-8E5A-7CD874E64EE4}</author>
    <author>tc={7453AECE-F36B-4FB8-ADD5-D37FB9D70C12}</author>
    <author>tc={5580CAC2-3BB4-40DA-815F-6F60D0C382AB}</author>
    <author>tc={95295784-98E4-421D-AB93-A7FCD4F40BDD}</author>
    <author>tc={063068E1-9A63-419D-9BAC-B92A5B546260}</author>
    <author>tc={44EC09D8-9D7C-4DBB-8A9D-57C4742139CA}</author>
    <author>tc={C80437B8-9F02-4B57-9136-4B38AF38E4C0}</author>
    <author>tc={FBD44086-1D35-4B42-A8C4-D12CE2AE66A7}</author>
    <author>tc={DF00347F-C64E-41ED-B7B4-50EC64E41F37}</author>
    <author>tc={F2C23187-4E96-4AA5-8C6F-F0FCA8139023}</author>
    <author>tc={D49BA014-7807-4CD7-9BBA-7A3A3ED2C3F0}</author>
    <author>tc={735CF6FA-997B-4FAE-A091-7BF92B08A6A8}</author>
    <author>tc={19464C7D-A3D7-4D5D-A196-BFFADAF9C199}</author>
    <author>tc={072E9AFF-3061-4007-B923-D9700273953E}</author>
    <author>tc={B4719446-DC35-4099-9202-B52E5BAAC781}</author>
    <author>tc={AD0C0D78-B976-4A33-BD16-363D6B8A879F}</author>
    <author>tc={D51DF7D5-0633-4703-937C-5BE00F3DD93B}</author>
    <author>tc={388AA35B-C803-4970-9694-495DD637BBAE}</author>
    <author>tc={331A910B-B81E-46AB-AFBB-23D3A324B0BE}</author>
    <author>tc={077A71CF-D833-48A9-8963-C44EBBA8AD99}</author>
    <author>tc={28AEC18D-5A75-4DE7-A9A3-66AA316F99DF}</author>
    <author>tc={83E8A8A3-92B1-4FE0-B38A-998ACB21426A}</author>
    <author>tc={8F5F9453-DD6A-441D-BD2E-DC34EDEDCF02}</author>
    <author>tc={287861FD-F6DE-4B0E-800B-5058AE8B219C}</author>
    <author>tc={0F7535DF-5C0A-4DF9-9794-685CEB253B10}</author>
    <author>tc={313C8074-7C80-43FB-9C80-EA0AED1B703D}</author>
    <author>tc={2CC14D4F-5C7E-48B1-8E5F-06D40C69A231}</author>
    <author>tc={04315BFD-C010-45FE-9F1E-9ACD51AAC4BA}</author>
    <author>tc={37AB765A-CBBE-45ED-921A-2956B1A41F53}</author>
    <author>tc={9ED3852E-0B93-4CFF-8B90-FAB506703905}</author>
    <author>tc={BD5981C4-69F2-49A4-91C0-06D21F0CD053}</author>
    <author>tc={9694CA73-A927-437F-BCCB-9F6DBE4AD6E9}</author>
    <author>tc={E4F39DDE-377B-4757-976B-FA99539ED925}</author>
    <author>tc={B5C5D522-76E2-4F7D-9922-3701574E4C9F}</author>
    <author>tc={F3BB8C47-B2EC-48FF-BCFA-AAE836AB502C}</author>
    <author>tc={67FA8592-9861-4C0E-B8C8-A5485A35805A}</author>
    <author>tc={8F64CE66-6812-4EFE-B80A-3B7515433A25}</author>
    <author>tc={0E408BEA-0EBA-442E-A7E8-C80EBC0C1745}</author>
    <author>tc={8E90220F-7CF6-4E93-8E60-0A4B718C436D}</author>
    <author>tc={2406DA50-9454-4716-AB9B-986245E63204}</author>
    <author>tc={A0FD1DE9-F08D-4B8E-938D-C92E50483983}</author>
    <author>tc={56575CFC-B6B6-4B83-940B-AE1196276DC3}</author>
    <author>tc={D88663C9-69EB-42C4-A589-333A046B899D}</author>
    <author>tc={E5CBF8E4-7C72-42CD-A772-34898306F903}</author>
    <author>tc={04E82767-AD09-4076-9A31-7C325781E3A8}</author>
    <author>tc={6F9DD42F-0B95-4A27-A99A-F3BB59134312}</author>
    <author>tc={D76F0095-3023-468B-80D4-57DF42AF7109}</author>
    <author>tc={78A5748A-40E2-4AA3-8327-7035F00D1295}</author>
    <author>tc={49D6164E-CDE6-4DAE-8055-9FF69099E48E}</author>
    <author>tc={2CD97832-B2D9-4926-988C-F57DFA32C827}</author>
    <author>tc={4D9B3C51-7265-4F39-B524-FA4E2BF55C21}</author>
    <author>tc={16F4E336-1B1B-4814-AA3F-C1ACD000C2AC}</author>
    <author>tc={E46C7E8E-6EA5-4B50-9A24-F7132FEB1E84}</author>
    <author>tc={3CE29C22-858F-4E12-8C34-FDC6E59D92EB}</author>
    <author>tc={C1D47264-8B55-48CE-8F7F-1888805BE75E}</author>
    <author>tc={66E0876B-97D4-4AE8-9C78-1BE7A3142C81}</author>
    <author>tc={51DA2C44-EA40-467D-931B-BE8501932414}</author>
    <author>tc={72618822-808D-4F80-A6CF-B20FAE2A8A8B}</author>
    <author>tc={26D10400-B1CC-4D74-B715-01775CC732EE}</author>
    <author>tc={F58DC6AA-64F2-4484-9956-C06A024ADD5B}</author>
    <author>tc={ED39EB0E-6A3E-4C53-8D20-CE02C8E1FEB0}</author>
    <author>tc={6777A481-721F-44D3-8FFD-C68610643DF5}</author>
    <author>tc={EDA25C02-C0B1-4F89-A3CB-6B47526F4756}</author>
    <author>tc={94236363-C7CC-4BD6-9C6D-C1A1770AD785}</author>
    <author>tc={8E318C82-3ECA-46FB-A45A-0400AFE78849}</author>
    <author>tc={641BC47D-B1A1-44C8-91EA-E14F529F8033}</author>
    <author>tc={33CB43FD-DC3B-49A2-A6CD-FEB4FB7443E8}</author>
    <author>tc={244A1828-DD90-4CAF-86F5-DCA7E6F8DABA}</author>
    <author>tc={EC49B29D-E42D-4713-812E-B8AEE117F201}</author>
    <author>tc={AE50BB1F-603A-4770-8A19-171897EF216C}</author>
    <author>tc={CA61CE32-F1B6-4CB6-B9A3-A9AE51C39DCB}</author>
    <author>tc={0B2E4682-5BD7-42F7-8E43-D75190860942}</author>
    <author>tc={E21BB721-9796-438C-95FC-9ED6F1223713}</author>
    <author>tc={B3C22212-C669-4375-B2A8-75B7927C71C3}</author>
    <author>tc={ACD86DBC-01F0-4D9B-AF52-E765EF1BDD4D}</author>
    <author>tc={D20031E8-3B85-4841-9A55-64376ACC6323}</author>
    <author>tc={7EEEE07F-9F3C-4822-B7BB-851C0EF4017A}</author>
    <author>tc={AB7568AF-9368-4E9D-9C41-F4E4CE2F58D8}</author>
    <author>tc={E49DDE7E-B887-4DD1-AA01-94CD4365EBDF}</author>
    <author>tc={8FB80C4E-BD78-4D20-ACF1-E6523FB26FF4}</author>
    <author>tc={02F54B46-7A4B-446B-9039-2D7253C85A5F}</author>
    <author>tc={36C0AF0D-233B-477F-BC78-0115310690DE}</author>
    <author>tc={958E6D79-953E-46DB-8C34-ADDB161E3923}</author>
    <author>tc={54317230-3D49-474C-ADFD-6BC0981AC7EE}</author>
    <author>tc={87D5833F-CC21-4D1B-9B36-F561AE1FC623}</author>
    <author>tc={A8A3A79A-63F1-43B8-A7F2-4B96C79EC64A}</author>
    <author>tc={6C78E210-34A2-48C0-A6BD-6B7A68C0F027}</author>
    <author>tc={D51646DD-FAFB-441A-8BB2-69442E2AE132}</author>
    <author>tc={A6F05874-FB9D-45F5-860A-35DE68B62151}</author>
    <author>tc={A32A7D78-A918-498E-86D4-876F191BF764}</author>
    <author>tc={686A0C0F-E002-4841-A883-4E0C14BF1E76}</author>
    <author>tc={2F74E27E-6FC2-4ADD-8623-7B2657E78AB4}</author>
    <author>tc={8D1FBA96-74BB-4DE6-BFA0-54235D846C32}</author>
    <author>tc={0C55249B-D313-4504-BC3E-2788AF9DE5E0}</author>
    <author>tc={51A417AC-1E91-4408-AC1D-D501F3C38406}</author>
    <author>tc={D568997C-5DDA-493E-88B4-41CAF2E06A74}</author>
    <author>tc={2A95B3A7-A673-4978-B23C-AED7E276572B}</author>
    <author>tc={EE902662-0AB3-4FC7-91BB-4EEC03B5AC97}</author>
    <author>tc={FEFD02A1-79E3-42F0-86FB-C470C6BDAC0F}</author>
    <author>tc={CBBCC90B-EF67-4003-AE92-15B1A460A0DB}</author>
    <author>tc={0EE466EA-41BC-4EFB-89EC-D96454308C71}</author>
    <author>tc={FCCE3344-FE22-4CF1-B95A-24F9D677AD44}</author>
    <author>tc={143F2E3C-0E80-42D2-B21E-1BD85A82A848}</author>
    <author>tc={48967875-5190-45A1-AFBB-4D2D9ABA49F4}</author>
    <author>tc={6CD071CF-2F43-4A0D-A02A-AACFD4DADA39}</author>
    <author>tc={5703A738-BD7B-41F6-A0A0-238B5FD13BAB}</author>
    <author>tc={9D8A0A20-B119-47A8-8E7D-9B26D028A026}</author>
    <author>tc={3807F40A-E784-40E8-8BA3-A1D19CBB5E4D}</author>
    <author>tc={E0207894-1ACC-4A26-86E8-395226B4F3C0}</author>
    <author>tc={A1626E88-2586-499F-B141-D7E6039B05E4}</author>
    <author>tc={F64D4866-AB02-4A91-93E0-DB694EBB113F}</author>
    <author>tc={FB391210-4FB3-4C22-B0C3-ABA5D1A4511D}</author>
    <author>tc={48ACFB1B-F75A-447F-8DC4-B3E564552AE1}</author>
    <author>tc={197ECE57-76E6-4DBB-9C81-F66FB70E2B96}</author>
    <author>tc={A67976CD-303C-4EB0-A815-B5E83F6D20DB}</author>
    <author>tc={5129B481-8861-4AF7-8B1F-810E482E494E}</author>
    <author>tc={35155219-0BC8-4C94-9E05-3856829BE363}</author>
    <author>tc={801BAFFF-6F3B-41E2-A271-E0ED2DAE1D40}</author>
    <author>tc={D1434016-7664-426E-AFF8-5C58707F7F1D}</author>
    <author>tc={BEF9139D-8B7F-4EC2-9AB9-281B29F2D5A7}</author>
    <author>tc={D915D430-163F-4440-B538-99BEBBE712B8}</author>
    <author>tc={B58A3ED8-A7C5-462F-96C2-3A86BD01FCAE}</author>
    <author>tc={0A09473A-3088-48D6-BBB0-0730538E0A51}</author>
    <author>tc={3211B298-5DB4-4084-BF61-A3015C503FB9}</author>
    <author>tc={3BAA5F60-552C-40DE-83C1-A758E9440C17}</author>
    <author>tc={544B0944-3159-4E15-BF03-50295C12AE4B}</author>
    <author>tc={DC123FF3-5E56-47E7-BD68-EE5650A0BB9E}</author>
    <author>tc={8E5FFA60-3F80-40D8-B1EF-BE3A36A3B200}</author>
    <author>tc={F434ADED-36B3-41ED-845D-F3826D07A7B4}</author>
    <author>tc={9E439A54-710E-4EB3-8351-5620EAAEBB1F}</author>
    <author>tc={99949B66-54F0-40C4-87DC-FD8045E2D5BD}</author>
    <author>tc={B95B927B-475B-433E-8CC3-38C8BF71DD98}</author>
    <author>tc={C73D5E7E-81EB-4920-BA50-62DD1C0E2107}</author>
    <author>tc={5F0ECF28-EAFA-4503-B4D2-107367DE21FA}</author>
    <author>tc={4005EABE-3677-4C81-994B-54172016184B}</author>
    <author>tc={A87CD128-BCB2-4A18-B3E6-86559305DB90}</author>
    <author>tc={63F5F811-8616-4907-9532-38C30860AF33}</author>
    <author>tc={C610C6E2-91A9-4032-B1A8-E9507C3F9937}</author>
    <author>tc={88DCC8F2-E3C7-430F-8CE0-F0CB032EBA52}</author>
    <author>tc={67DD21B0-EAE7-436F-8538-8E1786B4AD24}</author>
    <author>tc={F44CFC80-297C-4CE4-A8DA-270AA41BE605}</author>
    <author>tc={47D9C644-DF62-4940-A54D-99DF4032A7EA}</author>
    <author>tc={F3E73150-FB06-4BAE-A2F8-0CEA292BC64A}</author>
    <author>tc={A6C09476-76A0-4468-ABDD-2A1875FD169A}</author>
    <author>tc={41256EF4-619E-46B8-BD51-A65779404EED}</author>
    <author>tc={31FAAA94-6D20-4E56-9078-85BA8C035169}</author>
    <author>tc={C1A06E73-E539-4047-A324-0EF3C7ED5B65}</author>
    <author>tc={79A96522-786B-4B68-BB3A-B11736DE23C3}</author>
    <author>tc={D6C30FA2-1474-4FF8-8593-F522EB5C1D28}</author>
    <author>tc={565EB559-092B-443E-9EAC-9140D1DE0A13}</author>
    <author>tc={B7D58ECA-A7C6-4C17-B6D1-70EAF36434A8}</author>
    <author>tc={DD7EC10C-D2D7-4BE2-BD20-E08F17B7DB20}</author>
    <author>tc={ED358A74-E4FE-4CA4-9CBB-8FC0DDF692B0}</author>
    <author>tc={4F430759-7C39-4642-A879-96A6E28D7A75}</author>
    <author>tc={FA1137DB-41BE-4C9C-A4E9-4DAED0EB192F}</author>
    <author>tc={C5D96D4E-F4B7-4F22-BD11-08A08A7E3841}</author>
    <author>tc={A40BE8A7-FBE8-4865-AA1D-DC2D2DFDBA15}</author>
    <author>tc={6B646ABC-A984-4185-B5B4-338388EEE9F2}</author>
    <author>tc={1DDFFBC8-DAC1-4E9A-B957-4C7B92CF720D}</author>
    <author>tc={23DB9216-0FE4-438C-8DD9-DD2B5742F3D6}</author>
    <author>tc={6C52F66A-2472-491E-BF69-445B4AC05197}</author>
    <author>tc={E610FBA0-8FD1-4E58-8EA7-09E20688AFE8}</author>
    <author>tc={90EB6B2E-D914-4C43-A947-791271BA4ED3}</author>
    <author>tc={45715ED5-C2E7-4389-982B-7B7BD378FADB}</author>
    <author>tc={62BAAF28-F3F1-440F-AB91-4F4ECDC936F8}</author>
    <author>tc={87D2B0CC-6784-463E-8E89-DA1323A60A37}</author>
    <author>tc={F93B64AC-DB7E-4C78-92F0-F5FD69AE1273}</author>
    <author>tc={BD8BB8BE-F285-4F45-900A-E9271F864ADB}</author>
    <author>tc={2BC7944B-6032-4FC6-BD97-62B842A522E8}</author>
    <author>tc={35771493-D365-4711-AE6F-B601B2633D87}</author>
    <author>tc={C24EC100-FE66-4A64-849B-3A92AFCA98F1}</author>
    <author>tc={E5912C10-1238-40F7-B5BC-F06840CB337D}</author>
    <author>tc={D31C2835-D0C2-44A8-9A60-A89E29E74DFC}</author>
    <author>tc={5C6CF03F-6635-4BF0-8A0D-9C87CA715A42}</author>
    <author>tc={6892115A-E358-47FF-AA44-2E269CC2BC3A}</author>
    <author>tc={3F7FBD6F-D5AB-4841-B008-23E3D9D120BD}</author>
    <author>tc={1FB9B9BD-4B2F-433F-999E-74E5D630E0C0}</author>
    <author>tc={F2699BC7-CAE7-4AE1-8E4D-060F24AAD4DA}</author>
    <author>tc={252D05F0-7320-48EB-81E1-B704A8AA2AE1}</author>
    <author>tc={597F892B-11CA-4682-8680-1F8CCCF19827}</author>
    <author>tc={2C5360C7-251B-4721-AD11-5D2ECD5CF73F}</author>
    <author>tc={A3B7F58F-593F-45F5-8C58-03508E5FD4F5}</author>
    <author>tc={B414F994-06DE-434B-B751-A34CFC6D4D27}</author>
    <author>tc={CC5A95FE-C722-4290-B664-EF4999B7ECF1}</author>
    <author>tc={BF323B93-432D-4D8D-9BC0-B6B3E906B5A0}</author>
    <author>tc={FC30E178-B090-4260-80E5-D997A882F22F}</author>
    <author>tc={5828E670-AD63-47DF-A4DD-F4A9EB8EEAE6}</author>
    <author>tc={93DBEB74-C102-46C5-ADFD-27CC824C79C0}</author>
    <author>tc={614ADD63-5BE1-4B9A-9B5D-35B113F59556}</author>
    <author>tc={B4357532-47F4-437B-8936-E29A2B89F57D}</author>
    <author>tc={582BB8B1-F673-4F55-A1F2-76A3D5DB4AD9}</author>
    <author>tc={C6E04B43-40E6-48E3-AC8F-E13C41620B6C}</author>
    <author>tc={A268F96B-2992-4B97-B957-4A3DD5E3701C}</author>
    <author>tc={9B4FED4F-5791-4821-8E3C-1CA0B6368BD6}</author>
    <author>tc={E39AF8FC-EC78-4980-80F4-9F32A18288B1}</author>
    <author>tc={A2F2A992-7380-407D-9F9C-916897A2B958}</author>
    <author>tc={63B07DE7-8DEB-4E2B-B864-6286877DC532}</author>
    <author>tc={266599C8-A9FB-4618-BFE9-4387FA4E66BE}</author>
    <author>tc={3E6818AD-5A01-4A72-99B1-F910AA08D234}</author>
    <author>tc={09CA1BDB-741B-4DE9-9561-DBFBF52610FF}</author>
    <author>tc={923E0860-B8E9-40B5-BCDC-E92CA1ADD469}</author>
    <author>tc={99F0BE0E-10C2-43EE-BBAB-BB003527FFA2}</author>
    <author>tc={0E8360E9-3C00-4EDC-8643-BE68323A93EA}</author>
    <author>tc={60CE0A9C-B546-40CD-A173-74AF4ED2446D}</author>
    <author>tc={B23959F5-AC9A-4358-B11D-D6ADEED61C80}</author>
    <author>tc={10010C62-3F49-4973-9F31-B3B6587A3C48}</author>
    <author>tc={FF3C3E3F-DF9E-44B3-A6DF-5DDCB14B6A6E}</author>
    <author>tc={ECB80A19-6288-4C4C-A696-84AF808DB27B}</author>
    <author>tc={E2DD0DE5-024A-464C-9FE2-D187CE8F6C2D}</author>
    <author>tc={81718712-1862-42AA-BDAA-634D25BC338F}</author>
    <author>tc={2EE8A242-E32F-4C1C-BF63-74C2897E7C5D}</author>
    <author>tc={159A4CB5-B78B-4E13-A485-401641E6BC87}</author>
    <author>tc={E15388B1-9C93-4C12-A222-4748683D9DD2}</author>
    <author>tc={634D0218-AD1D-458F-84F9-AF7803846FEE}</author>
    <author>tc={682175AA-6998-4935-9870-60112D931ED4}</author>
    <author>tc={4FDABFFF-248E-49F4-9CFC-FB7E204F747E}</author>
    <author>tc={6BE4079A-07AD-463B-9267-59AEF4BE16F3}</author>
    <author>tc={7232E170-1511-4867-BCE8-69B01AD58478}</author>
    <author>tc={69F15657-133B-43DB-B467-DC0A915F77E0}</author>
    <author>tc={CC337E45-0312-4963-838F-A5FE2928926F}</author>
    <author>tc={6AAFDEE9-8ACF-4D28-816C-C32EBBCBB992}</author>
    <author>tc={B1D6FA4C-D242-456F-A6E4-3D369AE4ED93}</author>
    <author>tc={32D410FB-737C-4E86-9D63-4E66FAC94E81}</author>
    <author>tc={06BA720A-B986-4DB8-95DE-5C5531565CF4}</author>
    <author>tc={F97DDEE6-84E3-41B6-ACA4-4BA97D449138}</author>
    <author>tc={FC937FC7-0D71-4B0F-A5A6-8E93AD214B50}</author>
    <author>tc={BE80736E-DCC0-4AF8-9C17-DF99E9D379BA}</author>
    <author>tc={E1DF5E63-6BF9-4622-BF26-7A91D1F3A613}</author>
    <author>tc={0F3692B3-A7B9-4AE9-B851-E417C14441FE}</author>
    <author>tc={94012305-CA78-4596-AFB8-FD0EBDE82B79}</author>
    <author>tc={DC404A47-64FA-4A9C-A133-81F25788CE19}</author>
    <author>tc={8EB2846D-BC18-483D-9CB4-2222187678B8}</author>
    <author>tc={555FB30F-E5C7-4E1C-97AA-952A806A6130}</author>
    <author>tc={63459E5C-A3C2-46E7-890F-7563A8AD6C33}</author>
    <author>tc={28FE8AD0-6987-4807-B82F-93CF86B943E6}</author>
    <author>tc={094287E1-58A7-49E3-8EDD-060BBEB0B3EC}</author>
    <author>tc={9FFCBF70-2DAD-4B5F-ADE3-1E9C55986ABF}</author>
    <author>tc={1D4BE8B7-A5ED-42D7-B150-165DEB4D99E7}</author>
    <author>tc={ECB0C6CB-80A9-4306-90F9-FB54CB3FC8C6}</author>
    <author>tc={89E77589-FA0A-4C02-B14B-56696F02CC0A}</author>
    <author>tc={76559D8C-36D2-41C0-944E-2B3779D5B67A}</author>
    <author>tc={2C661F4E-6FEA-4C61-8176-06AE547AB8B6}</author>
    <author>tc={F5E08D2C-5434-424D-A810-41408B5BC806}</author>
    <author>tc={A1F6E481-73A2-44D9-861B-4C5A9F26E3EF}</author>
    <author>tc={57AF68BF-24BE-4654-B08E-990D552DCBB1}</author>
    <author>tc={9242ACF4-2FAF-44C2-9B3F-9CD1D19F2183}</author>
    <author>tc={B5617969-5F71-408A-8E7E-DA44C6E59659}</author>
    <author>tc={4006D595-72A7-48DE-AE16-0F965A95384F}</author>
    <author>tc={DEB721D3-AB8A-425C-9602-8C5947DD577D}</author>
    <author>tc={BAD417C5-79E7-4B4E-80D0-A2978EE9B9D8}</author>
    <author>tc={670184EC-FA17-4B0D-89AD-13008A60DC05}</author>
    <author>tc={02D60A7C-B7DF-4409-8A4B-8517B742E805}</author>
    <author>tc={1220D8D3-D6F7-49F5-97CC-79530AFCF530}</author>
    <author>tc={CC9D5F14-FE23-4142-9F04-5F12D013A780}</author>
    <author>tc={838F5ABA-7257-4D17-9578-0C4D0D25A0A6}</author>
    <author>tc={1E596949-F40C-4963-9707-03C0EB767EC5}</author>
    <author>tc={D229E356-DAFF-4D0D-B892-AFEC9981DDCB}</author>
    <author>tc={9B056E43-6985-45C4-B9A4-B9768F7CF687}</author>
    <author>tc={75E3EE53-3139-45C2-89FF-A158BA25AF41}</author>
    <author>tc={7B63BBA3-1C40-4E56-A68E-5ABE9F4DDD9D}</author>
    <author>tc={787A5A54-3D1E-4D8E-B239-6DA54E4E9C89}</author>
    <author>tc={4844F365-A96C-479A-84B3-2800B5B51006}</author>
    <author>tc={2B408719-4027-4C7E-A6DD-B2B45549FFFE}</author>
    <author>tc={0B26EF4C-D81C-4AD4-864D-11F4CEF40550}</author>
    <author>tc={C2F9045D-CC44-4699-BD28-3A04AC8A52FC}</author>
    <author>tc={323F1BF4-07BA-489E-AE22-790DE3C83AEF}</author>
    <author>tc={0CE67574-DE6F-471A-9C88-B6A8D6B0C89B}</author>
    <author>tc={FC40620C-FA82-4089-B4C4-C3FD0F605F91}</author>
    <author>tc={D0488901-C239-4A22-A01E-DAD6DA906157}</author>
    <author>tc={7BB1192A-E406-4CDE-ADE2-AD563141B41F}</author>
    <author>tc={55062746-BA23-4994-968B-8B9C1AAE265B}</author>
    <author>tc={672E5DB6-DCF0-422D-9958-3C82D87B3D10}</author>
    <author>tc={F7798AC8-D924-4811-9A61-CB8B9D855067}</author>
    <author>tc={8E84DA90-A552-425D-A32E-4684EA57207F}</author>
    <author>tc={5CA51126-E085-4F99-8D63-481DA79BD1E7}</author>
    <author>tc={37C1ABE9-E69D-452C-9D58-0649819510FE}</author>
    <author>tc={FA69C043-E56B-4B5E-84FE-3238FD2AFCDF}</author>
    <author>tc={635D02BB-8AAA-46F5-AFC1-0EC1D3DA7FFC}</author>
    <author>tc={55D7B563-B429-4307-9B00-C13597B3F334}</author>
    <author>tc={51825BB6-93EF-4C82-B860-BF3543A175A4}</author>
    <author>tc={AA801D5A-4B21-4AF4-9CED-B09B0B1BAD0B}</author>
    <author>tc={0C22E29D-9F1A-42CB-AB8E-C05E45A8862B}</author>
    <author>tc={04723986-4FAA-4BD8-9D1F-1113E9657978}</author>
    <author>tc={772ED78A-9C2F-43BE-A9A3-036B8DBB17FD}</author>
    <author>tc={FDB8E592-11DC-4EE8-9090-63CE5A41758D}</author>
    <author>tc={564C3DBE-D2CF-48E0-8E48-D3B10F5FCE6C}</author>
    <author>tc={70B8F752-221A-405E-ADB2-B27AFADC3339}</author>
    <author>tc={7E685A4F-129F-4C4D-8268-E15C33B2FAA2}</author>
    <author>tc={EA075DE3-E769-4754-90D2-1C89AB8FFF49}</author>
    <author>tc={38BA9402-B562-465F-8329-A429CEEAB4D8}</author>
    <author>tc={CF136D49-3395-47D5-8AF3-D3404DDCC4D3}</author>
    <author>tc={B8503911-C880-45EF-B3D2-1A6BEF7AFC77}</author>
    <author>tc={0019FB5A-9007-4083-9091-B4F7CAE8F007}</author>
    <author>tc={5E272853-6AD1-4220-A276-5FF9386C9377}</author>
    <author>tc={30487DCF-D56B-48CB-8E31-9B3ED8B4F415}</author>
    <author>tc={905BCE93-E585-44AC-ADE0-3210FA19C360}</author>
    <author>tc={FB20643D-7954-4A4E-8525-2447BCEFFDA1}</author>
    <author>tc={607FB466-F1A0-47AF-A519-829D71E0730F}</author>
    <author>tc={55FFA8B0-145B-4576-BA11-EB8078F4C43D}</author>
    <author>tc={E6C23203-3012-463F-A897-133C77FB0BDA}</author>
    <author>tc={B5C39F49-9AB5-4ECC-8949-949A8163B88F}</author>
    <author>tc={31D69BBB-46A7-4F68-81D9-247A0BD95957}</author>
    <author>tc={92BE7F28-3DD4-445A-9E41-2CAEC251027B}</author>
    <author>tc={174116D6-FBBC-4C78-BA49-699C4E2F79F4}</author>
    <author>tc={056CAD84-5B08-4055-AD40-BDA45D75EA1A}</author>
    <author>tc={1307F47B-58BF-4A3A-9262-152D28D2884B}</author>
    <author>tc={53EFF2E0-0191-40A4-8B8D-A3A2F6009267}</author>
    <author>tc={642C017F-C310-4335-8F24-9781FA76DC90}</author>
    <author>tc={398955D9-62C3-4FCF-869E-A62EAD89B6B5}</author>
    <author>tc={745623BB-A0A8-466C-B0D6-9850E95FF08C}</author>
    <author>tc={5578B92A-B724-4A6B-AEE6-17B62EF72381}</author>
    <author>tc={88DAA459-1376-4BDD-B60B-2E9B8B4A9731}</author>
    <author>tc={B4CA5B06-C755-4610-9646-1CB5B4C69F7E}</author>
    <author>tc={2A04C584-12F2-43F7-B6F7-8F01D2DDD33F}</author>
    <author>tc={72D4AB89-3A68-4455-B487-8184E88A721F}</author>
    <author>tc={4164DD5D-7C59-4EB4-90FB-1CE0CA2AEB5A}</author>
    <author>tc={937EF08E-C4B4-482C-B2BB-E23AFB225619}</author>
    <author>tc={7F99FA86-3799-4F21-9C11-53F661EB65A5}</author>
    <author>tc={7352B3D6-4FB7-4661-A39A-F983BEB1CAD8}</author>
    <author>tc={773C01F4-3596-47D1-AEF2-D39A04A87535}</author>
    <author>tc={471A71BB-F88E-43ED-B914-6FB3A23D6B54}</author>
    <author>tc={F84430C0-1BDC-471E-9CEE-0B44FE73D93A}</author>
    <author>tc={37895808-1EB7-4AFE-8419-9541F7EC6CEE}</author>
    <author>tc={B254F1B8-158C-4D87-9370-1F0C289CF4DD}</author>
    <author>tc={5A6D7A16-CA5D-4848-B91E-DD5234D6FA4D}</author>
    <author>tc={BA4C0E47-39B1-4721-AC87-6753108ED3D6}</author>
    <author>tc={9F345AC7-15F1-4CCE-BBFC-A4558B97EB1F}</author>
    <author>tc={6153D8A9-D056-416C-B91D-0FD87C99AC45}</author>
    <author>tc={9837F84D-8804-477B-B004-26999305C20C}</author>
    <author>tc={A2AC20C1-8480-4BFC-8B0F-9B3A5355A8C1}</author>
    <author>tc={275987FE-CB81-4CBB-9565-63620E767BC8}</author>
    <author>tc={D09ED14E-FFCA-4FE5-97FC-35C9D197A73A}</author>
    <author>tc={C1183B8E-ABA0-4E04-88BA-DE38B3A793BD}</author>
    <author>tc={D43F4553-02C3-4E59-8C38-D9482A1E8FBE}</author>
    <author>tc={CC6DD210-F708-43ED-8DA0-2DCD4C407F34}</author>
    <author>tc={55F39DF3-1E3D-4D5E-8481-F32FA7B21524}</author>
    <author>tc={BE4232B2-4542-49E7-B0F6-C4640F1C6870}</author>
    <author>tc={B2502AFE-7A76-4D9B-8E25-CA5196A1BEB0}</author>
    <author>tc={A35725E2-4158-4A57-AD66-DA1CB429E3D6}</author>
    <author>tc={AD587208-127B-44D1-B8F3-4A4508EC7A3E}</author>
    <author>tc={36FAC70C-1BA4-4A6D-810D-BB33B7A4D938}</author>
    <author>tc={3E9BBE93-2924-4451-884E-2196F515518A}</author>
    <author>tc={D2DB6488-B071-43E1-8830-5511F225296A}</author>
    <author>tc={A71003E5-04E6-4B93-9553-67CC18D6D553}</author>
    <author>tc={3C837DFC-83DD-4F5F-B031-6F28FB69A755}</author>
    <author>tc={63F707D9-E2A9-4211-B4BD-B09ACD3B47E7}</author>
    <author>tc={2A8F48A1-735C-43B4-B765-0DF45387011B}</author>
    <author>tc={6E810D72-A71E-4E7F-BDF7-6A97B9EA08B4}</author>
    <author>tc={1A0D51D9-736E-411F-9EE5-D3BC97160248}</author>
    <author>tc={4F380CE0-3034-43A0-8DB1-18330EDFBE46}</author>
    <author>tc={2CD30CDF-9003-4AEB-9BB9-BCC59B2DA599}</author>
    <author>tc={0482235F-078A-48DA-BF68-3D6B5AA6D5A1}</author>
    <author>tc={07B7555C-75D1-47F5-BBB0-4687FB407A6C}</author>
    <author>tc={93D4B644-1202-45ED-BAD6-F0D31EA161BB}</author>
    <author>tc={F6B94607-F736-4E93-81C2-434A90BC35C0}</author>
    <author>tc={52C12A1F-CF18-4D3F-AAC6-0FA8C57F3EE4}</author>
    <author>tc={785D4708-6063-44D7-8BFA-9EF291AA17F9}</author>
    <author>tc={B19DA842-BFAF-4C33-8F10-D765A5C7884A}</author>
    <author>tc={9B81AE8F-0C06-4699-BD8A-8D3E3C346558}</author>
    <author>tc={9515FE71-031E-4B02-A9A1-DA0E7C834C71}</author>
    <author>tc={9314D311-F189-47A1-992E-550507E3FA3F}</author>
    <author>tc={B1FBA51A-0F3A-436C-8B33-DEB890AB404E}</author>
    <author>tc={C1CEB1AC-EF75-4693-BF61-0DEC6CF234E5}</author>
    <author>tc={C055BDE3-39F9-40C6-BFAA-8E415A1A8A47}</author>
    <author>tc={7E7309B3-E476-4419-A282-78BABB7569D5}</author>
    <author>tc={256937CF-CAE2-4CB9-8975-DDFF9B91A8A2}</author>
    <author>tc={4AB6C27A-DC14-4D97-A803-BEF5AE56D096}</author>
    <author>tc={C43F9AFF-4935-439A-8ADF-7F0D87A59F06}</author>
    <author>tc={C642416F-A782-4A30-B8CD-7280AAE30701}</author>
    <author>tc={1CC9CB2B-9E73-46F9-8F63-00071E5D08CD}</author>
    <author>tc={CD6FC5E7-65BC-490E-B5D5-2816CB29426F}</author>
    <author>tc={8246B54F-4A8A-4BC9-9FAF-3853B7CC3032}</author>
    <author>tc={FF676091-58A2-41FC-B5F6-4F8A973FDB99}</author>
    <author>tc={26DE6CB7-310C-4C40-B7B8-FF977AC677B0}</author>
    <author>tc={0AB86EA4-77FA-4DE7-BAAB-38A008303884}</author>
    <author>tc={D29ED67B-D793-4A00-9995-94DF4BA026F7}</author>
    <author>tc={C8FD8057-332B-4B44-9371-4E98B99476BF}</author>
    <author>tc={014518FE-9F8A-420D-8E3C-2A7DBDFB1FDF}</author>
    <author>tc={1FECEA48-AE00-4DCA-A0A9-F5302F8C0ADA}</author>
    <author>tc={378A8F4D-7FCD-4543-AA9A-43B3B893B2CE}</author>
    <author>tc={5DE17068-9285-44DA-9066-9F1E73262F2C}</author>
    <author>tc={86A5A2A9-769E-432D-B542-6A2B8952D435}</author>
    <author>tc={5515E28F-D8D4-40DE-BA2A-48E297B9FB1C}</author>
    <author>tc={7A963444-1190-4C8B-98B3-23671CAB5E9E}</author>
    <author>tc={6FA9816E-CBC0-42C9-BBC0-ADCD23D7BDC7}</author>
    <author>tc={56F8BBB7-0D76-449C-A9CB-50016DCE940F}</author>
    <author>tc={684E4F46-53DE-4722-9C58-2E0D9A03CA7F}</author>
    <author>tc={2EB924EE-14BD-45AF-9340-78E5D60A9352}</author>
    <author>tc={144A26DA-1BD7-43F4-AC04-E541BB373370}</author>
    <author>tc={B4F4A38F-E738-448A-87E2-EC2CF4605048}</author>
    <author>tc={1FD3CA4C-E4D7-498E-ABD3-E2D87151DF9C}</author>
    <author>tc={D5420438-6B53-4B43-BB17-E53D161D5678}</author>
    <author>tc={19146739-FB0C-4BB6-8887-8B48E5FA71EF}</author>
    <author>tc={AF308F9F-40F2-4245-AA21-ECF82AA94389}</author>
    <author>tc={2537ED68-FCFC-40F3-8208-169E0B084E4F}</author>
    <author>tc={157EAC24-4DBD-48DB-8DDC-976799AC35EF}</author>
    <author>tc={927F0888-A202-4DC6-AF56-AFC54145B09D}</author>
    <author>tc={5979E7AE-1E8F-44DC-AC95-4732BB534EEA}</author>
    <author>tc={92EED137-7485-43CC-AEA7-A5A520AF3024}</author>
    <author>tc={A15531A1-7AD1-4087-A0C6-24A014BF17C6}</author>
    <author>tc={935E88FD-3DB5-4EEE-BB0F-3A1063F8400B}</author>
    <author>tc={B5DAC3FA-10B1-477C-BBCA-77DAF1CF549E}</author>
    <author>tc={4512AF50-D920-40CB-8ABD-0361A98C9340}</author>
    <author>tc={450A1A85-D916-4202-8F4E-69E221B71E04}</author>
    <author>tc={65A99C96-F502-4BEE-96FC-4072F3FD2709}</author>
    <author>tc={514B7C29-5F2B-4413-AF57-4D8B01A89339}</author>
    <author>tc={7D6CC232-9FC6-4958-B051-3DD7EE60ED57}</author>
    <author>tc={E4DF470B-59BA-465A-978D-B79FE5A4CE18}</author>
    <author>tc={470C5907-4AD5-4ADE-8A40-C41E90E657AD}</author>
    <author>tc={ED8464DE-BCF6-4741-AEBB-BFF1EF03BC4D}</author>
    <author>tc={DFA287FB-E995-450C-9F21-66442F264CB9}</author>
    <author>tc={C0F5B1C0-1DD9-462D-91C7-F1A49416F5EE}</author>
    <author>tc={43BB17F6-F73A-4955-BCF8-91B5F7E874F6}</author>
    <author>tc={B94DE549-D9A9-4AEC-B39F-B4EA772BF1DC}</author>
    <author>tc={140AA3F8-E66E-4118-B433-70434DA9BCB2}</author>
    <author>tc={E25A6C06-7AC5-4DCC-B268-1C0CC6FE3D52}</author>
    <author>tc={F2A9E45E-68F7-4F8E-B0A4-30A9D3A95C44}</author>
    <author>tc={F4EAE366-B1CB-40A4-A2E4-0DF0896312E3}</author>
    <author>tc={1E59DA6E-D779-420B-AE28-2BF0ED6A3668}</author>
    <author>tc={DF6543B3-CAFB-43FC-88EC-E0E7B98BAB83}</author>
    <author>tc={425F2372-7CE6-4B43-91B0-F37677D8760A}</author>
    <author>tc={758B5D7C-268F-451B-85F3-2BA4B258E42C}</author>
    <author>tc={5460B92D-E8C2-4486-B0EC-AA695302559D}</author>
    <author>tc={6A962A75-A95A-4854-8ACA-AE9C57B2381C}</author>
    <author>tc={DB1FC11B-BBD4-4B93-A7CE-1B12B9ED56CF}</author>
    <author>tc={9F9EB71E-42A0-4563-8C9A-6484F654CD19}</author>
    <author>tc={F814B825-9976-4F15-9608-808AC2C1C876}</author>
    <author>tc={005B9B50-CBD0-43CE-918F-9038217B803C}</author>
    <author>tc={244D5E2B-4DAF-46D2-AF95-8F1BE256F03A}</author>
    <author>tc={F59DD878-BA08-42EB-BCC4-0898DCBF21E6}</author>
    <author>tc={B4C14DDD-DF90-4C5B-90EC-F2951E79790F}</author>
    <author>tc={847B0229-045C-4BA0-AB22-716C6984C63C}</author>
    <author>tc={341CD164-FE86-401F-BF8F-93E8F495176F}</author>
    <author>tc={01808A2A-D74B-4276-B74F-C87EF6963EFB}</author>
    <author>tc={346CDBF9-1577-479B-9655-D63D88DAAAE9}</author>
    <author>tc={6550C285-21B1-45BD-A047-175F77F4C969}</author>
    <author>tc={2622B860-13F8-4141-BBBB-DCE50FF23807}</author>
    <author>tc={CCA568D6-453F-4E04-84E3-691B2063AAC7}</author>
    <author>tc={782C2363-D0DE-49E2-AB1E-70496D795096}</author>
    <author>tc={FA41AA05-0A50-494E-A945-B0B85A83CF74}</author>
    <author>tc={D8DE2E57-67C0-414D-A313-FD424E9487B6}</author>
    <author>tc={C7F4C1F1-6589-48D6-819D-60D283A8AD84}</author>
    <author>tc={F06C5249-8B32-4821-A4B5-14BF1FF61B75}</author>
    <author>tc={ED88339B-35D4-4349-9736-B2069DD8AB4C}</author>
    <author>tc={E883700C-1849-4D45-B8D5-043A09A268D3}</author>
    <author>tc={D1BDE99D-01DB-4E85-9A4A-4B4D836B63C9}</author>
    <author>tc={FDDE07FA-A6A3-4E3B-8C5F-E08CF4C50DAD}</author>
    <author>tc={21260B1D-2593-4CBA-9132-E60279246894}</author>
    <author>tc={015785AF-10C8-4C10-8628-AB253F94F982}</author>
    <author>tc={4E7A2A79-03BA-4901-822D-389E00143929}</author>
    <author>tc={83F5F7F8-B45B-4EC4-BF3C-629762A61A6A}</author>
    <author>tc={32C651AF-9B11-42DF-AB74-1F2A6EB30C35}</author>
    <author>tc={C83BBD4B-F812-4AFB-BB3B-75DC2D32CBB4}</author>
    <author>tc={1446F4FA-EE68-47ED-8138-5A7CA6568F3E}</author>
    <author>tc={DE25B644-1615-40A2-82E1-A6806B7650F7}</author>
    <author>tc={45E3AA54-0D4D-4E66-AAD7-AA63C98371DF}</author>
    <author>tc={926709E6-C3CB-4441-89FA-C4E1078EEC4C}</author>
    <author>tc={16D306F1-17B0-4A12-9076-957F0B3514E6}</author>
    <author>tc={4A1F61D1-9F12-4FDB-BB9E-F303B7C7ADE7}</author>
    <author>tc={4B1AF133-106E-473C-80C2-B3238D0927B2}</author>
    <author>tc={5D43C7EC-B4CC-494D-A40F-1BC8DFE0B162}</author>
    <author>tc={EF13BF9E-CB06-412E-BE1E-F3A22691543D}</author>
    <author>tc={C66698BA-2E24-46BF-802D-78CAD8022C73}</author>
    <author>tc={784A68C1-11E9-447F-B156-577A895C3463}</author>
    <author>tc={22E0A3CD-6889-4638-8747-143105BF7509}</author>
    <author>tc={997D4407-687B-487C-A825-B50C6B18ABD8}</author>
    <author>tc={562F7AAE-1996-44E6-9074-6321B7180EAA}</author>
    <author>tc={68343146-C8EF-4795-AC7C-F06A5C16305A}</author>
    <author>tc={42E3C441-28F5-4C74-A9D0-5109DA5E7487}</author>
    <author>tc={33F7BEA1-D0E7-4826-9272-3F77DD3B7B25}</author>
    <author>tc={F80900BA-63EF-43A2-B567-EDDAAA07E535}</author>
    <author>tc={0F4AE5D4-1E56-4128-ACED-408112A3EBCF}</author>
    <author>tc={4258DC1B-1A2F-4B07-B2B0-ACD4030292D1}</author>
    <author>tc={69C61B5F-A334-431D-89AB-9040B626679E}</author>
    <author>tc={36A289EA-FA34-43C2-AADC-42BBC05D0107}</author>
    <author>tc={49A960CB-73A1-4769-8862-8A341F222908}</author>
    <author>tc={86AE1458-63E0-4311-820C-DC5B1D52A9A5}</author>
    <author>tc={B4C8A02C-A5DF-434B-8D75-93BFBDCEA8B5}</author>
    <author>tc={6E486999-86CF-4FFA-845E-F41ABDB64FCF}</author>
    <author>tc={C782E708-05A0-4BD1-9DC5-9E3529DAD62A}</author>
    <author>tc={82F80295-053B-4AB0-B076-4834733F5362}</author>
    <author>tc={90B490BE-B174-4DC2-A635-B6E5F6F2B200}</author>
    <author>tc={2837D21F-8CCC-49B7-A1B3-DA9BBBB41960}</author>
    <author>tc={1DFCC716-7937-473A-8B57-9669E0589E4D}</author>
    <author>tc={0A6C1B3E-187C-4B9A-9DFE-9F6E5367AD5D}</author>
    <author>tc={6DB5890A-1547-49F3-BC62-386EAEDE906C}</author>
    <author>tc={C3BC5F93-1352-4C50-9510-FA681FFF790E}</author>
    <author>tc={5C3EE50D-34CA-4F25-936E-23F3DEEB32E1}</author>
    <author>tc={1AF4E269-980F-4C6A-90FB-43D8462AEB45}</author>
    <author>tc={ADF9B4EE-DCC5-4B59-A1CE-2937BD20EC81}</author>
    <author>tc={6A292AEB-28F3-472D-B194-4981C3352D0D}</author>
    <author>tc={FB9F7528-0990-49B4-8C0E-9CF730764938}</author>
    <author>tc={A7AF63E9-6E96-4CFC-89BF-C001E6A058C7}</author>
    <author>tc={A4A99BA8-201F-451B-994D-7F634F0F7908}</author>
    <author>tc={5A6C0D28-5602-4E7F-BA98-AC7C41FDF8A9}</author>
    <author>tc={A5F30860-0615-4426-A606-1AA549D38E51}</author>
    <author>tc={515C9D30-BE86-452F-9F1E-6E119C9DF47E}</author>
    <author>tc={16BE3B3E-327F-4E4D-8407-24E139B830DC}</author>
    <author>tc={19D2BC07-0B0B-408C-8529-6884696DD7A2}</author>
    <author>tc={01F5633A-079F-427C-82BE-57BC5F05253C}</author>
    <author>tc={A7B9B076-7F50-4F8D-B984-70576A889CF0}</author>
    <author>tc={FB9397D4-EA90-4AE3-90EF-C6AC1D83DDAC}</author>
    <author>tc={2EAC7139-981E-424E-B45D-AB92B116FDAE}</author>
    <author>tc={9AB92B74-F406-4908-A226-3E78FB3C1016}</author>
    <author>tc={7618C660-47BE-4492-9CFE-1D98E9C7724F}</author>
    <author>tc={93A32846-0DF2-419E-98DC-9D3CFE9C9449}</author>
    <author>tc={DA325809-8C80-41AA-B0C7-6612BE821D90}</author>
    <author>tc={8B051FF5-9C27-4B92-8413-5BE16060F91F}</author>
    <author>tc={BFD62E17-0AFA-4498-AC4D-AB21FD032603}</author>
    <author>tc={34B41874-0281-4475-B720-9A958B3D2315}</author>
    <author>tc={6ED93E1C-7585-4142-B677-2240A76BB1B4}</author>
    <author>tc={A84FCCB2-87BD-4BC0-B358-7511957DB7BE}</author>
    <author>tc={AAB7C8FE-7291-4A17-9905-2E9C012031EB}</author>
    <author>tc={9E8FC360-50BA-43A8-AD24-81A770F6FC70}</author>
    <author>tc={00EAD9D5-F20F-4E06-AB59-63962CD746A2}</author>
    <author>tc={E747934B-322D-4549-A382-2728E22C9B0C}</author>
    <author>tc={4270D6CE-031A-4E39-8FA5-4160B846574C}</author>
    <author>tc={1AD343B2-65D2-4BF7-A2B8-3E02EEF102E5}</author>
    <author>tc={E38E2DCB-33A1-4CB3-8348-9C1BA0C4B6C8}</author>
    <author>tc={88DFE386-E564-4174-8E5C-065B51D225A4}</author>
    <author>tc={25026402-2DE9-4F13-BCBE-602A0E614E8E}</author>
    <author>tc={B91A79E9-A7D2-4B57-BD89-341D21A34252}</author>
    <author>tc={2083164B-C720-43EA-8FE9-C3A5D1BC0BC0}</author>
    <author>tc={D30EC689-56BC-40D4-B18C-BECA2C4289FF}</author>
    <author>tc={2FADDDBD-6E00-4A8E-B48B-6AFBEEBFAD1C}</author>
    <author>tc={556CCBB6-FB8D-4F0F-B36E-05C929A584D2}</author>
    <author>tc={2C19F16A-7678-4488-A2A8-53ADDCC08179}</author>
    <author>tc={9E6B91A7-484C-456A-81A5-F2B040989792}</author>
    <author>tc={FD1BBE10-CB13-480C-AE83-C099ED2AAD7E}</author>
    <author>tc={93B4C396-51F3-4685-B2C4-72640D078C70}</author>
    <author>tc={51E5C053-5264-4155-AEF2-149FE299C467}</author>
    <author>tc={3C6ADE21-89DD-4696-9203-40EC6FB82974}</author>
    <author>tc={0942CD74-5D98-4A54-9EA3-8751686033E0}</author>
    <author>tc={1C1FF29B-213F-4671-9D19-F042DE3DD4D8}</author>
    <author>tc={9184EC37-2671-4602-BA8C-86F7AD41ABCE}</author>
    <author>tc={7D669A0C-9740-4B96-9C56-25FDB4992255}</author>
    <author>tc={4257666E-4E68-4F7F-B851-CB6B47411D0C}</author>
    <author>tc={C77F985F-A79B-422E-A855-C3175E3277C0}</author>
    <author>tc={D5E12059-CD41-4229-90C5-3835CB348A2B}</author>
    <author>tc={3C1F5A46-BA4F-45F7-8B77-1021C2E1CB47}</author>
    <author>tc={F890458B-3ECA-4901-9C97-3DB1722C40F6}</author>
    <author>tc={CD5C03A5-E1A8-4564-9DA5-EE2DD970DC0D}</author>
    <author>tc={C20F2918-614B-4E6D-A48C-D1DB6FB77F9B}</author>
    <author>tc={26624EF3-752D-46D7-9FF5-A65CFF01C363}</author>
    <author>tc={FFEBF846-C1A9-41ED-BD6A-BAB64F6F92D1}</author>
    <author>tc={CDA3E1D4-9582-45B9-B12B-F5F40F01076A}</author>
    <author>tc={8D5BF8E3-CEE6-485C-8A73-C78B6CA26154}</author>
    <author>tc={4788C8C9-A4A1-4D90-8AF5-FD22C1E2E59C}</author>
    <author>tc={4E320FA0-DA69-4C0F-98D4-D3CAC4F2B526}</author>
    <author>tc={F1D72A8F-C189-461A-9327-01930472E6A8}</author>
    <author>tc={DE8D8A91-2704-438E-9D39-3CADFDF77892}</author>
    <author>tc={4CD63D0F-7425-4A45-A88E-005CDD3CDDE7}</author>
    <author>tc={ED7A59FE-8C81-4057-8625-48A6E037651F}</author>
    <author>tc={21ADEDFA-ECAE-47DB-8713-4156D07B6B4F}</author>
    <author>tc={7B9634E7-3194-4E69-A48F-E273616D2D0A}</author>
    <author>tc={A6634F74-D8B5-4718-830F-04380327AAD7}</author>
    <author>tc={12A65756-C11E-483A-AB64-23E7A2B4ED28}</author>
    <author>tc={80FE384B-2CFF-41D5-ACCC-0214B013FCCF}</author>
    <author>tc={5E00F483-5B41-450D-B3C9-7D77E2DB81E7}</author>
    <author>tc={0DAFAF98-7611-4D91-BA51-1DC1AC8C4AB6}</author>
    <author>tc={88C4D6A8-93C5-404E-869A-7DF16F59FA51}</author>
    <author>tc={1C00FD0D-A3F9-45DC-B961-28BB8C025CC7}</author>
    <author>tc={124DAA9E-6A4E-490D-91ED-DC6DC0A27100}</author>
    <author>tc={43C1DA82-8C1A-419A-BE2D-FAB6B256CE2D}</author>
    <author>tc={6B55EB1B-C80E-4CFB-A58E-E2554E8920B5}</author>
    <author>tc={AFF4DF2F-E131-4407-82F8-C0B12450390C}</author>
    <author>tc={985C43C6-DA93-4879-8C89-26BC5602EB27}</author>
    <author>tc={EB5D0C95-CCCE-4781-A42E-E72F2AC82BBE}</author>
    <author>tc={3006B414-F6E5-4CE5-AA38-7F2C3CF31D3B}</author>
    <author>tc={4CD0210D-CE2B-48B4-85DE-D5A9FBE85E88}</author>
    <author>tc={60D4AA8D-3A2A-4F0F-BB7A-475C2C8E02C8}</author>
    <author>tc={848DE4F2-E905-47FB-A55E-80BD45F9135D}</author>
    <author>tc={587E2351-2AC0-4CB0-9D89-881E9DE29170}</author>
    <author>tc={82747092-2AF0-4B73-9176-90D94BB66DE7}</author>
    <author>tc={FC6B39CF-689F-4679-8A0A-EEA661162099}</author>
    <author>tc={F95D7558-7CEC-4800-A14A-1AE42D0E3F41}</author>
    <author>tc={1F7EE7CF-D3DB-48E9-963B-9670321F8BBC}</author>
    <author>tc={9789E20A-8EF5-4291-80F7-8B2DD5950A50}</author>
    <author>tc={3F9EA596-6877-4745-A6B8-C43CAA06FE7D}</author>
    <author>tc={B6C62298-2485-4C9A-BFE6-FB17B3D6287D}</author>
    <author>tc={11D3EBEF-E4F1-4603-BE61-47891A432256}</author>
    <author>tc={6FA7EA4B-C9FE-489E-BFC7-07A6580CD8C4}</author>
    <author>tc={830C96B8-246F-489A-9180-A3C31F3657E0}</author>
    <author>tc={43A01233-339D-47AF-B03A-608660AE24B9}</author>
    <author>tc={52651651-4529-4913-82FA-67D1D93155D7}</author>
    <author>tc={84A910CE-8374-43DB-9501-0B677C5FCE70}</author>
    <author>tc={0715751C-C312-41C5-9E78-34484ADAA2EA}</author>
    <author>tc={71DE00E0-E152-4DF4-8F52-0DF5F6DCA5DB}</author>
    <author>tc={5B9ABE40-FF63-4C3A-8AF8-97382D00BD47}</author>
    <author>tc={1E5D8E98-5E35-454D-A634-775733A240A8}</author>
    <author>tc={FCE12995-5C38-403C-9CB5-4782E09FD37D}</author>
    <author>tc={A743332D-7F4C-4BD6-903C-40D4D4A8AE93}</author>
    <author>tc={0F4B9489-50FD-4515-9D54-3BD8C53F773E}</author>
    <author>tc={9EBDCB80-8B89-43D0-B39F-70C3CB55FA8C}</author>
    <author>tc={D6373DF3-F7FD-4CE3-BEEE-45FC11825DF8}</author>
    <author>tc={B4F2F86E-E028-4E6A-8CFA-83D6E8D648CD}</author>
    <author>tc={0C3965A0-D201-447F-A601-4D4AD94AF5C2}</author>
    <author>tc={B3E714B3-B347-44B6-A134-9C209C8012A4}</author>
    <author>tc={8FB0BE8A-EDDA-4BA6-B589-3FD4E32884D6}</author>
    <author>tc={5B606EC7-EDF7-40EF-9462-8764DAB5F6D8}</author>
    <author>tc={35A677A3-4FBC-4830-B3B2-EF8E9F8DACA0}</author>
    <author>tc={03BD4E91-3492-4E78-8254-DC170FB4FAA0}</author>
    <author>tc={B6A4ABEA-13CF-4B83-B57D-556384E08889}</author>
    <author>tc={5B4A1EE6-F485-4075-AA5F-C07180BEAF77}</author>
    <author>tc={4CC91C45-BDC3-4263-B698-E38F687A16E7}</author>
    <author>tc={492F23E1-618A-4785-AE2E-928D70E86087}</author>
    <author>tc={32BBC729-13B2-4E46-A044-48CBED1FAE53}</author>
    <author>tc={4A9184F3-D299-42E1-B0EA-44EEAB35C3BC}</author>
    <author>tc={33EDA0A3-0E27-4EDC-B83A-927F4AF004F8}</author>
    <author>tc={FF8A89B6-F636-462B-AA85-64317FA15303}</author>
    <author>tc={2D98339A-0843-45D1-907C-0776494FF564}</author>
    <author>tc={852B3D42-F15D-4389-B32B-2DB5C2DDEE47}</author>
    <author>tc={893F9DA0-181F-431B-8C75-606E2543A478}</author>
    <author>tc={A9584B54-5427-44B4-8A21-930580DE0370}</author>
    <author>tc={5B63BB86-EC8F-48A5-AE87-C3D45803E86A}</author>
    <author>tc={B8522E71-C062-4F40-B5B9-9AD63EFC8765}</author>
    <author>tc={7B652C86-04E7-4925-8402-01DA8C99353B}</author>
    <author>tc={3570FF78-405C-4B8C-AA79-99EAD0F1114C}</author>
    <author>tc={31EFD4B7-18DB-4F75-B01F-532C67FFBF83}</author>
    <author>tc={49B260F6-1DAE-4AED-8F6B-0EB08B14B30B}</author>
    <author>tc={75532167-52CB-47BE-8BA9-76AE6C3F2DE5}</author>
    <author>tc={DE993AAA-4CED-4477-AA26-3D7DD43413C2}</author>
    <author>tc={8E64706E-433E-4BB9-9BE1-9224549202DD}</author>
    <author>tc={EC460147-67FD-4E3B-B375-9D46D09D0B0D}</author>
    <author>tc={C984DC4A-A030-4C4E-8A21-4C48867412F4}</author>
    <author>tc={CF4AEA14-E616-4FAE-AADB-E19D59269BD4}</author>
    <author>tc={1B0B6932-296B-4DE4-A33A-2E94DF5DD7BC}</author>
    <author>tc={77DAC28D-E5D9-446E-ACD1-1AF244EA0A35}</author>
    <author>tc={6E24AE1A-C0D3-4C8C-BD8F-9D8631C77064}</author>
    <author>tc={EDE5181B-7B3F-475D-B21B-43525F9965FA}</author>
    <author>tc={36C5C1C5-CB9C-47CC-9AB4-53248C630063}</author>
    <author>tc={2EDA31FD-66BD-4D4F-857F-71BA50BA796D}</author>
    <author>tc={54888756-2C06-4F06-8EC2-F1809240A1FA}</author>
    <author>tc={5D85AB26-4E6F-4DD8-B0B5-8097EFBE4432}</author>
    <author>tc={C77B6C26-F2C8-45D6-9DF7-EDE609829218}</author>
    <author>tc={C9B4307A-461F-4486-8DB6-9CB36BC1BB35}</author>
    <author>tc={69CE68F9-BBFC-47CD-B45C-73275A562D65}</author>
    <author>tc={FA39EADF-5B08-456E-AECB-82AD5B0790D3}</author>
    <author>tc={78782958-16CE-4654-A96D-22C0D7B026B8}</author>
    <author>tc={7DC41509-A6E0-49F0-A31A-0C01C522248A}</author>
    <author>tc={65A4D071-FFC9-4F76-A690-E00C99D761F4}</author>
    <author>tc={8D8AED49-E452-471C-91BD-78ADDE61DDE7}</author>
    <author>tc={A5318DDA-0282-4AEB-B733-5E0FF8D698C3}</author>
    <author>tc={779F28D8-4CA4-4890-A69B-D8E5586F994F}</author>
    <author>tc={807F62ED-4420-4950-AB05-939E57676ECE}</author>
    <author>tc={C2E9B947-9B6A-4921-88BF-F6A4EE64A27D}</author>
    <author>tc={A5EE084F-6B46-4BA0-BD32-1D1500EDB82A}</author>
    <author>tc={48E3C32A-0727-465D-800C-27F99B5A503F}</author>
    <author>tc={C849435A-362B-474C-A5CE-044D5D257EFB}</author>
    <author>tc={9FFE9280-96D0-41AA-8EF0-A7016559D99F}</author>
    <author>tc={23E3AE68-A408-462E-84E8-B4747EB9A7ED}</author>
    <author>tc={6CDC5A85-C369-4A28-9DAC-3457B3FF399B}</author>
    <author>tc={98ACF85A-DA42-41B0-BEA4-020F7F7EE202}</author>
    <author>tc={3213B533-28BC-4DBA-A525-46BC3E4844B6}</author>
    <author>tc={B6C380AF-EF99-4758-A790-5500C52D0BD6}</author>
    <author>tc={A10A53C1-0EDD-451F-8154-6BED005E4FEA}</author>
    <author>tc={55331B0C-D00F-4E14-9A77-5DBE512BF54E}</author>
    <author>tc={D41EF384-3263-49F9-93BB-4B55BDFDCD12}</author>
    <author>tc={03F3F54E-A003-4BC1-BDE2-0EB3077D2792}</author>
    <author>tc={C099B51D-856B-4DEB-8C47-0C6E30D2935B}</author>
    <author>tc={00B17062-0CC6-49AF-887B-EE809A1575B6}</author>
    <author>tc={5167CC58-8CAB-4BA6-89A7-AD73AE86AE39}</author>
    <author>tc={4B1766F0-E61D-4A66-A16B-9FCC06EDF011}</author>
    <author>tc={3A4E1A19-69CA-4F52-AF7C-20448659CC0D}</author>
    <author>tc={A8631A65-3A9C-4EAC-8280-B76348F99EF1}</author>
    <author>tc={A0B1F3B5-400E-4355-BCA1-8AA719D2E317}</author>
    <author>tc={FF0A844D-0739-4369-9BF9-5D4A19E8B9BF}</author>
    <author>tc={68C64FFC-CA76-4072-B8E0-BA8392DA1F4F}</author>
    <author>tc={28BA8480-577F-4C44-8493-EDDC17561AD1}</author>
    <author>tc={15F5F7F8-8C26-4114-B881-249FF16AAF30}</author>
    <author>tc={DA6B6B44-5F53-4E19-B846-9B6A4F21CA4F}</author>
    <author>tc={2EDD95D0-76AE-403E-839D-437700A93D2E}</author>
    <author>tc={0FAB44C2-A2B4-47E1-AF4C-D3C7ECEBA750}</author>
    <author>tc={C4CCA427-5F1D-4512-B72A-4EFE542AFA5E}</author>
    <author>tc={648C459D-B4B5-4AAC-84E7-0EB069F0E269}</author>
    <author>tc={7EAF7B9F-BCF9-4471-A524-D11222E14064}</author>
    <author>tc={210F503E-D812-49AB-BBA0-4E4C1D5150FC}</author>
    <author>tc={7D16B4CB-6E84-44A2-8A21-5778E26238AD}</author>
    <author>tc={0857B66A-D688-49F0-A4E5-5A9B0B17A524}</author>
    <author>tc={8942FBB6-BDE6-4DDA-9B1E-FE774F9F9812}</author>
    <author>tc={767B9F8C-AB63-403E-91B8-14ACB7E58B54}</author>
    <author>tc={6E8595C5-586A-4CE6-85D7-99A93917D8EB}</author>
    <author>tc={37B82372-120E-425A-9CEA-04F711270B2A}</author>
    <author>tc={4A89608B-1500-4F77-A80F-69CA43C467AF}</author>
    <author>tc={3CD15B24-8579-4733-B37F-35ECE1159967}</author>
    <author>tc={B45CAE87-2A24-4797-83E7-A4BC88A7DF90}</author>
    <author>tc={FA02F410-A887-4298-92ED-1D05CBCB43FD}</author>
    <author>tc={32167A7F-7B4C-4376-B595-9C38BE9EB524}</author>
    <author>tc={314A05C6-2D18-4ECD-AFC0-CDEDA5468744}</author>
    <author>tc={65A9CDEC-970D-4769-995F-62AC2CBF5DA5}</author>
    <author>tc={986CDC5A-51DA-4547-BD02-1F4B16DAEFA5}</author>
    <author>tc={65A5BEB7-D856-44A6-8619-A5A2A27D51E3}</author>
    <author>tc={6E49F3BB-0219-460B-82A1-DEC9FB9EEE90}</author>
    <author>tc={D8407E46-2AEA-433F-B0D7-FC305DB8189C}</author>
    <author>tc={02A1D596-36AC-4670-92E2-CF488AB554F3}</author>
    <author>tc={377B735B-B2A1-41D3-8171-B2DDCCD36781}</author>
    <author>tc={7695F677-F21A-48A2-B94E-ADC0948B3A81}</author>
    <author>tc={79E6939C-2FD5-4481-B397-34A0426A929E}</author>
    <author>tc={C9ACF3EB-7697-46B5-8223-D66EB6E49EE7}</author>
    <author>tc={B67E660B-5DC7-440B-9A8E-B888A6007593}</author>
    <author>tc={EAB70703-0E2A-44C8-B0B7-D5287C2749F0}</author>
    <author>tc={C28EDE3E-1B5C-46AF-918F-FAEC7A16990D}</author>
    <author>tc={E14AD682-D9AF-44E3-91EF-4A729237D93F}</author>
    <author>tc={05B06914-FD78-40CE-832D-BB5FA91E58E5}</author>
    <author>tc={9A18350D-43A8-4A1D-8ECB-2428B162FB95}</author>
    <author>tc={5BC261B3-497C-4FFA-A5AB-771A4AF3CDE4}</author>
    <author>tc={CEF5F2ED-A775-4588-890C-990435092AA3}</author>
    <author>tc={9B853D8C-F643-45C7-A0FD-4277FF243228}</author>
    <author>tc={44EC6CE7-5A0B-4AB0-9201-B966EC003321}</author>
    <author>tc={1D75ABBC-3A46-45AD-B018-000C96626B4C}</author>
    <author>tc={27F12950-F68C-40F7-956C-A61AD12FB731}</author>
    <author>tc={38857F9C-0753-4618-97A4-289491043B3A}</author>
    <author>tc={2549BD4B-1F20-418B-957E-816EBD5EC1AF}</author>
    <author>tc={521A5240-4674-4591-B13C-063E1B1DB002}</author>
    <author>tc={6D8602CA-31BC-4BB6-8E79-F9D3D947F1D0}</author>
    <author>tc={5EA91306-6EBA-4357-AA47-1D60DD154C54}</author>
    <author>tc={B380A4E3-7503-4CB4-B3BA-DB3FCE01F8A5}</author>
    <author>tc={A268F6D7-FB69-48F5-8899-1DD65ADF376B}</author>
    <author>tc={A3BE2D16-7390-44C8-A49D-83A61E120E38}</author>
    <author>tc={46BA43C6-C3B1-4024-960B-EE17E8A09133}</author>
    <author>tc={6CFE9498-B466-4D65-98DE-B6EF18F0A876}</author>
    <author>tc={3CF41CFC-8C7D-4DB8-81BE-699C93B572C2}</author>
    <author>tc={CD358920-9A22-4167-91F8-FB68B4BDA5EE}</author>
    <author>tc={7D4A6554-1714-402A-B476-606772EB99BA}</author>
    <author>tc={433C0A48-C7B5-4BAA-A703-FE6C15919A0D}</author>
    <author>tc={C31642E7-5FFA-4630-95EB-A5826E2DDE96}</author>
    <author>tc={3753FB18-91B1-4901-85EC-D6915DA72721}</author>
    <author>tc={D826DE5F-78C4-4387-ADFA-5F6C63AB0FED}</author>
    <author>tc={4D1D2E95-1A97-4068-B80F-83C7EB3CADBC}</author>
    <author>tc={3FF4A6B2-83FA-4728-8972-FC4286F81A10}</author>
    <author>tc={FF3E2A3B-F42F-4501-AD63-6F7FC41A5A0D}</author>
    <author>tc={6819B385-91DE-4C51-9F1F-385522801DE7}</author>
    <author>tc={79A7AF9C-D093-4AB9-8E8B-630A250A3979}</author>
    <author>tc={EAB3A56C-AF0A-4939-8318-28A046A31CE5}</author>
    <author>tc={7D605F04-3ECF-4CA5-9919-574A36BB72D9}</author>
    <author>tc={8D7E7D70-39D7-4973-BA4F-09D37E27B8CB}</author>
    <author>tc={BB74984B-A080-4C37-9C12-085B1653FC03}</author>
    <author>tc={0101666A-4E48-4370-8538-77FFB44D1C87}</author>
    <author>tc={7DE0DCE4-C2FB-47C5-92D0-9FC8F51E2946}</author>
    <author>tc={71610367-FB17-468F-9A96-F052A4AB139C}</author>
    <author>tc={C6FE6023-C416-4759-B825-E812E0FFF47A}</author>
    <author>tc={5BE21F6B-5C86-4CCC-B227-5307D2E028FC}</author>
    <author>tc={C311CCE6-86A4-4D8B-8EE0-2F75E1509C68}</author>
    <author>tc={58E67880-F420-4A2C-ABB6-8AB152E9A0A1}</author>
    <author>tc={AC7E07B5-F144-4BE5-A5E6-A07244634141}</author>
    <author>tc={AADDE9DB-277C-45E3-B11E-DE643450D502}</author>
    <author>tc={9233C0E6-8F8C-4F53-A8FF-2A72221BE276}</author>
    <author>tc={726D3504-09C2-49EA-91F2-1F5B736C862F}</author>
    <author>tc={AC5B46B4-FFEF-4F75-8FBE-FE4055B44FB7}</author>
    <author>tc={E4B9B822-F0D4-4CEC-A1B8-A78EE3FE43E5}</author>
    <author>tc={5756DFFC-3DDE-44F3-A4EA-D85C634E7F3D}</author>
    <author>tc={FE256A06-2981-4400-A073-C0D7DEF1F3DA}</author>
    <author>tc={65D5229B-C2F5-4650-8385-5715218CF61E}</author>
    <author>tc={8434FCEF-98D9-4C73-B1B7-4F53DF8869C3}</author>
    <author>tc={1B065FC3-0012-4999-8404-C891DBF3371B}</author>
    <author>tc={3454EF1D-3525-4931-A497-BC9C729C7667}</author>
    <author>tc={172BDEAB-6F9A-4907-B053-56CDFEED7D6A}</author>
    <author>tc={4D858974-A308-4157-998B-B5C45B67FFE7}</author>
    <author>tc={2BBBD5EC-5507-4C1E-895D-8CB5B40A710A}</author>
    <author>tc={253D867C-078F-44C1-ACE9-033D36E1C96E}</author>
    <author>tc={6A76A614-7F19-4CEA-997B-EB5D950D7D7C}</author>
    <author>tc={12F03D5A-022E-4DED-A78A-5D8ACFE3FD2B}</author>
    <author>tc={FC16BA56-3FE0-4F5C-A1F4-3845D405C3E1}</author>
    <author>tc={DC30819A-F43E-4498-AF04-65A5B1AC8681}</author>
    <author>tc={D74820F9-DA9E-4A00-91A8-FD964F17B629}</author>
    <author>tc={7063E8D3-E008-4FCF-86E6-8190237E5B7F}</author>
    <author>tc={7AF863D3-5B08-41E4-915E-29B6ECCC06FE}</author>
    <author>tc={7485D642-1F83-4B42-A854-BE318F9E9266}</author>
    <author>tc={7FFAAFFD-C3CD-4EC3-9CE1-F785D14F0CEE}</author>
    <author>tc={393C13E5-E261-4D33-B7C3-4EDD115053B1}</author>
    <author>tc={104FEE01-11E4-473D-97DF-B5C7143243DC}</author>
    <author>tc={C5A5CD58-7045-4B52-B566-815E18DF8F01}</author>
    <author>tc={8DF1360F-8FE6-4FCD-9062-09F36B38EEA5}</author>
    <author>tc={E32DD5BE-18B5-4F70-B37A-92A09E6208FF}</author>
    <author>tc={1A4E9B45-C7F2-4B6F-BBAC-EAB8C6713526}</author>
    <author>tc={3AEF5B27-D7AE-43E3-AC9C-DF805DE48BEB}</author>
    <author>tc={27B3F315-38D0-43DF-97DC-78C04ADCAEB4}</author>
    <author>tc={76827F16-0CE2-460A-B3D4-8CE3B6A12159}</author>
    <author>tc={6341A3C6-C973-4D44-AAF7-5AB605815DBF}</author>
    <author>tc={B428E9A8-83AD-4999-9799-A26FE17F75E5}</author>
    <author>tc={DA50457F-29FD-41B1-8042-D97411037441}</author>
    <author>tc={C0A25187-B045-4005-AD3B-455031A17694}</author>
    <author>tc={74E9A5DE-898D-429B-8287-817966EC85CB}</author>
    <author>tc={45239B00-0329-4758-806A-05E448AE5325}</author>
    <author>tc={52CDA444-6C0B-422A-ACB7-797DC9795E23}</author>
    <author>tc={B841A872-00D6-42CB-BFC1-70FC3335D1B3}</author>
    <author>tc={CA2462A9-A838-4D9E-9FDB-0A61C49F5727}</author>
    <author>tc={01A5B35D-A6BD-419C-A508-17183EEE359C}</author>
    <author>tc={5A9B8D81-7644-4A26-A997-E0CE1DA9B838}</author>
    <author>tc={555A1E42-8B37-43B2-A8E8-D16303877393}</author>
    <author>tc={532D9E38-D74D-402B-9E4D-9EA4CE62ACA8}</author>
    <author>tc={03D7AB00-DCA8-4A95-B60C-5F5F10726CC0}</author>
    <author>tc={8391847C-5BC8-4A60-B17F-15B86ADEF264}</author>
    <author>tc={4E9C0006-EAC6-404E-A5B2-75F5A3858EF5}</author>
    <author>tc={0A5DCF23-30D3-4AF6-96B1-F2F08D8A969D}</author>
    <author>tc={D9BD3902-9110-47DA-80FA-A75D27146AF9}</author>
    <author>tc={DD3CA7AE-4E97-4A20-93FA-0F7B06061F3B}</author>
    <author>tc={5BEC5DB4-0220-4961-A505-2D327114B6E3}</author>
    <author>tc={ADDCF0DE-5C81-41E9-8F64-59047580550C}</author>
    <author>tc={067CE3C7-36F4-4D62-94C7-602F22EFFA03}</author>
    <author>tc={F2109830-F467-43D6-A2A6-4342318D467D}</author>
    <author>tc={356C0348-5262-433E-8CA9-F81F9A8CF387}</author>
    <author>tc={B5A43A45-4917-483C-947C-FC803DCBE966}</author>
    <author>tc={8B40ADF8-0EB8-4684-84E1-2FCD804BFC0C}</author>
    <author>tc={9B63B128-1A69-4C00-B5AB-A26E067E51B6}</author>
    <author>tc={D5F5CF33-07C7-4690-BBCA-62477D0B87DD}</author>
    <author>tc={701B8B22-DAC7-4C11-8801-0518688FE484}</author>
    <author>tc={1F80CE13-D851-42E5-8FA1-76F37E65A0E3}</author>
    <author>tc={AA03C9B9-049D-4305-A3DE-3729A13E32BE}</author>
    <author>tc={50F9B4A1-3C1A-420C-AAFF-0336794271E6}</author>
    <author>tc={DAF370D7-9080-4630-A2FC-A0A108F47E67}</author>
    <author>tc={763A8CFC-F7F0-48A7-9ECF-CF2234073D5D}</author>
    <author>tc={2F788641-1E88-4C02-8D8D-271CB89A1865}</author>
    <author>tc={084D3A8F-A1D5-4976-96ED-F8AD01941C7B}</author>
    <author>tc={EF9AEBD9-06A4-496E-A20E-CB3992C792E0}</author>
    <author>tc={1B8841EC-1A4F-491B-AFB3-59A4521E6EAA}</author>
    <author>tc={7D90B668-2E10-43AD-B4B3-7A062687DEB4}</author>
    <author>tc={A322AC9F-B563-4756-AE80-BF0EE06C7018}</author>
    <author>tc={10E73E13-68D3-4231-BCA4-4D83D272323F}</author>
    <author>tc={97DB5D5C-5BF6-4370-8FE6-1CDC81F6AFFF}</author>
    <author>tc={6FAE061C-8228-4706-9B59-46D453BB817D}</author>
    <author>tc={FBF8679C-5A94-482D-BB1A-28052440C2AD}</author>
    <author>tc={56A6E09E-FA0D-4CF1-88F6-411E9929A203}</author>
    <author>tc={AA62B438-3DBD-4E59-A079-ED9B847C86F4}</author>
    <author>tc={409C6FA8-5990-462B-B495-2AF4DA2EEC7E}</author>
    <author>tc={78B1CCEA-4D8A-492B-B842-178F7F6833B8}</author>
    <author>tc={CA5680F7-70E1-4B7A-87C8-C2F97D1DE6AC}</author>
    <author>tc={7AFB0486-2ADE-4602-ACE5-FE0D3FDE2CBA}</author>
    <author>tc={7446D884-EB11-4F26-8CC2-7B99735E9674}</author>
    <author>tc={8DE30A49-F666-41AF-870A-91B0BE7492CB}</author>
    <author>tc={6D0CB4AA-7542-44B0-867F-3408DE52F6EE}</author>
    <author>tc={852650EE-CCCC-480B-8690-930D3CC19F9A}</author>
    <author>tc={F1FE7D41-D3F8-4FC5-AD5F-19E0B0C140DA}</author>
    <author>tc={0A226B18-ABD3-4DA9-82AF-43824F72D866}</author>
    <author>tc={BD83A7AF-E175-4CC4-A5CC-5BF2344797B9}</author>
    <author>tc={D030B906-D1DD-4894-9909-F6F1DCB1B7A9}</author>
    <author>tc={2AF4B1F9-F2A5-49AC-8146-2CEE9CD7F5DF}</author>
    <author>tc={9B54865D-E807-42CD-8200-0721B610EA14}</author>
    <author>tc={13AD609C-4534-49BC-8E54-3772DC61778C}</author>
    <author>tc={2E5C1FBD-B8E5-4FBD-9AF5-9F4876A3FDCF}</author>
    <author>tc={BDB7D31E-DA44-47A2-B452-1C355D1E8422}</author>
    <author>tc={B8FB83D5-200D-4FF0-A8B0-0B56D6190301}</author>
    <author>tc={69E4DB2F-6BFF-4552-82C5-86E5A7655A4A}</author>
    <author>tc={F6227AB7-812A-4F9A-BED2-FAC1B3CCF6B4}</author>
    <author>tc={C6D67498-C41A-4AEA-9DD5-D58E9E00FEBE}</author>
    <author>tc={D4600799-B586-4592-A7A9-F1F5E1EC653A}</author>
    <author>tc={CC7D8BAA-CC39-4EAD-8CA5-9D9C9B1FD52E}</author>
    <author>tc={1539150B-F988-4184-A5D6-7851BCE0189D}</author>
    <author>tc={F7D99709-E949-4C18-9309-42368D23790A}</author>
    <author>tc={690E5EC4-E7D4-4ADA-A0FD-32209A85E96C}</author>
    <author>tc={CF24BFC0-3DF5-4B42-BCC6-D9EF8D26CA31}</author>
    <author>tc={2DF1BB7C-DC03-4F80-B8A0-C68D7DC58099}</author>
    <author>tc={61BF9392-594D-4CD4-B5E3-B1459AC6A5BA}</author>
    <author>tc={750AE89C-539D-4114-98E6-F911C20C41EC}</author>
    <author>tc={6E5AB712-5715-4FF4-B3D7-F88454A761D1}</author>
    <author>tc={F3632649-4392-465D-A49D-0C973CEC3346}</author>
    <author>tc={A1E7F668-9B62-4695-B3BD-148F3AAA84FB}</author>
    <author>tc={EDF17F19-26F6-44D2-993E-F37F145EA5FE}</author>
    <author>tc={F9072073-C3E6-4BEC-AD3B-756B6819D585}</author>
    <author>tc={645A14BA-0093-4F07-A080-BFBF50D6601B}</author>
    <author>tc={970B6F39-649B-498A-B8D9-F02B8B2C1DDE}</author>
    <author>tc={5225A534-DB9F-4A9D-8A0C-57E03F24D93A}</author>
    <author>tc={B3EC9F70-D4B9-4B32-A2EC-8CF1F19BDC50}</author>
    <author>tc={4CF334C7-D4C0-456C-ACCA-DD24980168FD}</author>
    <author>tc={A9A3CE6C-F12B-4BE1-AD5A-C9952D893A2C}</author>
    <author>tc={989C4000-4F18-4E3B-9009-F8021CBE3BEE}</author>
    <author>tc={5918BA6C-6EF7-4F23-8006-36E5DC70445F}</author>
    <author>tc={C423F928-EEAA-4FDA-B65D-1766C80B9027}</author>
    <author>tc={29166656-3F02-499C-ACCD-C29E1E1B206D}</author>
    <author>tc={DA61F91C-1146-4FBD-A29D-BB32BE8F5D94}</author>
    <author>tc={9F12706C-84BB-423F-94F3-5167D6E59B05}</author>
    <author>tc={1307BAAD-08A2-49BF-86A5-132C01A2146F}</author>
    <author>tc={1EB9D53D-AA4F-4596-A57C-D31F5464AEDD}</author>
    <author>tc={6A45A4F7-4B3D-43F5-BB40-2268B2BA0CB8}</author>
    <author>tc={55A48823-1DCA-4821-930F-018A72B2C3AE}</author>
    <author>tc={E816C54D-B608-417A-9953-F4BAB8F6D775}</author>
    <author>tc={603EA3A6-72B2-4951-B23B-8A39BC867FC6}</author>
    <author>tc={EBA5D5D1-ECB5-4593-B156-AE5D4EC43F04}</author>
    <author>tc={148748DC-08A9-44E2-8B44-B06B81D12820}</author>
    <author>tc={1210DB0A-4036-4DAA-B130-AC56C08D2750}</author>
    <author>tc={6E4A491F-CE84-45BB-A7A8-B9DF6E396459}</author>
    <author>tc={1A609E60-F850-460D-AC39-1A8535AA87B3}</author>
    <author>tc={0EE4C2FB-F4C8-4CD7-8CA7-131A1ACC7291}</author>
    <author>tc={E5A1FB40-2B87-42F3-AD29-8CBB60BB351D}</author>
    <author>tc={7A77F1D7-029F-4D9B-9160-A6CA6EE197AF}</author>
    <author>tc={4C8DA586-2759-40F2-A03F-97D1A5D6FB9E}</author>
    <author>tc={5B892590-8EAB-4F09-A1B8-614D83933519}</author>
    <author>tc={72FDD987-AF25-467F-B9B8-CA2349766E39}</author>
    <author>tc={DF2AE9C3-3F18-42DF-AFE9-9EFC5EA8F1C9}</author>
    <author>tc={08EB959B-DAC7-4016-A832-F36FF4801A4C}</author>
    <author>tc={DB69A3F4-B714-4F19-A073-E1FD8E8F466D}</author>
    <author>tc={E22C1F0F-85FD-4AC1-9B96-EDA7CAA41217}</author>
    <author>tc={C25AF161-93D2-4866-AAE6-75D433B0BCEF}</author>
    <author>tc={F5D31C10-6480-4873-BAD8-72FFDD67D07F}</author>
    <author>tc={2691CACF-9887-4C76-A0AF-A099C753D8DF}</author>
    <author>tc={79CD0E53-7709-4DD0-AC03-5F9B0FA982CE}</author>
    <author>tc={476531F1-E032-4751-BD47-3E043F4D52A4}</author>
    <author>tc={3E098CA7-F085-4CBA-9B27-9B83851F14BE}</author>
    <author>tc={2DA61017-BE67-44EF-99F2-4A67DC03D2DE}</author>
    <author>tc={4B11DD18-E614-422E-BED5-DA1FCF25E547}</author>
    <author>tc={A9D88144-D225-4AD9-A875-1BACA27BA77C}</author>
    <author>tc={151683B9-8D3D-490F-A416-BC91F0AAF3B8}</author>
    <author>tc={AD24CEC1-F9EA-4A63-BC36-E602649BE92E}</author>
    <author>tc={23B09246-6B63-45AE-B5CD-12F69BA17418}</author>
    <author>tc={EDC71BBF-8C84-4931-87C1-72D5DFE45E25}</author>
    <author>tc={8E44FE7D-1C5C-4470-B20D-2EAC333093DD}</author>
    <author>tc={B1EF6E43-0B30-4C35-8C5C-148C9CBC1DB9}</author>
    <author>tc={B7731936-F53B-440E-8694-4B59C8C66A9E}</author>
    <author>tc={3B48195A-DC77-4E3D-BD9B-6B83E9A689EF}</author>
    <author>tc={82F61E7C-58A8-4105-8641-11E749557856}</author>
    <author>tc={85A1C76F-89D7-4FFB-9DF1-E1EEE61D832B}</author>
    <author>tc={C1194FF3-AFB9-4387-BBD4-95128BB1DF67}</author>
    <author>tc={48BBB9D6-02A1-4A43-861D-557A5041CCBA}</author>
    <author>tc={226785CF-8A28-4C9D-95FD-DACF6CAD86DE}</author>
    <author>tc={32075BE8-6972-4F99-8CBD-CCADE91C7206}</author>
    <author>tc={043DD539-972E-41F1-9705-F742D25C7272}</author>
    <author>tc={6931CEF6-EC4C-4170-B937-227EB0F63253}</author>
    <author>tc={0C3202A7-EAFD-430C-8EF3-C3FB36C03CCA}</author>
    <author>tc={82911CB5-082B-4F9A-95D9-94C49701D7A7}</author>
    <author>tc={FE908702-7288-4828-BB46-5F5F561D0A83}</author>
    <author>tc={588A9789-A55C-4FB0-9EC5-173B5563007E}</author>
    <author>tc={6A83CD8E-23A1-445B-869F-194471BBA1C9}</author>
    <author>tc={31D0BCE6-B258-419D-812C-8BA5F46DC5E2}</author>
    <author>tc={55BD1E1E-66F6-4AE0-AACC-503CAA4ECDC4}</author>
    <author>tc={BFDA76A7-59B2-4D6A-8ABC-D894FE16BC3F}</author>
    <author>tc={AD7EC6C1-0310-4311-BA4E-A14E2E1E1E6B}</author>
    <author>tc={62696E07-AADA-4AAC-9F9A-A82DBAEBCB97}</author>
    <author>tc={9C8ABC45-2E21-423C-86EB-8EE06283F2EA}</author>
    <author>tc={B16D1CCD-184A-4658-B33D-BCF8C0559814}</author>
    <author>tc={C6F268F7-47CB-425B-90AD-B2A65EB80564}</author>
    <author>tc={EE00D7B6-C8E1-4B79-8BBC-94F74208F069}</author>
    <author>tc={863CDD2C-AACD-4762-92EE-185082102F23}</author>
    <author>tc={DAB62345-B2E9-4AC8-9262-00E796548873}</author>
    <author>tc={FE2C4821-325B-482F-BFDF-918C711F8A23}</author>
    <author>tc={048F3C90-FD31-462B-8CF2-22D928C83059}</author>
    <author>tc={A46F428D-1BF3-4CBC-8799-65F8EEDC1D81}</author>
    <author>tc={EAC1545F-E11D-41BF-9258-030C2D47AECE}</author>
    <author>tc={9D53C978-7F6C-4D67-BE95-FDD9049267BB}</author>
    <author>tc={D3E92A9A-8033-415A-8D8C-C427568E3C89}</author>
    <author>tc={9DE17E31-DA49-4B8B-9C32-EE7F0F8F8637}</author>
    <author>tc={956C9F21-EA65-4950-B7A5-ACEB13BE2696}</author>
    <author>tc={A7108223-70DD-4128-B82A-4709FBAA5202}</author>
    <author>tc={C7546DD9-09B5-4123-8AD6-A2895382F5D5}</author>
    <author>tc={D4DB5EA0-FE3E-4CE3-B5CC-E93C0E803781}</author>
    <author>tc={44B9523C-DFB0-4479-8DBC-295D75B31503}</author>
    <author>tc={EBFEB289-00DC-4BC7-ABD3-008A89EE9776}</author>
    <author>tc={1209A608-6E33-4262-9580-1F68A12C732A}</author>
    <author>tc={CFB5F479-FCCB-42E2-A245-CEEB557C90F0}</author>
    <author>tc={490EEAE4-94DB-4B80-8F8A-D7FF0D5CD5A3}</author>
    <author>tc={C22D358D-AD6A-4278-A3A4-38EF53C97AEF}</author>
    <author>tc={D59EF526-9C79-4F1E-9F82-0D5DAAD7AFAB}</author>
    <author>tc={680217A1-C134-4691-920A-AABC8EE1589F}</author>
    <author>tc={F5157108-FE4E-4D1A-A9C7-3D771E085CB5}</author>
    <author>tc={FF32CE4F-70AE-4639-A8AA-9614DFDE0EB1}</author>
    <author>tc={D113AF16-27FE-4961-A2C6-ABB282C35231}</author>
    <author>tc={893CFC8A-5432-4C38-A073-C3F2EAF65689}</author>
    <author>tc={CD7851AA-E731-47E9-8094-0B3A72386D97}</author>
    <author>tc={74EA6B93-69D1-4A36-B7CE-F197A5D2F59F}</author>
    <author>tc={E8F6993F-CDC3-4CB4-99EB-DD3FC3F4FA82}</author>
    <author>tc={4063A1BD-8EC5-4CFD-9297-FC425E45944C}</author>
    <author>tc={D939C71D-894C-43C5-8EE7-5D31FE28D30D}</author>
    <author>tc={AFAB2A49-39B3-48B1-8A05-6F7433E48357}</author>
    <author>tc={9C197BA0-EB56-42BE-9EE8-C32B7603CCC9}</author>
    <author>tc={5DECDA3C-C90F-4483-A9E5-E87071AAE90A}</author>
    <author>tc={1D7E85DC-4430-4136-BF0C-5267AFFEB46C}</author>
    <author>tc={1198B657-189F-4C08-AE83-90AC0B697B2A}</author>
    <author>tc={193FA874-E15C-444F-B571-1A3DAAFB269B}</author>
    <author>tc={B81B734D-F287-475A-92B5-4A29F4B7E1D9}</author>
    <author>tc={470097A5-B7FB-411E-8485-B6476AD37484}</author>
    <author>tc={A6188013-F0F2-4D94-92B2-39BDD50E686D}</author>
    <author>tc={5C7D08EE-E699-44BA-AD99-82CC65A382BF}</author>
    <author>tc={FE58ABE3-E1E1-4F68-98E6-B29054075E57}</author>
    <author>tc={70764A00-5A18-4568-8706-483A04C1FF61}</author>
    <author>tc={7AC32427-0A30-46CE-B1A1-C132F9F20D72}</author>
    <author>tc={E88CD142-791C-45F4-862D-9CCC16AF9415}</author>
    <author>tc={A4644A5E-E7F2-459A-B43B-3E2B14437C3D}</author>
    <author>tc={8DD7D9EC-1915-4B47-8B02-E19DBD0BB9F9}</author>
    <author>tc={F53EF083-6E06-4212-9FA6-DE47C50E09AE}</author>
    <author>tc={EE8303C1-3AED-4273-A925-D359F012F630}</author>
    <author>tc={F73231B2-D406-48C6-B595-F951D2244AAB}</author>
    <author>tc={36A9238A-4CAD-4A3E-AA92-24E9FD37A307}</author>
    <author>tc={56B7770B-CB44-4E6F-A734-BE13B76441B4}</author>
    <author>tc={264A4906-350E-4E7F-B920-E429240E8CA1}</author>
    <author>tc={EB7E9518-2679-46E6-827C-39600E22800B}</author>
    <author>tc={48F15734-F7F3-4CAA-BAC6-42A3824CCDCB}</author>
    <author>tc={02009F74-A387-49CC-B414-B91F47DE436D}</author>
    <author>tc={EF658464-5CF0-4AAC-B59E-36DAD52CF6F7}</author>
    <author>tc={C2D282EA-C72D-45E1-8451-AE0BB0F63D64}</author>
    <author>tc={0FF37AC9-AC81-4CD7-A042-3CA1CC52E60C}</author>
    <author>tc={E7DC3722-9EF9-4AD6-8023-DE4554142E7E}</author>
    <author>tc={21877B6C-3AD4-42F4-BBFB-F66740812DB0}</author>
    <author>tc={7DDB67A0-538F-47E8-BADA-8F7CC3843265}</author>
    <author>tc={9384A270-44BC-4FF8-834A-D4BB10EB8AD4}</author>
    <author>tc={E84FF78A-C69B-440A-9F53-1E740EB6D5C6}</author>
    <author>tc={CFE8707C-3993-42D9-9098-BDE697995421}</author>
    <author>tc={F5E44EB5-7442-4F75-B8DD-AA385F5B02FC}</author>
    <author>tc={8C984C08-590E-4F99-A7FF-8D7D1363364B}</author>
    <author>tc={FC9B48A9-A0EF-4C06-8905-B056738BBAD4}</author>
    <author>tc={EF2E9444-CE56-47FA-B657-EBDD0240CC35}</author>
    <author>tc={C7DCA92B-03ED-4A3D-80B7-DF9E5851B2C5}</author>
    <author>tc={5D54CF30-103B-4253-A047-9E1E6825D852}</author>
    <author>tc={100C50A2-D8D7-4240-9DBE-D743FC508451}</author>
    <author>tc={926AA437-80E9-4304-951B-E315AE7937B2}</author>
    <author>tc={D92FB227-3C9B-4BB9-876E-5A2AC754DFD2}</author>
    <author>tc={461D6491-9A4B-4A68-8AF1-434EEC1B22C1}</author>
    <author>tc={5964C4E9-80D5-4CAB-AD91-A01FF201A9D0}</author>
    <author>tc={C80C52F1-19A7-4E24-BC34-E943E6EFC95D}</author>
    <author>tc={4ADA8561-CB17-4CAF-8ED8-C96D55A368B5}</author>
    <author>tc={B533323F-F306-4AE3-BFC9-5D8343CD58BC}</author>
    <author>tc={520977AA-D324-4D55-85DD-CBC30D9E02C4}</author>
    <author>tc={4F357F13-186C-49C3-B5EC-436DDC88484B}</author>
    <author>tc={76E8B330-DC6A-46A8-B572-3FCD2829F9DF}</author>
    <author>tc={BA3C8EE5-7D86-4088-8896-9D601A553B26}</author>
    <author>tc={AF8C9EAB-B35E-4FAB-8F07-B5ABD78BA9C4}</author>
    <author>tc={8F54B733-D562-417F-8EF2-3E4E4BB56902}</author>
    <author>tc={B753E7A4-CCC3-4261-809A-C3464480746E}</author>
    <author>tc={57718B83-E8C7-4318-B413-8B8B8D9F826B}</author>
    <author>tc={B1769C04-111A-4DBA-8D98-2A1652FCE74E}</author>
    <author>tc={E390EEB1-666A-4C2F-90C9-84DEA6194A1B}</author>
    <author>tc={629A7E8C-4045-4156-990B-7AEE6CD72E09}</author>
    <author>tc={878914A4-F138-498F-912B-5290E71A1C0F}</author>
    <author>tc={89324F25-1DCE-49EF-ABED-CA2C3E4DA608}</author>
    <author>tc={37FD269D-DCD8-42E6-8382-10B7890CC1EB}</author>
    <author>tc={516E3579-CA14-4AF7-96FE-B91D67487404}</author>
    <author>tc={8DBF6F60-8F5A-426C-90AC-779144469355}</author>
    <author>tc={0996690E-BC69-46A7-A199-D2B7F98DD015}</author>
    <author>tc={2FECB9A8-0FA6-4749-9363-02CD51948C58}</author>
    <author>tc={045F57D4-E7EA-4669-B848-A8FCEE7D7593}</author>
    <author>tc={B1BCF05C-5239-4A29-9A2A-82D8C1E964EC}</author>
    <author>tc={AEFF2BC4-195F-4195-84EB-1D7B735E4B8A}</author>
    <author>tc={DD5163FA-3CA6-4F0B-9D56-A047798C13C0}</author>
    <author>tc={F2FE3F9C-A539-47CA-ADD9-081C0FBA3F65}</author>
    <author>tc={B9FAFA22-E904-43F9-9695-32C72BFE33EB}</author>
    <author>tc={D54C9DB8-3D80-43E1-ACC2-D0EF19560E44}</author>
    <author>tc={A85946FD-039B-43D8-BC4D-656E9CE79EE1}</author>
    <author>tc={D635ACE6-DB8A-4E93-9562-1788764A8170}</author>
    <author>tc={6D112F3E-D495-4201-B202-952223190A75}</author>
    <author>tc={BFEEC916-F2A3-4624-BBA2-7BAD8E8B4B54}</author>
    <author>tc={E26CF187-AFE6-4600-BCE4-D79951BCFA7B}</author>
    <author>tc={3EF810C3-768C-4794-893E-7A09E15BA382}</author>
    <author>tc={7B97E22E-EDAE-4894-850C-5FF0E22CDE2A}</author>
    <author>tc={107AE45E-1E0A-4EF6-A49F-7139A71B416C}</author>
    <author>tc={50AD763B-D597-4E13-892B-7807CD97CD55}</author>
    <author>tc={EC742D31-7D15-475E-9CBC-BB82BBE3F414}</author>
    <author>tc={DBCB8C02-7FCB-4128-AC22-9F8E01A858BD}</author>
    <author>tc={6D5184DC-16F1-4830-A010-3D705D8CE3A7}</author>
    <author>tc={4F6CB9A2-05B7-4123-AAA6-64BC50E939D0}</author>
    <author>tc={54491237-8028-4406-A180-447A11872142}</author>
    <author>tc={EF9D8A7A-50D6-4569-888C-42C8A385AD3C}</author>
    <author>tc={369464B2-89DA-4A93-A4D9-557B5B4A5415}</author>
    <author>tc={2630FAC9-5BA9-489B-BB2F-B00034E8BE28}</author>
    <author>tc={160CBEA5-618A-4C71-93AC-8A436B935E0E}</author>
    <author>tc={DFA5A006-3140-4ED3-B7BD-8BFC775A91F0}</author>
    <author>tc={29FE0CC0-9290-4E20-92DE-6A0E73CAE6E9}</author>
    <author>tc={9642FC48-1D73-429A-9947-FA0F91329F05}</author>
    <author>tc={E61CB7D9-5CB0-4327-9438-98217518D033}</author>
    <author>tc={27524725-E7E9-40DE-97B7-0AB62995C236}</author>
    <author>tc={676191AD-2B49-451C-B366-A237CE2990DD}</author>
    <author>tc={E98AA30E-6167-435D-A19F-C602F610E08C}</author>
    <author>tc={A1D917ED-18BE-4415-8D2C-A05629216A3D}</author>
    <author>tc={07406BB0-F226-464C-878A-EDAE5D7AB14C}</author>
    <author>tc={01EB9CCF-8404-49BD-B02F-49C0F49B38DF}</author>
    <author>tc={4B0EF46E-6CC6-4C4F-9241-8D16769E138B}</author>
    <author>tc={1A008CC0-DE47-4F88-A30F-52A6AA0AC62C}</author>
    <author>tc={51845073-1BDA-46E5-801C-4CCC3551D95A}</author>
    <author>tc={99E4C248-0BAB-43EF-ADE4-FC7E90222062}</author>
    <author>tc={DBD120A1-B744-4F6D-9ADA-BF0D322C2FA3}</author>
    <author>tc={01CB547A-C9D3-48A1-882B-665A2D698AC6}</author>
    <author>tc={C3B12A4C-6DD1-47C0-BF1B-DBF8C5BFC484}</author>
    <author>tc={CE79870A-D4DB-4AEC-82DC-0E4715FB0056}</author>
    <author>tc={09ECCC0A-5BED-4899-B700-0E19C6DF70BB}</author>
    <author>tc={B0D4E26F-7728-4BA8-BFBD-7F377EBE8D66}</author>
    <author>tc={6C543AD5-90A6-4D18-97D9-F218BCEC7D8A}</author>
    <author>tc={5A7F3E07-0427-4709-A0A8-35181114ED40}</author>
    <author>tc={6060A4C6-CDC5-478D-A12A-3B16D79309C1}</author>
    <author>tc={4D17D2EF-1310-4F6A-90A2-BA66097034D8}</author>
    <author>tc={AF5269AF-5BCE-4CE5-BD30-F9627DA1F13A}</author>
    <author>tc={41EB029E-CC1C-4A95-BE9A-5E562D0A4BE4}</author>
    <author>tc={42A7A84B-AC4F-4FE2-B32D-C08D9B1A2B8C}</author>
    <author>tc={9BE9834B-0304-4B11-97F4-85BC752E1EC2}</author>
    <author>tc={6D0C5CAD-79DB-4EAD-B03B-07FEBFF385FC}</author>
    <author>tc={F048EE7B-4032-4864-9EA4-FDBEED6E9491}</author>
    <author>tc={50ED43AB-733A-4EA4-A96D-A39B9EABBA58}</author>
    <author>tc={8A873F35-ED3A-47BE-BCC7-B74FF3367E5A}</author>
    <author>tc={4A46FE15-1128-4FB6-AD35-20A76A424127}</author>
    <author>tc={C44C0CC5-B59B-45ED-873D-7C4B13CF5F8C}</author>
    <author>tc={DE21505F-C000-446C-908D-5354B414E8FE}</author>
    <author>tc={18D2CBDC-5962-4996-98D9-092782CFF7E4}</author>
    <author>tc={60CD54F3-F36C-494E-8EC5-B73D3B758291}</author>
    <author>tc={40CB4999-AA90-40D3-A7D2-74EB2BD5DEF7}</author>
    <author>tc={7EB980C1-4AF0-4E02-A8DF-A01A53538118}</author>
    <author>tc={8CD6184C-D9A4-4A4C-8D8A-2C9FBC982D1B}</author>
    <author>tc={289CEF1A-41FC-4BBE-97B3-BCF81110A157}</author>
    <author>tc={68969976-6B02-49A0-A69D-CE986AAC6157}</author>
    <author>tc={37D5A841-2126-489B-8DCE-C1BD24660390}</author>
    <author>tc={B50AD445-C7A7-4969-B639-B77F0A38F680}</author>
    <author>tc={6BC139D5-1420-4EFB-B2C5-C7732EA2BF2D}</author>
    <author>tc={09FA314E-59CD-46AD-89DD-9394F7BB326C}</author>
    <author>tc={F1766E53-58DB-4348-BF81-72A55EF9F8D1}</author>
    <author>tc={40DD97E0-2E1A-4EB7-BB4C-EEF5DB5A60FA}</author>
    <author>tc={30B9E948-6145-403B-8BAD-A02E27F9C8F2}</author>
    <author>tc={A046BE2F-FE21-4A9E-8D09-DF8C08714BD0}</author>
    <author>tc={9F403FB2-A2E6-4D5B-8DBB-0C24E3B3CEF7}</author>
    <author>tc={DD0B8680-5FB2-45F9-8B47-C78267592B32}</author>
    <author>tc={2AAC7F28-1887-40E8-83D7-F4826A35E04C}</author>
    <author>tc={653EC136-8B7A-469D-B726-9495961AD761}</author>
    <author>tc={CE5570A3-C6D7-4EED-B24F-37E42260BADC}</author>
    <author>tc={06736FF8-877D-4B27-9D7D-6EBD543C8D6A}</author>
    <author>tc={1B11B75F-934D-47DE-848B-8EABF530CD06}</author>
    <author>tc={3E0172DD-61C6-4E3A-9088-5122CCC9F7FB}</author>
    <author>tc={CA144A9F-F5DF-43C0-AFBF-A73F5B44FD7F}</author>
    <author>tc={F544A2F7-EA6B-4F28-9B37-C93E159F8346}</author>
    <author>tc={5CBF229C-5C4D-47B7-B803-746E5CF03AEB}</author>
    <author>tc={18CFE909-66F1-4625-8CCF-059947C74CBE}</author>
    <author>tc={5A5F9BE7-E719-411F-95F5-DB0B1844E0B2}</author>
    <author>tc={6ED39A80-7FB0-43FB-A97C-E85048AB1F20}</author>
    <author>tc={870DD19F-1427-424F-8631-03F97ED7862E}</author>
    <author>tc={9C4A57FF-822F-4A5B-8B7E-44F1E12DD163}</author>
    <author>tc={DEB9A85B-7881-421D-BD71-45ECF10A84EE}</author>
    <author>tc={1BA11079-05FC-4FFB-8419-D6C6A9AC24E6}</author>
    <author>tc={1CAF1E68-2F28-4D1A-858E-706737A0C063}</author>
    <author>tc={B67BC097-243D-4C9D-A5F9-8ABF9089F835}</author>
    <author>tc={B22140D6-7817-4060-8C9C-90CF6423557F}</author>
    <author>tc={E2E925B3-5723-434A-91E1-64B3AC36CD91}</author>
    <author>tc={283A6C53-8D54-4384-939A-EF299F4FB08B}</author>
    <author>tc={9D056F48-7A6F-4C19-8EFC-BDFB5D3942D1}</author>
    <author>tc={4A59A2EC-4CF4-4ACE-BB7A-94DAC51653D0}</author>
    <author>tc={BFB7C3E0-EC08-4D17-8E11-B7BDDA649607}</author>
    <author>tc={7A21B6CF-6637-4334-862D-D710E685F403}</author>
    <author>tc={B4281789-D84F-49C2-93E5-F3E8B9CC7D22}</author>
    <author>tc={B8C24135-25C9-4CA7-B8D5-20FF7CB07959}</author>
    <author>tc={72B3024F-21C2-43EC-BBA3-8074E98A6104}</author>
    <author>tc={CF5714F5-332A-4929-99C3-CF287FACDC34}</author>
    <author>tc={7494DD17-7608-4F86-9755-3BB80333BB6D}</author>
    <author>tc={FE5F75AB-063C-4B25-8886-EBCFEC6432AB}</author>
    <author>tc={78CCE410-5D3D-4EB7-9AA6-78852EE0A521}</author>
    <author>tc={C48C9726-1702-426D-AF3A-9D0C5B5A29F0}</author>
    <author>tc={E330E87D-D8EE-4E47-8E56-C71314D72BBC}</author>
    <author>tc={AC3D90F6-8597-4D9C-8FAF-0BE27A2FFADF}</author>
    <author>tc={9A0D4DCF-05E4-499F-AB72-B3E5968DE7D6}</author>
    <author>tc={2249D2BA-61B6-440B-A65A-3AC0B23F1ABE}</author>
    <author>tc={18DDF235-DC2E-4F6A-96A6-DD245FF129C7}</author>
    <author>tc={B117EFEC-8BA5-4D3B-90D8-3A41DBB39107}</author>
    <author>tc={7A61B03E-548D-4BDB-928F-60A2FAF6ED19}</author>
    <author>tc={5C09D7C8-BBBB-4C51-BB28-B205180AAFB5}</author>
    <author>tc={D45D151F-28CA-468F-9530-FF93208F1D5E}</author>
    <author>tc={33568E7A-21E8-45BD-9655-B048B53F7684}</author>
    <author>tc={F6BA011E-FBFB-4909-A43B-804DE7FFC611}</author>
    <author>tc={4BFB66E3-D2AF-4506-ACB0-A39FF84ED0EB}</author>
    <author>tc={5BE0F5D0-A8CC-4ADB-8D74-321EC1CA6E24}</author>
    <author>tc={3AE4145F-7BFD-4CC0-84F0-81B80E309E05}</author>
    <author>tc={B87D70F9-BFA2-40D4-9227-BCA43959ABA0}</author>
    <author>tc={3BD0925B-8023-4F55-990C-93B6FABE70A5}</author>
    <author>tc={2E7CE695-4836-4D20-A4CA-FFB094174207}</author>
    <author>tc={F5B9D0BC-901C-4914-AF45-9210A9ED41DB}</author>
    <author>tc={E885F1C3-C022-4995-BFCE-632DEB6016D1}</author>
    <author>tc={D78CBF54-5ACC-49C8-9D84-1769F73021C8}</author>
    <author>tc={90AE9824-07D8-4602-BFA8-962EFEFAC632}</author>
    <author>tc={B7920D38-ABB9-4A21-909C-4BE9AE4E6901}</author>
    <author>tc={B934182F-4F21-4DB6-B891-F0A8E999F290}</author>
    <author>tc={EF647802-EC6D-41AA-9540-24B09668B241}</author>
    <author>tc={A8A973EA-E3FE-409B-9193-51CC74F9C921}</author>
    <author>tc={DF83E473-E420-4958-8920-92C91099F268}</author>
    <author>tc={846BD8E3-4FC1-4CF2-9942-FDF82137F343}</author>
    <author>tc={19624F33-0741-4519-8CFD-D4E51C7942F0}</author>
    <author>tc={379D16CC-2CB1-4D42-B003-76A16F485195}</author>
    <author>tc={17AA0038-C8EE-4460-96EA-AFE8AACA9A42}</author>
    <author>tc={04CF51E8-1B74-4AB6-880D-6AE2B89FE3DA}</author>
    <author>tc={1884A18B-1097-4347-A34C-2A4027109AE0}</author>
    <author>tc={B7FBF92C-F34B-42A4-AD6D-A0B5BA17AD62}</author>
    <author>tc={91C03CFB-B325-4CFC-8500-B482674B641E}</author>
    <author>tc={47C732E6-28CA-4F41-8AED-F4DF20F5B0AE}</author>
    <author>tc={BF1C43C3-3430-4E37-896B-A7CD5B94846B}</author>
    <author>tc={30F15980-B691-4B74-9D9F-45B78AD66B41}</author>
    <author>tc={A35496B2-8FF0-4330-BCBB-90BF8DAE633D}</author>
    <author>tc={FF0BB3AE-15FF-4C83-91EC-86288BA30314}</author>
    <author>tc={94B5206A-2565-42DA-AE59-36ED0930D6C8}</author>
    <author>tc={B7CAE51F-6D4E-4289-B344-6972AF5AEEA1}</author>
    <author>tc={CEA44130-ECED-4C8A-B080-D486CC186ADB}</author>
    <author>tc={AB906ED4-0F3F-450D-8740-791DB52F3ECB}</author>
    <author>tc={02FAA5C7-1AAD-42C8-B646-EECC5AE31A5C}</author>
    <author>tc={5E329FAD-5293-4E95-A110-ED76C6B2C21B}</author>
    <author>tc={71E26BA9-8AE6-4915-812D-F0768491A80A}</author>
    <author>tc={B7C92045-9294-42A8-996B-CA5BD6E84715}</author>
    <author>tc={13EE0AA0-EE3A-44B6-98A7-EC816D38D1B7}</author>
    <author>tc={A1C9320E-82BB-4D05-AD54-A75415FA7740}</author>
    <author>tc={DC414FD1-ED87-421F-9319-F57EEF6048A2}</author>
    <author>tc={8C51A445-C237-4550-A526-57C03DEF0C4B}</author>
    <author>tc={247C2AB0-523D-4A99-B83B-D6ABF426ECB6}</author>
    <author>tc={99667648-445F-4A73-BE62-6CAE0882B2CE}</author>
    <author>tc={F8A0CDBA-7AF3-4849-83BC-704B5419DA5E}</author>
    <author>tc={14C425C3-5FC5-4B9C-8381-FD96135E88E9}</author>
    <author>tc={64F75A3C-3378-4591-B0E2-746B5BC6DADE}</author>
    <author>tc={7F746061-0B1D-4139-925B-4E869D464D2C}</author>
    <author>tc={71910D81-872A-4AB6-8A83-DC24DB4B629A}</author>
    <author>tc={52F176AB-6ACA-487C-A287-F55AC9CBB463}</author>
    <author>tc={FA02C3B1-5190-413A-A42D-E73ACEE81E0A}</author>
    <author>tc={5F687EDD-5B5B-4360-99B5-CD6E84C11333}</author>
    <author>tc={A7352C40-3633-4895-8B86-AEACC5A8C1CB}</author>
    <author>tc={23557109-30D8-4528-9720-58D05019D829}</author>
    <author>tc={62D4BCCC-339F-490E-9431-A79F171314E7}</author>
    <author>tc={22032DB2-1847-4D9F-ABEB-460BEF8F92D5}</author>
    <author>tc={901EFA1C-A559-4B21-B6D3-8E9C98B0598E}</author>
    <author>tc={52CAF47E-F78F-4AF1-8897-3CA0A421992D}</author>
    <author>tc={9B2DAE41-0DB9-4D05-9F15-C96BF0521759}</author>
    <author>tc={BAA6BDEA-430B-4309-A983-7A9F685C3026}</author>
    <author>tc={ACCEC4CC-D47A-43DB-ABD7-5603427D8E5E}</author>
    <author>tc={2BA6F30F-9F2A-4B91-AA99-0BADEDFA75DA}</author>
    <author>tc={E1B6F0DB-4225-4887-A149-416F1DCE6A3D}</author>
    <author>tc={507C7101-938B-485B-A51F-B3A7FFCE7267}</author>
    <author>tc={D4D76390-88EB-48CA-A34A-286508878F83}</author>
    <author>tc={B9340F57-BCC3-45B9-9F2D-55F8E7E78EC1}</author>
    <author>tc={ADF92EBD-D58E-43A3-82F4-195261DF1BCC}</author>
    <author>tc={8A4CE5C4-DDCC-4444-A949-4B80DC5D6A2F}</author>
    <author>tc={37320BCF-8240-4F23-95B3-3578C0A80718}</author>
    <author>tc={E7D97889-677F-4F30-BEA4-CAC3733A7AB1}</author>
    <author>tc={EE0BA989-5EDA-4CB9-AF87-2B5DB7DF4253}</author>
    <author>tc={C32D2002-91A6-4420-BB35-E5B8DFA67B13}</author>
    <author>tc={7B343F45-049B-4EC7-A5DA-E92DC0C357C6}</author>
    <author>tc={E0586E23-BF54-4824-913F-7246F9A076B2}</author>
    <author>tc={1DFDF25A-82CE-4EDD-9D48-3BCB0407047C}</author>
    <author>tc={648F128B-5983-4A1F-97ED-62A458B5D0FA}</author>
    <author>tc={3E4E108D-3FEB-45AB-8892-C61C25DE11F5}</author>
    <author>tc={16DCB1D0-F368-4177-8111-CA3EB87E9BB9}</author>
    <author>tc={F39517B4-ED04-4F7A-A133-9D67816D706C}</author>
    <author>tc={FA6FBB38-91F5-43BB-B409-4701E5CF382B}</author>
    <author>tc={A90A137F-143F-40C4-B965-A48833980B00}</author>
    <author>tc={DBA2E7F3-394B-47CB-8E79-A7E077BAD218}</author>
    <author>tc={E2B95D04-8FC3-43D7-AF06-6AD7BD661CEB}</author>
    <author>tc={6DFFC640-CC58-4A7B-AEAE-373761861E56}</author>
    <author>tc={4C2FE7CC-68A1-428B-997A-FFFFEA7EF783}</author>
    <author>tc={63E918E4-399F-41D2-B0E4-06E1E26F2648}</author>
    <author>tc={E85263C2-6D91-4EF0-8AB7-8D2D2B181535}</author>
    <author>tc={C614E182-5254-4FB8-BBE8-2B583261E2CF}</author>
    <author>tc={5490602D-CB71-404F-836B-3CC6F41EFACF}</author>
    <author>tc={77DE0565-8199-4175-A76A-0AA3B99E1FE4}</author>
    <author>tc={03379726-9113-4447-BF55-C7FE0B5630EE}</author>
    <author>tc={E7E318ED-47DE-41C7-A16E-8E1B01CBD824}</author>
    <author>tc={BE36CF01-9C10-4ED2-B3D7-52AC952E48AD}</author>
    <author>tc={4B41DB3D-04BC-4B89-B3E4-F91FBD875AB4}</author>
    <author>tc={97B61639-182A-4F10-AD2A-57D210C919F4}</author>
    <author>tc={E821A9FE-AB54-4DA7-B30F-0E9B33A57A6D}</author>
    <author>tc={B04C5B69-2E27-4143-88BD-0A13204C8CA4}</author>
    <author>tc={CB1994A7-E4C9-4108-9DA1-A3A76C7846EE}</author>
    <author>tc={C4262751-618B-4E4C-871B-F692D15F5D44}</author>
    <author>tc={73499401-055C-44EE-870B-AC384FE57C5E}</author>
    <author>tc={A588FDC2-7CAF-449D-9E04-8B9C4DF575D3}</author>
    <author>tc={1281962E-8D30-491D-8549-1382577AF858}</author>
    <author>tc={79F4F38D-56A4-453A-A757-7AD711D69A62}</author>
    <author>tc={75E97BAA-6F79-4600-A3C6-EB2BEE9DE422}</author>
    <author>tc={694DB4DD-CB61-4B16-BB97-F9538D393C73}</author>
    <author>tc={0E200774-F0AC-4607-9754-C54E26E3F5EE}</author>
    <author>tc={009E2EE4-E2A2-4C4D-A21B-D4606FFF6E45}</author>
    <author>tc={81801941-039B-4EA2-8A3E-B8FF1A5437E3}</author>
    <author>tc={595674EA-C112-4F90-B5DC-C178D713A5B4}</author>
    <author>tc={3C82C625-B651-4501-A1EC-8F6B14C7AEEA}</author>
    <author>tc={DCE603C5-1851-490B-AAAF-119A62E34DE1}</author>
    <author>tc={3873DC50-3D08-4CA8-B631-9503BC2342DD}</author>
    <author>tc={CC87E5AA-F23A-452B-8B8A-7A3562DCF189}</author>
    <author>tc={00DE6531-E0C1-4838-B94B-059DDCBEE641}</author>
    <author>tc={13C37E1A-79FE-49CF-A1B0-B72101C21886}</author>
    <author>tc={B7ED017E-DAC8-4ADB-9766-D1A13DE66148}</author>
    <author>tc={118188F2-1BB3-45B5-8FD3-A5EF33A23474}</author>
    <author>tc={24D0543F-4263-44D5-B555-C2EA7453837B}</author>
    <author>tc={06EBA641-A76D-44F8-B576-D3E4A52E990C}</author>
    <author>tc={82BD54BC-00A3-4484-9400-AA3B95DC42BF}</author>
    <author>tc={DDECFF57-8787-40D7-B339-4FDE2471C993}</author>
    <author>tc={91AC10AF-4E20-4067-82F1-25C63A220195}</author>
    <author>tc={352C20F4-ADCC-4B66-BEA1-D7FEB238B5E9}</author>
    <author>tc={0AC6B31D-9460-48A5-8A74-3D028BB92FFC}</author>
    <author>tc={6BC3C94F-1832-4FAE-BE0F-228D0960F4C1}</author>
    <author>tc={41F8EC18-F01F-4708-92F6-F584EC54CB8A}</author>
    <author>tc={E66155CC-FF43-495F-B1D2-451BDFEFD801}</author>
    <author>tc={08645EB7-2DD4-4FE5-8978-240366EB0077}</author>
    <author>tc={95D9BFF0-1776-4172-B47A-403E2BBF4F2D}</author>
    <author>tc={E5446F6D-0B1A-40A4-818E-B2ACD8D1B45B}</author>
    <author>tc={770731C3-4BD3-4204-9EE7-C55588E3945A}</author>
    <author>tc={A3A93DA3-CD46-426F-B7B0-90B48706AA5C}</author>
    <author>tc={021BBF00-AB23-47CD-B88D-0177CB44C3DB}</author>
    <author>tc={FA85D0FB-4E1E-4363-8FE7-27F611AF7172}</author>
    <author>tc={981ABAC5-7FD7-4241-BB98-95BE9BD6EDDA}</author>
    <author>tc={114FAB0E-106F-4FB6-9486-70CFDC82E233}</author>
    <author>tc={1A106655-EE89-4175-9656-66EFDC310CB1}</author>
    <author>tc={E3BE415C-1ED5-453D-A6D5-BF2F6C3CA372}</author>
    <author>tc={1A949A5E-2F09-43EC-8CC0-61690D8BCB0C}</author>
    <author>tc={FB044F12-CE4F-4D96-B1F5-690E0BDACE12}</author>
    <author>tc={18310A16-14E0-42DF-BBA7-BF5A2FBA9074}</author>
    <author>tc={1F7CD3A6-0179-4E80-824D-64636A76EA63}</author>
    <author>tc={5576DBAF-B3FA-4FBA-A761-9536441D091A}</author>
    <author>tc={921A21B1-4505-40C8-97B3-A65EBCC92A0C}</author>
    <author>tc={210046A5-47C0-4114-94B7-DCE712120ED0}</author>
    <author>tc={97952C19-50A6-4A1D-9583-AD1F5F1A0E40}</author>
    <author>tc={3ACDAB69-C85C-450B-BE67-61FCF3854B81}</author>
    <author>tc={82B65704-B27A-46D1-A7B7-70FBC8507686}</author>
    <author>tc={6E9147E2-1281-4B54-9695-14812A447304}</author>
    <author>tc={2AA65456-F638-4FE1-A873-5C331D379FD1}</author>
    <author>tc={5A177600-03BE-4F3C-8769-879B1D66C88A}</author>
    <author>tc={D7C6ED2F-4164-41A7-A38A-0882CCFC1085}</author>
    <author>tc={945041C8-CA3B-49C8-B2AD-D7464C5D8433}</author>
    <author>tc={46510AFE-6FD5-455B-B401-914607B646DE}</author>
    <author>tc={2B1413FB-3909-4FE6-AB5D-DD4DD6A5703B}</author>
    <author>tc={97C7AE3C-BAB6-4F12-AFF4-13468E8B2CAC}</author>
    <author>tc={5F67713C-E1E5-47F4-9EFB-CEC70D02B4CA}</author>
    <author>tc={DD13AC8C-246F-4E54-899E-B02BE2422A79}</author>
    <author>tc={8AB848BD-CE74-44D2-9475-B78351A6016A}</author>
    <author>tc={3754F1CD-3900-4B2A-92CA-C2265B054549}</author>
    <author>tc={9D55BBF1-D883-4E42-9EF9-FF68056E93C0}</author>
    <author>tc={A863664E-B559-45B7-BF94-E1DA628049F3}</author>
    <author>tc={A93CF9D3-7094-43A4-8354-1FC8A88A2515}</author>
    <author>tc={1160395D-0966-493A-8DA5-37B26795F1FA}</author>
    <author>tc={B8847FCA-5597-46E1-8BC7-7EA436F7FFD1}</author>
    <author>tc={1A557B92-321E-4E3D-B9D7-2D36AEDE724B}</author>
    <author>tc={A7CA2A46-855F-4A02-B6FD-D478611FF8E7}</author>
    <author>tc={630BE036-8F42-4817-AA6B-AB68585A1926}</author>
    <author>tc={659FB1A7-8C29-48A4-AE4F-761438114981}</author>
    <author>tc={D17350CB-3A78-4517-988B-29409A2ADFE1}</author>
    <author>tc={C8559448-DA24-409B-AA1F-08A9B965A311}</author>
    <author>tc={051F0C5A-FC30-4F32-989E-70C8AC743F47}</author>
    <author>tc={13323AC0-4F8B-46C3-8C24-4DBAFDF4C16F}</author>
    <author>tc={1DDBA715-EBB8-4EFF-A2E9-135C67BBD4AD}</author>
    <author>tc={0FCAF5BD-1F65-4BC6-8A4F-8DD583050CA1}</author>
    <author>tc={7B45ED22-40B8-4FC0-B382-2C1DB86BF35C}</author>
    <author>tc={E9888B66-BBB9-4271-A8B3-030FEC5A3080}</author>
    <author>tc={EEFA4CBB-B687-44FA-9243-37BD138220BF}</author>
    <author>tc={CA7E5E13-DCF9-43A8-8453-B29E9D714961}</author>
    <author>tc={EDFB6ACC-DC5B-4852-93AE-23A77204CBD4}</author>
    <author>tc={0148A89F-980C-4C94-AA8B-9F10B49969A0}</author>
    <author>tc={9299F0FB-CF4D-419E-A6FC-F034DDC7BDC6}</author>
    <author>tc={E531C68F-90BD-41D6-B3F9-C1EF450D1B1B}</author>
    <author>tc={6A2F3370-A49B-453C-AB07-4F45CA765842}</author>
    <author>tc={FBD229E4-E5CE-40C0-AF64-CFE8BCB1360D}</author>
    <author>tc={1A247EA0-567D-48E0-8541-5F5297D4DB50}</author>
    <author>tc={F04CBDD9-2D44-4588-8C77-D11263EB27D3}</author>
    <author>tc={EE4CD657-69AB-4E81-8B44-440186A624A5}</author>
    <author>tc={45ECDA01-DF1E-42CC-9953-F01B7AAD61EE}</author>
    <author>tc={6B64655B-BCE4-474E-A7BC-0D22345A7199}</author>
    <author>tc={F3241C2C-CA4E-4E64-84DC-E8C13F851E7D}</author>
    <author>tc={7B680005-2AAF-4A26-9A94-9ABA7A962334}</author>
    <author>tc={5E6DFC83-BA43-460B-AD7F-5FCDFC3E10CD}</author>
    <author>tc={455DD4EF-D359-460E-A429-5264994C8721}</author>
    <author>tc={5C286420-86DB-4837-ACB7-52C24800C207}</author>
    <author>tc={A775D73A-0DA1-4AF2-9CF1-AD48F6061FC4}</author>
    <author>tc={50D3A6B5-ABB8-43CE-926D-E726B1EBBD70}</author>
    <author>tc={A6899375-E8FA-4D1D-B0BF-75F459D6F119}</author>
    <author>tc={9E357E86-6FE0-4EA7-8B34-7EBE112D674D}</author>
    <author>tc={7B7D12AC-30D6-481F-B3C8-8C631CD50752}</author>
    <author>tc={A5A1E4D6-410B-4E3A-AE95-16EF113FF4CE}</author>
    <author>tc={E2C7073F-4F43-4273-A419-F79CEBA670AF}</author>
    <author>tc={56625583-E893-47C5-A27F-E2C5E490F1D2}</author>
    <author>tc={06925E97-56B2-42B7-BD54-5C178D5645A6}</author>
    <author>tc={FEC0DBE1-7030-4013-BFE8-4FD0869458FD}</author>
    <author>tc={EC6104C2-8B6D-410F-909F-68080D35AA6A}</author>
    <author>tc={922E7ADE-28DB-4BF7-A5A8-1F8C94B91B71}</author>
    <author>tc={BAD51E03-9DB3-43D6-997A-479469004BC0}</author>
    <author>tc={3E6C3E98-1422-436C-BABD-E2FA254F1975}</author>
    <author>tc={31C8EBF1-831A-4BFB-ACBB-80F8E08D3716}</author>
    <author>tc={BEA196B4-1F60-4C25-9490-777426D79C58}</author>
    <author>tc={41D873E1-1645-44BA-9774-DB85B9405FE8}</author>
    <author>tc={22B8B6C5-33BF-4194-A42E-3F7FE561AD3E}</author>
    <author>tc={42AB6F60-86F1-424B-9074-39178B9C35AF}</author>
    <author>tc={3D17F4E1-20D7-4B68-B2AB-89F3A7EE59D5}</author>
    <author>tc={A4736CBF-864E-49C8-9148-1D16288E40F2}</author>
    <author>tc={0182A9A2-34E8-47B7-926A-15D7C1C21C3A}</author>
    <author>tc={E9F570B1-DBDC-4730-BF76-FEEFF68C1C67}</author>
    <author>tc={5A58ED54-398A-470B-A020-8C036D03962E}</author>
    <author>tc={CD16DD4E-73D5-4DDE-94B1-E716DBC550ED}</author>
    <author>tc={6D75689C-2962-4804-AFCC-C704DF0A34F1}</author>
    <author>tc={B24D2293-3B65-4FAF-AD64-2B972F09BA43}</author>
    <author>tc={E80C08AC-E0C4-47E1-922B-EED00D4F259C}</author>
    <author>tc={3536D724-4907-4533-9971-B09169A91E29}</author>
    <author>tc={3FEBED46-C97C-4399-AD3B-EFD4F0B432A5}</author>
    <author>tc={BDED5523-6101-4C87-81A7-D259C732B43F}</author>
    <author>tc={794896D4-FB38-457B-9413-AB7455F9A437}</author>
    <author>tc={68DBD32B-94B9-4009-AD20-B7F8B6620A4D}</author>
    <author>tc={8A091108-ACAA-4CF0-BFAD-E89EB39B3EE9}</author>
    <author>tc={811243DA-7EAA-4D53-B068-9A9411CD71BF}</author>
    <author>tc={9F779255-8E0C-4DAB-AD51-5DB19622A5F1}</author>
    <author>tc={FC3E4166-F74E-47B3-B6E8-15DEA63E0A50}</author>
    <author>tc={4193EA55-359C-47D2-9F83-9299695A4EA2}</author>
    <author>tc={91CAD7B6-7A8F-4B18-BC70-1963B5927B41}</author>
    <author>tc={8E1E3405-13C1-4062-9AEE-EAF79D39D1F3}</author>
    <author>tc={70F6E5DA-2D65-4966-B50B-1F2A0EDBB5F5}</author>
    <author>tc={44029AC8-04B7-46BB-8749-B6C6C19E7F8D}</author>
    <author>tc={D1964211-9129-4C79-AE2B-C91928055F18}</author>
    <author>tc={98C0C273-D4B5-4DF9-B912-4551F633C8EE}</author>
    <author>tc={D2CC3162-907C-4705-84DF-5AD48D313389}</author>
    <author>tc={28D34086-0B33-4805-A7C8-AA411FD4F5FB}</author>
    <author>tc={5246E52B-5006-422E-B49F-9AF88EBD3507}</author>
    <author>tc={E7D987B0-9344-4B9A-BC1E-9F4FBAFF0C11}</author>
    <author>tc={896423D6-9B48-48CD-B57F-004169882DB1}</author>
    <author>tc={2FA2F7E2-56A7-446F-A607-65794B482314}</author>
    <author>tc={ACF2B27F-662A-4299-9F00-094081BBA7DB}</author>
    <author>tc={95564E74-2571-4EE3-9821-1A773EEB3692}</author>
    <author>tc={37650225-3951-4F10-A720-AB018892BE5F}</author>
    <author>tc={4BFBEDA4-7106-46F6-A6FA-8AD8B321BF37}</author>
    <author>tc={1CA1AAAE-33F4-4BE7-AEF6-AFC541BEFA41}</author>
    <author>tc={D0914087-C050-449B-AF93-A0E2ABDDE8A5}</author>
    <author>tc={EFE92077-B6E6-491B-9BF5-181335624362}</author>
    <author>tc={F16F296D-C5C4-41C3-93ED-5DFA921D3A90}</author>
    <author>tc={D1FABFA6-252C-44BA-9934-12C59720878F}</author>
    <author>tc={50B85267-84B7-49A7-A7E6-A2318DCD2385}</author>
    <author>tc={B099755A-9A15-41AE-BC53-1079737E8389}</author>
    <author>tc={10DF1ECD-30F0-45A1-B6A6-6C2952BD6E1A}</author>
    <author>tc={AF583139-9F9C-448C-809C-B9DF53A031F1}</author>
    <author>tc={21210687-5940-44F7-8BF7-13A0B08F78B8}</author>
    <author>tc={265F4ACC-09E8-4DEE-AAD8-A258CED2A268}</author>
    <author>tc={0C6015A9-BFF5-40DF-B2A1-7BABAC40ECD3}</author>
    <author>tc={55275ADD-96AA-42AE-92B3-2A389D3707B5}</author>
    <author>tc={E163FA12-2F8D-404B-9240-C99A8A691162}</author>
    <author>tc={C94039D2-92D1-419C-898A-B9AB7AE2D2C4}</author>
    <author>tc={8C5F57ED-1D89-45D3-82C5-6907EEADE02F}</author>
    <author>tc={E28916FA-FF64-4AF7-9BE7-FA581EFC99C6}</author>
    <author>tc={D93D8080-CAAB-4EB7-A0E2-7FD8504A044E}</author>
    <author>tc={75953868-E478-450D-B232-1D70FE62CB62}</author>
    <author>tc={EF7C3FAC-17BF-4D0E-8506-61A8FAA94357}</author>
    <author>tc={3E5E91D2-9FAC-4176-ADD6-269D63E39A5B}</author>
    <author>tc={7BE0CE66-77B5-43FB-8E80-D0A49DD03C59}</author>
    <author>tc={733F27FF-4FE8-463F-8500-789B9964B54E}</author>
    <author>tc={A99EAF18-2511-4BFB-B5AC-EE23ECE3390F}</author>
    <author>tc={36443888-7A32-4E39-9B32-9509A91A1615}</author>
    <author>tc={5DE2F20E-5107-476E-A62C-49665038ECB3}</author>
    <author>tc={F8DA7095-1172-4375-A543-98610DFE3C56}</author>
    <author>tc={D4BC5E68-3500-4A2E-9A16-E8A687FC8EEF}</author>
    <author>tc={657B24D5-8B1B-45D1-8EDB-C70CF1AD812E}</author>
    <author>tc={9CCB9E92-68AE-4D1E-B826-84A49AB4CB7F}</author>
    <author>tc={7D590DE8-8B05-4F92-B02F-ED15807DF5F2}</author>
    <author>tc={5C3AE2A6-CF40-4855-B9EA-F01FEA19B4A2}</author>
    <author>tc={CF3893A4-291F-4E3E-942A-A4FFDCC2AAFB}</author>
    <author>tc={0FA52F15-089D-4E13-A554-F91B6FC42BF7}</author>
    <author>tc={E0FA86FA-C0C2-43CF-8465-8E59C059AF80}</author>
    <author>tc={6EE345FD-4F7E-4E6D-B916-232563930F97}</author>
    <author>tc={3B54FD9D-05CE-4BFF-81DF-DEDE89C8757F}</author>
    <author>tc={DEA1A2D0-8A8C-4C25-B482-19A0F56E72F4}</author>
    <author>tc={A5E00CC0-0876-47D8-B8C3-CC2B9EF0A1AE}</author>
    <author>tc={4C1F8735-B8DD-4CF1-B8B2-CF3C9A1D0AF3}</author>
    <author>tc={DD93B49B-CCCB-444C-B2C7-DF48C7F4339E}</author>
    <author>tc={5AE800EA-F513-49EA-9F86-0522D7D603E2}</author>
    <author>tc={7E156645-9AAF-42B2-8B53-DE02C25F6351}</author>
    <author>tc={B4E784E7-0897-4B13-9CAF-70A845CDF03A}</author>
    <author>tc={EEF92AED-1344-4127-81E2-318C4E1F4043}</author>
    <author>tc={6885AA73-262E-46F5-9793-4182F9E8D472}</author>
    <author>tc={4C0FB669-61E9-4688-B829-FAD83C22875D}</author>
    <author>tc={E1D4D5A1-B062-4D7B-A9D6-E277AF8E8BB7}</author>
    <author>tc={09AA3898-CDB7-4DF4-BD64-F310EAE113CC}</author>
    <author>tc={03D295F8-A74D-469F-99BB-0273EE57218B}</author>
    <author>tc={3EFEB9E3-7BED-4ABD-BCBB-10499338D6D0}</author>
    <author>tc={0B217E59-5730-4AE5-AD06-D399AF84529A}</author>
    <author>tc={CA4F837D-20F5-44D5-A1C8-EEAE754B4FE6}</author>
    <author>tc={5EAE3B50-DECB-4C1B-90AC-14D28F28A254}</author>
    <author>tc={A1FA9983-BD1B-4722-99A6-495C3D411176}</author>
    <author>tc={4937E2CB-D80E-4263-8C71-D4CBFE10A8C3}</author>
    <author>tc={BC67A346-BC53-4DBF-9592-2F810CD46C6E}</author>
    <author>tc={D7C7C0F9-4C44-414A-B529-97BD87DE2764}</author>
    <author>tc={F7B4FB82-1D10-4CDE-86D3-BF841B22980F}</author>
    <author>tc={2AA9D03D-395B-4BBA-B57C-FE7B59CD0F3C}</author>
    <author>tc={8571C04F-DBA5-4024-B1CB-77BA2691F8E5}</author>
    <author>tc={67B771D5-C158-4F79-839E-78C7E9710D99}</author>
    <author>tc={2A514BEF-91B0-482D-8B3F-BC3232A41B57}</author>
    <author>tc={96323C1A-5561-4336-BF1E-F5359770129A}</author>
    <author>tc={517EA195-A998-4A33-91E2-6928B01E8A42}</author>
    <author>tc={B8674468-682D-4A82-B992-98D16066DA86}</author>
    <author>tc={C13CB20F-7C24-4C76-A57E-1B1CD6DE98A1}</author>
    <author>tc={7146C99C-17CF-4DB6-BBDA-44E5EF5164F4}</author>
    <author>tc={29219D50-1407-4B8B-8D20-42E1F37B1B3B}</author>
    <author>tc={BFECBDC4-29B9-4105-9270-97D49FB7B937}</author>
    <author>tc={7423F379-2F86-4EFA-9E64-C515EA6109ED}</author>
    <author>tc={6C5FC42E-3B3E-4512-AE08-36B59AB40A3E}</author>
    <author>tc={9F07A900-37F7-4613-81E7-395618D60E62}</author>
    <author>tc={147EDB57-57CD-424F-9072-016D561639EE}</author>
    <author>tc={080D3163-B8F4-4A8C-898B-C1CB03B4687B}</author>
    <author>tc={AC1635E8-4563-48A8-AD51-A0FFA46CBEDF}</author>
    <author>tc={B03147DC-A579-4853-A91C-5E5159DF26CC}</author>
    <author>tc={BC979582-0502-4E3C-AE8A-E82CFB74FD1F}</author>
    <author>tc={821C906F-A5E6-4709-8AFC-BBCC18D5F71E}</author>
    <author>tc={8EC480C3-A7C7-4851-A90E-5BE131CF4058}</author>
    <author>tc={4645422B-F281-4945-9AA1-D3DA643BFDEA}</author>
    <author>tc={957C0FA2-F2B7-467F-9240-DD598213B43A}</author>
    <author>tc={62117EC4-835D-45AF-91B5-D5A5478A9D86}</author>
    <author>tc={A8C3A3F4-A2CE-4543-95C4-F80D42BECE76}</author>
    <author>tc={C2BCF594-5885-4CF5-8994-1483FD37AF4A}</author>
    <author>tc={B658EA57-25E0-44F0-98B6-297F4F7CDA46}</author>
    <author>tc={C95A5009-2062-4548-AC1C-B1A38DA9FFE0}</author>
    <author>tc={3E56F368-420E-418E-BA76-5823696C8565}</author>
    <author>tc={76822102-9272-4F56-BBAB-B08828D9D9D3}</author>
    <author>tc={67C3153D-A46C-4BBF-8E74-D825C2BA1E75}</author>
    <author>tc={01530792-7240-4E6A-89C3-B429DEA418EF}</author>
    <author>tc={419F1E9B-22BD-495B-995A-C99A9AADF6FC}</author>
    <author>tc={26D13F3C-3C0C-4009-AF38-A399BD9EFF8A}</author>
    <author>tc={7707FAE9-70FC-43D1-8709-B8ACDB77CC2D}</author>
    <author>tc={36B57105-18A8-4879-A245-3659FC12FF9B}</author>
    <author>tc={76671DBA-F3BF-4EAE-A481-210E2AB5A82D}</author>
    <author>tc={8DC4AA6D-8545-46D2-8D36-58E221408266}</author>
    <author>tc={5B501F06-B6D0-4610-9F7F-1EB73622B00D}</author>
    <author>tc={2ECD9C42-821F-48DB-BFD9-B902AD562FBE}</author>
    <author>tc={A3FFA5BD-3151-4767-A001-5D04399D6BDF}</author>
    <author>tc={E6215150-07DB-4718-90D8-253F5DBFFBA1}</author>
    <author>tc={CB1F6B4F-EFB6-490F-A92F-DC7258EE2C5A}</author>
    <author>tc={39A1AECD-183C-4599-9D0F-7638906735A5}</author>
    <author>tc={44F0650F-EB5A-42BB-AEC0-344FE1C569B0}</author>
    <author>tc={0803236E-B7F2-478E-8803-665F70EFC42E}</author>
    <author>tc={8B8D86CD-6D8B-439C-919D-DEC3EF4FB4F8}</author>
    <author>tc={4CE61755-33E3-4FC0-A63F-C888C8889193}</author>
    <author>tc={69E2519F-94D0-4E1A-8279-8BCBBFD5A0D9}</author>
    <author>tc={054891D0-AAD7-484B-966D-862555786A34}</author>
    <author>tc={FD1D6394-6EC6-498E-962B-9E04720343E4}</author>
    <author>tc={02F96330-1EB5-404E-8383-81F6B2D35CED}</author>
    <author>tc={E9CA4061-69A5-448D-A615-6C9AC31AE40B}</author>
    <author>tc={A48AF448-3671-401E-A38F-E4C510075146}</author>
    <author>tc={80A9EAE3-A24C-4D67-B10F-D99D035B08F0}</author>
    <author>tc={BA815B1F-54B0-405C-8A0B-9A38D165A009}</author>
    <author>tc={D71D84DA-0326-4F05-970E-FE3B4368E172}</author>
    <author>tc={65BA72BD-21F8-4DA6-AEED-1456DB2DBA2E}</author>
    <author>tc={ED34F4CF-0094-419B-AC22-BB50C23A4F65}</author>
    <author>tc={47B4C12F-8A02-4C1C-A06F-6C653E9B2687}</author>
    <author>tc={5822140C-F6F1-48C1-A4E2-5D725B11E6D5}</author>
    <author>tc={A851F6BA-EF20-4D73-B1A5-0C55F3E73227}</author>
    <author>tc={FC11B3CC-7376-4986-B7EA-7F3033CDA2CD}</author>
    <author>tc={51242197-6E35-42A7-84DA-560D82D3E03D}</author>
    <author>tc={4C7193B2-9EDB-4CC0-86FA-D959004F74B6}</author>
    <author>tc={8E135A07-3C75-411D-A71F-D391B6A0F170}</author>
    <author>tc={329E35FC-2324-44F6-B354-10943FAC4050}</author>
    <author>tc={9954A9D6-54EA-4FFB-A3F6-C8F74819579E}</author>
    <author>tc={5F23F22A-5677-43A0-A3FE-2FA48DBE4996}</author>
    <author>tc={F28BF44C-5B91-4B36-9609-EE4516DA0624}</author>
    <author>tc={41FD69EF-06FA-4B13-8E22-5732A65F4C60}</author>
    <author>tc={86C091E7-8DBB-4F15-9F49-BE33CD3C5363}</author>
    <author>tc={CCEC19B6-8783-46AA-A201-EB3E2523D9B1}</author>
    <author>tc={D6F8F383-5622-43FF-9F0C-10132BB9FE97}</author>
    <author>tc={FC44BFF9-C7F5-46EC-85C4-E3E200871CEE}</author>
    <author>tc={E47D55E4-128A-478D-B4F4-E1C85B92240B}</author>
    <author>tc={69F56C79-7C6A-4C0B-8511-AE3BF4AD8DF9}</author>
    <author>tc={F9D9C636-15EE-4AD2-9EBD-480FA06BD963}</author>
    <author>tc={D4F2D404-116B-41FE-A9D3-21D9A37E5CF8}</author>
    <author>tc={3C832FF4-8259-4FB8-AB92-6D3F65DF152D}</author>
    <author>tc={2321FB55-8FF5-411B-A67F-CFC50DA5A7CC}</author>
    <author>tc={20DAEFB8-E8E3-4390-BB53-3586ED8DF9EC}</author>
    <author>tc={8C18A04B-9A81-4599-983E-F7BE0B821814}</author>
    <author>tc={6CBFE22F-9492-4AE5-ACE6-CC8068870BAE}</author>
    <author>tc={CFBAC99C-38B2-4F6A-B52A-881E340129E8}</author>
    <author>tc={7480F9BC-162D-43E8-9975-86D86250694A}</author>
    <author>tc={1063D96C-1443-4EC5-B155-F96A0B9F2C0F}</author>
    <author>tc={840155F7-CC01-4DE0-8CF5-AFAE9540D70A}</author>
    <author>tc={E7BEB049-7E0D-4601-B94E-A98C9895948A}</author>
    <author>tc={DAD503D6-EC72-4EFE-BFF6-4C00C1F6EC3B}</author>
    <author>tc={5D1BA713-B06E-4D96-A9F8-DBBAD88AFEDA}</author>
    <author>tc={6E44A76D-6223-4B54-922F-61B954A2F3B6}</author>
    <author>tc={8B950513-E47E-4DC6-955E-AD290E3537CD}</author>
    <author>tc={EF59CA44-DAE3-41A0-92B5-4174AF60CCB2}</author>
    <author>tc={9B87349F-B73A-4113-84EF-A7C0F0DDC26E}</author>
    <author>tc={4923631A-1CC1-4726-AB23-3684ACE4E0A0}</author>
    <author>tc={D70EFA39-05C4-408C-92A0-59B647620A3B}</author>
    <author>tc={EB686811-DEEF-440A-BC96-6CEAC93C7F74}</author>
    <author>tc={9BB1AE32-6F28-4CD2-8B66-C45A99346249}</author>
    <author>tc={411E134B-BFB9-4428-95B5-C24AD5C2EDE9}</author>
    <author>tc={17B803F0-96C0-4F5A-BE01-85426233DB1A}</author>
    <author>tc={6C2C2D39-BB34-4310-8E21-356563E2084C}</author>
    <author>tc={3BB80F19-5BFC-4002-9876-2426AC001879}</author>
    <author>tc={D4DA25B9-A56D-4742-A153-5AFB2918E74E}</author>
    <author>tc={93FDD004-C342-4F82-80A5-82A02F486B1D}</author>
    <author>tc={9E02D9E4-68A8-491B-AAD9-D2413C4A2026}</author>
    <author>tc={9705BF17-8586-49E3-BE3F-E296CC3BE403}</author>
    <author>tc={8DB32713-0603-4D70-94CA-3E4A87B5E80F}</author>
    <author>tc={EEDEA9AE-3D08-453A-B8F8-9558B5D33B58}</author>
    <author>tc={51E9734B-FB3A-4B87-88DF-7081383027A8}</author>
    <author>tc={90AC997E-A2D0-4A69-83E5-D68583F6EFCB}</author>
    <author>tc={7298D922-821A-44E3-9DFE-5A9EBFAFC195}</author>
    <author>tc={3A5034C0-EA6F-4D51-BD33-F6A56A7E7F24}</author>
    <author>tc={9127B8DB-6192-4BD2-BFD8-527BEB47BCB9}</author>
    <author>tc={B9318196-3816-4667-A952-DC637E33612E}</author>
    <author>tc={1132E7CA-AE43-4B85-B95F-CB2BD91B81B5}</author>
    <author>tc={5E2E4F56-4A62-49E2-BC6C-3B218F6B4AC6}</author>
    <author>tc={46308E17-695E-427A-9B71-BD3C36269615}</author>
    <author>tc={B6764029-E242-496C-988A-8BA8061E23EA}</author>
    <author>tc={B1C532B3-E2D6-426C-865A-D44E620660BF}</author>
    <author>tc={57CF2297-D915-4911-AEA4-DD0013AC0448}</author>
    <author>tc={EC48BDCA-A109-46EC-A76C-6E8EF457BF51}</author>
    <author>tc={CECD8198-2E30-4CA5-B762-4F8E30D1FD48}</author>
    <author>tc={13F21EFE-4814-4190-9BF5-2C286A9AC35B}</author>
    <author>tc={6EA4F9F4-EECE-46A8-B437-DF5EC5E2FFF9}</author>
    <author>tc={368DF3A0-1E98-4BE1-ADD8-1B29FFF5ABE5}</author>
    <author>tc={8C3B25B4-B186-465C-A442-F63298D03C5B}</author>
    <author>tc={64853283-C028-4872-9E3A-2510A1C634CF}</author>
    <author>tc={6419460D-C473-4988-913E-1481D9DDBC53}</author>
    <author>tc={1894167E-CB5F-407C-9089-968C50849A23}</author>
    <author>tc={50491DCF-3BEF-44A4-8D4E-302982AA2358}</author>
    <author>tc={B0256E46-A446-45D0-89D2-DB5C8703248E}</author>
    <author>tc={D28BEAAF-A9BD-4817-94F7-33CA49BA5DBA}</author>
    <author>tc={5C9C0716-6F1A-4C58-9DA9-026537CC1930}</author>
    <author>tc={96689643-DFD1-4824-B918-394C214D7994}</author>
    <author>tc={E785F3D0-A3A3-4D85-A149-7197FB3D6B30}</author>
    <author>tc={DDAFFB16-C276-4C14-B904-10339C424FA5}</author>
    <author>tc={3F40117E-63E1-474A-B57C-2094C2E6386F}</author>
    <author>tc={D6B81460-BB5E-4A08-9C4E-5B738CCEECC3}</author>
    <author>tc={75B69BF6-3C1A-4711-B5AD-078AC5552870}</author>
    <author>tc={089ECB04-8492-4482-90CE-313A9A5FC81D}</author>
    <author>tc={0580A1B7-BB26-420A-B057-020B304796DC}</author>
    <author>tc={4CC0BE0D-E182-423E-8C28-EA36ADA62A24}</author>
    <author>tc={6002DB05-0EEC-43C5-837C-D2DE0BDB98F1}</author>
    <author>tc={1B4F1B1F-E3D0-4469-B329-7CCDA5B6BFB9}</author>
    <author>tc={169A157A-7705-44AC-9553-223528146F42}</author>
    <author>tc={AEAB144B-7DD7-4F8D-96FD-3E90B65BB106}</author>
    <author>tc={629F965C-7873-404E-934A-79C9F8C8E99B}</author>
    <author>tc={34455306-D0A4-4917-B749-F4D59C613160}</author>
    <author>tc={701BDBC0-E46B-4891-88DC-B02BD051F7BA}</author>
    <author>tc={EA2F1C79-2465-4163-AD4A-34EC2CDA5775}</author>
    <author>tc={7737E3A1-BB25-41E5-88FF-0E971D0E6623}</author>
    <author>tc={22E45879-5A29-4081-B1EA-F6FB0F4CB45D}</author>
    <author>tc={CCE122AA-4786-420E-B871-3E5BD97ED6D1}</author>
    <author>tc={067C22EB-4518-41EF-B446-03E7329DB6EC}</author>
    <author>tc={A54F3BF3-4F4E-463F-BB70-A1BFD1492B13}</author>
    <author>tc={AE06D085-806E-4673-8469-4D201FB67457}</author>
    <author>tc={472E5838-F3CA-4901-9660-B40DE562447E}</author>
    <author>tc={ED6823C4-A63F-448E-9472-A0BA4BC37FCE}</author>
    <author>tc={FC4D03A9-4837-4451-B4DC-5EEE05A35C07}</author>
    <author>tc={66B080BF-8162-4F1C-908A-96293BEF0BC6}</author>
    <author>tc={94C5817F-2775-46ED-B857-D33E52E18F98}</author>
    <author>tc={76D82A73-2D36-4A9C-8613-7AD7E3EE7388}</author>
    <author>tc={80215076-A541-4CFD-A15A-D5B16DB0044D}</author>
    <author>tc={D12AF2A9-D398-4A1B-88D3-9AD8E713C319}</author>
    <author>tc={D7FBB7A7-5DFD-476F-A78C-FC4CA81675AE}</author>
    <author>tc={E173EE7A-B86E-4665-83B4-1100C3AA1381}</author>
    <author>tc={3384FB9C-22D9-42E3-AF30-E3B10AF6A9E3}</author>
    <author>tc={9083943E-7ABD-4900-8ADF-E79B36077BF1}</author>
    <author>tc={75B8E5E0-2C7D-4E19-8EA4-868241EB260F}</author>
    <author>tc={F045C50C-AC2B-4C9B-AAF9-F68925773196}</author>
    <author>tc={179F5E82-80B3-445C-9B1F-3A28E69D5361}</author>
    <author>tc={F297C69A-0B9C-4C5A-9D7F-34F78EB453FE}</author>
    <author>tc={C85CE6C1-C3BF-4FCD-BA3C-FA35D90964DE}</author>
    <author>tc={E8F12BEE-6F44-4386-9993-B40D8098475B}</author>
    <author>tc={5A68D3EF-1E68-404D-B01B-E6E74A56EFCB}</author>
    <author>tc={80F4E380-E79A-4678-B179-1AFB825F8881}</author>
    <author>tc={18FF4FC8-CBF5-43A9-8FDB-6793F11AB097}</author>
    <author>tc={4A33ACB9-976D-426D-A919-622FA38651D2}</author>
    <author>tc={D47C4EE7-E03E-4D9C-8FF6-F237554E50DC}</author>
    <author>tc={E8DBEC5B-1BFB-4CB1-8624-45D204A77078}</author>
    <author>tc={9A4AA253-1814-41EE-9C84-CDA2A9CFC368}</author>
    <author>tc={6C74C3AE-AE93-439E-8677-6E17725E02E7}</author>
    <author>tc={80ADA2D6-664D-4773-A1AD-41611421D8EB}</author>
    <author>tc={BFD864F5-639B-4C2C-A8E2-268D0A3DD19F}</author>
    <author>tc={03FDE406-3C86-45E5-AFE5-E4DF38D5995B}</author>
    <author>tc={BFDF8267-1AC0-4827-9356-76874315826A}</author>
    <author>tc={2C32E539-A71B-4B64-90EC-5FF0AE08BD36}</author>
    <author>tc={1579E880-9D23-48D8-B268-B1BE76EDC676}</author>
    <author>tc={C66DCC61-9525-4BC4-B786-184D68164576}</author>
    <author>tc={5326B477-B13F-4BD9-B91D-BCF007692DF4}</author>
    <author>tc={91964421-AADF-4C5A-AD59-A8328781B12E}</author>
    <author>tc={D5869AB8-DC98-46EF-955A-29DD97FF975F}</author>
    <author>tc={73D79502-3F08-4F29-AD3E-15654521A4B1}</author>
    <author>tc={A4EEA5BD-C8EB-485A-ADE9-050118E4C7B5}</author>
    <author>tc={22FFC5C8-957D-43D6-865F-95BE70138AEE}</author>
    <author>tc={48958E5E-17D1-4456-90FB-51442E31E550}</author>
    <author>tc={A729D17D-64BD-4B99-9644-F2335E5816DA}</author>
    <author>tc={D1A9A9D6-8760-4C70-8387-EC1BB0493CB4}</author>
    <author>tc={8FE54386-E760-40FD-81B3-226290475CD3}</author>
    <author>tc={DEE917F1-74CA-430C-BADA-3CB359F700E1}</author>
    <author>tc={8EDF8443-9A3D-47B2-8A27-2EAFC21027BB}</author>
    <author>tc={0CF9AB42-0513-43BF-9AB3-768752E6CAFE}</author>
    <author>tc={BFEADB6D-6816-42A3-88FE-2CB17591EFF0}</author>
    <author>tc={FE566827-C807-4391-9177-8E79FC567C73}</author>
    <author>tc={EF321EEC-F981-4363-B529-3522E03093E4}</author>
    <author>tc={50A897FE-7B6C-4561-879B-7739CD884D90}</author>
    <author>tc={0D14E5E1-D162-45EC-A2DD-B18B4E245F88}</author>
    <author>tc={ADECABCF-F2CC-44FA-8742-18B59EFBBC8A}</author>
    <author>tc={B7687620-CC19-40A6-A28D-648363397170}</author>
    <author>tc={14ABC117-0CAC-48B1-9CAE-165CB6A5FC8E}</author>
    <author>tc={089A30C7-D0BD-4A50-9671-05B090A7E2A4}</author>
    <author>tc={12C0535D-2917-4922-9847-68A86657C57D}</author>
    <author>tc={ADA9871D-37CE-4615-82CA-2627183587B9}</author>
    <author>tc={8CBACAA1-7043-43F4-85E6-AF1CFBA3D826}</author>
    <author>tc={2524634C-6CD9-45BE-9243-A81DE6159A7C}</author>
    <author>tc={E6AD78F4-085C-4764-9102-CB0A5025080F}</author>
    <author>tc={B38DA55B-E870-492E-873A-1390FC23FB73}</author>
    <author>tc={D365018D-D674-4582-9859-39F6C17414DE}</author>
    <author>tc={4BC2BE94-F7D6-4B25-B109-64C6EEDB1FE9}</author>
    <author>tc={83FA497C-8D4F-4BC4-B3E7-A777C5A35008}</author>
    <author>tc={B320EAF3-A8B3-4E40-A58C-54A52E92F049}</author>
    <author>tc={2BEC0334-FE25-4598-AB3A-0B45BDCF5EED}</author>
    <author>tc={2E8DA9B4-1232-4313-BE73-A4052195539E}</author>
    <author>tc={DD9EEDB9-E541-4F86-833E-25006E8719DA}</author>
    <author>tc={56EF9C3D-9B8A-470A-8D67-134EAE18398F}</author>
    <author>tc={51890101-5569-4903-BAAF-9BE96BAAEF05}</author>
    <author>tc={48D49265-0982-4A29-AE0A-D1E75E42BB37}</author>
    <author>tc={1D8645C3-1B49-4B83-A666-2355D1FB4044}</author>
    <author>tc={778E9CF8-CF11-4C5A-9E08-C6BB29CEF690}</author>
    <author>tc={79AD4FA1-8F7C-46E8-8725-8A625D707AC0}</author>
    <author>tc={53AB567E-E7E4-4AD1-B92D-1108D3107FE5}</author>
    <author>tc={4A5CF8E9-24DC-49AE-A9AA-17E449346772}</author>
    <author>tc={C5C62E3C-3980-447E-BF5E-FBD69485DCDB}</author>
    <author>tc={70CD3967-CA7C-4B8E-9EDE-0053706AE69F}</author>
    <author>tc={7514669F-C4F5-417E-B312-2E67004B656F}</author>
    <author>tc={89493FE1-AD6C-4BBD-B8E4-833168DACA32}</author>
    <author>tc={98B402F5-C5A4-4053-941D-B86DF6C7DCB4}</author>
    <author>tc={03A875C5-4CA2-4AB2-B857-85A024125E89}</author>
    <author>tc={62A9F47E-ED88-499A-AFBA-5621E6A18C17}</author>
    <author>tc={27C5B944-2D64-4A95-97C2-B6114097B527}</author>
    <author>tc={2A7512C9-0C51-4B6D-80CC-D7E4D49C25A0}</author>
    <author>tc={CB295B09-C151-46ED-8A11-B9C7450439EE}</author>
    <author>tc={16DC8309-C212-4C33-B512-BDE230FE15FB}</author>
    <author>tc={4AC76E45-F946-4B53-901D-C38B7B0277DF}</author>
    <author>tc={D110B7AB-7549-4595-84B2-FF3E306333EA}</author>
    <author>tc={031AA329-ACEF-407A-9AEC-829320AA2468}</author>
    <author>tc={F5875644-EDED-4DAF-8220-E59C7C1B2288}</author>
    <author>tc={CD4D4AE5-19E2-4522-BFA1-7AA8496ADF31}</author>
    <author>tc={3BE15EFC-A94B-477D-9FAB-DC187FF1BC15}</author>
    <author>tc={F782E521-01C0-4156-BD24-CA508CEE10D3}</author>
    <author>tc={68D741EE-45C3-4EB9-9075-831202969E83}</author>
    <author>tc={CB1DEB5C-B59E-4563-A631-1D9ADDECC343}</author>
    <author>tc={EE4C40E6-01A6-4597-B575-AF15E9AFB0AB}</author>
    <author>tc={6D0A2F5F-F77A-424A-8730-2DCFB71ED2C9}</author>
    <author>tc={85E19C8C-DB4B-44BF-B44B-6D52BB5A3900}</author>
    <author>tc={A66C5937-B8BF-499E-958C-58A863A094AD}</author>
    <author>tc={83F07305-9DEA-4FFE-A6F7-264420C742B7}</author>
    <author>tc={0EF4D216-CDEC-43D7-9CBE-412A3168FC59}</author>
    <author>tc={1D2984A2-D13A-4D3D-93D8-731C7C0AFC4F}</author>
    <author>tc={C341B23B-C962-49D5-91AB-9C9710C4E3A6}</author>
    <author>tc={0AC0B1C9-F164-4C2F-B159-F02C19D92C46}</author>
    <author>tc={EE3DF3DD-87EF-412E-9D8E-99055658F905}</author>
    <author>tc={111490EC-D3BB-4163-B159-12E1B94EEC65}</author>
    <author>tc={B44BA4ED-DD8E-4E45-A330-B3A1A1BD2368}</author>
    <author>tc={8DAE3780-74EB-46D2-887C-95349A267C52}</author>
    <author>tc={38CFBE17-A7F9-464E-9062-4E953E91C140}</author>
    <author>tc={821EB1D4-F2DE-4382-9137-9498480240E7}</author>
    <author>tc={BA5392F2-B990-4F7F-A3A4-65CC6E90B1E2}</author>
    <author>tc={AAE2934E-B968-49E5-A2D6-CE04A9208E42}</author>
    <author>tc={7CF1D6FE-7F10-4865-8362-0C2215275177}</author>
    <author>tc={75EB7FA2-3944-4235-B673-77DFF2875C63}</author>
    <author>tc={AF5A5EE5-71AB-4830-B684-6FA163FF4C21}</author>
    <author>tc={3DC4A0E2-2B9F-40BA-87EA-23FD7B8788F2}</author>
    <author>tc={B8D4FAF7-3727-4631-A008-DA2A12D80E29}</author>
    <author>tc={5AA94885-6D13-45DA-B872-245D1AF002ED}</author>
    <author>tc={47B47FB0-FB16-4554-862A-A9578F639BA0}</author>
    <author>tc={2C94F024-875D-4CC5-9263-3FA41C4CD1C9}</author>
    <author>tc={296F3339-B498-4FA2-B142-1D22B3DCFB93}</author>
    <author>tc={F338E4E1-1A6F-46E1-81D4-CD77641C313E}</author>
    <author>tc={1A26520E-DC15-41A6-B1B1-6C3710300426}</author>
    <author>tc={A5CC20ED-4042-45F4-B61C-1E6DB971921D}</author>
    <author>tc={C765D0A5-2C2B-46AB-B40A-09301C8FEC35}</author>
    <author>tc={F5B9635C-BFB8-4524-8642-27262CCFFD4D}</author>
    <author>tc={38A0EFDC-E445-42BA-9F1F-F2048742F236}</author>
    <author>tc={BBC5B6D0-8AA4-442E-8A69-7643F336BA34}</author>
    <author>tc={14186D22-B33F-4345-BA73-2ED4D89D0ABA}</author>
    <author>tc={88C61FE8-225C-4E57-88C0-DEAB9B1B7B44}</author>
    <author>tc={4513E58C-9BB9-4520-866F-F94E1C11F2ED}</author>
    <author>tc={54785869-0DC7-4211-AAA4-D407451FFB29}</author>
    <author>tc={B5ED8D56-5FDD-4EAC-8E99-1D395E5921D5}</author>
    <author>tc={F1157FD3-24C8-4197-82AA-59D6EFBC6969}</author>
    <author>tc={25BC8BED-FEAF-4B45-A759-02BDB2415AA7}</author>
    <author>tc={0466D18A-E2B1-4C16-9438-F3B55C2761F2}</author>
    <author>tc={3AD450DA-40F1-4069-B6B8-BC31C455D7B6}</author>
    <author>tc={F2FCE459-3005-43B6-9A74-7FBF84171B2E}</author>
    <author>tc={09BF6076-BB44-4E8D-B9FE-F51F20EC6F0D}</author>
    <author>tc={CEFD1877-912F-4889-9873-37BAEA749E64}</author>
    <author>tc={096808BB-CCCC-483D-A80B-9440F0C6DE1C}</author>
    <author>tc={0081DFCB-6810-4022-A1F0-429010DF142E}</author>
    <author>tc={D15EB8CF-01A4-4841-AB33-14E923BBE1E2}</author>
    <author>tc={C4437E7E-941F-4F9A-9515-15340E89D51C}</author>
    <author>tc={8FFD1D46-E3B2-4257-BB1E-AE4B2A805932}</author>
    <author>tc={12B7D997-72AC-4754-9F00-7E4019518065}</author>
    <author>tc={A3CB7B04-E934-4C90-9575-BBBE08F7AB18}</author>
    <author>tc={FBF4BC06-1BFD-4F98-9954-658F0F276D3C}</author>
    <author>tc={3A2E665D-3856-4CA8-8963-5EFEECA3DBCA}</author>
    <author>tc={A19C6EEB-4E2A-42F1-8DBB-B95867EE4827}</author>
    <author>tc={1C728472-6724-46AC-B6CD-9E986F765654}</author>
    <author>tc={746093DD-0668-4E62-9011-015FF0C5F337}</author>
    <author>tc={1ECCE300-27D1-4D2F-9F4E-165D1A6C8554}</author>
    <author>tc={E9FF9A75-7B49-40BB-AC69-522F4ADDBB65}</author>
    <author>tc={B28D54E3-B702-44E4-ABC1-5560F09B10CB}</author>
    <author>tc={DC5BF8F1-368D-42F4-858B-149E20E97B61}</author>
    <author>tc={6E8E02DE-C54E-484C-B339-8F7DA82EFF53}</author>
    <author>tc={8F9FC708-16C4-441E-9F98-D0D3C56BF890}</author>
    <author>tc={44F89F78-387A-4614-A496-59B3B1B58570}</author>
    <author>tc={030BDF62-D2D0-4069-BD83-CD6B92E2B8CC}</author>
    <author>tc={16022D1D-19BA-4CD4-95DA-32D28866879F}</author>
    <author>tc={EFCE1200-77DA-4A85-A90B-F59AB60D5291}</author>
    <author>tc={933948E0-385A-4485-A28A-EB7B87507A4A}</author>
    <author>tc={4A486E3E-7A85-49ED-B5E5-E135B3DD453F}</author>
    <author>tc={06A3F7AB-F16F-4674-84A8-64466872339E}</author>
    <author>tc={04A6FED3-3EB6-4887-9D63-BA2A5F3F9630}</author>
    <author>tc={167A1D7B-B1D6-46B4-8920-60E55E4E6B1F}</author>
    <author>tc={1BFFF7CF-95B0-4B47-839B-D95675E060AB}</author>
    <author>tc={4B769C59-C381-4C83-AE83-75B78C01DBF9}</author>
    <author>tc={59FED07C-433B-4AEE-B3CC-EDD708260E2F}</author>
    <author>tc={7C338198-1939-4F3F-814A-78AE935ADC6E}</author>
    <author>tc={7A3B0365-3A1A-41A8-AE26-A621AF4BC91B}</author>
    <author>tc={40D87B81-F928-42E6-A20F-2F0EEFF9AC98}</author>
    <author>tc={F9C3A608-F6F5-4F5C-BC2A-C3618ECF64C5}</author>
    <author>tc={37476D81-A743-45F9-870E-AE304116EAF6}</author>
    <author>tc={4F5106CB-B866-4D3B-978F-8E1E44690EB7}</author>
    <author>tc={FAB39619-50B2-431B-A079-DDE0DE7C891B}</author>
    <author>tc={1057235F-1E7C-4036-8B08-E80ABD773702}</author>
    <author>tc={65A2A0B1-477D-47C2-B684-2C584526AE36}</author>
    <author>tc={AC207CF0-59FF-430A-B287-17E7882C1C93}</author>
    <author>tc={6DBC25A8-955A-41A9-AD88-0AC17B70F108}</author>
    <author>tc={34EA0E04-8770-4A16-B48A-2C11E5722712}</author>
    <author>tc={92F2E5D8-0467-42A5-9EA8-7C9C064B2207}</author>
    <author>tc={573B3950-039D-47EE-97DD-399BCDE10F50}</author>
    <author>tc={272EA772-CF28-41B0-826D-F9DF99ED8A2B}</author>
    <author>tc={76E363AD-95A1-4676-B449-5EA393EA2951}</author>
    <author>tc={DA0FBB07-C4E9-4733-BA00-5E05EDAD78F5}</author>
    <author>tc={DF6C0C86-E2E5-4768-85DC-2CF25E28F573}</author>
    <author>tc={28CE2D66-758C-48E4-8FE6-607B3E672239}</author>
    <author>tc={82A9F9F1-6E02-4CED-AA86-0AA92816272C}</author>
    <author>tc={3D26A78A-0495-4370-92C8-D5718B64BB7E}</author>
    <author>tc={7D276DA0-A307-4F84-80AA-AE639AADE27C}</author>
    <author>tc={5E3FCB08-DAE6-4263-AB63-6A2B4D8293FD}</author>
    <author>tc={312C17C9-5FD9-4544-9EAE-5B7408F4119C}</author>
    <author>tc={D16A289E-3282-470D-A794-FD678B3A4E1E}</author>
    <author>tc={73BEE8D1-824C-4E80-9A00-B4C12A4EEC53}</author>
    <author>tc={83BDFABF-ECF9-4167-8C05-0DF0001AAB4E}</author>
    <author>tc={A6BAA476-608F-46A6-AB84-28277AE65CF4}</author>
    <author>tc={710F31B5-0AD8-4387-8726-00362A6B53A8}</author>
    <author>tc={3B28F653-F56A-482E-A42F-9E0705D6A803}</author>
    <author>tc={EDEF550C-2966-49CF-BAA0-E05B77D6D7C0}</author>
    <author>tc={72EACD4D-E94D-469D-85DE-4BEEC3FC0C75}</author>
    <author>tc={BEA3D1AC-0AC2-4103-BC99-CE32B5E39C05}</author>
    <author>tc={C2173BD6-436C-4124-A930-E983910075D9}</author>
    <author>tc={22340D24-7794-4669-BD1B-B4A7F1601ACB}</author>
    <author>tc={D876D4C0-BC3E-4E75-B5D1-54B66DDF8508}</author>
    <author>tc={07115333-BF2B-4535-A521-3273CEF37CAB}</author>
    <author>tc={E6FFAFEB-0697-4536-B6CA-807DB1C7FB81}</author>
    <author>tc={D7EBB27E-D813-416F-BCFC-8ABC6B33361B}</author>
    <author>tc={499B1558-02C2-41D0-9F11-BDF4CAE15620}</author>
    <author>tc={A9C4F6A7-4823-40A4-97E3-210B419AA715}</author>
    <author>tc={DD3F6EC2-AAF4-46A8-9979-8FCE1EE18C2B}</author>
    <author>tc={4C3B681C-E5DB-4836-98A4-68AB9F88B7C2}</author>
    <author>tc={DB331C48-F1FC-4C78-858D-DA9A26903BD0}</author>
    <author>tc={79E415E5-B9BA-4400-AAB9-4953A7EB5285}</author>
    <author>tc={00586C90-8FCC-44BE-9490-4741C6C82A4A}</author>
    <author>tc={E5CC91C2-CD43-448A-AF06-0CF96FFADC0F}</author>
    <author>tc={CA71C7D0-7360-4F74-AFDA-C1DB4E485105}</author>
    <author>tc={8CE75849-7E9E-4387-A537-2E28BE998686}</author>
    <author>tc={DC71A50A-759B-43CF-8D9A-142EF474872B}</author>
    <author>tc={D6C05765-B8C0-49E0-90A8-91A370BB8091}</author>
    <author>tc={0598C9E5-5287-4DB4-806D-8AD7D5A13325}</author>
    <author>tc={6EB670BF-BCFA-4A61-B667-25088B0CAC57}</author>
    <author>tc={59374C37-A751-47B7-9E4C-16E13429A88B}</author>
    <author>tc={F79AF497-CE98-47B5-AE4C-F416577EE4EB}</author>
    <author>tc={5DF56BEC-666B-4E50-A5F7-E45F22EC4773}</author>
    <author>tc={57E9A42F-5B04-46CC-A8F7-659D446F1098}</author>
    <author>tc={986FCC1A-1D3E-4D9B-87E9-D13ED50FD547}</author>
    <author>tc={4E56C58A-61DC-4FA0-A150-643AC989DC14}</author>
    <author>tc={1125287B-73E6-4802-9B45-D6E7A6906698}</author>
    <author>tc={CB3FA9A6-C222-4AE8-B6B8-6352DDF42F89}</author>
    <author>tc={45E92B4D-2A36-4695-A3E4-1C3A883B9A2F}</author>
    <author>tc={5CEA0EF9-2411-43CF-BBCF-58879C026A6D}</author>
    <author>tc={F0B9916E-9EA3-4AAA-BD08-072ED527B11A}</author>
    <author>tc={D57A0B6A-F197-4F89-9009-3C24E3984CD2}</author>
    <author>tc={44D2F51C-C9F4-411A-81B9-4342C80FB2D5}</author>
    <author>tc={E866E820-DF05-4E76-9999-05AE0AEC6860}</author>
    <author>tc={FE16E3A7-F48F-4B32-91D7-CA2B99C5D112}</author>
    <author>tc={4B921293-4445-4DE3-B10B-F1755CAC417F}</author>
    <author>tc={8003DCC5-9923-40C4-82C7-A8C8C2531968}</author>
    <author>tc={D1D8C98F-6AE0-44B0-AEDB-CF1B0DDEB32B}</author>
    <author>tc={FFA0037B-AB40-4C4F-AA7F-50B723382A5F}</author>
    <author>tc={EB8AF62E-38D5-4993-8263-9D8EA8CBA4BA}</author>
    <author>tc={FD9D000F-9F83-48EF-BDDB-777C026538C3}</author>
    <author>tc={3BCF7E5A-68D6-4C0F-8D01-9867DB46BD69}</author>
    <author>tc={5792AE55-9DBD-40D8-982E-6D1B3786B565}</author>
    <author>tc={0B93C4D4-ED7D-4A9C-AD29-CD2FEFA930B8}</author>
    <author>tc={78090FAC-B5B9-4082-838E-5A51624F9565}</author>
    <author>tc={38C1F209-40C1-490A-99A8-867093F29E48}</author>
    <author>tc={F3E1E823-F28C-4DF1-A104-C052C1948DC1}</author>
    <author>tc={43BBC321-FF67-4DEC-B81B-F17C642882AA}</author>
    <author>tc={DEE0D99B-A2D4-42BF-9F1F-1E23C47FC52B}</author>
    <author>tc={B333115A-0E8A-4A76-8599-540F7FEFC2C4}</author>
    <author>tc={FF398AC7-BD86-4CCD-AE70-E79E2DC40A87}</author>
    <author>tc={FD03414D-E339-4F23-988E-0C6725C65913}</author>
    <author>tc={CCBA1618-B87F-409F-B531-A579C4385DBA}</author>
    <author>tc={2189B3F9-E1C3-4DCE-8E10-EE2196ED56FB}</author>
    <author>tc={EFD6EB5C-C839-4B1E-A284-56739AA5F403}</author>
    <author>tc={B6BEDAF9-A971-4583-BE0F-19F0CE21EACC}</author>
    <author>tc={ECB80888-FC3C-4CA3-8E9C-FA2F13B14931}</author>
    <author>tc={61D6AE29-6AFC-484A-8CCC-4E5D8CB1E237}</author>
    <author>tc={D3C26D69-CA8B-4E12-A92A-E57730D90AA2}</author>
    <author>tc={016A46B7-D463-4915-BD51-87D7D9A80062}</author>
    <author>tc={CA435862-D534-47D8-A47E-9B075DB9749C}</author>
    <author>tc={61F00538-802A-4E76-9E4B-5752BFBB3852}</author>
    <author>tc={0C59A6F8-6583-43E7-9B33-6B5C9B0068E0}</author>
    <author>tc={F17AC732-B53C-4133-8A86-8A30FEC3BCC2}</author>
    <author>tc={EC657210-976F-4F47-A8ED-0877A8ED91B0}</author>
    <author>tc={25844808-D42A-449E-B485-075CEBBC6222}</author>
    <author>tc={CB952E41-DEA8-406C-98C6-5ABCC6728BD3}</author>
    <author>tc={AF7FACA8-E0A7-4151-9463-74068D576982}</author>
    <author>tc={BE372BE0-1866-451C-94C0-C466BA2D448E}</author>
    <author>tc={8AC1760F-BCAF-449A-8A50-6236B0ED2DC1}</author>
    <author>tc={0866D7FA-1A61-45B9-9B03-694626CBCFB6}</author>
    <author>tc={374720B6-8D9B-4DA2-9098-DB67638C0791}</author>
    <author>tc={79AFFD6C-CC44-46BE-BDE1-FC8CFED9E528}</author>
    <author>tc={CD8A711A-3559-4150-8901-E1CE4A860DB6}</author>
    <author>tc={31CA5316-A5A3-4149-8575-778B83C757CA}</author>
    <author>tc={C6558F38-1649-4EE2-8870-5E76B86A2C98}</author>
    <author>tc={916BCE3B-D728-4EE8-8D70-705D16141376}</author>
    <author>tc={16D68584-6BF3-4ECC-9215-3ED750F4325E}</author>
    <author>tc={9482FAE2-9C02-49B3-A1AF-E88F5AB1BCFE}</author>
    <author>tc={018CF9C0-611F-4824-B002-552161209714}</author>
    <author>tc={DBAA1137-2858-4AC9-B6FA-36EC04EC8D0B}</author>
    <author>tc={D4C674EE-C734-482E-B303-072261296F31}</author>
    <author>tc={23C3616B-AF62-4F0C-B73C-B32297664CB0}</author>
    <author>tc={2EEEB91E-BD0B-43C9-A6FD-6AED0128921B}</author>
    <author>tc={793D9389-C454-44B1-993A-36CC8D63EB42}</author>
    <author>tc={31F18BBE-F8B2-4FAF-A31D-695C65626A76}</author>
    <author>tc={64C6E3D4-4A61-4406-ACE2-98333C937301}</author>
    <author>tc={ED942176-89F8-42E6-AB95-E32762C6D1B5}</author>
    <author>tc={611C8F2F-629A-40A7-A320-BF476B1B58B9}</author>
    <author>tc={503A9B53-F0FA-4F93-8614-6A420EA01A9E}</author>
    <author>tc={48627DD6-CC50-4121-ACCE-C62CACD43937}</author>
    <author>tc={D36F66C6-4A0C-4B3C-9AC6-052673C89187}</author>
    <author>tc={7D575A17-3B60-488B-AF7C-1B3E92313402}</author>
    <author>tc={A737B86F-614E-4AA9-83E4-957BA2D5FA1A}</author>
    <author>tc={3D4FCB69-0008-4451-AE7E-F0BEDFF970D9}</author>
    <author>tc={BC429F4B-E07F-425B-8954-4A05EAD0C699}</author>
    <author>tc={52A957B3-997A-47B7-A231-32D1CFB24992}</author>
    <author>tc={D2DAA9EC-BF8D-4E90-8DF2-C8C0AAC055BC}</author>
    <author>tc={F5D60591-AD87-4EA6-BB85-9FC9347D8DED}</author>
    <author>tc={FF8DC3A6-1BCA-43FF-ABA2-93F298FBEA1F}</author>
    <author>tc={C72D27A0-7ECF-41A7-83FA-AD28F69DFBD8}</author>
    <author>tc={4AB6BBDA-759C-4104-A3FB-11C85CFDE3A6}</author>
    <author>tc={5AA5E05C-FBC1-41BF-A79B-113CE541689B}</author>
    <author>tc={E876955D-5F51-46B0-B7AA-A9164D7B6484}</author>
    <author>tc={DCCC0C34-7D1A-45E1-AD6F-644F0444361A}</author>
  </authors>
  <commentList>
    <comment ref="BL2" authorId="0" shapeId="0" xr:uid="{728FF8CD-F915-4403-A6FB-5A8C5D7F95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2" authorId="1" shapeId="0" xr:uid="{D34867BF-D675-4E13-9B3E-D936DE09050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2" authorId="2" shapeId="0" xr:uid="{83729E02-7835-4262-A26E-903368B4C3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2" authorId="3" shapeId="0" xr:uid="{A1198896-A518-4F0C-AAA7-9C7A6FE4AA1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3" authorId="4" shapeId="0" xr:uid="{87C22E63-EC9E-4D7E-ABC4-21FC4147788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3" authorId="5" shapeId="0" xr:uid="{3E2D9F48-5F6D-45B4-89F7-7C75C0151B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3" authorId="6" shapeId="0" xr:uid="{E1D342A6-5CAF-480E-96D3-97B10C2F43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3" authorId="7" shapeId="0" xr:uid="{D6C1B6B7-92A4-486F-9FD8-7EC8AF8ADD4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4" authorId="8" shapeId="0" xr:uid="{335DE465-8E04-4932-BB41-92DF5850C5A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4" authorId="9" shapeId="0" xr:uid="{A433000F-6985-43F4-9F8B-8721FDAA0F1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4" authorId="10" shapeId="0" xr:uid="{C2D74FD6-80B2-4B74-ACA3-4F45B7B5CE7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4" authorId="11" shapeId="0" xr:uid="{A2EC15B3-8C09-4C89-87DA-F2F6E06781D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5" authorId="12" shapeId="0" xr:uid="{2CCFB55E-4B41-4CCF-AD5C-195E7C74F92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5" authorId="13" shapeId="0" xr:uid="{71EFC853-AAA6-4C6F-879D-9076571C3B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5" authorId="14" shapeId="0" xr:uid="{585A5D43-8D24-42B5-90C6-148218D6C0A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5" authorId="15" shapeId="0" xr:uid="{D242532B-EDF1-48B4-8F11-28E10C0AF4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6" authorId="16" shapeId="0" xr:uid="{F8C9B300-7270-4840-AB2F-ACE0FC9DE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6" authorId="17" shapeId="0" xr:uid="{48DAF0F4-92A7-4867-96CB-F875794EA48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6" authorId="18" shapeId="0" xr:uid="{38485DCE-AE76-4FDF-9234-4A34DE9B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6" authorId="19" shapeId="0" xr:uid="{6E8B324E-DD6A-4453-9242-6A4601FD3D6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7" authorId="20" shapeId="0" xr:uid="{6A6F0A9F-43EE-4F8E-9111-A8A669CA89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7" authorId="21" shapeId="0" xr:uid="{62953EF1-C4DD-4456-B2B4-0DAE58C7B3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have base file</t>
      </text>
    </comment>
    <comment ref="AW7" authorId="22" shapeId="0" xr:uid="{16E5C5A4-14BF-4A6D-A9D5-C6BF81B9AD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7" authorId="23" shapeId="0" xr:uid="{32DC7B38-92FB-440D-8638-3FEC23BF2E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7" authorId="24" shapeId="0" xr:uid="{35E4C537-A3D0-4DA3-B16E-5EBDF6C15E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7" authorId="25" shapeId="0" xr:uid="{E6CC36A6-890B-473A-8B1B-3288E78582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7" authorId="26" shapeId="0" xr:uid="{362E4223-AD8F-4777-9828-27815EACD1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7" authorId="27" shapeId="0" xr:uid="{D72E18FC-45A8-4DFF-B92B-D2F0AD82CA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7" authorId="28" shapeId="0" xr:uid="{2A2BDCE2-F0CD-4617-ADDB-503ACCC4C3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7" authorId="29" shapeId="0" xr:uid="{45AF7AC2-D7CE-4E6A-AE05-55F7C7B96A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7" authorId="30" shapeId="0" xr:uid="{1695C9A5-6E56-4D34-95AD-F622B746CE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7" authorId="31" shapeId="0" xr:uid="{C5FF2620-4CDB-4E15-AF34-BDC5F854D6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7" authorId="32" shapeId="0" xr:uid="{A1E92B72-3893-4866-AB4B-04F95D4F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7" authorId="33" shapeId="0" xr:uid="{4D4F1FC5-365B-48CD-BCBD-A10E7DD377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8" authorId="34" shapeId="0" xr:uid="{51579FE2-6731-4DC7-9657-339BF9CD6B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8" authorId="35" shapeId="0" xr:uid="{907FE6F1-8EE6-4696-AF98-5EFDDAB2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8" authorId="36" shapeId="0" xr:uid="{02B15607-D032-4297-B766-2D8719B56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8" authorId="37" shapeId="0" xr:uid="{A3BB05A6-3840-4C64-B3B3-2607ED05F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8" authorId="38" shapeId="0" xr:uid="{E8937F1B-477D-4F9C-B304-651FF96EDF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8" authorId="39" shapeId="0" xr:uid="{2CAC6C16-D511-4A02-B1E2-BA198C1B4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8" authorId="40" shapeId="0" xr:uid="{159F8DCC-C110-4151-A5DB-8D850EDC39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8" authorId="41" shapeId="0" xr:uid="{BD61AE46-E0DF-425A-8971-23E20350F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8" authorId="42" shapeId="0" xr:uid="{6E442A28-D30F-4697-AEE8-FFBE49A956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8" authorId="43" shapeId="0" xr:uid="{B4AD8942-8A11-48C5-BE09-F2CFD77CDC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8" authorId="44" shapeId="0" xr:uid="{078F302D-5745-410C-B5BC-74840FD7B0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8" authorId="45" shapeId="0" xr:uid="{4302B92B-0884-4255-90ED-234E92D8CC7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8" authorId="46" shapeId="0" xr:uid="{8F8F26EE-E8BA-4D5D-8875-B0960FB9E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8" authorId="47" shapeId="0" xr:uid="{776371D0-20A8-4106-8EC0-336A23084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9" authorId="48" shapeId="0" xr:uid="{66463166-1DAD-4380-ACBB-94DCD6A585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9" authorId="49" shapeId="0" xr:uid="{437C55CF-DB8B-4A08-9E2B-FD578EF461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9" authorId="50" shapeId="0" xr:uid="{728A890F-DAE7-47F5-9F2E-186BB2258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9" authorId="51" shapeId="0" xr:uid="{508D5DC2-B30B-4AD5-8EA1-5C98F7C0B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9" authorId="52" shapeId="0" xr:uid="{E3F79FA9-86E5-444F-9A34-5B940B4A73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9" authorId="53" shapeId="0" xr:uid="{C041CEE8-2306-4AEA-A98E-4586AF5A56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9" authorId="54" shapeId="0" xr:uid="{37294196-6C17-4B24-9B4B-415A54694F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9" authorId="55" shapeId="0" xr:uid="{31BF7D21-F178-41EA-BEE9-C7C434A847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9" authorId="56" shapeId="0" xr:uid="{3E608BC9-61BB-4B6B-A318-3FA62BF66D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9" authorId="57" shapeId="0" xr:uid="{E7809863-12FA-4336-8E3A-BC963AF5B9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58" shapeId="0" xr:uid="{0CD8DB4C-43E8-4ED1-A6E0-A74615FF0C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0" authorId="59" shapeId="0" xr:uid="{25EF1751-ABB6-48DB-8C0B-A8933E5088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0" authorId="60" shapeId="0" xr:uid="{607E44D3-BF1B-4D70-9653-A444D66C47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0" authorId="61" shapeId="0" xr:uid="{755A7B3C-E697-445B-8C10-D59576A624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0" authorId="62" shapeId="0" xr:uid="{35320501-E984-4402-B13C-DE801F4289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0" authorId="63" shapeId="0" xr:uid="{E7A2DD17-5941-4C63-B83D-A38090460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0" authorId="64" shapeId="0" xr:uid="{7565D783-40D9-4BEB-8F0A-ED05B9AE0A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0" authorId="65" shapeId="0" xr:uid="{D0EBE475-7FCA-4FF3-A9F1-2366FE138A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0" authorId="66" shapeId="0" xr:uid="{12A00D87-5880-4D3A-AFD8-3ACB73C37A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0" authorId="67" shapeId="0" xr:uid="{3CC73AFC-5680-4865-92C1-7B89F0D98F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10" authorId="68" shapeId="0" xr:uid="{72066D3E-CEAE-49B3-8400-A454D3FBB3A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0" authorId="69" shapeId="0" xr:uid="{307F08C2-83A2-4147-AAC1-5F554C0C028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0" authorId="70" shapeId="0" xr:uid="{13E8911A-9CB8-441C-BE52-13691E94AE8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0" authorId="71" shapeId="0" xr:uid="{EE2EF782-8796-4228-8465-C282F4D74A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72" shapeId="0" xr:uid="{EA8199A7-F4A5-4746-99C9-63A73586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73" shapeId="0" xr:uid="{8490AB39-C904-4659-AAE9-CE9D58D7C5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1" authorId="74" shapeId="0" xr:uid="{F39C92D1-BCDF-434E-A1D7-8C5995A1904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1" authorId="75" shapeId="0" xr:uid="{D157CB2B-65C5-435F-84B8-8AB1FBE5B02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1" authorId="76" shapeId="0" xr:uid="{C2FB18D7-6F53-456D-8452-ABCBEFACAB8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1" authorId="77" shapeId="0" xr:uid="{BD022B3A-477A-4AD1-B21B-D95626780F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1" authorId="78" shapeId="0" xr:uid="{2DFCD65D-E453-471B-A533-527E4AD319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1" authorId="79" shapeId="0" xr:uid="{B2E24325-5E32-49AE-9D4E-B067CB9B0B4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1" authorId="80" shapeId="0" xr:uid="{3DD41DCE-F98A-4488-ABF6-585A42675E6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1" authorId="81" shapeId="0" xr:uid="{E36AB52C-773E-40E1-A1EF-5B714D57582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1" authorId="82" shapeId="0" xr:uid="{63B08168-F787-4CFE-8AE2-224A96ED6FE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1" authorId="83" shapeId="0" xr:uid="{F1B5027B-4FEB-4292-9D24-7A5FA65F7E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1" authorId="84" shapeId="0" xr:uid="{006D8B6F-2D31-4259-833C-3A7A87C793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1" authorId="85" shapeId="0" xr:uid="{5037E54F-A138-4FD0-A0A0-8AB70AE9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1" authorId="86" shapeId="0" xr:uid="{9A78F6E9-4C8D-4D2D-AA94-418085FA7A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1" authorId="87" shapeId="0" xr:uid="{8C2F715A-17CA-4E90-A72A-9EA7B0A3E2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1" authorId="88" shapeId="0" xr:uid="{1585CD10-D997-40A0-8993-ED6D81F96F4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1" authorId="89" shapeId="0" xr:uid="{8114E6F5-A9E4-480E-B45C-D86BA4418DF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1" authorId="90" shapeId="0" xr:uid="{6C85F5F4-A996-4079-AE96-36387810274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1" authorId="91" shapeId="0" xr:uid="{6ED539D7-4D2F-47D5-92BC-58B30BE5D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1" authorId="92" shapeId="0" xr:uid="{84FC7CBE-B2F2-4850-882B-B35760988FC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1" authorId="93" shapeId="0" xr:uid="{6040BA16-9889-49E1-85D6-1671C98F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1" authorId="94" shapeId="0" xr:uid="{15E16CCE-AA17-4E0C-9E22-D9A69D5820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1" authorId="95" shapeId="0" xr:uid="{ABF23064-D18D-4669-8608-4EB35A7AD2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1" authorId="96" shapeId="0" xr:uid="{1C812892-AC22-498F-9693-80B9717B02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1" authorId="97" shapeId="0" xr:uid="{B62FB42B-DE02-4A7F-BBDF-6DD0834B5A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1" authorId="98" shapeId="0" xr:uid="{20E5B585-E780-403E-8D92-24813FAEC3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1" authorId="99" shapeId="0" xr:uid="{38BE9686-233D-492C-AA63-FD7B36A86B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1" authorId="100" shapeId="0" xr:uid="{8A370507-E9CA-40C5-B58E-881BD7D500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1" authorId="101" shapeId="0" xr:uid="{C0428AE8-15FF-40BC-AAFD-C595E64640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1" authorId="102" shapeId="0" xr:uid="{651BD91A-34B6-465B-A991-70DC161E066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1" authorId="103" shapeId="0" xr:uid="{4015A71C-D4CC-44BF-B438-7B6FA91A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1" authorId="104" shapeId="0" xr:uid="{292CA11D-E456-468C-BD31-69FD4666589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1" authorId="105" shapeId="0" xr:uid="{EC90EF1A-6F45-4C5B-B5DB-AB22455EFC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1" authorId="106" shapeId="0" xr:uid="{741B44C0-9588-40AB-9236-42FB6881986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1" authorId="107" shapeId="0" xr:uid="{3F0E8ADB-7C46-4CEC-8F6E-4D8AC639AF9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1" authorId="108" shapeId="0" xr:uid="{BBFEC3E5-E701-419C-B34B-46EE938D43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1" authorId="109" shapeId="0" xr:uid="{3CF97304-890C-4A0A-81E5-49123B9966A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1" authorId="110" shapeId="0" xr:uid="{E9A5E176-A634-4991-A5AF-8E29C4442DE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1" authorId="111" shapeId="0" xr:uid="{7916AC94-F0B4-4126-AB53-76FC1BC7C3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1" authorId="112" shapeId="0" xr:uid="{2B7A2763-5BA0-460F-97E0-1765CB6011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1" authorId="113" shapeId="0" xr:uid="{3822DC14-C633-437C-A1E6-F164FBAA19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1" authorId="114" shapeId="0" xr:uid="{C9065B8D-F54C-4F5A-9FA1-9C8DA5F49A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2" authorId="115" shapeId="0" xr:uid="{7FF228BC-149A-4326-B98A-EF6C9E0FED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2" authorId="116" shapeId="0" xr:uid="{2FFD7CAA-B3FA-48A3-91B8-0D3EF9B20A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2" authorId="117" shapeId="0" xr:uid="{A5CFB84D-5DDC-4A54-98AD-D602E6A04E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2" authorId="118" shapeId="0" xr:uid="{508FD11A-1C86-4085-9CE2-480A2B0912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2" authorId="119" shapeId="0" xr:uid="{2BCA1D6A-2FC7-495D-B50F-2B786B46A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2" authorId="120" shapeId="0" xr:uid="{62885675-365A-4D9D-A779-E07EB21CDB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2" authorId="121" shapeId="0" xr:uid="{1893ABB8-8643-4968-9A00-EEFEFAC817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2" authorId="122" shapeId="0" xr:uid="{1FE33FA8-D49F-4E63-9E9B-62E2EC9F86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2" authorId="123" shapeId="0" xr:uid="{D4401A5F-57BF-407D-8F50-B0451F1D69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2" authorId="124" shapeId="0" xr:uid="{3B6E9CAA-052C-443C-9F4F-7EA4AC6304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125" shapeId="0" xr:uid="{B9FC13F8-B3F9-4E1B-8940-0248A31B91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3" authorId="126" shapeId="0" xr:uid="{02B4A0B3-11B7-4E06-8E5C-0C892921C0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3" authorId="127" shapeId="0" xr:uid="{EED1A65E-29F5-40F6-8075-B48DEE9ABB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3" authorId="128" shapeId="0" xr:uid="{DC8FE3AF-0860-4E8C-86FD-C065D4593B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3" authorId="129" shapeId="0" xr:uid="{D024E6D1-2695-4FA9-8918-021EF9CA4A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3" authorId="130" shapeId="0" xr:uid="{8B481A06-4924-465F-94E5-4DC85628AA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3" authorId="131" shapeId="0" xr:uid="{59DB25BF-1B6D-44DB-8E19-F6066C3746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3" authorId="132" shapeId="0" xr:uid="{3D7F20DE-DB9B-4E66-9DF4-C60CFA37AD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3" authorId="133" shapeId="0" xr:uid="{FD518AD9-DAEB-43A7-B96F-8B7F8D6D91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3" authorId="134" shapeId="0" xr:uid="{6589A9C8-9EF6-4A62-98E9-EBB1AA779D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135" shapeId="0" xr:uid="{EE38A7EE-2577-4C8B-8BD6-4F3C1EBD03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4" authorId="136" shapeId="0" xr:uid="{69E5A5B7-D2DF-4DB9-BAF6-702C7B280E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4" authorId="137" shapeId="0" xr:uid="{671F3E26-5D55-40DA-A2CC-60A92F9A01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4" authorId="138" shapeId="0" xr:uid="{B75A93B7-D168-41D9-B9B8-77534B7A54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4" authorId="139" shapeId="0" xr:uid="{7826EB00-9C10-42F7-A40B-ACBABFC79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4" authorId="140" shapeId="0" xr:uid="{F9D84004-9ABA-45CF-831F-EF17421995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4" authorId="141" shapeId="0" xr:uid="{00FCACD7-96F8-4C35-8F83-793DFD20EA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4" authorId="142" shapeId="0" xr:uid="{1A3FB1C1-8A82-436A-9147-238773D4A2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4" authorId="143" shapeId="0" xr:uid="{5A3BD565-A574-4EE6-9839-116F5B931C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4" authorId="144" shapeId="0" xr:uid="{C400E96E-42AA-40BF-9B02-542DCD71B2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14" authorId="145" shapeId="0" xr:uid="{B93446CB-31E9-4F19-B4B3-9DEA1C09F1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4" authorId="146" shapeId="0" xr:uid="{76A8B26C-5D73-4595-860F-0D74076578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4" authorId="147" shapeId="0" xr:uid="{97504F51-D46F-4ECC-A483-FCC44AC5942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4" authorId="148" shapeId="0" xr:uid="{F5379786-4B9E-4C12-9EDB-AD3025305E2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5" authorId="149" shapeId="0" xr:uid="{2FE63D0E-D3AC-4AA8-9D74-50A73E5B2E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5" authorId="150" shapeId="0" xr:uid="{571D6028-4C7E-4EAE-85E1-C78FF5CBFB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5" authorId="151" shapeId="0" xr:uid="{27C1A532-04B9-4281-B4A8-746808D02A4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5" authorId="152" shapeId="0" xr:uid="{B1632568-8287-413B-8616-B6B4DC7D73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5" authorId="153" shapeId="0" xr:uid="{9796C27F-0256-4BA0-BC92-A685D04489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5" authorId="154" shapeId="0" xr:uid="{4B74ABE8-1711-47BE-B68C-173456788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5" authorId="155" shapeId="0" xr:uid="{93C71D00-0FFE-4A61-BB54-8CFAA9D65D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5" authorId="156" shapeId="0" xr:uid="{71A23716-37C6-4CC1-A76F-5D1426FBE6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5" authorId="157" shapeId="0" xr:uid="{C6AC2590-BD80-4B12-BF1F-CECE56B866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5" authorId="158" shapeId="0" xr:uid="{F9E4E5F3-7493-48E8-BF9F-D3522C2737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5" authorId="159" shapeId="0" xr:uid="{9AE3E049-4C4E-44EB-9FC1-6826F63AEA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M15" authorId="160" shapeId="0" xr:uid="{266C356F-8920-47FE-8970-A058B9ED9B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5" authorId="161" shapeId="0" xr:uid="{E6C28D09-A447-4191-935B-255A23499E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5" authorId="162" shapeId="0" xr:uid="{B3433432-6C0D-4247-B5FB-AD61405001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5" authorId="163" shapeId="0" xr:uid="{C9DDB3E1-8AFB-43D3-82B9-3C9ADABCC30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5" authorId="164" shapeId="0" xr:uid="{14FEFD66-E4BB-4C92-BABC-0D06FC81872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5" authorId="165" shapeId="0" xr:uid="{1ABB81B9-6214-44F2-AE70-F26005FD1C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166" shapeId="0" xr:uid="{5A581D63-D124-454B-A29F-6AF59409D7D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67" shapeId="0" xr:uid="{DB62E119-D330-4ED5-97B7-67BC535767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68" shapeId="0" xr:uid="{983C5EDE-6E1D-4D3C-8E4F-ECFB4CF26B3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69" shapeId="0" xr:uid="{E27FFBC7-5701-4D5D-9090-0242A25D71B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6" authorId="170" shapeId="0" xr:uid="{9FCF7B74-A282-4FCF-84D5-F6F1BE7741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6" authorId="171" shapeId="0" xr:uid="{FA26EF4E-6D68-4842-A7EC-396F9863636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6" authorId="172" shapeId="0" xr:uid="{EA7FF2BB-E053-4FE0-A444-83ADDBE093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6" authorId="173" shapeId="0" xr:uid="{C5270A84-1375-49E9-8DCF-1E61A8C83BD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6" authorId="174" shapeId="0" xr:uid="{43B0540D-0042-4BC1-9EE1-8B14CDC961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6" authorId="175" shapeId="0" xr:uid="{8A34371C-2714-480D-B547-2616D3B5B47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6" authorId="176" shapeId="0" xr:uid="{901A8943-E919-4C2C-8C3E-02BAD8A6AC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6" authorId="177" shapeId="0" xr:uid="{3CE54775-E6DA-426D-A466-0DEB88A5A51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6" authorId="178" shapeId="0" xr:uid="{DB62DD1F-D1A9-47E6-B601-62793CC86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6" authorId="179" shapeId="0" xr:uid="{606C0891-8909-45E7-A5D9-8E3330B414C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6" authorId="180" shapeId="0" xr:uid="{B8414CF5-87AA-4469-AA0B-6E0524B77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6" authorId="181" shapeId="0" xr:uid="{E8ED5EBE-5184-4692-BB14-AC3A667ECEA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6" authorId="182" shapeId="0" xr:uid="{27D1D995-9200-448F-A88A-431BB883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6" authorId="183" shapeId="0" xr:uid="{A6C221DA-20A3-408A-AE64-E80B047A680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6" authorId="184" shapeId="0" xr:uid="{A7C14DC8-6DF9-47E0-954D-5A2F4D8C0C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6" authorId="185" shapeId="0" xr:uid="{6EC425A4-887A-4856-9E01-9561F90F19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6" authorId="186" shapeId="0" xr:uid="{60E28708-B977-4479-9A72-C04126B555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6" authorId="187" shapeId="0" xr:uid="{795914F1-0E6B-4B82-82DD-328745F36EE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6" authorId="188" shapeId="0" xr:uid="{9ED86829-0CBE-4B91-A53B-37572497E8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6" authorId="189" shapeId="0" xr:uid="{DF51388D-73CB-427C-8DA1-DE5EDFDD84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6" authorId="190" shapeId="0" xr:uid="{8236D3EA-061C-451C-B4C7-4C4F0DF804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6" authorId="191" shapeId="0" xr:uid="{03F97A4D-56B2-4C15-AF6E-321C7B8CAD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6" authorId="192" shapeId="0" xr:uid="{8EAB6211-FAEB-4261-9376-DC3B4B7B6A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6" authorId="193" shapeId="0" xr:uid="{3DA837BA-4C18-46BC-B23B-B04AD74FF1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6" authorId="194" shapeId="0" xr:uid="{B4E11EE0-A5CD-41B0-AAEF-3470AF8286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6" authorId="195" shapeId="0" xr:uid="{836BD344-5776-4ACF-BFFA-8490A81E3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6" authorId="196" shapeId="0" xr:uid="{28858F72-A0E8-4522-BDB1-B99200FC94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6" authorId="197" shapeId="0" xr:uid="{21F3FA08-647A-4796-84B1-5C8C5695FA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6" authorId="198" shapeId="0" xr:uid="{9A818B7D-C60E-4991-881E-2391A476DA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6" authorId="199" shapeId="0" xr:uid="{08BA22E2-656D-4893-825D-844E6414F3A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6" authorId="200" shapeId="0" xr:uid="{B73DE373-ED53-4108-B258-EBF8AC6DC7B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6" authorId="201" shapeId="0" xr:uid="{9F91F19B-C119-4C48-9632-EE1F96B09E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6" authorId="202" shapeId="0" xr:uid="{308F656C-64EE-4C6A-A6B1-2FB6E94A81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6" authorId="203" shapeId="0" xr:uid="{6D55632C-84A4-4445-8FE2-7E9B49EE64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6" authorId="204" shapeId="0" xr:uid="{F2365EB7-E1A5-4708-A864-9173B2A1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6" authorId="205" shapeId="0" xr:uid="{7801DAB9-5FF0-4455-9423-1490E92C2ED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6" authorId="206" shapeId="0" xr:uid="{BF4A4E0A-BD60-436E-9990-44E35D13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6" authorId="207" shapeId="0" xr:uid="{015E298D-E4C1-4F7D-8FB5-039895CDF61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6" authorId="208" shapeId="0" xr:uid="{59B85A81-51F1-4C38-B045-AE7B7078A1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6" authorId="209" shapeId="0" xr:uid="{9EE4B1AD-57F7-4AEC-AA4E-7E4BCF68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6" authorId="210" shapeId="0" xr:uid="{833EF313-DCF9-46AE-8890-FBBF9114DA2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6" authorId="211" shapeId="0" xr:uid="{D03BFB48-0596-4670-8383-DCF6DCE7847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6" authorId="212" shapeId="0" xr:uid="{477D6C4F-5E5B-4AF8-A3B2-8D91D75467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6" authorId="213" shapeId="0" xr:uid="{7F1545DF-73DB-4F23-800E-28DD2718FE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214" shapeId="0" xr:uid="{C7806B33-61BC-48A2-8752-AF7265CF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215" shapeId="0" xr:uid="{51449E9E-80B5-4FB9-8983-C898AD8DAFE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216" shapeId="0" xr:uid="{B9702F89-0526-4DB4-983A-D62A416F02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217" shapeId="0" xr:uid="{BAE25B3F-C647-4106-BFB1-6B355D581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7" authorId="218" shapeId="0" xr:uid="{E9DA1B67-BBF6-40EE-BE27-D370E64346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7" authorId="219" shapeId="0" xr:uid="{9F090C1A-7EB5-42A8-A714-F8713AA0BDC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7" authorId="220" shapeId="0" xr:uid="{A5DE7F60-57BE-4C54-B9B8-AFFE70C8DCC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7" authorId="221" shapeId="0" xr:uid="{36BEAB5D-13AB-493E-8988-E4F402C8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7" authorId="222" shapeId="0" xr:uid="{463C96C9-A663-41B6-8575-2419212AC0B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7" authorId="223" shapeId="0" xr:uid="{40C89661-AF6D-4FB0-ACE7-023600A9531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7" authorId="224" shapeId="0" xr:uid="{EE33ABE1-81A5-4DE0-8171-86DAF4D415F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7" authorId="225" shapeId="0" xr:uid="{0A638A62-D56C-42E0-B944-753134A4EE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7" authorId="226" shapeId="0" xr:uid="{B2AC783C-EC4F-4DF6-B9BE-4560041EFF9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7" authorId="227" shapeId="0" xr:uid="{5172F45B-4DAD-4F82-9FA5-BE4548A24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7" authorId="228" shapeId="0" xr:uid="{0D9BF2A2-481A-4C3B-9D21-0F6AAA664CF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7" authorId="229" shapeId="0" xr:uid="{BFB75539-0A8F-45AE-9C0C-70C5E5FE0FD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7" authorId="230" shapeId="0" xr:uid="{C7E8D3A7-4757-4932-A462-303CFC6E340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7" authorId="231" shapeId="0" xr:uid="{C00052F7-2C5B-4177-8AEB-9CF197EC08A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7" authorId="232" shapeId="0" xr:uid="{5A5C5156-32A2-4262-BD70-21694038AD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7" authorId="233" shapeId="0" xr:uid="{FD7D627C-46AE-4427-AC32-1B477904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7" authorId="234" shapeId="0" xr:uid="{52207837-6863-4983-B10F-5A27BCDD1B8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7" authorId="235" shapeId="0" xr:uid="{60CF6933-D266-442C-861A-31FD7279142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7" authorId="236" shapeId="0" xr:uid="{30E19989-97E7-4F5D-A864-ACD2A21D2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7" authorId="237" shapeId="0" xr:uid="{2C7BECFB-9C87-4FFC-945F-22BD0466590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7" authorId="238" shapeId="0" xr:uid="{A86FB622-A06B-4BCA-BA9E-F491B4124B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7" authorId="239" shapeId="0" xr:uid="{DAB093F1-C385-405E-A6E2-01377954D2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7" authorId="240" shapeId="0" xr:uid="{993FA933-3FA9-4783-9B77-2628BBF32C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7" authorId="241" shapeId="0" xr:uid="{B0666B93-6E41-41F5-9F4C-4E63B81F6E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7" authorId="242" shapeId="0" xr:uid="{9EB9A69C-E39F-4A74-AE10-5D88FB678E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7" authorId="243" shapeId="0" xr:uid="{C5E2AADB-57B4-48A8-B759-2CFBA7BE45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7" authorId="244" shapeId="0" xr:uid="{0DA89A23-02DA-4616-963C-F3A09087E7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7" authorId="245" shapeId="0" xr:uid="{43AC4182-FC7B-4A4A-8461-3DF287AE8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7" authorId="246" shapeId="0" xr:uid="{96770C6E-B711-43AD-9054-401AD590B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7" authorId="247" shapeId="0" xr:uid="{696F2F5C-E639-42EB-9B3A-F57796BE9C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7" authorId="248" shapeId="0" xr:uid="{579C7213-E92B-4A8F-A434-3E26C9298D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7" authorId="249" shapeId="0" xr:uid="{24C7991F-78BC-4F8E-823C-6A61E471232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7" authorId="250" shapeId="0" xr:uid="{919179A2-33C4-48E6-BD54-A91D60A474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7" authorId="251" shapeId="0" xr:uid="{A96D818A-C7FF-4BE5-9141-BF35FF8C2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7" authorId="252" shapeId="0" xr:uid="{B16323CB-ED90-42D9-8624-49E9B62A382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7" authorId="253" shapeId="0" xr:uid="{54B9782E-E500-45A3-9327-F4A1DE1D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7" authorId="254" shapeId="0" xr:uid="{E1120771-F199-4A18-838D-65D83F72EE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7" authorId="255" shapeId="0" xr:uid="{8B679011-09FE-4803-B419-4C9C138A74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7" authorId="256" shapeId="0" xr:uid="{ED348E27-49E8-4330-BFE5-555968CD62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7" authorId="257" shapeId="0" xr:uid="{C3B4292E-5B17-402C-91B5-73F975A72FE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7" authorId="258" shapeId="0" xr:uid="{84C9C48B-5853-4F27-9ABB-1653AEF505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7" authorId="259" shapeId="0" xr:uid="{CAD61F11-968A-4225-8C4A-E4E2FEC2F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7" authorId="260" shapeId="0" xr:uid="{A8F6FDE7-AC98-4F6F-BB82-F1D760DCB1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7" authorId="261" shapeId="0" xr:uid="{EC3789E5-0B53-4886-880D-C3279740D95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262" shapeId="0" xr:uid="{0E02C8F5-7E10-44B2-B85F-443D60D9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263" shapeId="0" xr:uid="{49123D3C-D20B-47D9-80F9-994E6302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264" shapeId="0" xr:uid="{751F1824-F1E0-4334-AE69-3FFDC1510C7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265" shapeId="0" xr:uid="{9BFB8B41-30BE-478A-8DE6-54B3246A03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8" authorId="266" shapeId="0" xr:uid="{92A44BFB-E785-44E1-9E22-0F73E225A4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8" authorId="267" shapeId="0" xr:uid="{823DD842-7F2C-4FD5-8172-D8B64989DA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8" authorId="268" shapeId="0" xr:uid="{A544EF1F-78C6-4CB7-A36E-24EFA32A39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8" authorId="269" shapeId="0" xr:uid="{69E430A3-E4E8-403C-8B0F-DF849EE990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8" authorId="270" shapeId="0" xr:uid="{B27E8B48-8A59-4213-B879-07FA92CE91B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8" authorId="271" shapeId="0" xr:uid="{331B88C7-9B21-4FC8-8209-82F009254B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8" authorId="272" shapeId="0" xr:uid="{B0DC23DA-C0EA-4077-9D95-EDA39BDA3B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8" authorId="273" shapeId="0" xr:uid="{FEC3E377-8936-477F-947A-4EA20499C77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8" authorId="274" shapeId="0" xr:uid="{77B6D944-4708-485C-AAD3-EB8F9C753EC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8" authorId="275" shapeId="0" xr:uid="{BAB133DB-7BBE-4501-A815-C723537BF8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8" authorId="276" shapeId="0" xr:uid="{7F6FD3F5-55DD-47A9-9443-D58D64886A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8" authorId="277" shapeId="0" xr:uid="{0422FB92-74FC-4705-9DB0-A8D2840FE6F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8" authorId="278" shapeId="0" xr:uid="{D55D2B9F-A6B1-4595-992E-DAA7629D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8" authorId="279" shapeId="0" xr:uid="{21144813-C09A-45FF-8B72-53201C58C2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8" authorId="280" shapeId="0" xr:uid="{EA9997DC-1B8E-4C3D-910E-F0BD0F14F4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8" authorId="281" shapeId="0" xr:uid="{33583E54-D288-4CD6-AF19-23FBD912AF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8" authorId="282" shapeId="0" xr:uid="{601ECC0D-546F-4177-B051-33DB7FFF8DE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8" authorId="283" shapeId="0" xr:uid="{B4AFAF78-3D2E-42D3-B3F4-0F2B729E41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8" authorId="284" shapeId="0" xr:uid="{0D690555-5742-4BE1-8594-70CF38ACC1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8" authorId="285" shapeId="0" xr:uid="{14979E67-1AB3-4ECC-B95D-05B8CB5D81D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8" authorId="286" shapeId="0" xr:uid="{6BE4873C-E60F-4D57-B9E9-4231B47C12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8" authorId="287" shapeId="0" xr:uid="{3ABA4B84-9744-4697-9FA9-97C787BA30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8" authorId="288" shapeId="0" xr:uid="{B3437CA1-B03A-46B3-BE7E-84B2D4E92A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8" authorId="289" shapeId="0" xr:uid="{A11C2041-AEAB-42FC-B84F-5EC84C75DA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8" authorId="290" shapeId="0" xr:uid="{B513E25B-661A-4053-BFD1-DAA4E6968A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8" authorId="291" shapeId="0" xr:uid="{DB56A04E-F6B0-4E64-BF49-31E7E6453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8" authorId="292" shapeId="0" xr:uid="{13BD98CE-1626-4270-9899-ED1BF96BAD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8" authorId="293" shapeId="0" xr:uid="{70FD3EF6-C85E-4009-B294-7BEA620DBF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8" authorId="294" shapeId="0" xr:uid="{8CA7D6A6-1918-4DB0-99AC-E2D58962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8" authorId="295" shapeId="0" xr:uid="{FD187F37-9C4C-4D23-AC95-E5F6FF4D181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8" authorId="296" shapeId="0" xr:uid="{1A4544EC-4E14-46A6-B216-FB04257350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8" authorId="297" shapeId="0" xr:uid="{9B342513-C16C-4F7A-A2E6-F5B31AEBA6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8" authorId="298" shapeId="0" xr:uid="{A5D4C943-58CB-4458-88B0-38E046276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8" authorId="299" shapeId="0" xr:uid="{B122D2F6-62A1-48D7-ABFF-B199B67B756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8" authorId="300" shapeId="0" xr:uid="{DB22A015-9E17-4ED7-872D-52DDA0FC05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8" authorId="301" shapeId="0" xr:uid="{B61C3BDF-1E40-47CF-A126-038E5F4BD02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8" authorId="302" shapeId="0" xr:uid="{D695BFFC-4C5C-4B12-9DCB-9ACAC9D317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8" authorId="303" shapeId="0" xr:uid="{7E605AF9-991D-4660-8E29-F9D0F9F7DC3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8" authorId="304" shapeId="0" xr:uid="{FB21F4D4-E0AD-4FCE-9984-63C1FD65EF1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8" authorId="305" shapeId="0" xr:uid="{576694CA-CDDA-4EAE-97F1-0CF01A48D5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8" authorId="306" shapeId="0" xr:uid="{899DA500-1CB2-45E7-97B3-AC90811174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8" authorId="307" shapeId="0" xr:uid="{320C9495-7D12-484D-B515-BD22F4DE8D6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8" authorId="308" shapeId="0" xr:uid="{E93435D3-4598-4FBF-AC8D-615FD40FC6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8" authorId="309" shapeId="0" xr:uid="{8ECBF84C-6192-42DD-88D2-B017CC0399E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310" shapeId="0" xr:uid="{8B43F653-279C-44C4-98D6-6FEADB63F7F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311" shapeId="0" xr:uid="{0F8C5DF7-C224-41CC-90DF-AEE6F29889F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312" shapeId="0" xr:uid="{D6A9810C-2240-4D43-8BCC-FA75C2EC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313" shapeId="0" xr:uid="{9B13C9C2-6B08-42C9-816F-212463A87A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9" authorId="314" shapeId="0" xr:uid="{26F83763-5FC2-43D1-A14A-F273AAF43B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9" authorId="315" shapeId="0" xr:uid="{799DFA7E-4F50-4CE0-B2CC-B66C35BE63A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9" authorId="316" shapeId="0" xr:uid="{A6DA8EF8-9591-4F24-AC01-344B943907B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9" authorId="317" shapeId="0" xr:uid="{3C46732D-05A6-4358-9F20-06852A0C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9" authorId="318" shapeId="0" xr:uid="{30B607E2-9EE9-4757-AC8D-C0620A3FD6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9" authorId="319" shapeId="0" xr:uid="{575BAD1D-5ADB-4241-940F-B44CBFCAB33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9" authorId="320" shapeId="0" xr:uid="{96C7D092-63FB-4280-B2D9-C7273377777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9" authorId="321" shapeId="0" xr:uid="{564FE72E-9B30-4705-92F8-6388CB4B6F8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9" authorId="322" shapeId="0" xr:uid="{3A27B26D-CFEA-47BC-91C8-1331BEEC1CA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9" authorId="323" shapeId="0" xr:uid="{B61C2EE8-1143-4634-9C35-50FC156E966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9" authorId="324" shapeId="0" xr:uid="{035FAEE2-F52A-465E-85E4-B98F208B04E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9" authorId="325" shapeId="0" xr:uid="{32298263-1E15-420B-8D19-2C8FBD7D1BA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9" authorId="326" shapeId="0" xr:uid="{A52C396B-13EC-4F7E-B3D3-EB1FC870371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9" authorId="327" shapeId="0" xr:uid="{CB4A3DE0-68D1-4B90-A66E-5E2A7606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9" authorId="328" shapeId="0" xr:uid="{C79EF3CC-2797-4FB2-AAE7-347614712AB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9" authorId="329" shapeId="0" xr:uid="{86ADB691-CF9E-420D-9C22-A901E515A1D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9" authorId="330" shapeId="0" xr:uid="{1F8A45CA-F69B-4BEA-9604-7BB6FAB6C6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9" authorId="331" shapeId="0" xr:uid="{18BA7D0B-8039-459B-AF8D-4CE02E4230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9" authorId="332" shapeId="0" xr:uid="{9DC77874-DBF9-4CCB-B50B-25E53783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9" authorId="333" shapeId="0" xr:uid="{273EBA93-9666-4AD9-96EB-714F2B21C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9" authorId="334" shapeId="0" xr:uid="{FA2F29C9-4069-4767-9D0F-56D6012B21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9" authorId="335" shapeId="0" xr:uid="{52BE41A5-E7A5-4C3F-AD79-3C3B4E7AA9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9" authorId="336" shapeId="0" xr:uid="{47AC499D-8FF1-474F-9F62-3DC7C8B4F9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9" authorId="337" shapeId="0" xr:uid="{78BE6C39-A377-4E45-B04C-2226894D45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9" authorId="338" shapeId="0" xr:uid="{36DFE272-62AA-4D72-A7A6-29DE08109A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9" authorId="339" shapeId="0" xr:uid="{A96BE8EC-8385-41A8-8F70-96BC91C786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9" authorId="340" shapeId="0" xr:uid="{6DE60992-C8D8-4CE1-AC93-95C6643CC2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9" authorId="341" shapeId="0" xr:uid="{7FB53AE9-BD1A-435F-9AF0-FFFF6D6D15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9" authorId="342" shapeId="0" xr:uid="{90F4BC1A-0E9C-4F10-B6DE-AE5C5E21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9" authorId="343" shapeId="0" xr:uid="{F11508FB-936A-48D7-ADE2-D18DC1797E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9" authorId="344" shapeId="0" xr:uid="{38238134-ED4C-4C12-9A3C-9344AD52861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9" authorId="345" shapeId="0" xr:uid="{666438BC-670A-4E5B-8659-9C00584D5A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9" authorId="346" shapeId="0" xr:uid="{78BC3C29-1A9A-4E04-906F-A53463CF20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9" authorId="347" shapeId="0" xr:uid="{32941F03-C513-48A8-A34A-8299EFB5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9" authorId="348" shapeId="0" xr:uid="{409AA300-0B5D-4DBC-A23E-640512E48B2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9" authorId="349" shapeId="0" xr:uid="{B79BF90F-BD43-44D9-B6AF-D85002801B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9" authorId="350" shapeId="0" xr:uid="{6B271E39-2336-44C8-83BE-C1CD1A4D1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9" authorId="351" shapeId="0" xr:uid="{864FB27C-E8D6-4318-B7B3-DB9288A3C52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9" authorId="352" shapeId="0" xr:uid="{BC22C5BA-5A44-4653-A3EE-0E0AE12340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9" authorId="353" shapeId="0" xr:uid="{E852682C-572D-4FBC-82ED-C326797C80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9" authorId="354" shapeId="0" xr:uid="{09FDA162-E204-4EC6-901C-4D7366C8AC6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9" authorId="355" shapeId="0" xr:uid="{2DDA935E-F09B-4114-9DE0-30C183863A7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9" authorId="356" shapeId="0" xr:uid="{03A5CF2C-B6AA-4857-BA72-57740DAB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9" authorId="357" shapeId="0" xr:uid="{540F1C93-5612-470A-BBC6-4E75BFA982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20" authorId="358" shapeId="0" xr:uid="{3158C0FF-B41D-4EDA-9C1B-73DD47697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M20" authorId="359" shapeId="0" xr:uid="{7345758D-0B01-475F-B07A-C5DDDA754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L21" authorId="360" shapeId="0" xr:uid="{23FF4E54-C625-4A3A-BC01-90F06FB65B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M21" authorId="361" shapeId="0" xr:uid="{77E9F56C-9925-4CCF-B5D3-E28D720448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L22" authorId="362" shapeId="0" xr:uid="{C56374C9-DBAD-4C29-92AF-F88D4E6CD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M22" authorId="363" shapeId="0" xr:uid="{5CFECFB6-C374-4C15-85A6-A3C374F7E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L23" authorId="364" shapeId="0" xr:uid="{74BFEE12-B4D2-4925-BC34-C3BC7306E7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M23" authorId="365" shapeId="0" xr:uid="{111BADCB-8C6F-43B4-ACBA-5458A6F0AA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Q26" authorId="366" shapeId="0" xr:uid="{4C54E1CB-032A-4AFD-9329-E55587023340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R26" authorId="367" shapeId="0" xr:uid="{EF2AAE51-6BF8-4C6C-838C-3198B292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S26" authorId="368" shapeId="0" xr:uid="{CE84E1A6-AC7C-4422-820B-0E1875B2264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T26" authorId="369" shapeId="0" xr:uid="{88BD7EA5-5974-4619-A3E7-CA9B4B2A1331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Y26" authorId="370" shapeId="0" xr:uid="{27FE92C0-36A7-48C0-9F21-481E27D7C33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Z26" authorId="371" shapeId="0" xr:uid="{B771A542-CEA8-4C2E-99B9-F0155DC55E9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A26" authorId="372" shapeId="0" xr:uid="{8420ED24-4CAC-4009-A14D-916DC42F627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B26" authorId="373" shapeId="0" xr:uid="{F7907C59-E418-468B-BE2B-F3AC0CEE77DA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C26" authorId="374" shapeId="0" xr:uid="{38EA4A20-8123-4AEF-A153-589DDA473DA5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D26" authorId="375" shapeId="0" xr:uid="{A265648A-A004-44DA-BFDA-49DCFFE927B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U26" authorId="376" shapeId="0" xr:uid="{5181D6EF-E395-46D6-BF79-F00CB51DE4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V26" authorId="377" shapeId="0" xr:uid="{AB240FB4-37EA-47CB-B266-3987C6F3C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W26" authorId="378" shapeId="0" xr:uid="{8EAAF70C-82F7-44CC-A40B-1260CC38E9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X26" authorId="379" shapeId="0" xr:uid="{63C669A0-69E7-4C68-AF3A-D9E95DD5A6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S26" authorId="380" shapeId="0" xr:uid="{0AE74740-8294-4E64-A13F-BA9B06E480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U26" authorId="381" shapeId="0" xr:uid="{A21F1771-0FC6-4E67-8594-002BACAEB5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7" authorId="382" shapeId="0" xr:uid="{C8D3388D-2930-4B24-9D89-46B3CC2961B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M27" authorId="383" shapeId="0" xr:uid="{7DFACFF9-0634-476B-8421-371AEF96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AE27" authorId="384" shapeId="0" xr:uid="{AD9AC9E9-6543-40A1-95F2-BFD454DD09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7" authorId="385" shapeId="0" xr:uid="{8EA486D2-5E32-4F95-8127-E7635A1B6B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7" authorId="386" shapeId="0" xr:uid="{171EAEB6-A51A-419E-9A50-20EC6F33F7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28" authorId="387" shapeId="0" xr:uid="{7857A846-18A9-43CA-9706-D736089015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8" authorId="388" shapeId="0" xr:uid="{3A7E8A58-7274-47BA-9CF1-91A6C3823FB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8" authorId="389" shapeId="0" xr:uid="{9B591124-7EC2-4382-89EA-8A01B07528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32" authorId="390" shapeId="0" xr:uid="{6E5F1845-D55F-4FE6-B112-DE0A3AAAE1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32" authorId="391" shapeId="0" xr:uid="{54DF7936-2FB2-45F8-92A3-E339C18F88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32" authorId="392" shapeId="0" xr:uid="{15B63D70-5C21-40B8-B1F9-F835F1F823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32" authorId="393" shapeId="0" xr:uid="{ABAC7230-C2F3-4AAA-BDA6-203C0833CA9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33" authorId="394" shapeId="0" xr:uid="{6D9F5F13-9CF1-4B62-A68A-3B608C62B6CE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R33" authorId="395" shapeId="0" xr:uid="{E20EA067-5D6E-47C4-81C6-67EFADFD42A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S33" authorId="396" shapeId="0" xr:uid="{16F89861-8573-4B0F-9AD5-F230A5FF49C6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T33" authorId="397" shapeId="0" xr:uid="{C4ED188D-4523-4D38-8523-A27DE133AD8E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W33" authorId="398" shapeId="0" xr:uid="{CD7C6145-FF4F-47E5-8471-4AFD61E854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X33" authorId="399" shapeId="0" xr:uid="{0D5BAF48-34B9-4DF9-8C36-8689948730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Y33" authorId="400" shapeId="0" xr:uid="{AFE5F23E-C836-445B-99C3-784DE4A95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Z33" authorId="401" shapeId="0" xr:uid="{9F01020E-0CCB-401B-9118-3639CFAD00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AE33" authorId="402" shapeId="0" xr:uid="{FC6F3168-8177-4602-A8BE-D0508D46A2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reported quarterly.</t>
      </text>
    </comment>
    <comment ref="AF33" authorId="403" shapeId="0" xr:uid="{6495BE48-5095-4128-972E-9DDC7ECAC5F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reported quarterly.</t>
      </text>
    </comment>
    <comment ref="Q34" authorId="404" shapeId="0" xr:uid="{1A7FAEDB-9968-4283-8F6F-E381C9DB4F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Data incomplete </t>
      </text>
    </comment>
    <comment ref="S34" authorId="405" shapeId="0" xr:uid="{B0290A7F-C85B-48F5-B17A-569748681A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( Supporting data not shared )</t>
      </text>
    </comment>
    <comment ref="T36" authorId="406" shapeId="0" xr:uid="{040CC106-E0B9-4918-A429-2E3DEA99D3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AE36" authorId="407" shapeId="0" xr:uid="{A048FE41-23B4-49AA-886C-C7DC433A5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7" authorId="408" shapeId="0" xr:uid="{CA7A0FA1-1D7D-43B9-9EC7-F627E1E7FD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AE37" authorId="409" shapeId="0" xr:uid="{DF76EF2A-A766-4599-91D2-39375C3EA0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38" authorId="410" shapeId="0" xr:uid="{8F7EC0D6-4143-429F-A091-14316AEE0A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39" authorId="411" shapeId="0" xr:uid="{DDA1C611-7DB5-4D89-B470-29BBA4DD43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40" authorId="412" shapeId="0" xr:uid="{52A22EDE-EBA4-4DE5-8766-FE18A93F5E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41" authorId="413" shapeId="0" xr:uid="{E16A8C6F-C95D-48D2-A974-9E1C8EC22A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C42" authorId="414" shapeId="0" xr:uid="{A6124114-4617-4E25-A72C-7A60F57F48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2" authorId="415" shapeId="0" xr:uid="{BB3AE53B-1AA7-4533-9C6F-F4D6F69EAEB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2" authorId="416" shapeId="0" xr:uid="{3A95420B-AC1B-4D68-8B2D-83C687A0FC9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2" authorId="417" shapeId="0" xr:uid="{26AA2625-C087-4D9D-9A69-EDFC306DF83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2" authorId="418" shapeId="0" xr:uid="{87CF6B2C-0F91-4412-8768-4565C417D67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2" authorId="419" shapeId="0" xr:uid="{0226FDB9-814E-421C-8C6C-95CFC26CEC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2" authorId="420" shapeId="0" xr:uid="{DABFB03F-2333-4203-B4FD-95631A5DCC8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2" authorId="421" shapeId="0" xr:uid="{651D1F78-9B27-455F-8262-E39C815A5EB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2" authorId="422" shapeId="0" xr:uid="{3E63624D-CD81-41ED-ADC7-738F48B003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2" authorId="423" shapeId="0" xr:uid="{E25CD71E-8483-415E-B730-5ADEEEECE21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2" authorId="424" shapeId="0" xr:uid="{FA398F77-1AC6-4E87-9E85-3B0DE148C9F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2" authorId="425" shapeId="0" xr:uid="{B1C55E56-870B-4D6A-A16F-2E417B26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2" authorId="426" shapeId="0" xr:uid="{77A2DA44-D8DA-48C3-9883-A7C912BE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2" authorId="427" shapeId="0" xr:uid="{00EC3F32-0769-4CE6-AE5C-EDE34D10C4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2" authorId="428" shapeId="0" xr:uid="{DB4ABD00-24BB-4BF0-9389-D6ABF5DC10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2" authorId="429" shapeId="0" xr:uid="{2C452ABD-E1A8-4203-8A49-3AC773A728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3" authorId="430" shapeId="0" xr:uid="{94FFCF9F-5495-4E07-9ECD-43F1D1C0584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3" authorId="431" shapeId="0" xr:uid="{902AF28D-703E-47DA-B04E-3D23F99069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3" authorId="432" shapeId="0" xr:uid="{CDA7C986-C0E8-4A32-9B7C-69C776EE52B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3" authorId="433" shapeId="0" xr:uid="{6DD841C7-4E93-4700-BDA9-4B554E5CB90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3" authorId="434" shapeId="0" xr:uid="{AF03435C-A72C-4CEE-89CD-151DA373812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3" authorId="435" shapeId="0" xr:uid="{566B2172-9B57-4F12-BD1B-677C4AE32BD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3" authorId="436" shapeId="0" xr:uid="{2AE4617D-CD94-4F58-B4BA-2F22FAD0126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3" authorId="437" shapeId="0" xr:uid="{F2EA72F0-1367-4E35-B3B8-AB962ECB28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3" authorId="438" shapeId="0" xr:uid="{016CF882-9C1C-46D1-B985-0A01F9B099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3" authorId="439" shapeId="0" xr:uid="{E49AD037-983A-4AF1-8F9D-6B9AF67F7AA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3" authorId="440" shapeId="0" xr:uid="{34A68E01-8E3A-4879-AE2A-C5D68353E1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3" authorId="441" shapeId="0" xr:uid="{AF6F2005-161B-4C29-A4E0-435FF03D5E5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3" authorId="442" shapeId="0" xr:uid="{9DCA0E02-22E8-475D-AEE0-2EB33E4606D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3" authorId="443" shapeId="0" xr:uid="{9E0C7F21-E09C-4603-97AB-86CCBC6AB9A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3" authorId="444" shapeId="0" xr:uid="{2FAF8B6F-4A59-40BD-98C9-C6B547007C6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3" authorId="445" shapeId="0" xr:uid="{1D075407-3421-4BF3-BAAC-CD4C39541C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O44" authorId="446" shapeId="0" xr:uid="{97B21443-3986-4E3C-B62E-F8E09A3C04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P44" authorId="447" shapeId="0" xr:uid="{D4A26F39-D384-4C5F-B240-5778BB0DC4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Q44" authorId="448" shapeId="0" xr:uid="{187B8E7C-8A2F-426B-BD67-CBDA4A8668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Noe as the new Mandates came at the end of Feb Month so all the roles are within TAT</t>
      </text>
    </comment>
    <comment ref="AR44" authorId="449" shapeId="0" xr:uid="{3508632F-DE76-4DFF-B6D6-331D5B51EB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Noe as the new Mandates came at the end of Feb Month so all the roles are within TAT</t>
      </text>
    </comment>
    <comment ref="BC44" authorId="450" shapeId="0" xr:uid="{6E0BC873-41F8-43AC-89ED-9AFB1B0DA2B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4" authorId="451" shapeId="0" xr:uid="{A05EAAB4-281F-4C74-A9F1-D1ED3A86ABE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4" authorId="452" shapeId="0" xr:uid="{DDC686E3-84DD-4648-B785-7EE5F2F7BA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4" authorId="453" shapeId="0" xr:uid="{08365D40-D2F5-49C2-A295-98179F63D5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4" authorId="454" shapeId="0" xr:uid="{C0E89342-F86A-43DC-8554-636ED6C745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4" authorId="455" shapeId="0" xr:uid="{1CFBC25D-F076-405A-9EA9-BD35DC9CDD7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4" authorId="456" shapeId="0" xr:uid="{E69F6135-41C4-4C93-BBC0-337A1778E5B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4" authorId="457" shapeId="0" xr:uid="{90B7472E-E108-478E-90EC-0AED492274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4" authorId="458" shapeId="0" xr:uid="{E489027F-5435-4DF1-B1D4-4A3DC79526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4" authorId="459" shapeId="0" xr:uid="{9383B1DE-D788-4328-B6FA-217E8722D9F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4" authorId="460" shapeId="0" xr:uid="{D981A0F9-3643-42BE-ABE6-BAB1EA9DBE3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4" authorId="461" shapeId="0" xr:uid="{8476375B-29A2-4BBA-AA23-60901BC1033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4" authorId="462" shapeId="0" xr:uid="{4695F7F7-FE3E-4BAE-BA13-B3908F1D39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4" authorId="463" shapeId="0" xr:uid="{A5A82201-767C-4E6D-9F56-1E2C79ED327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4" authorId="464" shapeId="0" xr:uid="{81ED4772-E208-46D6-A8DF-42B096B095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4" authorId="465" shapeId="0" xr:uid="{5F8E4BF7-9E87-4804-BBB6-8938BD896B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5" authorId="466" shapeId="0" xr:uid="{137C5DC8-3F25-460B-9D56-8D88AD250C8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5" authorId="467" shapeId="0" xr:uid="{D765ABE3-14AF-4B7D-A40F-2602D5E9C6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5" authorId="468" shapeId="0" xr:uid="{C63AFD3B-439B-405D-A3D5-461BD1C724E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5" authorId="469" shapeId="0" xr:uid="{F92533E0-0B93-490B-A399-3245093A6B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5" authorId="470" shapeId="0" xr:uid="{4E7A3AC7-5257-4BAF-9625-03096C2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5" authorId="471" shapeId="0" xr:uid="{F3FB63AC-2C78-487C-98A5-EE98ECCA4AF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5" authorId="472" shapeId="0" xr:uid="{4B97F5B6-4134-45B0-8420-D5B4DC66F0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5" authorId="473" shapeId="0" xr:uid="{59F49C88-0075-46CA-9E32-57CD27CF201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5" authorId="474" shapeId="0" xr:uid="{4740BD1C-D9F2-44A7-9EA2-4EB5FBC17F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5" authorId="475" shapeId="0" xr:uid="{79DB7BED-ABC2-45EA-B21E-5E95543B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5" authorId="476" shapeId="0" xr:uid="{40BF57E5-98BE-45CC-878B-E6568EB6C9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5" authorId="477" shapeId="0" xr:uid="{4EA1053C-BF6E-44DE-834D-4DA9CB7B43F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5" authorId="478" shapeId="0" xr:uid="{7914E010-159E-46B3-AB6F-723DCD89A72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5" authorId="479" shapeId="0" xr:uid="{BD0D58DD-045A-4046-8219-4317937F47A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5" authorId="480" shapeId="0" xr:uid="{CBAB45CD-A63A-44AB-838F-80829C45E2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5" authorId="481" shapeId="0" xr:uid="{36418779-B731-4EAA-A55C-BB85B0EED6B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6" authorId="482" shapeId="0" xr:uid="{A2931AF3-88B3-4EAD-9476-43DF4E0A808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6" authorId="483" shapeId="0" xr:uid="{9F5682E2-4999-4653-973F-34494001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6" authorId="484" shapeId="0" xr:uid="{CF035FB7-ED62-41C3-933D-A6C47416DCF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6" authorId="485" shapeId="0" xr:uid="{54AFED83-2A26-4DDB-9DC6-93E73FDB9E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6" authorId="486" shapeId="0" xr:uid="{4BA9821F-C5A6-47C5-964F-A26EF7E979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6" authorId="487" shapeId="0" xr:uid="{908546C4-FD17-4DAA-B1AE-5801CDB2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6" authorId="488" shapeId="0" xr:uid="{59BC47C4-5438-453E-B511-0149288245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6" authorId="489" shapeId="0" xr:uid="{C566FDC2-021D-4DA2-8A18-A0686901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6" authorId="490" shapeId="0" xr:uid="{183F0C79-855F-474C-8406-C49658391D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6" authorId="491" shapeId="0" xr:uid="{DDAD23D1-980E-4450-B49C-3DEF11835C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6" authorId="492" shapeId="0" xr:uid="{DF954808-E82E-46A0-B144-2FDDD7E2B79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6" authorId="493" shapeId="0" xr:uid="{53200C80-422B-46B9-A210-B40BF57C27C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6" authorId="494" shapeId="0" xr:uid="{CE472F4C-B68E-463F-AEBF-75ED9C64B10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6" authorId="495" shapeId="0" xr:uid="{97F13F7C-5072-40E4-ADD4-C076760A4EF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6" authorId="496" shapeId="0" xr:uid="{97DFA968-4F9F-4394-A8A3-EB94C1DD2C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6" authorId="497" shapeId="0" xr:uid="{F619A15D-8A43-4CA0-826F-61E9CAF4D5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7" authorId="498" shapeId="0" xr:uid="{8E0DF497-7E49-478E-AA01-D20D629AA1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7" authorId="499" shapeId="0" xr:uid="{78353422-EA83-45FE-9867-0296BA0437B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7" authorId="500" shapeId="0" xr:uid="{E07E0BC1-6088-464F-945F-0EAFD2AE9C7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7" authorId="501" shapeId="0" xr:uid="{5ABCACFB-F360-42C1-B298-266EA79A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7" authorId="502" shapeId="0" xr:uid="{7E22C522-B572-445D-B875-ECC4B2C4088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7" authorId="503" shapeId="0" xr:uid="{D7671FF3-01A7-460E-8210-FFC9D9CE4A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7" authorId="504" shapeId="0" xr:uid="{8D736CAE-BBFE-4CA3-B4C5-CA49CD20716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7" authorId="505" shapeId="0" xr:uid="{54D00949-B566-480D-A081-B0E42846E10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7" authorId="506" shapeId="0" xr:uid="{38881D22-CDE2-445A-A94E-766B5FED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7" authorId="507" shapeId="0" xr:uid="{EC042E6F-6450-408F-8B0E-45969360A17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7" authorId="508" shapeId="0" xr:uid="{6096D2DD-F1CB-48B2-9C8C-056BB72C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7" authorId="509" shapeId="0" xr:uid="{E2D75D4B-EF32-431C-B907-3C9E085835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7" authorId="510" shapeId="0" xr:uid="{DE208063-6D7B-4943-BEC4-1937BF644E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7" authorId="511" shapeId="0" xr:uid="{9A4FE04E-D165-4A75-BB05-7FB3440A63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7" authorId="512" shapeId="0" xr:uid="{C1A83976-5EA5-4A91-9D26-6050225FE31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7" authorId="513" shapeId="0" xr:uid="{4F718E8B-7D7E-4330-BD47-F9D31DBB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O48" authorId="514" shapeId="0" xr:uid="{FF88E996-5780-4265-A3C1-73A2A45EA9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P48" authorId="515" shapeId="0" xr:uid="{B29DCCAA-2458-4120-8058-F840C2D6A8B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BC48" authorId="516" shapeId="0" xr:uid="{D8CB250B-6821-4FB0-AEBA-0F862FCCF9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8" authorId="517" shapeId="0" xr:uid="{407D9F2A-BC67-4067-81E3-603E64A1E73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8" authorId="518" shapeId="0" xr:uid="{00DA3099-4F5D-4B42-87FC-87E1D34ADB2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8" authorId="519" shapeId="0" xr:uid="{87E89ECD-908A-41D5-BEEE-20ECC1D535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8" authorId="520" shapeId="0" xr:uid="{63193831-9DD1-418E-B7F4-277AD44FCA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8" authorId="521" shapeId="0" xr:uid="{724D6B8F-6589-45A4-BE8C-DFE79D6F38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8" authorId="522" shapeId="0" xr:uid="{A32A2164-C318-407F-8010-3869FDBF7C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8" authorId="523" shapeId="0" xr:uid="{C1F085C9-AACB-4191-A4CA-8CA9A110E63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8" authorId="524" shapeId="0" xr:uid="{C4CFFEC7-1A3A-4F2A-B1B6-EDF13D4DDCA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8" authorId="525" shapeId="0" xr:uid="{8BCA0422-3800-4918-9061-15BE8E52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8" authorId="526" shapeId="0" xr:uid="{7A26C111-6A90-48E2-97EA-9F504F15291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8" authorId="527" shapeId="0" xr:uid="{8D993A4D-28CF-4D91-AB82-ADA397B8ECD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8" authorId="528" shapeId="0" xr:uid="{49D08086-0257-4506-A40A-9A4D5779B98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8" authorId="529" shapeId="0" xr:uid="{248FD869-831F-432B-9393-067AFF24BA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8" authorId="530" shapeId="0" xr:uid="{7B0E863F-B345-41DC-A555-A35493DAD59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8" authorId="531" shapeId="0" xr:uid="{016A69B8-2E46-4E4F-87EF-BAC5BDE783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54" authorId="532" shapeId="0" xr:uid="{994B3CB9-8FB1-444E-9CCD-99D4196563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4" authorId="533" shapeId="0" xr:uid="{FABC1E83-7EE5-496C-B732-F1E85A5730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4" authorId="534" shapeId="0" xr:uid="{6A885BE8-D35E-4D3D-A29C-6D15899352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4" authorId="535" shapeId="0" xr:uid="{41367FC3-B77D-4D18-8F92-71ED17CEE1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4" authorId="536" shapeId="0" xr:uid="{1C6EE72D-FF0B-4ECF-896B-27E31223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4" authorId="537" shapeId="0" xr:uid="{4FF0EA40-B483-4404-8BA3-774F0B9B05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4" authorId="538" shapeId="0" xr:uid="{7C3D651B-4E33-4F36-B6D7-A584BA0E12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4" authorId="539" shapeId="0" xr:uid="{ED9E9C61-C064-42CD-87FB-2975C01912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4" authorId="540" shapeId="0" xr:uid="{74DB66A3-EAC4-4D74-A9D5-73D4EF731A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4" authorId="541" shapeId="0" xr:uid="{812FF0F1-4A9E-4A49-846E-DFACCD3D90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4" authorId="542" shapeId="0" xr:uid="{13EFAAEE-7ED7-4E44-A7D6-4781779BA7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4" authorId="543" shapeId="0" xr:uid="{BF8DF3B3-EBD8-4292-B90F-DDF19E9714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4" authorId="544" shapeId="0" xr:uid="{3F908CE8-A9C2-4C54-9705-63FE3B06FC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4" authorId="545" shapeId="0" xr:uid="{212E3361-6E5D-4351-A362-1398853B77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4" authorId="546" shapeId="0" xr:uid="{E029F6AF-AA3D-4E74-BDC0-595FBBC8C2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4" authorId="547" shapeId="0" xr:uid="{7D4A5E6B-FDC3-4A30-BE01-6448D3C679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4" authorId="548" shapeId="0" xr:uid="{A17379F2-79DE-4CD4-8888-6D66E4E03A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4" authorId="549" shapeId="0" xr:uid="{BEEBC069-946B-4777-90B0-D8829F0603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550" shapeId="0" xr:uid="{3DF5B16A-45FA-4D29-AA5A-E9AD38D303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5" authorId="551" shapeId="0" xr:uid="{AAA12C9E-5B40-40E0-A6D1-43F51403BD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5" authorId="552" shapeId="0" xr:uid="{B36297BE-8075-4277-BF32-0C50631D22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5" authorId="553" shapeId="0" xr:uid="{2C69F066-427D-4E08-B28F-188D21FB50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5" authorId="554" shapeId="0" xr:uid="{A2D1DA50-7916-4385-83F9-8D1F03C2A9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5" authorId="555" shapeId="0" xr:uid="{EEEA91A9-C6DD-44A9-85C9-FE3A0F2AF0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5" authorId="556" shapeId="0" xr:uid="{F8D2499E-02F6-4E51-AF18-DAB562D915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5" authorId="557" shapeId="0" xr:uid="{53D1D3DD-6F0F-4031-9172-70E3B615D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5" authorId="558" shapeId="0" xr:uid="{C569ADB3-F884-463B-9302-5890B3979B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5" authorId="559" shapeId="0" xr:uid="{0B1DB9D1-DB2B-4BF4-A3DE-30D4C409CB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5" authorId="560" shapeId="0" xr:uid="{72740D2A-646E-469E-A5A1-95F65D465C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5" authorId="561" shapeId="0" xr:uid="{FF9D3123-BABF-4AE0-88C0-A9B8E28CBB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5" authorId="562" shapeId="0" xr:uid="{F6CF1B07-E382-48A6-9560-9F99E49B5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5" authorId="563" shapeId="0" xr:uid="{7070AE55-8E49-4209-BC91-35720C7DD1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5" authorId="564" shapeId="0" xr:uid="{125DBF23-479A-467B-98B1-4B116B0FB5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5" authorId="565" shapeId="0" xr:uid="{7B4A0B02-BB9F-4157-A57B-C7552A6822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5" authorId="566" shapeId="0" xr:uid="{08AE92E2-A0A0-480D-A92A-071A34A3FD8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5" authorId="567" shapeId="0" xr:uid="{16E8BF96-27E8-4E34-A884-7AC24ADC1E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568" shapeId="0" xr:uid="{3CB18BAE-DFD8-48E3-A26C-2E45AB22CE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6" authorId="569" shapeId="0" xr:uid="{8DBCECEF-DD8D-46EA-87C2-3AC10E3C75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6" authorId="570" shapeId="0" xr:uid="{5A21056E-34DC-43F5-A2F5-64257E1908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6" authorId="571" shapeId="0" xr:uid="{69C9F012-DB38-4C51-BB81-3F838741A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6" authorId="572" shapeId="0" xr:uid="{C8D053BC-C9A0-4025-992C-2077F2153F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6" authorId="573" shapeId="0" xr:uid="{3948A831-906C-4585-AE0D-795B8442A2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6" authorId="574" shapeId="0" xr:uid="{C3228A3F-D39D-4B2D-9F29-C7F7CAE7E6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6" authorId="575" shapeId="0" xr:uid="{FDAAE8F9-FD5A-4E26-883E-10EE2780CF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6" authorId="576" shapeId="0" xr:uid="{7464B705-B106-4FC4-9507-3F21F5E72B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6" authorId="577" shapeId="0" xr:uid="{A6879BED-5F82-4BEE-B2F1-519574C5E6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6" authorId="578" shapeId="0" xr:uid="{7E65B07F-FAE2-4D85-B37B-44655BA762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6" authorId="579" shapeId="0" xr:uid="{CF0BCB17-A384-4B48-8F4E-A088E0FBA1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6" authorId="580" shapeId="0" xr:uid="{5EDE2ADB-23BB-4BE6-9DF4-AAE02F56C4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6" authorId="581" shapeId="0" xr:uid="{87B0AE72-BAF3-4AF8-A3E4-D95CB7D96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6" authorId="582" shapeId="0" xr:uid="{9ADFA08D-49B9-493C-880E-F734C12456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6" authorId="583" shapeId="0" xr:uid="{4B3286C7-4732-4670-87FB-30D7BDA9C9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6" authorId="584" shapeId="0" xr:uid="{994F4DB8-6C7B-4C55-9E38-1A39A7398BB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6" authorId="585" shapeId="0" xr:uid="{98824436-BE07-4928-BC1E-649599B7E5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586" shapeId="0" xr:uid="{6C81F358-9677-4F30-820F-57EE0A920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7" authorId="587" shapeId="0" xr:uid="{508D410E-1425-4D30-9580-3E7904062C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7" authorId="588" shapeId="0" xr:uid="{331FD6EA-C066-468B-8568-DCD106DA48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7" authorId="589" shapeId="0" xr:uid="{8B7CC26D-D749-40C5-A733-710E1C37F0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7" authorId="590" shapeId="0" xr:uid="{B04C7EFE-25A3-4CB1-87B2-72A86E589B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7" authorId="591" shapeId="0" xr:uid="{2BAA1D1D-E915-49B5-8D78-BE0F83573D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7" authorId="592" shapeId="0" xr:uid="{4BD565D3-EF4B-4C9D-8E16-0D1BC72FAD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7" authorId="593" shapeId="0" xr:uid="{4ADF5901-1438-499C-8C7A-0FB2161918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7" authorId="594" shapeId="0" xr:uid="{A1594DED-9BF3-4BBF-B98D-3ECD6EA10C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7" authorId="595" shapeId="0" xr:uid="{FB345AE0-C3D2-4377-A27F-4078A84BCE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7" authorId="596" shapeId="0" xr:uid="{E004BA57-3B75-458E-BC1B-146800A415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7" authorId="597" shapeId="0" xr:uid="{A7181383-DD4B-4DCA-A74B-ED53AFA551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7" authorId="598" shapeId="0" xr:uid="{3ABB9EDF-E442-4D69-9BB1-6AD7594EB4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7" authorId="599" shapeId="0" xr:uid="{E1198A24-D258-48A6-8EAA-93EF6AD0B5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7" authorId="600" shapeId="0" xr:uid="{B55AA76C-B9E5-451A-9DC1-452B18EAAC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7" authorId="601" shapeId="0" xr:uid="{D7DC2A34-D971-4BAC-BFE2-B72180C103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7" authorId="602" shapeId="0" xr:uid="{6FE5C295-5139-41A3-ACE4-D737364E4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7" authorId="603" shapeId="0" xr:uid="{8D72691F-B368-4E31-B846-58E05B609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604" shapeId="0" xr:uid="{ACC666E5-8552-46D4-8725-C6645C19A5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8" authorId="605" shapeId="0" xr:uid="{9D3BA211-9F93-4639-9B50-1C1701E0A3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8" authorId="606" shapeId="0" xr:uid="{84A3E616-7A94-4BFC-98E6-3191518FFA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8" authorId="607" shapeId="0" xr:uid="{9B29B0DD-3CCF-400F-9923-F76E1F8F18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8" authorId="608" shapeId="0" xr:uid="{0F14A146-BE74-4733-9B9E-E7AF9A0ACD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8" authorId="609" shapeId="0" xr:uid="{7247FEAD-C2EC-4147-9E74-5C50969A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8" authorId="610" shapeId="0" xr:uid="{0C5A38F0-23BC-43FC-8A45-500B7CB538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8" authorId="611" shapeId="0" xr:uid="{F22E7B2D-96D4-4628-868D-E5F3E04D4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8" authorId="612" shapeId="0" xr:uid="{FC4134F8-2D95-4A6A-9413-BD0234DBEF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8" authorId="613" shapeId="0" xr:uid="{AA6BF00F-FE1E-4B1D-8D38-4F90DBF478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8" authorId="614" shapeId="0" xr:uid="{132F1B00-EB85-43CF-9D67-5EFC5C7F1E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8" authorId="615" shapeId="0" xr:uid="{FEBF6510-8BF8-46CF-A883-96DF2689DA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8" authorId="616" shapeId="0" xr:uid="{1FC9996E-45D6-4FAD-ACD4-9B2A0764D3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8" authorId="617" shapeId="0" xr:uid="{C5FC2005-F4FD-4FDE-ADC3-181212B888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8" authorId="618" shapeId="0" xr:uid="{4820E139-F74D-4884-AABD-9A4BE3E4B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8" authorId="619" shapeId="0" xr:uid="{2E778669-A5CB-4F0F-99A8-E1EEBA0314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8" authorId="620" shapeId="0" xr:uid="{98EF35E9-51DE-4B86-918C-82F59E0CE9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8" authorId="621" shapeId="0" xr:uid="{65E208F9-2CAA-4D30-8D1B-C184C8608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Q59" authorId="622" shapeId="0" xr:uid="{A32D62FD-43F9-4047-8F52-2ADD717D92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Apr'24</t>
      </text>
    </comment>
    <comment ref="R59" authorId="623" shapeId="0" xr:uid="{0D3EA517-F197-4E04-88FD-E08BB96DD0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Apr'24</t>
      </text>
    </comment>
    <comment ref="W59" authorId="624" shapeId="0" xr:uid="{02EECCE9-09AC-454F-9867-8719B325EA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9" authorId="625" shapeId="0" xr:uid="{771234F4-ACCC-4745-92CB-B5CCE985BD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9" authorId="626" shapeId="0" xr:uid="{1B1A0614-EE17-417E-8B65-B7AC16D92C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9" authorId="627" shapeId="0" xr:uid="{BE91E7AE-0437-4750-B6C1-F3ECF5476C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9" authorId="628" shapeId="0" xr:uid="{0DCD4048-7168-46C7-B4DB-C9B79C8339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9" authorId="629" shapeId="0" xr:uid="{B93B9505-0FAA-48B7-94F3-543CEB50DB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9" authorId="630" shapeId="0" xr:uid="{6FB4DC3B-750F-46D1-8A91-0FE78484D0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9" authorId="631" shapeId="0" xr:uid="{93D86F38-29C9-474C-81FA-EA29CB9121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9" authorId="632" shapeId="0" xr:uid="{9006CA1C-7C0C-4556-BC26-25F0E7A949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9" authorId="633" shapeId="0" xr:uid="{2F9CF36F-C824-45D8-A01B-239B1477EA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9" authorId="634" shapeId="0" xr:uid="{A24BA826-C197-4128-B477-4C3C2304FC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9" authorId="635" shapeId="0" xr:uid="{1B274DC6-A577-4E9C-95AC-391CD91C88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9" authorId="636" shapeId="0" xr:uid="{65CD44FD-044C-40E2-8864-237D98ABEA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9" authorId="637" shapeId="0" xr:uid="{CA52082D-3122-468B-8642-7A61D45809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9" authorId="638" shapeId="0" xr:uid="{FEC83F89-3CC6-4A7A-A666-B350FEDE98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9" authorId="639" shapeId="0" xr:uid="{7D1C0E55-C64E-402B-9F57-8D2564ABD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9" authorId="640" shapeId="0" xr:uid="{552BA13F-1871-4312-B27D-1EF55AC7FA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9" authorId="641" shapeId="0" xr:uid="{232740A9-CA59-49AC-8F0D-1041F1699E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642" shapeId="0" xr:uid="{2EE3F2AD-6379-4D3F-A566-B650711D22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60" authorId="643" shapeId="0" xr:uid="{88E1D59D-AF7F-4AE8-B5B9-B5ED7B46B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60" authorId="644" shapeId="0" xr:uid="{1BDAE497-49F9-4633-AAAA-D7C725C8BE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0" authorId="645" shapeId="0" xr:uid="{27CB4989-1617-4D9E-8CE0-0FA8B03F1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646" shapeId="0" xr:uid="{8EB16ECA-E009-444B-9F5A-3269025FE6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61" authorId="647" shapeId="0" xr:uid="{A74AC634-437D-4E98-8023-2B2D4A370A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61" authorId="648" shapeId="0" xr:uid="{CD79AFCC-E5A6-40CE-9BC1-B5509FC3C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1" authorId="649" shapeId="0" xr:uid="{230B24A4-E528-4186-B26E-892454BD6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2" authorId="650" shapeId="0" xr:uid="{D10F3B64-2A49-495B-A4CE-C8994E79C93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2" authorId="651" shapeId="0" xr:uid="{2710EB0E-6B45-4905-AA9D-335C9B6AB8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2" authorId="652" shapeId="0" xr:uid="{7B245ABD-3478-4B57-BD72-4B5AAF3E4B5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2" authorId="653" shapeId="0" xr:uid="{8E0B4ADB-8993-455A-8627-D7430BB2D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3" authorId="654" shapeId="0" xr:uid="{4BC9CBD2-F744-486D-B5C5-B88D071C4F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3" authorId="655" shapeId="0" xr:uid="{6FAD82AA-0B98-4AB6-9594-43649BB833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3" authorId="656" shapeId="0" xr:uid="{204EB5FF-9AB8-4015-9D78-445C69A6DE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3" authorId="657" shapeId="0" xr:uid="{A3571689-57C3-4F05-A82A-57CCF3F613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4" authorId="658" shapeId="0" xr:uid="{775F1FD7-9C58-4696-8EC8-15AE026D8F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4" authorId="659" shapeId="0" xr:uid="{4D7FCDD4-526F-4AA6-8D01-7DA6CD3DAE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4" authorId="660" shapeId="0" xr:uid="{FDF53B75-673E-4122-A289-A6C469A62F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4" authorId="661" shapeId="0" xr:uid="{6AB24675-302C-473C-8E74-2841AF417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5" authorId="662" shapeId="0" xr:uid="{A24A8257-4CE3-4FC5-95F7-29BE4DAB53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5" authorId="663" shapeId="0" xr:uid="{5D809C93-4B90-4CA4-94C3-4DAD74A90C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5" authorId="664" shapeId="0" xr:uid="{781CF9EC-7AAB-42CE-B1A2-26CA3AABE2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5" authorId="665" shapeId="0" xr:uid="{541E5634-5CE1-4E36-BC62-9AFCE5CE68A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5" authorId="666" shapeId="0" xr:uid="{541632EB-B3BE-44D5-9FB9-3C8E23DF56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6" authorId="667" shapeId="0" xr:uid="{BDE55AFB-D3AB-492E-87AA-80524ED72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6" authorId="668" shapeId="0" xr:uid="{797EE97A-3A5D-4185-B9C3-C4C202794B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6" authorId="669" shapeId="0" xr:uid="{49B58B73-2323-46EE-ABA5-BADF68815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6" authorId="670" shapeId="0" xr:uid="{1370419F-D928-4B10-8D80-2E282AD7E3A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6" authorId="671" shapeId="0" xr:uid="{A9973E6E-C9CC-4CB6-835F-F61D05A5E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7" authorId="672" shapeId="0" xr:uid="{77A4FB51-5B10-43B1-ABFE-5D7F2197D8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7" authorId="673" shapeId="0" xr:uid="{AB273CA6-CAF1-4CD9-B347-B4A649CCF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7" authorId="674" shapeId="0" xr:uid="{063D041A-319A-4AE6-8C34-80C6D96FA34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7" authorId="675" shapeId="0" xr:uid="{819AB9AC-AE28-410C-AF07-0458D141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7" authorId="676" shapeId="0" xr:uid="{2EBADB00-0FC0-4E65-8C34-BC9FEEAC19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8" authorId="677" shapeId="0" xr:uid="{9CB4CF17-DDFB-45CB-8B0F-AF3BFFE046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8" authorId="678" shapeId="0" xr:uid="{1E2E1C20-FE3D-4E19-B873-D17C67FEF1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8" authorId="679" shapeId="0" xr:uid="{27ECB177-E6A1-40EE-BD99-6B759D66DC6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8" authorId="680" shapeId="0" xr:uid="{51BB256D-AC7D-46F5-A2FA-34AB5B23843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8" authorId="681" shapeId="0" xr:uid="{139F7135-1CCB-4698-AE12-6BD03615EFC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9" authorId="682" shapeId="0" xr:uid="{BDA896AB-F5A5-4097-A6A3-BE74A752EC2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69" authorId="683" shapeId="0" xr:uid="{9C605B83-0E60-4734-BEBB-9211EFFCF7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69" authorId="684" shapeId="0" xr:uid="{67FE8BA6-49B3-43EA-A78C-399344C5E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9" authorId="685" shapeId="0" xr:uid="{D0DA5D25-BC71-48C7-B1B5-075345E83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W70" authorId="686" shapeId="0" xr:uid="{D7343F6A-DEE6-4E38-B39E-D63F135E21F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0" authorId="687" shapeId="0" xr:uid="{8BCB4098-1AA0-4378-9333-97740445F9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0" authorId="688" shapeId="0" xr:uid="{71734302-84DD-4A14-8C3B-AB9A35419A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0" authorId="689" shapeId="0" xr:uid="{C1417462-7726-44F5-8629-9868819964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0" authorId="690" shapeId="0" xr:uid="{9B2D96F2-0795-4DB7-BD4F-8DE00BB879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K70" authorId="691" shapeId="0" xr:uid="{08185568-1B85-4059-8339-3A97D13233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70" authorId="692" shapeId="0" xr:uid="{6BC4EBC3-353F-4152-9439-3CEBA4C6BF2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70" authorId="693" shapeId="0" xr:uid="{79933E4A-DC00-4C70-AB4B-7FD6D7924D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BN70" authorId="694" shapeId="0" xr:uid="{AAD4592B-1E5F-4F43-8473-437F7FDC296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70" authorId="695" shapeId="0" xr:uid="{0E2053B3-3D35-4AE3-A62C-F3DAC3F8E7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70" authorId="696" shapeId="0" xr:uid="{9E807071-8139-40EE-8C8F-F9380729E34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70" authorId="697" shapeId="0" xr:uid="{6F5A8A9B-1D76-4F25-9276-6C13966EC6C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1" authorId="698" shapeId="0" xr:uid="{55B01B46-0C5A-4C8F-AC8B-72E7EBCD22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1" authorId="699" shapeId="0" xr:uid="{DFBA845C-3BF7-4686-9D63-A659696F0D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1" authorId="700" shapeId="0" xr:uid="{5BC21806-2E4C-4786-A309-60A37695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1" authorId="701" shapeId="0" xr:uid="{B37BBD82-3875-49F2-B5C9-4C88719B8E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K71" authorId="702" shapeId="0" xr:uid="{1F94A96E-EA29-42CB-BDD3-4DDED1FC70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71" authorId="703" shapeId="0" xr:uid="{30E4A0CA-3CB7-4A9F-ADFE-8D0E21B64A5F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BU71" authorId="704" shapeId="0" xr:uid="{548BC571-EABD-49C0-9364-4C062DE408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72" authorId="705" shapeId="0" xr:uid="{19501B31-4F77-4373-8FD5-4D0AB7B007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72" authorId="706" shapeId="0" xr:uid="{097D3D8C-9F5E-4EFD-9BDA-6746CC89E3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72" authorId="707" shapeId="0" xr:uid="{17B9915E-0949-45D8-9F60-5B330F9A95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2" authorId="708" shapeId="0" xr:uid="{C42B7965-E20E-41D8-AADB-8619D9EA4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73" authorId="709" shapeId="0" xr:uid="{7074ABE0-9DC8-43D8-A106-94622A5CCD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73" authorId="710" shapeId="0" xr:uid="{53914DBD-8F63-4D9E-9E65-B5A1D7416A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73" authorId="711" shapeId="0" xr:uid="{115E0FD4-92F1-4226-BAAA-A5EB66D7F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3" authorId="712" shapeId="0" xr:uid="{6C782FE0-8DD7-4CC2-B1FB-B596DF3F2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74" authorId="713" shapeId="0" xr:uid="{0FBA5339-1389-47EA-A7EE-6691E2B46D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74" authorId="714" shapeId="0" xr:uid="{CE5C1118-C63A-4A2E-AD78-82DA4757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74" authorId="715" shapeId="0" xr:uid="{5350E397-7786-4F05-BF6B-E821DBAE707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4" authorId="716" shapeId="0" xr:uid="{02F88856-DB48-49B5-9121-1F4B53218D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5" authorId="717" shapeId="0" xr:uid="{DE6F8CE6-4A28-44E2-AAFE-A323F63AC3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5" authorId="718" shapeId="0" xr:uid="{5F279A28-0412-4167-97FB-F80D0FB458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6" authorId="719" shapeId="0" xr:uid="{33D5F080-AADE-42FB-80A0-2D5F388478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6" authorId="720" shapeId="0" xr:uid="{C1E9B12C-F267-48B1-ACCB-0ACC8D1879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7" authorId="721" shapeId="0" xr:uid="{3B4F175D-A3EE-4D2F-8451-B7B67588B0A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7" authorId="722" shapeId="0" xr:uid="{5D76B02A-29D1-4A2E-8AB4-3D604AA9B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8" authorId="723" shapeId="0" xr:uid="{FEF6E395-B2D3-4DEE-93B4-8E91B9026514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M78" authorId="723" shapeId="0" xr:uid="{FFDD33DC-32E4-49EC-926A-C3BEE10E70F4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AU78" authorId="724" shapeId="0" xr:uid="{7EC51359-C93B-48B7-9D6E-B19E1CFEB7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78" authorId="725" shapeId="0" xr:uid="{2AC4FBFF-E085-480A-B353-E43089C0D4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8" authorId="726" shapeId="0" xr:uid="{DEFF122E-CB71-45B8-88DB-D5DC259DEE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8" authorId="727" shapeId="0" xr:uid="{D152B6EC-72AC-4B57-8871-4898E74971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8" authorId="728" shapeId="0" xr:uid="{93F8F0E1-C663-4238-9D84-225BE70B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78" authorId="729" shapeId="0" xr:uid="{1E34C167-26F9-4DCA-82D3-031DD81785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79" authorId="730" shapeId="0" xr:uid="{665BC8F7-5471-4A80-A301-3E23BE81A4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Nov’24</t>
      </text>
    </comment>
    <comment ref="AH79" authorId="731" shapeId="0" xr:uid="{5FBB5A05-9F70-4E7B-A0D6-C08421EA47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Nov’24</t>
      </text>
    </comment>
    <comment ref="AU79" authorId="732" shapeId="0" xr:uid="{DF1490FD-F093-4CE5-9241-CA0BBE28B2E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79" authorId="733" shapeId="0" xr:uid="{6815EE7D-EE45-4A76-B3FA-B28DEE0B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9" authorId="734" shapeId="0" xr:uid="{C66818AB-A149-416C-9215-1DC799D24F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9" authorId="735" shapeId="0" xr:uid="{BBA87ECD-B8DD-41DD-8E49-B7A91210BB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9" authorId="736" shapeId="0" xr:uid="{EFCA7DF9-EF0A-4B78-BE27-BC8BA8330A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79" authorId="737" shapeId="0" xr:uid="{2BBD8ABE-EEBB-4F2D-A5F6-E44DA301F7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80" authorId="738" shapeId="0" xr:uid="{1CFCE6BF-B8EF-4AC1-9509-A88E2FA0F3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Sep’24</t>
      </text>
    </comment>
    <comment ref="AB80" authorId="739" shapeId="0" xr:uid="{E14C2F2D-C3BB-4B9E-9F6E-CD9E83F3CE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Sep’24</t>
      </text>
    </comment>
    <comment ref="AI80" authorId="740" shapeId="0" xr:uid="{B453BA8E-9BC9-4040-A9A8-E969B6628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J80" authorId="741" shapeId="0" xr:uid="{5ADE03C1-EEDA-49DF-B4E5-E58A4F5043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K80" authorId="742" shapeId="0" xr:uid="{5BBB59ED-A844-44CB-B26A-1CB21FEB12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U80" authorId="743" shapeId="0" xr:uid="{FDA8360A-569C-422C-90A3-5F7A331B41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0" authorId="744" shapeId="0" xr:uid="{0145A656-8ECF-497C-AE33-168F1E1721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0" authorId="745" shapeId="0" xr:uid="{45272585-391C-4427-85ED-21B6032242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0" authorId="746" shapeId="0" xr:uid="{A3FDE5BF-59E2-40F8-BA91-C1E4FA8330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0" authorId="747" shapeId="0" xr:uid="{35B221F4-B324-4708-89D0-97B26997C7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0" authorId="748" shapeId="0" xr:uid="{CC525C2F-D6AB-4ACA-B056-53123B0370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81" authorId="749" shapeId="0" xr:uid="{E5EC9F86-ED5E-487F-875E-1B2C54956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1" authorId="750" shapeId="0" xr:uid="{BFFDF1DD-3CF9-4B14-8719-9DEB2D506B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1" authorId="751" shapeId="0" xr:uid="{A7D190FD-29DE-4452-9248-603C582716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1" authorId="752" shapeId="0" xr:uid="{937C2B5A-FBED-41DA-9DEB-561057C15C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1" authorId="753" shapeId="0" xr:uid="{8361E184-5ED4-408F-8AAA-AD22B2D2165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1" authorId="754" shapeId="0" xr:uid="{F7D31D57-5EB0-4006-9317-9591950AAD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723" shapeId="0" xr:uid="{30ED2FDD-1AB7-448F-B4A5-4758957550E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M82" authorId="723" shapeId="0" xr:uid="{9F3A589D-FF5B-4E25-A4F8-AB041F0375E8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AA82" authorId="755" shapeId="0" xr:uid="{BD0FDB9D-C2FE-4E67-8AF0-0FFB5D1704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B82" authorId="756" shapeId="0" xr:uid="{681E4445-D3EB-47E6-8D00-E9CB1BB36B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E82" authorId="757" shapeId="0" xr:uid="{9EED7F9C-D724-4E0A-A3FA-3BFB883893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F82" authorId="758" shapeId="0" xr:uid="{EEAD56AE-DF91-49FA-A05E-100A77961B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G82" authorId="759" shapeId="0" xr:uid="{7061D899-B88A-415B-9079-7203AF96DD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H82" authorId="760" shapeId="0" xr:uid="{86B3F2EE-51E1-4F21-A734-B3CFB09043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U82" authorId="761" shapeId="0" xr:uid="{89BD9AD4-EC74-4C6F-BD70-37B1FEFB01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2" authorId="762" shapeId="0" xr:uid="{A3D18212-33BE-4885-B08B-431087A5276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2" authorId="763" shapeId="0" xr:uid="{5957A900-EBB9-4CD1-87AD-9578F54907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2" authorId="764" shapeId="0" xr:uid="{C76028CB-9EA4-42C5-A694-A20604D060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2" authorId="765" shapeId="0" xr:uid="{0A541B78-A199-4621-8415-00BB0FE229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2" authorId="766" shapeId="0" xr:uid="{7BCECC96-3BB9-4CA5-A64A-226B4B1F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83" authorId="767" shapeId="0" xr:uid="{93BD9F75-AD5A-411A-9F6B-2724083E54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B83" authorId="768" shapeId="0" xr:uid="{A4CC5860-D72C-419E-8CDA-3692DB35D9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E83" authorId="769" shapeId="0" xr:uid="{86E7CD24-852F-4101-922C-6E20AE3A6F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F83" authorId="770" shapeId="0" xr:uid="{B91CD7AA-56A8-49FF-8FFE-6DF6D26A5C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G83" authorId="771" shapeId="0" xr:uid="{8FEFEADD-92B6-4C52-89EB-FA23235DFD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H83" authorId="772" shapeId="0" xr:uid="{236D6481-7902-46BC-A670-13888BF231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I83" authorId="773" shapeId="0" xr:uid="{C8900766-4227-4780-958E-99C3F938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Dec’24</t>
      </text>
    </comment>
    <comment ref="AJ83" authorId="774" shapeId="0" xr:uid="{1B2F64A9-3F71-4E96-95A8-803CEC0A27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Dec’24</t>
      </text>
    </comment>
    <comment ref="AK83" authorId="775" shapeId="0" xr:uid="{9A3A4330-EE67-4FCD-B3DD-07A577C89D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 in Q3</t>
      </text>
    </comment>
    <comment ref="AL83" authorId="776" shapeId="0" xr:uid="{0D0C89F0-1E38-4796-9FFD-7EEDB8F6BE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 in Q3</t>
      </text>
    </comment>
    <comment ref="AU83" authorId="777" shapeId="0" xr:uid="{217DE9F3-1196-4F99-BB4B-66C24F4C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3" authorId="778" shapeId="0" xr:uid="{98E55355-68CC-442E-98FE-FE6297A3D8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3" authorId="779" shapeId="0" xr:uid="{687503EE-F16F-41F4-9F6A-22D7B1B07E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3" authorId="780" shapeId="0" xr:uid="{DDEDCE88-7673-4AC2-9445-CAE33AD6BF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3" authorId="781" shapeId="0" xr:uid="{527A7CE0-D62F-4313-BC9B-2B5B595043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3" authorId="782" shapeId="0" xr:uid="{B21E2FD9-1A0B-4AAE-947D-7A4FB3EAE2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4" authorId="783" shapeId="0" xr:uid="{E897D92F-2FDF-41E0-B5D9-B9FF7F237D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4" authorId="784" shapeId="0" xr:uid="{F3831BEA-7861-4E76-9238-91C45A6A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4" authorId="785" shapeId="0" xr:uid="{7E51E5AB-83FD-4ECE-82C7-1E7133B6149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84" authorId="786" shapeId="0" xr:uid="{89BAEDEF-1BCC-4A19-997D-E316DE610D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4" authorId="787" shapeId="0" xr:uid="{3B18D2AB-AF92-436C-8957-077C458C87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4" authorId="788" shapeId="0" xr:uid="{5C3BE45C-C658-4FAB-89A3-692B5661E1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4" authorId="789" shapeId="0" xr:uid="{8C9DFEB4-FA50-49A8-B2AF-FA3074C1AF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AW85" authorId="790" shapeId="0" xr:uid="{4FD0094A-4A1E-493A-9A61-11C0F06E94D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5" authorId="791" shapeId="0" xr:uid="{F59F71BE-6219-4EF2-A39F-40BBD09FF9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5" authorId="792" shapeId="0" xr:uid="{0449C2DC-7B25-4EC0-82FF-CF5CED7747D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85" authorId="793" shapeId="0" xr:uid="{3D54B329-6BE2-4AAD-A359-55780D74C4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5" authorId="794" shapeId="0" xr:uid="{38728606-897A-4802-A54F-DB5DE26E20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5" authorId="795" shapeId="0" xr:uid="{60078A21-B32C-42DB-B455-B5D6036645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5" authorId="796" shapeId="0" xr:uid="{7F8ED35D-EE29-410C-BB43-AF1E7DAC1D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6" authorId="797" shapeId="0" xr:uid="{6FDC8B10-9FE7-448F-B05C-6300027D55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6" authorId="798" shapeId="0" xr:uid="{564C9A6B-4541-43E0-9EA0-042EB8B23349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BG86" authorId="799" shapeId="0" xr:uid="{BD18A285-74A6-47EA-B37F-AEC06136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BI86" authorId="800" shapeId="0" xr:uid="{242DBD9B-DD83-4EAF-B4F4-B247854AE1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W87" authorId="801" shapeId="0" xr:uid="{BCD23B45-D03A-4EDE-9416-B4DAA1F35D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88" authorId="802" shapeId="0" xr:uid="{D006FE44-05DD-4105-8F70-9C2CE2DE41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AY88" authorId="803" shapeId="0" xr:uid="{95F39258-46EC-4155-812A-F1EE57D9DA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8" authorId="804" shapeId="0" xr:uid="{635AAF54-0BFC-4632-B893-3428CED3DD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9" authorId="805" shapeId="0" xr:uid="{7433310B-D48A-43F0-A553-FA373721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9" authorId="806" shapeId="0" xr:uid="{DAEB5655-D600-4E83-9D52-00D210D1E2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9" authorId="807" shapeId="0" xr:uid="{58A35C8F-9699-4EF5-BA79-D6476021753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9" authorId="808" shapeId="0" xr:uid="{16E27C6C-5C82-4C82-A78D-6DCD1472441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Q90" authorId="809" shapeId="0" xr:uid="{2C0714A2-BE0B-476F-BE26-EFAD9B0939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0" authorId="810" shapeId="0" xr:uid="{F5A418EB-3C99-4329-99DA-00FB36B842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U90" authorId="811" shapeId="0" xr:uid="{B27D689A-BF41-4C95-8DCB-285D41767F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for Jun'24</t>
      </text>
    </comment>
    <comment ref="W90" authorId="812" shapeId="0" xr:uid="{E99018DD-697D-4177-B9D1-DD2B199F94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0" authorId="813" shapeId="0" xr:uid="{DDA486F0-E2A7-4833-B748-2EC6E2D874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0" authorId="814" shapeId="0" xr:uid="{9FD62AF2-BA6F-4133-8641-D4354B79D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0" authorId="815" shapeId="0" xr:uid="{087BA226-66E3-494A-AB3A-2CE3F90CE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0" authorId="816" shapeId="0" xr:uid="{8DF3E662-4439-4570-A21A-1C2A10F879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0" authorId="817" shapeId="0" xr:uid="{4AAC19EF-0F7D-49BA-A6A9-68E25EA6F4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0" authorId="818" shapeId="0" xr:uid="{322D2D51-E31B-4BDE-82F8-28C007A529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0" authorId="819" shapeId="0" xr:uid="{4B6599D7-19F1-482A-9D9A-AF6276C9B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0" authorId="820" shapeId="0" xr:uid="{07B989D4-F1B1-4DB6-A356-B08CC6486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0" authorId="821" shapeId="0" xr:uid="{B7B3B46A-655A-4428-9C5D-702E2E69D7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0" authorId="822" shapeId="0" xr:uid="{00F4FFBD-DC47-41FC-9C6C-7E3CAAEBEA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0" authorId="823" shapeId="0" xr:uid="{6E2058CC-509C-48D1-8740-747745E0F2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0" authorId="824" shapeId="0" xr:uid="{02AE8680-CBB7-4E73-9E06-1E72E00B4C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0" authorId="825" shapeId="0" xr:uid="{D89B3A4C-3A6F-413B-AB20-DB29188B56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0" authorId="826" shapeId="0" xr:uid="{0DEDED2C-17BA-4396-8321-134621F799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0" authorId="827" shapeId="0" xr:uid="{80BEB71F-4CF2-4C4B-AD0E-8ACC0F25C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0" authorId="828" shapeId="0" xr:uid="{B9F6137F-81FB-4B6F-8C7F-F2320DBF1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0" authorId="829" shapeId="0" xr:uid="{72075267-38E3-434A-9773-4B94B6B142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0" authorId="830" shapeId="0" xr:uid="{396227F2-640A-47D6-A841-44AC9B9E2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0" authorId="831" shapeId="0" xr:uid="{3FBEDA89-473F-4BCF-AE62-0ADF45C70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0" authorId="832" shapeId="0" xr:uid="{95879423-DBBF-4E31-A48B-27E430E145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0" authorId="833" shapeId="0" xr:uid="{F6640CE9-371F-4937-87E2-D68C41CEE4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0" authorId="834" shapeId="0" xr:uid="{34935A08-E455-46C4-B0C7-FA5EB8C7C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0" authorId="835" shapeId="0" xr:uid="{BE1CDA38-82E7-496D-9548-C76DA2316A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0" authorId="836" shapeId="0" xr:uid="{D1A53F48-E6B3-4EEC-963E-2515B54242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0" authorId="837" shapeId="0" xr:uid="{9871966A-DAB9-4470-BF90-E32DC5F2C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0" authorId="838" shapeId="0" xr:uid="{B0F18D86-CF07-4B2B-8361-FD8235614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0" authorId="839" shapeId="0" xr:uid="{3A241DA4-ECC6-4A69-A53F-783C699DC6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0" authorId="840" shapeId="0" xr:uid="{9300F1BB-89AF-4F42-8E5F-DA2415C4BF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0" authorId="841" shapeId="0" xr:uid="{5780AC08-5757-4501-AD7B-35488FBA4D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0" authorId="842" shapeId="0" xr:uid="{F6B8D695-31BB-4E4E-97E3-8F2E6216E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0" authorId="843" shapeId="0" xr:uid="{AB96D6C8-2685-4119-99F9-38C41F18E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0" authorId="844" shapeId="0" xr:uid="{C1B0D578-FE55-4AB4-B3AF-B70E457CF3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0" authorId="845" shapeId="0" xr:uid="{116E1A27-FA0D-406F-93A8-2C89DC15CA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0" authorId="846" shapeId="0" xr:uid="{EEA85290-5CE2-41DC-8593-DCDF25C2D8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0" authorId="847" shapeId="0" xr:uid="{658C271E-5632-4477-918C-41CC6892CF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0" authorId="848" shapeId="0" xr:uid="{780F7A33-ED12-4C76-B723-3F879FE8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0" authorId="849" shapeId="0" xr:uid="{53D3DC24-FA99-4A34-9C5E-629444D588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0" authorId="850" shapeId="0" xr:uid="{0D69AD2A-C555-4D93-AA93-2DBB0E97F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0" authorId="851" shapeId="0" xr:uid="{A5CDBD92-0FB6-4FE7-BB5E-9CD53739AF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0" authorId="852" shapeId="0" xr:uid="{6811D9A2-CE4C-4FEF-AA0E-8A30EFCD23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0" authorId="853" shapeId="0" xr:uid="{BE525942-94F0-48C0-B654-DB894C2DD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0" authorId="854" shapeId="0" xr:uid="{FFC9D4CA-A8E7-46BF-B91C-D6E6787CC4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0" authorId="855" shapeId="0" xr:uid="{35DEC6E9-0C06-4076-B61D-4B58496D63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0" authorId="856" shapeId="0" xr:uid="{2395BEC7-3D0F-4EC3-8EBB-7149326EA6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0" authorId="857" shapeId="0" xr:uid="{B432A33E-2B3B-4397-A5EF-BAD4DE337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1" authorId="858" shapeId="0" xr:uid="{9469A706-F968-45CD-AEAC-1D707B535C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has been released in the month of Apr'24</t>
      </text>
    </comment>
    <comment ref="W91" authorId="859" shapeId="0" xr:uid="{C54B4A57-70E4-4A7C-81BD-206E314161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1" authorId="860" shapeId="0" xr:uid="{0617FF7C-86C2-4833-B8FE-F2586EF308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1" authorId="861" shapeId="0" xr:uid="{BF8737C4-A92A-4156-9C50-E64D009DFA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1" authorId="862" shapeId="0" xr:uid="{45138D1D-0755-4E2F-8524-1D091AD36A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1" authorId="863" shapeId="0" xr:uid="{3F27AA57-EBD9-41EE-AAC3-F50FC013C1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1" authorId="864" shapeId="0" xr:uid="{2DAEBA26-2561-4284-B660-584146F9AE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1" authorId="865" shapeId="0" xr:uid="{7C673B2C-3F54-4BEE-A89F-AD1C903EC7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1" authorId="866" shapeId="0" xr:uid="{F1704779-E236-4ABF-B411-5E1B7B3298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1" authorId="867" shapeId="0" xr:uid="{F5019BF0-50A4-4035-B7B7-1263D95C09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1" authorId="868" shapeId="0" xr:uid="{D12E69A6-D360-4D94-B7EA-6E4BF5A11C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1" authorId="869" shapeId="0" xr:uid="{D8354BF2-FFA2-4E47-9E51-8B5FDB3957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1" authorId="870" shapeId="0" xr:uid="{0ADF1162-B502-4301-AA94-6C0C5FEE5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1" authorId="871" shapeId="0" xr:uid="{49A8DE7B-01DA-485E-8895-CB2F553B6F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1" authorId="872" shapeId="0" xr:uid="{AD9421D5-FB49-46E4-9A35-223A8DBD8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1" authorId="873" shapeId="0" xr:uid="{4172F2CB-3BD0-4D52-8449-BEA4D6B34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1" authorId="874" shapeId="0" xr:uid="{6B85F6B2-877B-4326-AF29-FC39525A64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1" authorId="875" shapeId="0" xr:uid="{334425F8-CC1C-478B-B83C-BE969474C1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1" authorId="876" shapeId="0" xr:uid="{0ED28FE4-EC97-4204-9973-1EC715B29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1" authorId="877" shapeId="0" xr:uid="{14ACDAF5-1E51-4CEC-B982-DDE4623A0E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1" authorId="878" shapeId="0" xr:uid="{9911FAFF-F08C-4F05-A640-A40723B9A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1" authorId="879" shapeId="0" xr:uid="{32D66F5C-C381-498E-85BC-7D7C3AC8CD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1" authorId="880" shapeId="0" xr:uid="{756F8B1D-2CF1-4EE4-882C-91A5CE7CA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1" authorId="881" shapeId="0" xr:uid="{C2B0DF43-EFFC-4168-A603-51219F0886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1" authorId="882" shapeId="0" xr:uid="{3455BC81-AD3C-46DC-806E-78412C1B05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1" authorId="883" shapeId="0" xr:uid="{3C187E44-6979-4A4E-B87A-84B3BA626F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1" authorId="884" shapeId="0" xr:uid="{FA40AF54-2B1E-4241-A1A8-3125193072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1" authorId="885" shapeId="0" xr:uid="{6D1E3226-14F1-4417-B759-B35EF6EF64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1" authorId="886" shapeId="0" xr:uid="{19455CC9-1D29-40FB-AF1E-2025278FB9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1" authorId="887" shapeId="0" xr:uid="{FE4B4CAA-60E6-4784-8164-B264697BB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1" authorId="888" shapeId="0" xr:uid="{BECBD22E-AAA0-45F4-A559-033BF3FAFE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1" authorId="889" shapeId="0" xr:uid="{D08F89B3-88BC-4E24-9CE6-014F9CA3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1" authorId="890" shapeId="0" xr:uid="{18D6CCCC-C845-462E-A1CC-893E19D34E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1" authorId="891" shapeId="0" xr:uid="{7DF64D12-E7DC-41C4-A098-B6CBB2CC28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1" authorId="892" shapeId="0" xr:uid="{B38F3CD8-79C4-4CB7-BFB4-AFB35A5BD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1" authorId="893" shapeId="0" xr:uid="{60B8BBCD-1394-437F-9EDD-3EAF44083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1" authorId="894" shapeId="0" xr:uid="{5291AF63-3D11-4E79-85B7-5030467D2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1" authorId="895" shapeId="0" xr:uid="{36D07945-146B-4444-93F8-31777A9D8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1" authorId="896" shapeId="0" xr:uid="{676ED668-14E9-4F81-BEB6-52F5D174B9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1" authorId="897" shapeId="0" xr:uid="{2FB55E29-4A99-4BED-9C0C-50E8B212E7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1" authorId="898" shapeId="0" xr:uid="{992904A2-4880-4B46-8731-7F24D4AA4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1" authorId="899" shapeId="0" xr:uid="{3C28D30F-0BBC-4E21-B038-B64B17F64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1" authorId="900" shapeId="0" xr:uid="{594BCE8D-733A-4C0E-B40F-76A68229F7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1" authorId="901" shapeId="0" xr:uid="{860FFF97-D9B5-4454-9AB6-8476D78FAC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1" authorId="902" shapeId="0" xr:uid="{FAB44967-8193-45B2-8273-885E66B8EF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1" authorId="903" shapeId="0" xr:uid="{B67459E4-4146-4102-AF58-577A6CE033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1" authorId="904" shapeId="0" xr:uid="{7E9CD5A5-D0B7-4532-9C48-899ED7B07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2" authorId="905" shapeId="0" xr:uid="{54F98015-A12C-4186-ABF7-6592DF199A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2" authorId="906" shapeId="0" xr:uid="{335F04F4-DA2E-498B-98C0-AF23E18B67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W92" authorId="907" shapeId="0" xr:uid="{A6D0C0A5-1A7A-43DC-8AF9-6A2FE97BE2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2" authorId="908" shapeId="0" xr:uid="{8B9C049B-70F0-4146-9328-A3C56C2FBB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2" authorId="909" shapeId="0" xr:uid="{53B5B646-25A8-42C6-A7FB-B66D4EDB5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2" authorId="910" shapeId="0" xr:uid="{6E42A968-38BB-4E28-ADE9-0217C0416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2" authorId="911" shapeId="0" xr:uid="{F8FFC424-C213-4CFE-A0CE-84B17CAEB6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2" authorId="912" shapeId="0" xr:uid="{460291E8-678B-4213-9A83-38353276B8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2" authorId="913" shapeId="0" xr:uid="{51A1501E-97DC-4AC1-A441-91D2C52769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2" authorId="914" shapeId="0" xr:uid="{44FA2332-B075-4A0D-B0F4-BB577055F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2" authorId="915" shapeId="0" xr:uid="{ECEEAF64-3291-4689-A479-D6756A8DFE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2" authorId="916" shapeId="0" xr:uid="{8F0EF42D-8A10-4936-9EC6-FC033CAC4C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2" authorId="917" shapeId="0" xr:uid="{A8074447-A7CD-4129-8D16-0792075D81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2" authorId="918" shapeId="0" xr:uid="{BFA1832A-8715-4C25-A328-1423B2303A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2" authorId="919" shapeId="0" xr:uid="{F7A1655B-F313-4A72-9C37-E5B56111B9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2" authorId="920" shapeId="0" xr:uid="{4BECCADF-8194-4AAF-A910-DE7F29DD7A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2" authorId="921" shapeId="0" xr:uid="{A030EA8E-C7D0-4DDE-BAA1-F4D6DB655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2" authorId="922" shapeId="0" xr:uid="{2AD367D7-9696-4CF8-85BD-48882F6B7D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2" authorId="923" shapeId="0" xr:uid="{1D6DF28A-A420-4F9E-8AA3-4E153D2C69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2" authorId="924" shapeId="0" xr:uid="{0DC041AA-6614-4F24-A122-CB4B2B9DA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2" authorId="925" shapeId="0" xr:uid="{5449C2AA-EC14-48BB-9C19-0E64A1D549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2" authorId="926" shapeId="0" xr:uid="{CD898DED-AB7E-4E16-B492-7434CE08A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2" authorId="927" shapeId="0" xr:uid="{4FFACB24-CC8A-4581-B9F2-0B8B1E7F2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2" authorId="928" shapeId="0" xr:uid="{92DC05B4-93B8-4599-9A7E-48EE557C35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2" authorId="929" shapeId="0" xr:uid="{40911A2C-05B8-47B9-A98A-3E77F6241B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2" authorId="930" shapeId="0" xr:uid="{4233D379-83F8-43EF-8228-FB3A2409EE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2" authorId="931" shapeId="0" xr:uid="{93503EE3-C5B4-4917-A52B-6C45A91E8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2" authorId="932" shapeId="0" xr:uid="{AD0D884E-1453-4D44-A49F-28091F3FB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2" authorId="933" shapeId="0" xr:uid="{AB16B687-AC48-4A91-A568-86A6DF119B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2" authorId="934" shapeId="0" xr:uid="{5DFBC142-4266-43E3-80C9-6E857C994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2" authorId="935" shapeId="0" xr:uid="{091496FF-4E35-48F4-8277-448D8F186D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2" authorId="936" shapeId="0" xr:uid="{86662BCD-3DF5-4869-8D72-EA90622760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2" authorId="937" shapeId="0" xr:uid="{8D620568-932B-4F0A-820F-147A3427D7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2" authorId="938" shapeId="0" xr:uid="{2FE42551-E211-4A22-B0F9-F332FD668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2" authorId="939" shapeId="0" xr:uid="{08402C55-BA69-4A35-8FC3-6808722A24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2" authorId="940" shapeId="0" xr:uid="{DC596E67-77F4-43C7-BDD3-017829864B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2" authorId="941" shapeId="0" xr:uid="{F05FFC38-7F6D-468C-9158-6FF11147C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2" authorId="942" shapeId="0" xr:uid="{B8448CCD-C291-4D0D-BB81-1B99E86DFA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2" authorId="943" shapeId="0" xr:uid="{6C5F6F5A-1809-4448-999E-981163EF62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2" authorId="944" shapeId="0" xr:uid="{16E971C3-1BD4-4F25-9040-9231DEF67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2" authorId="945" shapeId="0" xr:uid="{FD7E1342-2150-4059-AE32-48A440D9A5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2" authorId="946" shapeId="0" xr:uid="{8932F0D7-D804-4012-B1E2-45710A8EDB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2" authorId="947" shapeId="0" xr:uid="{4175056B-55A3-41B8-A1CC-7A4458DD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2" authorId="948" shapeId="0" xr:uid="{C11F3B3F-F61C-433C-9AF3-7144B75D5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2" authorId="949" shapeId="0" xr:uid="{64BE4405-DBAE-4C48-A657-8D8FC4E3AA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2" authorId="950" shapeId="0" xr:uid="{DD5859F7-4716-4DC5-943C-302AE4AFC7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2" authorId="951" shapeId="0" xr:uid="{DB331C14-C4C2-403C-844A-CF2B4CF31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2" authorId="952" shapeId="0" xr:uid="{209126C0-3904-4916-B6A6-21774D0C4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3" authorId="953" shapeId="0" xr:uid="{70CAA436-027B-4BBF-A714-6AFA95F147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3" authorId="954" shapeId="0" xr:uid="{C79D5558-2651-4026-B1C0-AA6BF0DC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W93" authorId="955" shapeId="0" xr:uid="{1A378288-A422-4598-AE43-A798496E45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3" authorId="956" shapeId="0" xr:uid="{BD64FC79-38EE-43DB-B5AE-AB0004892F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3" authorId="957" shapeId="0" xr:uid="{D53907BF-AB40-46E7-B6D2-EF4161643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3" authorId="958" shapeId="0" xr:uid="{7D101F1D-7B97-45B3-940C-3B1D4EFD4F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3" authorId="959" shapeId="0" xr:uid="{1956494F-D2DB-4854-9C52-A4DB4586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3" authorId="960" shapeId="0" xr:uid="{2580F9F1-2CC6-46B1-B698-DF69719E28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3" authorId="961" shapeId="0" xr:uid="{9E68799F-2806-43B4-B657-F908F921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3" authorId="962" shapeId="0" xr:uid="{79CDC2A3-6FD2-4CE7-8A30-0A19DB3DE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3" authorId="963" shapeId="0" xr:uid="{C970F739-A5F8-4F66-820A-557C2B848C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3" authorId="964" shapeId="0" xr:uid="{6C9B95B4-9284-4095-A6EE-5F49EEE3D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3" authorId="965" shapeId="0" xr:uid="{FB9D6CA5-42BD-49A8-BE86-C954E799CA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3" authorId="966" shapeId="0" xr:uid="{10026D6C-8396-4C89-A4D8-E67B5343E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3" authorId="967" shapeId="0" xr:uid="{E8AACE49-7287-4F76-86C0-ADD927E4E3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3" authorId="968" shapeId="0" xr:uid="{5393FDF4-9F86-47B5-A118-FD725493D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3" authorId="969" shapeId="0" xr:uid="{4F1041BE-7E8C-4854-8091-FE5DA11A6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3" authorId="970" shapeId="0" xr:uid="{159BE7A7-8D80-4357-B746-628389829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3" authorId="971" shapeId="0" xr:uid="{45B6051B-F259-429C-A69C-5DFA79D92B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3" authorId="972" shapeId="0" xr:uid="{20A7E9F6-5ABB-4CE8-B7D8-C1EC658AA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3" authorId="973" shapeId="0" xr:uid="{5619F2A3-15F5-4D64-A0CA-96C6B9ADFC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3" authorId="974" shapeId="0" xr:uid="{D695278E-00FF-46B3-9839-A1F1217E9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3" authorId="975" shapeId="0" xr:uid="{4A8B6ECE-E747-482B-89B7-470BB1BF6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3" authorId="976" shapeId="0" xr:uid="{802E9B72-052F-423F-80E6-2388A7766B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3" authorId="977" shapeId="0" xr:uid="{44F02BC2-AFFA-4E98-B445-C51E0DC62A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3" authorId="978" shapeId="0" xr:uid="{D1713D55-11A4-4D1F-972B-07626B20E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3" authorId="979" shapeId="0" xr:uid="{473A910E-B60E-466E-9A21-D86EC9047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3" authorId="980" shapeId="0" xr:uid="{AE921828-0B35-44AF-92F1-DB7CB9BE50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3" authorId="981" shapeId="0" xr:uid="{4F27E59A-1AE2-4162-B000-9500424A5E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3" authorId="982" shapeId="0" xr:uid="{02A0FAA4-3CF2-4376-9955-1E57ECD6E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3" authorId="983" shapeId="0" xr:uid="{F19BC764-D75B-4474-AA3E-7950CD06DF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3" authorId="984" shapeId="0" xr:uid="{D8B8A6E1-8FB3-41B0-A87A-FC68DBE13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3" authorId="985" shapeId="0" xr:uid="{0A852999-CD01-4FDF-BCDF-E3871FB46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3" authorId="986" shapeId="0" xr:uid="{6FE0C7BB-DECA-4E80-A0A5-6252E9381B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3" authorId="987" shapeId="0" xr:uid="{57E7DE0A-74AF-4048-81DA-61DC19F6B3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3" authorId="988" shapeId="0" xr:uid="{C346BF35-F1AC-49E0-A684-95604FA1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3" authorId="989" shapeId="0" xr:uid="{CB57291F-5F26-44A4-82E2-016596F1C1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3" authorId="990" shapeId="0" xr:uid="{C6ECE848-1AB2-48A3-BC2C-561D2E479F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3" authorId="991" shapeId="0" xr:uid="{0D80C73E-E92E-4A35-8E38-2C7A410B1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3" authorId="992" shapeId="0" xr:uid="{7507C459-F20D-4AA7-973F-08B7796DBC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3" authorId="993" shapeId="0" xr:uid="{3ADB84E7-994F-44DE-AFC7-FA4749B95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3" authorId="994" shapeId="0" xr:uid="{2E60BCAB-C879-4488-8A07-756C5A0938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3" authorId="995" shapeId="0" xr:uid="{C204A574-559E-40C4-8202-39CE7830D4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3" authorId="996" shapeId="0" xr:uid="{D205E1CB-AF34-4432-8199-3796B491C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3" authorId="997" shapeId="0" xr:uid="{2302B755-5B4A-4CCD-83B8-2585F030F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3" authorId="998" shapeId="0" xr:uid="{2D502A80-F799-4040-9749-E65EDF499E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3" authorId="999" shapeId="0" xr:uid="{86BD0F64-C44E-44D1-A704-960F1B17E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3" authorId="1000" shapeId="0" xr:uid="{536F84EB-4011-4900-941D-3B5035F60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4" authorId="1001" shapeId="0" xr:uid="{DE07D2E0-E449-4BDD-99F4-3FC0FADC48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4" authorId="1002" shapeId="0" xr:uid="{AED7A66A-9BF9-424E-86DA-415E418A3D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4" authorId="1003" shapeId="0" xr:uid="{B4C2A68C-B399-489E-8E8E-9B28DFC0F8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4" authorId="1004" shapeId="0" xr:uid="{8E85C5B6-9AC1-4271-B80E-68E60B3807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4" authorId="1005" shapeId="0" xr:uid="{740C8EE8-364C-4798-BB3D-A170E87BD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4" authorId="1006" shapeId="0" xr:uid="{8AAF4209-1198-4B3C-8406-E5D97804A3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4" authorId="1007" shapeId="0" xr:uid="{7C98C82C-FF1D-419B-8B73-FDBC2695E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4" authorId="1008" shapeId="0" xr:uid="{7142DC4F-88AB-47C3-8105-66BCA5A149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4" authorId="1009" shapeId="0" xr:uid="{85B916EF-7F76-448A-9ADF-3807ED372C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4" authorId="1010" shapeId="0" xr:uid="{411463DE-DE7F-4385-ABA3-9A348A944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4" authorId="1011" shapeId="0" xr:uid="{9932F52E-E15F-4755-878B-0D4336863B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4" authorId="1012" shapeId="0" xr:uid="{FA2EBF3F-58F7-4199-8B3B-6905D21B6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4" authorId="1013" shapeId="0" xr:uid="{3D4A5E0A-0798-4AA0-97EE-860A42B3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4" authorId="1014" shapeId="0" xr:uid="{190EA7DF-FB8B-4DDA-BEFC-A6CE0B93F1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4" authorId="1015" shapeId="0" xr:uid="{3AFCF375-734B-4768-A1F5-539190D5BE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4" authorId="1016" shapeId="0" xr:uid="{5DB8DBBC-D044-48B6-A589-F265382838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4" authorId="1017" shapeId="0" xr:uid="{92EE694F-0128-4830-845A-BC17E55021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4" authorId="1018" shapeId="0" xr:uid="{4B379CAC-AE20-461D-ADD5-90E31C87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4" authorId="1019" shapeId="0" xr:uid="{C1569F81-CF25-4156-BFD1-26A0A0C27F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4" authorId="1020" shapeId="0" xr:uid="{F1F3DF20-A0BC-448C-9207-ADC0F0BC78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4" authorId="1021" shapeId="0" xr:uid="{1B9C0766-3FC5-42B7-B217-8AD34E3F8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4" authorId="1022" shapeId="0" xr:uid="{54CC3185-117E-4AB0-9ECF-3EC57D14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4" authorId="1023" shapeId="0" xr:uid="{BEA50014-36C0-4041-AA6E-0BE7C99960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4" authorId="1024" shapeId="0" xr:uid="{7AD322F0-FA1C-4912-A9C6-E9C7E8EC0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4" authorId="1025" shapeId="0" xr:uid="{E248F8A8-8BB1-4C2D-9C7E-5CF9A6CD8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4" authorId="1026" shapeId="0" xr:uid="{7878919E-EC87-4E44-BCFC-9417063E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4" authorId="1027" shapeId="0" xr:uid="{1BA5E6B0-381C-4E0C-A3BE-D9A2BB209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4" authorId="1028" shapeId="0" xr:uid="{41511CCE-6D8F-467E-986A-11E2C42591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4" authorId="1029" shapeId="0" xr:uid="{6B128807-CF79-458C-9A0D-DE6DC918C5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4" authorId="1030" shapeId="0" xr:uid="{050878D8-522E-4AEE-9DC3-84B0DB03F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4" authorId="1031" shapeId="0" xr:uid="{F38E391C-7CF1-424B-B747-1271A222C2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4" authorId="1032" shapeId="0" xr:uid="{FC517D9F-F2F9-41BA-AAAE-300ECC386E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4" authorId="1033" shapeId="0" xr:uid="{8EFDEA6C-D1B7-4A9B-BCB0-0980821C78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4" authorId="1034" shapeId="0" xr:uid="{0F6305E5-2F86-46E1-83DB-060F97579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4" authorId="1035" shapeId="0" xr:uid="{6E37F3C2-5D7C-4637-85CF-E325321D3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4" authorId="1036" shapeId="0" xr:uid="{7032AE1D-7ADB-4821-80D8-19AAC2D7B2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4" authorId="1037" shapeId="0" xr:uid="{5807A1D3-6D10-42BB-8917-7F651D00F3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4" authorId="1038" shapeId="0" xr:uid="{0B0A158A-91F0-45CF-AAB3-46553DA62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4" authorId="1039" shapeId="0" xr:uid="{5F4663CF-E12C-46AB-8A2B-AED356EC0C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4" authorId="1040" shapeId="0" xr:uid="{E124FBAA-0B49-4AE6-A4C8-1B59A7442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4" authorId="1041" shapeId="0" xr:uid="{C8D17B7C-84CA-420B-A38D-892B811C9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4" authorId="1042" shapeId="0" xr:uid="{56614FF6-81D5-43EF-82B9-299F8045F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4" authorId="1043" shapeId="0" xr:uid="{2AFEA2EB-0D93-4FEE-9905-C20D6A58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4" authorId="1044" shapeId="0" xr:uid="{FE872E80-A1F8-4ECF-AC5A-6D565AC85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4" authorId="1045" shapeId="0" xr:uid="{D508EAEC-4C7A-4D4B-AEBB-865F82E757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4" authorId="1046" shapeId="0" xr:uid="{DA7128DE-EAAC-4B9E-886F-C70BD5FE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5" authorId="1047" shapeId="0" xr:uid="{849EA806-E6ED-4FBE-8ED7-ABAB6E3F78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5" authorId="1048" shapeId="0" xr:uid="{260AFD64-CD4D-435C-B666-86F2D7101A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5" authorId="1049" shapeId="0" xr:uid="{179F6D06-0A26-4A9E-B77D-23AB68F0E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5" authorId="1050" shapeId="0" xr:uid="{5A8CBE09-8D65-4C96-88DB-6C5945656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5" authorId="1051" shapeId="0" xr:uid="{1667C376-B9AD-458F-8860-C4F1828100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5" authorId="1052" shapeId="0" xr:uid="{9408DF53-6ED8-40C0-96B1-EEAC554DB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5" authorId="1053" shapeId="0" xr:uid="{C83EE3AF-D273-4883-A8C2-772EE949F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5" authorId="1054" shapeId="0" xr:uid="{9D7934B2-7EFB-4B27-99A0-A09432400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5" authorId="1055" shapeId="0" xr:uid="{637E6CDB-0193-42B0-9AFF-5EA861942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5" authorId="1056" shapeId="0" xr:uid="{25E6D378-CBF8-4D9F-A19A-78649EBFF6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5" authorId="1057" shapeId="0" xr:uid="{0187E204-F675-4F49-94AD-DDEE0D7D14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5" authorId="1058" shapeId="0" xr:uid="{E8AEAFD7-2297-4079-A99B-41A028851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5" authorId="1059" shapeId="0" xr:uid="{E41EE957-7B4B-4895-916C-B2F6140FF3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5" authorId="1060" shapeId="0" xr:uid="{6C284345-0A39-4658-9E4E-13F8BC34F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5" authorId="1061" shapeId="0" xr:uid="{57228A44-5C90-492F-BCE2-AFCF1C26FE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5" authorId="1062" shapeId="0" xr:uid="{E7A2E234-42AB-4856-A1FE-8EA27CB82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5" authorId="1063" shapeId="0" xr:uid="{2036D4E9-922F-4488-9C87-35D4368F8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5" authorId="1064" shapeId="0" xr:uid="{1054C9B0-DF68-4EAF-86D5-FA9A868528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5" authorId="1065" shapeId="0" xr:uid="{612D5B18-9708-4BF6-A746-3EE2FE698B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5" authorId="1066" shapeId="0" xr:uid="{27468245-ABF5-4D21-BE18-F0925F29C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5" authorId="1067" shapeId="0" xr:uid="{D85B90FD-5525-4821-A37E-29596BA2A9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5" authorId="1068" shapeId="0" xr:uid="{CF4EC61C-6D89-4B56-9508-5D3086709F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5" authorId="1069" shapeId="0" xr:uid="{63196827-78FC-413C-8AD3-A0197CE57E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5" authorId="1070" shapeId="0" xr:uid="{29570F42-4E5B-4D0C-942A-17881F092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5" authorId="1071" shapeId="0" xr:uid="{FEFB2221-AB36-44D9-8064-B412D09C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5" authorId="1072" shapeId="0" xr:uid="{4C9CB2C0-0588-4187-9176-6E7A5C985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5" authorId="1073" shapeId="0" xr:uid="{C70A2317-D2F4-4860-8A1D-5D78F7CDF6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5" authorId="1074" shapeId="0" xr:uid="{0D2F3382-1C67-4BCD-9C8C-B3F92D294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5" authorId="1075" shapeId="0" xr:uid="{7AC2CDD1-374A-44A6-8534-9BDEAC5BF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5" authorId="1076" shapeId="0" xr:uid="{982E2046-0747-4DE8-965D-7269F164B0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5" authorId="1077" shapeId="0" xr:uid="{E354A60C-E790-427B-9C67-BE4917F953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5" authorId="1078" shapeId="0" xr:uid="{79B446A2-760C-4662-95F1-ECA6C7CD0D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5" authorId="1079" shapeId="0" xr:uid="{BDF9E5A1-ECC0-47A4-A0B1-DE3B91AB48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5" authorId="1080" shapeId="0" xr:uid="{73DB98D2-3192-4BDE-9696-4E733853BA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5" authorId="1081" shapeId="0" xr:uid="{E7B5435F-520D-4B6A-9225-28D9A1892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5" authorId="1082" shapeId="0" xr:uid="{F3658AB6-9C46-46D3-B512-40EE399BF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5" authorId="1083" shapeId="0" xr:uid="{D1885004-0BB5-4DB5-A2C0-92FD2D5EB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5" authorId="1084" shapeId="0" xr:uid="{9C176ACA-ADF1-47FE-ADAD-3DF3D3FBA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5" authorId="1085" shapeId="0" xr:uid="{803B3726-F794-4EDD-AA85-CB6B2B366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5" authorId="1086" shapeId="0" xr:uid="{7795EAE4-DDC9-41E6-8146-B07A1BD09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5" authorId="1087" shapeId="0" xr:uid="{DE542E8A-5915-4863-B99C-94E9D314A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5" authorId="1088" shapeId="0" xr:uid="{94AD4ABE-B785-4515-9F9E-F73022AEAF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5" authorId="1089" shapeId="0" xr:uid="{1CE97A16-F8EB-4A07-A94F-FF5E3A899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5" authorId="1090" shapeId="0" xr:uid="{CC30C3B4-7657-42E2-B74B-5A167C677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5" authorId="1091" shapeId="0" xr:uid="{16C76330-42FB-41EF-AB0E-769D77187B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5" authorId="1092" shapeId="0" xr:uid="{E5983372-8BE1-4A90-B901-B29BB41DF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6" authorId="1093" shapeId="0" xr:uid="{C9C11992-4AE0-431D-8FAE-C1CBDB05A1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6" authorId="1094" shapeId="0" xr:uid="{79A345D4-910C-4297-95B9-5D7FB86FFE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6" authorId="1095" shapeId="0" xr:uid="{4BEBAD46-AD05-431A-832F-19F0D57EE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6" authorId="1096" shapeId="0" xr:uid="{645065AD-207E-4356-BDD7-5B2D75CD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6" authorId="1097" shapeId="0" xr:uid="{CA3FB946-893E-4F9E-97D6-48D48BDB44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6" authorId="1098" shapeId="0" xr:uid="{5D804784-E313-4558-8CFD-672934002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6" authorId="1099" shapeId="0" xr:uid="{F4C72D3A-2438-42FB-A462-4E2071A3D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6" authorId="1100" shapeId="0" xr:uid="{3B78710F-91DF-47CE-8076-D9F4E4A4E8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6" authorId="1101" shapeId="0" xr:uid="{BDB535D0-4029-402A-9757-E0AF5F5C2C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6" authorId="1102" shapeId="0" xr:uid="{C8055D54-9A82-4C2D-B0C5-99CC71821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6" authorId="1103" shapeId="0" xr:uid="{AA00EC0C-035C-4A60-BBD6-D2C447BE09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6" authorId="1104" shapeId="0" xr:uid="{74A1ABCF-20C6-4C34-8264-45F084382E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6" authorId="1105" shapeId="0" xr:uid="{55960BB1-99CD-48BA-BDB2-F0A6B822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6" authorId="1106" shapeId="0" xr:uid="{16910FFF-0E9A-45AF-A3D0-36C69B901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6" authorId="1107" shapeId="0" xr:uid="{7E46E47A-84E1-45BB-AD86-7EDBB8FCC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6" authorId="1108" shapeId="0" xr:uid="{B952F9FC-BB70-4600-85BD-BDA2ABC4A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6" authorId="1109" shapeId="0" xr:uid="{7E9C8D9F-3386-494D-8C37-B117C60074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6" authorId="1110" shapeId="0" xr:uid="{4272390B-38BC-49CB-9AB9-00B5A72B47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6" authorId="1111" shapeId="0" xr:uid="{8FE0D759-CAF3-48E3-ABF4-EEBAF1A0E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6" authorId="1112" shapeId="0" xr:uid="{379ECD56-14EE-4C81-8964-940E9DAE2E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6" authorId="1113" shapeId="0" xr:uid="{24335777-9C81-4DB0-B4E8-C5E79810F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6" authorId="1114" shapeId="0" xr:uid="{59A8E9D6-4B52-4612-9A60-4C766C30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6" authorId="1115" shapeId="0" xr:uid="{95CB1387-44EF-4300-B467-4F41FCC5D4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6" authorId="1116" shapeId="0" xr:uid="{DE5C51B9-1602-4E2E-B8C0-C15ED1BE2B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6" authorId="1117" shapeId="0" xr:uid="{C8D70E35-9325-4BE6-8239-7317EFE7B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6" authorId="1118" shapeId="0" xr:uid="{CED54C0B-8BC7-466D-8CB6-E1CF42851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6" authorId="1119" shapeId="0" xr:uid="{91190D34-7CF7-4D07-8B6B-17E462B322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6" authorId="1120" shapeId="0" xr:uid="{2659DBA8-17A1-48A1-A0B8-0653ED1A77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6" authorId="1121" shapeId="0" xr:uid="{42DCC2C4-0274-481B-B366-8893131C6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6" authorId="1122" shapeId="0" xr:uid="{C7443B98-D272-4797-BCEC-D44B1F21EA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6" authorId="1123" shapeId="0" xr:uid="{EF863D20-2984-4D14-9D03-B96B905235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6" authorId="1124" shapeId="0" xr:uid="{33020455-0295-45F1-9124-64A7A4905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6" authorId="1125" shapeId="0" xr:uid="{B9B2B065-CC32-4F73-BD35-FB670672E4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6" authorId="1126" shapeId="0" xr:uid="{C788C0D5-6D78-4188-AAFB-2FA67BA83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6" authorId="1127" shapeId="0" xr:uid="{37FB240B-1165-4E96-A359-321F93639E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6" authorId="1128" shapeId="0" xr:uid="{60AF08A2-9B4F-4C29-B2C3-800AF9C7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6" authorId="1129" shapeId="0" xr:uid="{BDCC20B4-54A7-4DF1-AB31-07D6083B1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6" authorId="1130" shapeId="0" xr:uid="{18B9B10D-DB23-46CE-AE6B-0152967B10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6" authorId="1131" shapeId="0" xr:uid="{712B84F1-B58F-4E7B-8647-ECE059D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6" authorId="1132" shapeId="0" xr:uid="{A6B9614C-9F45-40AB-9660-2629CF3918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6" authorId="1133" shapeId="0" xr:uid="{8AFC63DA-4635-4920-9DF8-12F728020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6" authorId="1134" shapeId="0" xr:uid="{DBAA30C0-D4FB-4ED4-BDA3-086E3DF9F6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6" authorId="1135" shapeId="0" xr:uid="{3E3A6E7C-12ED-46AA-828F-294060EF11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6" authorId="1136" shapeId="0" xr:uid="{476D813D-5102-46DF-A818-D635B3D681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6" authorId="1137" shapeId="0" xr:uid="{56A789B8-FBCD-4465-96A0-A15D6BBDE0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6" authorId="1138" shapeId="0" xr:uid="{EBA02C59-21E8-4B41-94A6-0044EF7D40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97" authorId="1139" shapeId="0" xr:uid="{F3FC6F86-1E34-4C81-AE23-20B148088A8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98" authorId="1140" shapeId="0" xr:uid="{6FF79786-380B-478A-810C-68F8B66F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99" authorId="1141" shapeId="0" xr:uid="{644C1998-902C-4054-BEF9-9CB764C9C5E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99" authorId="1142" shapeId="0" xr:uid="{E5887DE6-EF0C-4892-8875-7FA9880A93A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Q99" authorId="1143" shapeId="0" xr:uid="{930E03B4-FCB3-4104-B056-B7C806D762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0" authorId="1144" shapeId="0" xr:uid="{4B1C41C3-87C6-4299-9D64-FE59F1BE138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0" authorId="1145" shapeId="0" xr:uid="{12A11147-76CE-44C7-9DC6-CAE5DC75C6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Q100" authorId="1146" shapeId="0" xr:uid="{CE8ED25A-E47C-4176-B49B-022DB96C7C1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1" authorId="1147" shapeId="0" xr:uid="{691E2C74-F5F4-4F6E-8B93-ADCD275033A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1" authorId="1148" shapeId="0" xr:uid="{9DE064C8-93E2-4BFF-A1D3-94089AC48CC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S101" authorId="1149" shapeId="0" xr:uid="{B010D424-115B-4535-96DF-8E8BFA1025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01" authorId="1150" shapeId="0" xr:uid="{A49DDE4D-2D07-4486-8A88-52F01F6F66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2" authorId="1151" shapeId="0" xr:uid="{75F4A299-B441-4620-AC7C-D75903AC7CD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2" authorId="1152" shapeId="0" xr:uid="{A98707F5-7630-4F8E-AF86-3D198A640FA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U102" authorId="1153" shapeId="0" xr:uid="{D5623DCD-D838-4570-9ED6-3BB95D9272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3" authorId="1154" shapeId="0" xr:uid="{1BE6B67F-D1C5-4DE1-8C51-575A971AB18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3" authorId="1155" shapeId="0" xr:uid="{12F0D3C8-CF56-40F7-9485-A7750A0DA88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U103" authorId="1156" shapeId="0" xr:uid="{81411A1D-379E-4A82-B054-2D4ABEEFD7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4" authorId="1157" shapeId="0" xr:uid="{133A994D-2D84-4C7B-BDCD-D67F05EC13F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4" authorId="1158" shapeId="0" xr:uid="{35F3EB17-1D89-4061-AAC9-99DF64CE425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L105" authorId="1159" shapeId="0" xr:uid="{951FC648-754F-4E20-90FA-8C25C818153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M105" authorId="1160" shapeId="0" xr:uid="{FC2DD2CD-0FAF-4C54-9FD3-E9C5AE72849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AU105" authorId="1161" shapeId="0" xr:uid="{C0877835-C49F-47C9-89E6-3AFE5389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5" authorId="1162" shapeId="0" xr:uid="{91DFC86B-8842-45DC-8F66-215513D1D43C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BE105" authorId="1163" shapeId="0" xr:uid="{426068DF-11B9-4EC6-82B0-579AA8105C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06" authorId="1164" shapeId="0" xr:uid="{3A47851F-F5AD-48CA-8B5A-3B056811E6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6" authorId="1165" shapeId="0" xr:uid="{8A9E61B7-751D-4E07-907B-4F389CE5085D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BE106" authorId="1166" shapeId="0" xr:uid="{73FC2076-FBFD-434D-AE0D-EA142BBC7B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7" authorId="1167" shapeId="0" xr:uid="{1AC96485-2B05-46DD-95D0-FC2A02A7E03B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BE107" authorId="1168" shapeId="0" xr:uid="{83A0D31F-E3EB-4FE9-A5CC-37CB73EA4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07" authorId="1169" shapeId="0" xr:uid="{4A80CD2C-DA52-4829-9E15-105A2FBFDF6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108" authorId="1170" shapeId="0" xr:uid="{975E0C5D-BD1D-42FF-877B-0550C19E7A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108" authorId="1171" shapeId="0" xr:uid="{DEF55DF7-ABED-4251-9D38-5AC4568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08" authorId="1172" shapeId="0" xr:uid="{722519D6-5449-4FFB-BCFF-A2471367675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08" authorId="1173" shapeId="0" xr:uid="{22977220-89D4-4434-9EDA-C863E1A176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08" authorId="1174" shapeId="0" xr:uid="{13D9E04A-20EB-4112-A2AA-00054244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8" authorId="1175" shapeId="0" xr:uid="{01F419CF-3757-464C-A6C5-5279992EC3C6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BM108" authorId="1176" shapeId="0" xr:uid="{1C443151-5393-49A3-BA07-64AF3EA562F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9" authorId="1177" shapeId="0" xr:uid="{51F8B996-86E5-46B5-B795-5E090F09A72F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BC109" authorId="1178" shapeId="0" xr:uid="{5E6EAF3D-301D-44CA-AF4B-15858CBBF4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09" authorId="1179" shapeId="0" xr:uid="{0152AFC8-7C78-4731-874D-46C4FA3179F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09" authorId="1180" shapeId="0" xr:uid="{F0F1EFE2-504E-40FF-BDCE-61E725AB86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10" authorId="1181" shapeId="0" xr:uid="{68510692-4688-4F29-A558-664CAB0CF48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10" authorId="1182" shapeId="0" xr:uid="{3CC0BB12-DD5D-4EC8-A09D-941D1423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U111" authorId="1183" shapeId="0" xr:uid="{3240113B-560D-4730-B7E8-298E283917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1" authorId="1184" shapeId="0" xr:uid="{1292C11C-64DA-41E5-8190-BE2564D2ECF2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AE112" authorId="1185" shapeId="0" xr:uid="{8A7B98E7-6296-4492-9B69-38716E3108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112" authorId="1186" shapeId="0" xr:uid="{9B42EDCB-4F42-4BAD-A42E-DE3EDE33DC5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12" authorId="1187" shapeId="0" xr:uid="{61817EB9-CCC2-4AE1-975F-F93923A0D6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12" authorId="1188" shapeId="0" xr:uid="{E842697F-1336-4B63-B7BD-C6125C8F377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12" authorId="1189" shapeId="0" xr:uid="{B933A4F0-BEA2-445D-9A3F-BE09484AB0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13" authorId="1190" shapeId="0" xr:uid="{F3EC3795-9335-47A2-BE8F-9AC1BACE7E5A}">
      <text>
        <r>
          <rPr>
            <b/>
            <sz val="9"/>
            <color indexed="81"/>
            <rFont val="Tahoma"/>
            <family val="2"/>
          </rPr>
          <t>Sahil Khanna:</t>
        </r>
        <r>
          <rPr>
            <sz val="9"/>
            <color indexed="81"/>
            <rFont val="Tahoma"/>
            <family val="2"/>
          </rPr>
          <t xml:space="preserve">
NA in the client
</t>
        </r>
      </text>
    </comment>
    <comment ref="O113" authorId="1190" shapeId="0" xr:uid="{8D9C81CF-A739-4B59-BFEE-9BA666D40CA5}">
      <text>
        <r>
          <rPr>
            <b/>
            <sz val="9"/>
            <color indexed="81"/>
            <rFont val="Tahoma"/>
            <family val="2"/>
          </rPr>
          <t>Sahil Khanna:</t>
        </r>
        <r>
          <rPr>
            <sz val="9"/>
            <color indexed="81"/>
            <rFont val="Tahoma"/>
            <family val="2"/>
          </rPr>
          <t xml:space="preserve">
NA in the client
</t>
        </r>
      </text>
    </comment>
    <comment ref="Q113" authorId="1191" shapeId="0" xr:uid="{68B7DF13-38F9-4952-A0C0-2BB19F362A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13" authorId="1192" shapeId="0" xr:uid="{6B645905-1765-411B-8868-1970FB9E251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3" authorId="1193" shapeId="0" xr:uid="{C9CC7629-CE2C-4AD4-80CA-345A1A05CBF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AY113" authorId="1194" shapeId="0" xr:uid="{EEB1B5AD-971E-4C4D-B47E-1A19F2C16C0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BA113" authorId="1195" shapeId="0" xr:uid="{61C4B73A-E4E8-4E96-A7BE-351A9C0E374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L114" authorId="1196" shapeId="0" xr:uid="{189F676C-2AAB-4811-8FAA-5A11529D8D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M114" authorId="1197" shapeId="0" xr:uid="{0E1EDF0A-7071-4536-A569-54A1CE1370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Q114" authorId="1198" shapeId="0" xr:uid="{5DA8C072-8F61-4255-A9F7-5CCFCD2EE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14" authorId="1199" shapeId="0" xr:uid="{24632E83-BF42-4124-B0B1-B71E9F2FF66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4" authorId="1200" shapeId="0" xr:uid="{E5778397-39A0-4E97-ACBC-52C311F85E7B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AY114" authorId="1201" shapeId="0" xr:uid="{B89F70A6-C79A-4A39-B4D7-CA06CF07A497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BA114" authorId="1202" shapeId="0" xr:uid="{9A2FA36D-751F-446A-BD79-E40A853BB28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L115" authorId="1203" shapeId="0" xr:uid="{7AC8D201-97D9-4BF6-8D26-1A5B90925378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M115" authorId="1204" shapeId="0" xr:uid="{3DA7B6EB-6F3D-4CDE-B9E0-DD4AF73267A2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S115" authorId="1205" shapeId="0" xr:uid="{647E602D-13A6-4172-968F-688BA5DA16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5" authorId="1206" shapeId="0" xr:uid="{7C0C3A71-D244-44DA-8970-4306587AD1D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AY115" authorId="1207" shapeId="0" xr:uid="{CC5A86AF-8556-4303-9E33-0CE0D999810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BA115" authorId="1208" shapeId="0" xr:uid="{D8CCC8CE-DD29-42BC-AADD-4FDA5861885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L116" authorId="1209" shapeId="0" xr:uid="{129B7B60-3AE3-4A09-9E24-70A15FB3935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M116" authorId="1210" shapeId="0" xr:uid="{604EEAE5-D31B-4435-8E12-652C342BC24A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U116" authorId="1211" shapeId="0" xr:uid="{B9D75251-E134-4BD3-AA1B-D1E2109A43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17" authorId="1212" shapeId="0" xr:uid="{E0801E64-7469-4822-B328-410FEDAAE2A6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BA117" authorId="1213" shapeId="0" xr:uid="{67F9005C-B998-4505-A52E-EE6D194DD548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L118" authorId="1214" shapeId="0" xr:uid="{42261A54-EAD9-45ED-9573-CC889FA99D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18" authorId="1215" shapeId="0" xr:uid="{44F6FF32-F3CA-47A0-A27A-B540167D835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18" authorId="1216" shapeId="0" xr:uid="{222D2C20-AFED-433E-8067-0E2AC770FA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U118" authorId="1217" shapeId="0" xr:uid="{418C097A-53BF-47F8-83D6-4320704C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8" authorId="1218" shapeId="0" xr:uid="{13773985-21F3-40D6-A815-086D8F13B76E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AY118" authorId="1219" shapeId="0" xr:uid="{1BA4E20D-6203-4B6D-BD9E-B9D6968573D3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BA118" authorId="1220" shapeId="0" xr:uid="{37AE5CAE-B4D0-4DB6-AA91-6A5DE527E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L119" authorId="1221" shapeId="0" xr:uid="{81806398-6077-443B-B3F4-3351049BB41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19" authorId="1222" shapeId="0" xr:uid="{551A0CEE-E990-4E77-B5B1-3E65A1C467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19" authorId="1223" shapeId="0" xr:uid="{8CE81E4C-9CD6-4328-8689-68F4F9908C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19" authorId="1224" shapeId="0" xr:uid="{CC5C0B0D-5D91-4FC0-99FA-818A204803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19" authorId="1225" shapeId="0" xr:uid="{D138E2B8-9C34-495C-BAA5-C21C2A292A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19" authorId="1226" shapeId="0" xr:uid="{BE1B3455-446A-417C-8A03-8D3FAB283EB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9" authorId="1227" shapeId="0" xr:uid="{E2C5AAFA-2CBE-42DD-A10F-F31F529DC9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AY119" authorId="1228" shapeId="0" xr:uid="{02FEE62A-4890-462D-870D-EFC451DC3B26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BA119" authorId="1229" shapeId="0" xr:uid="{7DBF4E53-4145-4E83-A4D3-2B4EF1FE1A38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BC119" authorId="1230" shapeId="0" xr:uid="{656A2B5D-63E8-4422-A159-9D8A1332C3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BE119" authorId="1231" shapeId="0" xr:uid="{0E3C24EF-BD49-4435-A8A4-9CCFB79452F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0" authorId="1232" shapeId="0" xr:uid="{0376B2A2-D426-4CE3-9440-0FAB20FD802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0" authorId="1233" shapeId="0" xr:uid="{626C3813-CC57-4A10-BE09-3FD506B9A34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0" authorId="1234" shapeId="0" xr:uid="{AE17E71F-862C-4A1E-9E67-A74809524C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W120" authorId="1235" shapeId="0" xr:uid="{B4C52688-D5C3-4F6F-AF3D-029949ABB0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20" authorId="1236" shapeId="0" xr:uid="{CC3D03F0-D616-4364-BFC2-29A117C742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W120" authorId="1237" shapeId="0" xr:uid="{B211841D-1A8D-4FA3-9901-D76DC744D277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AY120" authorId="1238" shapeId="0" xr:uid="{C4AF3410-475A-4401-AD1B-CAF377326502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BA120" authorId="1239" shapeId="0" xr:uid="{5B086CB4-6E60-4A00-B892-254BCBB72F2C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BC120" authorId="1240" shapeId="0" xr:uid="{68703528-3BE6-4EEF-A805-EF1AA45D90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BE120" authorId="1241" shapeId="0" xr:uid="{0A6CC130-EBAF-4A43-8D83-446157B5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1242" shapeId="0" xr:uid="{7B4568C7-2E8E-4E69-A0C7-E5AC1E4F7DE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1" authorId="1243" shapeId="0" xr:uid="{3F8E8376-219C-4056-AF2C-6EDA41F72C3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1" authorId="1244" shapeId="0" xr:uid="{B08EFCBA-B90D-4C78-97D0-C791940CAF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W121" authorId="1245" shapeId="0" xr:uid="{C84F42B1-8B8A-4F9B-976C-60CD2AA782DD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AY121" authorId="1246" shapeId="0" xr:uid="{0C0F6376-E2B6-42A3-82A2-BC39C39CDC6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BA121" authorId="1247" shapeId="0" xr:uid="{F7BBDE07-0759-4C21-BDE6-F17E168D1A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L122" authorId="1248" shapeId="0" xr:uid="{5973028A-0730-4A69-9605-7D5A80ED10A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2" authorId="1249" shapeId="0" xr:uid="{C2926127-1CBC-40C9-9BE7-2EE785A20B9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2" authorId="1250" shapeId="0" xr:uid="{8D457A83-48D2-4B38-A886-B264760A98E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M122" authorId="1251" shapeId="0" xr:uid="{524D5E33-D198-438A-A398-ACDC31F42A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22" authorId="1252" shapeId="0" xr:uid="{D9074C85-CE1F-4E56-A2DB-C9C756D3B1AC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BA122" authorId="1253" shapeId="0" xr:uid="{3D2B9DEA-E09B-4191-B2AE-044D7F4E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L123" authorId="1254" shapeId="0" xr:uid="{EED2F810-D00B-42D4-8461-6A301B2FB6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3" authorId="1255" shapeId="0" xr:uid="{80E31819-DB8B-4BE1-817A-3EAA2FDC170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3" authorId="1256" shapeId="0" xr:uid="{C1BE7076-65FC-4A89-8000-260AE77B17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Y123" authorId="1257" shapeId="0" xr:uid="{C23C9385-5148-4D7D-969A-A427D093558D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BA123" authorId="1258" shapeId="0" xr:uid="{716729BC-3AA9-473C-B2D1-3E3AF7E0152C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L124" authorId="1259" shapeId="0" xr:uid="{E4E1C50B-735F-4AAF-8D19-9B1F981291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M124" authorId="1260" shapeId="0" xr:uid="{A809E944-7D23-408C-86EA-C3988EFF6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Q124" authorId="1261" shapeId="0" xr:uid="{82E79F41-B3CF-4CEE-9794-6F195256F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24" authorId="1262" shapeId="0" xr:uid="{FEB8227E-31E3-459C-BA75-1F056B7BBD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4" authorId="1263" shapeId="0" xr:uid="{9DB620FF-3207-4B1A-A10A-7C5125CEBFB6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AY124" authorId="1264" shapeId="0" xr:uid="{01050086-22CA-4D6F-8EA7-6BB6A7C9E9D7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BA124" authorId="1265" shapeId="0" xr:uid="{945CF200-FED8-48A4-9BED-0501AA6F2E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L125" authorId="1266" shapeId="0" xr:uid="{210E6321-0BA4-4595-9253-3608577BDF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M125" authorId="1267" shapeId="0" xr:uid="{D885B111-AEDB-4AE0-975C-EF00DC104C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Q125" authorId="1268" shapeId="0" xr:uid="{901D87EA-E4E8-4A57-8CAE-9E5BAE30DC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25" authorId="1269" shapeId="0" xr:uid="{D5927B44-E12E-465D-9D96-1C973773E3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5" authorId="1270" shapeId="0" xr:uid="{29F53A71-B8AC-43C5-9E45-7C66893B1C4B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AY125" authorId="1271" shapeId="0" xr:uid="{7448D636-0CD1-42AD-9D76-092A743FA917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BA125" authorId="1272" shapeId="0" xr:uid="{F3D4FA9D-125F-4002-BCEC-8C4B5FC0995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L126" authorId="1273" shapeId="0" xr:uid="{391CC4D4-9039-4CCD-A9D0-78089A45CE56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M126" authorId="1274" shapeId="0" xr:uid="{6B5A8F5A-3ADB-435B-A5FD-7FF91FEEABB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AW126" authorId="1275" shapeId="0" xr:uid="{F1DFC0AA-D4F5-4CE0-AD68-74DB9A999ECC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AY126" authorId="1276" shapeId="0" xr:uid="{B487E5DD-C929-4380-B0E8-974A44EB799C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BA126" authorId="1277" shapeId="0" xr:uid="{0F577E19-F8BD-402B-95A3-DD22128E6D1C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L127" authorId="1278" shapeId="0" xr:uid="{B6469816-6D79-44BB-9E24-6F79521BBC6C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M127" authorId="1279" shapeId="0" xr:uid="{E3729C28-CBC9-4505-94CA-4B4DC98EC75B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S127" authorId="1280" shapeId="0" xr:uid="{4C0326CA-5B37-45D1-88DB-778702629A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28" authorId="1281" shapeId="0" xr:uid="{AB1E32C8-AE64-48E8-87BC-54A325E53E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28" authorId="1282" shapeId="0" xr:uid="{85E2BF87-BC9B-4360-990A-F9E303092DC5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BA128" authorId="1283" shapeId="0" xr:uid="{157A874D-F5DB-49FD-A42E-97475E5583CE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L129" authorId="1284" shapeId="0" xr:uid="{67BAC8AA-AD95-47A2-8F42-7DF78D05410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9" authorId="1285" shapeId="0" xr:uid="{7545261A-CD1A-43A9-B37B-1C2CDCE8E41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9" authorId="1286" shapeId="0" xr:uid="{ADEA5A2E-4B9B-4C3B-A6B6-A7832E4234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U129" authorId="1287" shapeId="0" xr:uid="{37C7597A-4BA9-4803-B6D2-1ECC5570A11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9" authorId="1288" shapeId="0" xr:uid="{C87F8C31-5A44-416A-AB85-A8820BF5C2E4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AY129" authorId="1289" shapeId="0" xr:uid="{AFA7EC85-9B32-4EBD-8DFF-A0F8EB1C62B4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BA129" authorId="1290" shapeId="0" xr:uid="{C6EAB9F6-5295-4794-808D-085E8563C5DA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L130" authorId="1291" shapeId="0" xr:uid="{DD0A7A38-DF43-4891-AA89-A6670D87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0" authorId="1292" shapeId="0" xr:uid="{999F3670-251A-4D45-B85F-F624BEEB894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0" authorId="1293" shapeId="0" xr:uid="{65B5EFCB-5828-4C12-8CC5-3536948D4C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30" authorId="1294" shapeId="0" xr:uid="{0DCAFE84-F98C-41A7-B31A-22D311F7DAC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0" authorId="1295" shapeId="0" xr:uid="{D98ECB15-ECC6-45DF-9169-DC5F126BA1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0" authorId="1296" shapeId="0" xr:uid="{21873D24-3176-476D-8B63-8D5FF2BEEC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30" authorId="1297" shapeId="0" xr:uid="{392EB5ED-CE7A-4B71-AB46-DA625F14C272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AY130" authorId="1298" shapeId="0" xr:uid="{E22C515C-0D58-4A01-AAAA-D518785F6E4D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BA130" authorId="1299" shapeId="0" xr:uid="{F08B8C8D-6B80-4A5F-8DE3-81B04FBC26DC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BC130" authorId="1300" shapeId="0" xr:uid="{92B1171B-6E96-4343-A3A5-E4DFD8910D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BE130" authorId="1301" shapeId="0" xr:uid="{A6C5C459-F979-4CA5-9F0D-A8AACA07CF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1" authorId="1302" shapeId="0" xr:uid="{3D6DAF97-9AD1-4B47-85B7-80DFA59A881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1" authorId="1303" shapeId="0" xr:uid="{9E96F67A-0425-48E7-99BA-7B79FD02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1" authorId="1304" shapeId="0" xr:uid="{A3C0BB52-B6E3-4BAA-8608-61A849A884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31" authorId="1305" shapeId="0" xr:uid="{05B3FA2B-CF2B-44A0-BD4A-48A26AEBB8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1" authorId="1306" shapeId="0" xr:uid="{260C3C50-A100-4078-8D84-99E828A78E0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1" authorId="1307" shapeId="0" xr:uid="{982D61E4-7BEA-4EAE-A55E-650D77E3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31" authorId="1308" shapeId="0" xr:uid="{AB122FC6-C722-41D1-9121-266C3470D04C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AY131" authorId="1309" shapeId="0" xr:uid="{2A7EDD7A-850E-49B1-9651-81731692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BA131" authorId="1310" shapeId="0" xr:uid="{FDC18E4A-CCCC-410B-9620-241D4B778A9A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BC131" authorId="1311" shapeId="0" xr:uid="{0ED771FE-053F-4308-AA90-6BECB270C7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BE131" authorId="1312" shapeId="0" xr:uid="{5A1A07D4-579B-44AD-AA1B-FE148E491E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1313" shapeId="0" xr:uid="{28B0F57F-6E55-4C6A-B79A-4BF6E71DC94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2" authorId="1314" shapeId="0" xr:uid="{03877BC4-7FE7-4321-B6A2-0095EF205E9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2" authorId="1315" shapeId="0" xr:uid="{ED61DA41-76C5-4C8D-B9DF-AA72E38D4E6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W132" authorId="1316" shapeId="0" xr:uid="{F3467B02-A12F-447C-AA72-34F5132FCADD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AY132" authorId="1317" shapeId="0" xr:uid="{7D1D9DD6-F76B-4D63-867D-99E98C3C9522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BA132" authorId="1318" shapeId="0" xr:uid="{D8219D7C-BD3C-4617-8BD1-CCF1977F952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L133" authorId="1319" shapeId="0" xr:uid="{2D44A944-E6D8-4C4B-9913-3FFE7F85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3" authorId="1320" shapeId="0" xr:uid="{A9F1BDFE-6288-420F-8F26-F995F2EB2B9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3" authorId="1321" shapeId="0" xr:uid="{0483834C-205C-43F5-93E3-93106B7F72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M133" authorId="1322" shapeId="0" xr:uid="{6DD5AAE9-43D9-4B43-B2DE-A8BB8BF3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33" authorId="1323" shapeId="0" xr:uid="{65C72F53-00FC-40F1-89F5-DA696A9066F2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BA133" authorId="1324" shapeId="0" xr:uid="{FEBEE54D-58DE-4A00-9E29-7DAD7BD993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L134" authorId="1325" shapeId="0" xr:uid="{AFE659C1-04E8-4740-B409-FCC80EC2F0A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4" authorId="1326" shapeId="0" xr:uid="{1958AF92-82C9-4BBD-965C-6663FF83FB1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4" authorId="1327" shapeId="0" xr:uid="{24C183A6-0F42-4814-949E-C49B877DAF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Y134" authorId="1328" shapeId="0" xr:uid="{C2622EE4-6C6A-402A-98BE-BCD1CA35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BA134" authorId="1329" shapeId="0" xr:uid="{FE2E329B-57B6-418E-9C5D-47C38BCEE2E6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Q135" authorId="1330" shapeId="0" xr:uid="{792102D1-406B-4E28-B572-B18569A4DE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35" authorId="1331" shapeId="0" xr:uid="{5B0B2AB2-FE85-4C57-9503-F9DFAA904C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5" authorId="1332" shapeId="0" xr:uid="{766CDBB4-99E1-4A96-9DB8-B6877FA5D5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month selection, offer re-released in July’24</t>
      </text>
    </comment>
    <comment ref="Y135" authorId="1333" shapeId="0" xr:uid="{801A9FEF-C4CF-4F0A-9470-CD6F512342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A135" authorId="1334" shapeId="0" xr:uid="{2F492AE8-E254-43D1-9DE1-3FDC3649AE3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5" authorId="1335" shapeId="0" xr:uid="{506024BE-61DB-4B57-AC0C-09C7354AF54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5" authorId="1336" shapeId="0" xr:uid="{4C57A513-2F44-4804-B3DD-A47CAB68DB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5" authorId="1337" shapeId="0" xr:uid="{E8CA112F-AC70-4EE0-B78B-36F5AA9DAF4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5" authorId="1338" shapeId="0" xr:uid="{0B554583-2023-4A4E-A161-846E3999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5" authorId="1339" shapeId="0" xr:uid="{EB1166A4-7F38-4C21-9462-FBD50D75A8F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5" authorId="1340" shapeId="0" xr:uid="{AAAD7ECE-283D-477F-8D2F-746BCFF7812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5" authorId="1341" shapeId="0" xr:uid="{AABC2877-9963-4598-ACF1-5C1689BA771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5" authorId="1342" shapeId="0" xr:uid="{4114BF66-2C75-411B-ACFD-209C0B0B1C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5" authorId="1343" shapeId="0" xr:uid="{14058883-B7AC-4416-9D3B-E15057713C8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5" authorId="1344" shapeId="0" xr:uid="{B444FBD3-06BC-47DD-B42C-20587D1F26A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5" authorId="1345" shapeId="0" xr:uid="{ED13B327-8ACE-4E7F-ABEF-733F52DD29D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5" authorId="1346" shapeId="0" xr:uid="{1EF635C1-7E3F-4AF2-8337-7DF1ACCE527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5" authorId="1347" shapeId="0" xr:uid="{4DC99B90-A288-44F3-87C7-B49699AF0A0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5" authorId="1348" shapeId="0" xr:uid="{A0C66E4A-A3BE-4FBD-8DDA-B23DE620DF7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5" authorId="1349" shapeId="0" xr:uid="{FE378ED2-C445-44B6-BAD8-9A1FE417BE2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5" authorId="1350" shapeId="0" xr:uid="{00A603B2-5299-46AE-8B6E-855A3514AD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5" authorId="1351" shapeId="0" xr:uid="{D857AE45-6F2E-4030-93CB-B01D1A3F53A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5" authorId="1352" shapeId="0" xr:uid="{217FF6F9-4795-4E54-B4B1-6C6B9E85CA6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5" authorId="1353" shapeId="0" xr:uid="{CEE1788B-5BC3-4F45-9EDC-EAD88874935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U135" authorId="1354" shapeId="0" xr:uid="{8C640F98-4244-49A5-82A1-EEBE5847D69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V135" authorId="1355" shapeId="0" xr:uid="{FACD3E63-E261-4C80-B054-A25596B9371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5" authorId="1356" shapeId="0" xr:uid="{F6D70E81-A615-4EBC-8896-E8FCEF2D58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5" authorId="1357" shapeId="0" xr:uid="{25D67E6A-F641-4351-BB18-9A7D0FDD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5" authorId="1358" shapeId="0" xr:uid="{DD69DAD6-4D9E-429B-93E1-9393549B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5" authorId="1359" shapeId="0" xr:uid="{71D5E295-7C3F-442C-98CD-C59BA48D26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5" authorId="1360" shapeId="0" xr:uid="{7D972491-C935-4F61-A7BE-500A1E784D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5" authorId="1361" shapeId="0" xr:uid="{C409EEC9-89A7-42D0-9005-62DE854294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5" authorId="1362" shapeId="0" xr:uid="{D24251D0-5C8B-4CA1-8711-1F9475F81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5" authorId="1363" shapeId="0" xr:uid="{6E4B3451-D99E-4D4A-B5A6-10D3890863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5" authorId="1364" shapeId="0" xr:uid="{89EAF6FA-F1EE-47B3-9F0D-20004597A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5" authorId="1365" shapeId="0" xr:uid="{0494DE0A-EE89-469B-A714-A4D60C5B4F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36" authorId="1366" shapeId="0" xr:uid="{5FB5FD9A-3BEB-45EE-9B76-0C531B58EC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36" authorId="1367" shapeId="0" xr:uid="{617EFE0D-66EE-4F29-BD5F-29A407F1B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6" authorId="1368" shapeId="0" xr:uid="{1B124C53-FA9C-4A5D-88B9-C614EAFD01E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6" authorId="1369" shapeId="0" xr:uid="{0DD69C44-DB4C-471F-A980-2A00EE26951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6" authorId="1370" shapeId="0" xr:uid="{325827B1-0C26-4ED0-A947-9EB428D9403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6" authorId="1371" shapeId="0" xr:uid="{AF5DCF4F-75E5-4D2B-8A5D-4B4BE50EE37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6" authorId="1372" shapeId="0" xr:uid="{0B9C8547-25D1-45D3-9EBF-49974D713AF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6" authorId="1373" shapeId="0" xr:uid="{62C3CBC6-6546-43B6-898D-86468459521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6" authorId="1374" shapeId="0" xr:uid="{BCBBFC82-FE4B-478F-9878-26D3D247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6" authorId="1375" shapeId="0" xr:uid="{BF3E89A0-6D8F-4F43-A0F0-51EEC3E143A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6" authorId="1376" shapeId="0" xr:uid="{9CB3FC34-7079-458D-8264-BBD79089A95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6" authorId="1377" shapeId="0" xr:uid="{BEE6D106-A199-43F1-A3F5-3BA15F086B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6" authorId="1378" shapeId="0" xr:uid="{08DC7219-DE8F-4F72-B1E5-A98D0359C23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6" authorId="1379" shapeId="0" xr:uid="{35D172CA-DE92-4734-A014-8077593B517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6" authorId="1380" shapeId="0" xr:uid="{0F05C6A5-4719-498C-B261-C2E13973F45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6" authorId="1381" shapeId="0" xr:uid="{2A9029A4-C4D3-4B38-ADB8-6DAC05453A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6" authorId="1382" shapeId="0" xr:uid="{E477EAE2-0FC3-46B6-81A5-D707CB073A5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6" authorId="1383" shapeId="0" xr:uid="{F0403F64-5C4B-407B-B996-7CB8DA0B0E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6" authorId="1384" shapeId="0" xr:uid="{49B763D1-5895-4F7F-BA1D-F111A6C9E8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6" authorId="1385" shapeId="0" xr:uid="{AD601529-7EC4-4C09-B632-E0878D6A7B8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6" authorId="1386" shapeId="0" xr:uid="{893FC583-7D79-45D5-9A1D-9EDF0D4A0CD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6" authorId="1387" shapeId="0" xr:uid="{7AEE0001-12DB-4072-AE16-F234C4F27B2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6" authorId="1388" shapeId="0" xr:uid="{FE7B9EA0-06BF-4464-9B03-5A624BFD99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6" authorId="1389" shapeId="0" xr:uid="{7308A415-B03D-42C2-9897-B13AF27961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6" authorId="1390" shapeId="0" xr:uid="{45E1ED7A-B3E0-46A2-AC67-A91C4B083C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6" authorId="1391" shapeId="0" xr:uid="{4D3A8A69-C397-4035-9C77-D9CE91D55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6" authorId="1392" shapeId="0" xr:uid="{6DF2E90C-8C02-4A6A-A7D7-DAFCC3AE0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6" authorId="1393" shapeId="0" xr:uid="{EB2ECB1A-5CB0-4BFE-9CA8-D354325EB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6" authorId="1394" shapeId="0" xr:uid="{A585D646-7947-4369-8A92-C4DD8FB2E2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6" authorId="1395" shapeId="0" xr:uid="{68B6FFD0-A9EF-4C5E-9B1E-322FDD51CD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6" authorId="1396" shapeId="0" xr:uid="{1671642B-A7B9-41F2-A2B4-350630C486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6" authorId="1397" shapeId="0" xr:uid="{D2488F86-75D2-4155-9E86-AFB1F034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7" authorId="1398" shapeId="0" xr:uid="{12EB96F3-67D4-47B8-AEA4-E3DC073B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7" authorId="1399" shapeId="0" xr:uid="{AF63F5CA-B4B3-4B27-9530-6746A27273A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7" authorId="1400" shapeId="0" xr:uid="{9994D547-0735-4151-A004-DC0FB80275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X137" authorId="1401" shapeId="0" xr:uid="{53B75271-F76C-4BA6-A20E-6BB0EBBB2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Y137" authorId="1402" shapeId="0" xr:uid="{085CC36D-8088-4D86-9AC9-2A0A58FFC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Z137" authorId="1403" shapeId="0" xr:uid="{E810D24D-DF0A-41B3-8640-6E4DF509A1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AA137" authorId="1404" shapeId="0" xr:uid="{6D6E8444-7AB6-4900-96B9-041120EC5F3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7" authorId="1405" shapeId="0" xr:uid="{9ACDEB26-20F1-43E1-8CCF-2AE3CE419A0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7" authorId="1406" shapeId="0" xr:uid="{9F8C3947-7F7C-4E1D-9C34-A747318DAB3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7" authorId="1407" shapeId="0" xr:uid="{1EF5647C-C4E0-4F8F-96E6-7B8FFA98158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7" authorId="1408" shapeId="0" xr:uid="{D5216D92-DAF2-476A-B37D-0C2CCE45126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7" authorId="1409" shapeId="0" xr:uid="{52195236-4D8A-41BE-8C9C-619164FDCB0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7" authorId="1410" shapeId="0" xr:uid="{2C3956A7-88E8-4DAE-ADC6-83811285247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7" authorId="1411" shapeId="0" xr:uid="{2DB0C1F2-F79F-48F1-86AF-BA208AE7AAF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7" authorId="1412" shapeId="0" xr:uid="{E9B368A3-8B46-4FBF-B4B7-348966D9DF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7" authorId="1413" shapeId="0" xr:uid="{8274876B-F650-4D87-80F0-6B82D597E78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7" authorId="1414" shapeId="0" xr:uid="{9E73CC6E-AD27-4485-8C5A-5273F810BF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7" authorId="1415" shapeId="0" xr:uid="{48C35031-E541-4AEB-86E5-BF8965DB30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7" authorId="1416" shapeId="0" xr:uid="{75F8DA02-4030-4BF8-9395-C0EA72CF021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7" authorId="1417" shapeId="0" xr:uid="{7E8C09DA-5B44-401E-96D3-6F27C3B6460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7" authorId="1418" shapeId="0" xr:uid="{F0BB88DE-14DA-475D-8F41-9CD8E45489F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7" authorId="1419" shapeId="0" xr:uid="{FF082219-584A-43E8-80C8-E6BB9505C51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7" authorId="1420" shapeId="0" xr:uid="{B8CFCBE9-0A63-4175-A653-D5DF8469AAB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7" authorId="1421" shapeId="0" xr:uid="{39A0CB5E-6228-45BD-95DF-4FAD943C71B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7" authorId="1422" shapeId="0" xr:uid="{869B746C-4D3D-4CA0-9510-08B0E00C382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7" authorId="1423" shapeId="0" xr:uid="{ABF52FED-BF7F-406C-89C6-8AAA5E657F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7" authorId="1424" shapeId="0" xr:uid="{B381BCCA-3E47-496C-81FA-E91991641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7" authorId="1425" shapeId="0" xr:uid="{7C8AC41C-2862-4B74-8C58-8FD885374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7" authorId="1426" shapeId="0" xr:uid="{D2183488-F4B7-4F62-A473-0A8AB30CE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7" authorId="1427" shapeId="0" xr:uid="{429DCF71-D6D5-4330-9B2C-AEE042F26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7" authorId="1428" shapeId="0" xr:uid="{4460AD06-A25F-45D4-B486-FB7770410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7" authorId="1429" shapeId="0" xr:uid="{B7694260-ECFF-437B-AA9D-45185C19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7" authorId="1430" shapeId="0" xr:uid="{75450594-5A7A-40C2-858F-CD81ACD82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7" authorId="1431" shapeId="0" xr:uid="{AE5E44C2-1015-42C1-B677-3DEA8CED9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7" authorId="1432" shapeId="0" xr:uid="{332FC3A6-CF0E-4278-A59A-A6ABAE2549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7" authorId="1433" shapeId="0" xr:uid="{F97AB376-3213-4968-A09E-4DA02E0E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8" authorId="1434" shapeId="0" xr:uid="{6B5BB317-B409-40BE-9D27-077C2590044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8" authorId="1435" shapeId="0" xr:uid="{DCD42762-9F80-4D7A-83F2-AAB70B29DCE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8" authorId="1436" shapeId="0" xr:uid="{0C20FB09-DC3C-439C-AD9B-56944E6C81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38" authorId="1437" shapeId="0" xr:uid="{1BA7F3F9-6538-43F0-94E2-1DEF50E27D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38" authorId="1438" shapeId="0" xr:uid="{80B7A474-7850-47E5-A710-DF9D322F9A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38" authorId="1439" shapeId="0" xr:uid="{6939C268-E6B9-411B-BCF3-2E420BFFAC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38" authorId="1440" shapeId="0" xr:uid="{F082FFE1-F849-4791-9B37-6118C4F4CE9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8" authorId="1441" shapeId="0" xr:uid="{8C781ECD-FC6E-469E-95E6-59BE188499D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8" authorId="1442" shapeId="0" xr:uid="{5950C2FD-1F4A-4720-BDA4-900355395BF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8" authorId="1443" shapeId="0" xr:uid="{44B55889-6A77-4F7A-8071-BBF67A1425E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8" authorId="1444" shapeId="0" xr:uid="{5C9A0E3A-25DD-4882-AA96-99729C4A57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8" authorId="1445" shapeId="0" xr:uid="{CAC828C9-2CF7-4CD2-BD9D-2312682D72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8" authorId="1446" shapeId="0" xr:uid="{8160C368-B0E8-4433-B514-6E2E141F23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8" authorId="1447" shapeId="0" xr:uid="{4671BFF8-BAB1-43BA-99E2-063487B562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8" authorId="1448" shapeId="0" xr:uid="{FE30C739-D607-497B-B8FE-8F9D2A1595F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8" authorId="1449" shapeId="0" xr:uid="{FF286D09-1195-4B9C-AF75-5B50D9E19E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8" authorId="1450" shapeId="0" xr:uid="{586D67E0-9E34-4A6F-8DFF-77DAB9211E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8" authorId="1451" shapeId="0" xr:uid="{69929EE7-D66D-4821-804D-16D9C29F06E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8" authorId="1452" shapeId="0" xr:uid="{7874AABB-EC9B-420D-A079-3F425379D04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8" authorId="1453" shapeId="0" xr:uid="{48A17C74-E2BE-407C-B10D-27D174FFC4F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8" authorId="1454" shapeId="0" xr:uid="{AD64DE2E-2F55-4617-AB71-60A54230CB2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8" authorId="1455" shapeId="0" xr:uid="{8EF6ACB3-46AA-43B6-BB00-6F5B2B36BD3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8" authorId="1456" shapeId="0" xr:uid="{930F6018-1C56-4353-81CA-DDEC38B7F2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8" authorId="1457" shapeId="0" xr:uid="{F647FA18-618D-4D99-971D-99DBF0D69F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8" authorId="1458" shapeId="0" xr:uid="{850B7738-E91A-4630-8FD4-EF3E786E151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8" authorId="1459" shapeId="0" xr:uid="{79E540C7-7568-471D-BD74-DED6D67D8D2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8" authorId="1460" shapeId="0" xr:uid="{B0ABC970-262F-4E0B-AE72-D51CE6601A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8" authorId="1461" shapeId="0" xr:uid="{5BD1F5B8-83B0-4C88-BA33-6BF04062A8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8" authorId="1462" shapeId="0" xr:uid="{18178F3E-FA19-407F-9EF5-C1F06AA14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8" authorId="1463" shapeId="0" xr:uid="{35DA7705-95EF-4115-A8B5-D1EF82A5D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8" authorId="1464" shapeId="0" xr:uid="{896A37C4-F5FD-40FF-88C3-5C3B2A7405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8" authorId="1465" shapeId="0" xr:uid="{77B0A340-375B-46BA-A166-CB0A5FD01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8" authorId="1466" shapeId="0" xr:uid="{49C9B9EE-E3D2-43CE-AB50-D94B7B6E63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8" authorId="1467" shapeId="0" xr:uid="{5FEDC9FC-653B-4644-A117-68CAA5505F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8" authorId="1468" shapeId="0" xr:uid="{DF5AB979-1A80-4FD9-815A-FB919D66B1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8" authorId="1469" shapeId="0" xr:uid="{700BA7AB-5AC1-4F8E-BEC6-D12D13313D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9" authorId="1470" shapeId="0" xr:uid="{84F5FAE3-1519-42DA-B7CF-66CD94FD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9" authorId="1471" shapeId="0" xr:uid="{A6DC8528-D8CA-48BA-B5A0-B34D3869D3F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9" authorId="1472" shapeId="0" xr:uid="{3CAA54FC-2C63-4BF7-BADF-2CA0FAA543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39" authorId="1473" shapeId="0" xr:uid="{5FD8BD33-CF82-4381-B4E6-4AAD0633B7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39" authorId="1474" shapeId="0" xr:uid="{D0ED9AB3-0840-4236-BC49-FD4D791321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39" authorId="1475" shapeId="0" xr:uid="{E58F6E94-E4BF-48FD-BAA0-5172906B1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39" authorId="1476" shapeId="0" xr:uid="{FFF2A885-6211-4693-AB1B-533E979CD87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9" authorId="1477" shapeId="0" xr:uid="{3EF67EC1-ED3F-45AA-AEDF-873B356EB20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9" authorId="1478" shapeId="0" xr:uid="{D557DD02-C9C8-45D8-84B6-D082A7B6E6E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9" authorId="1479" shapeId="0" xr:uid="{0FA8D6D5-F502-4D8D-9F75-8AC14C570E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9" authorId="1480" shapeId="0" xr:uid="{BFD6A034-0844-4309-BD8E-D30F5F1237F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9" authorId="1481" shapeId="0" xr:uid="{BB50AD40-B485-465A-BD69-E06D5F72D7E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9" authorId="1482" shapeId="0" xr:uid="{DF18D02C-FE99-4088-AABF-271A4059431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9" authorId="1483" shapeId="0" xr:uid="{FA9F5CF5-15C9-469B-BBBE-95D1C9A109E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9" authorId="1484" shapeId="0" xr:uid="{18F86418-240B-4C6B-8C8F-1A620820BCC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9" authorId="1485" shapeId="0" xr:uid="{1322D2AA-3658-46B3-87D1-58D5A21AB05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9" authorId="1486" shapeId="0" xr:uid="{DD692136-C287-4B8D-B488-61FD9CCE4C7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9" authorId="1487" shapeId="0" xr:uid="{123FDD63-7DED-4D4D-9368-D6705DE33B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9" authorId="1488" shapeId="0" xr:uid="{616467B9-72E6-41F5-8681-3AFEB4E1F8C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9" authorId="1489" shapeId="0" xr:uid="{15DFD7A7-D245-4379-9DBD-CAB4DB46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9" authorId="1490" shapeId="0" xr:uid="{DD77ABD7-C369-42E5-B162-D060963DB93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9" authorId="1491" shapeId="0" xr:uid="{B1A7F4D9-94BA-498E-BAE9-F2D9152842B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9" authorId="1492" shapeId="0" xr:uid="{E1A81036-8BE1-44FE-B9CB-7306DA07A23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9" authorId="1493" shapeId="0" xr:uid="{F891B183-E641-4CE8-BCFD-BD27347F8C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9" authorId="1494" shapeId="0" xr:uid="{42B14FD4-9BB8-4436-8F1B-D7FE3B5A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9" authorId="1495" shapeId="0" xr:uid="{EEE14094-5C6F-451B-A37D-8DAE2C9173D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9" authorId="1496" shapeId="0" xr:uid="{723AC429-F05F-4D9F-BAB4-B85B12C97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9" authorId="1497" shapeId="0" xr:uid="{96903AB3-BF2F-4E08-9CB0-07D60842E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9" authorId="1498" shapeId="0" xr:uid="{94A38189-5224-4847-B1E0-5F1CFA1204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9" authorId="1499" shapeId="0" xr:uid="{5216FE85-E59F-4074-A4E1-7AAFFAC82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9" authorId="1500" shapeId="0" xr:uid="{432E6FE9-43B0-49DC-AEA9-5D7FCAFB2D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9" authorId="1501" shapeId="0" xr:uid="{BF65F4E8-4685-455B-B706-CFE8B8EFB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9" authorId="1502" shapeId="0" xr:uid="{3729D2FF-A3E8-4A27-A6A4-7B83876194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9" authorId="1503" shapeId="0" xr:uid="{B686FF51-5D90-4023-BEBE-0091F46D8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9" authorId="1504" shapeId="0" xr:uid="{9AEE5CF8-2EA6-40EE-BB93-C73969589B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9" authorId="1505" shapeId="0" xr:uid="{100ABAE9-B28E-4B30-9262-784986A5DC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40" authorId="1506" shapeId="0" xr:uid="{61B22F8A-D82D-4AA1-BEC6-6E695D10FD3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40" authorId="1507" shapeId="0" xr:uid="{31E146D2-F4F8-42C1-AC87-83677E4D27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S140" authorId="1508" shapeId="0" xr:uid="{3834D291-EA18-4604-BFA5-F47190B84A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40" authorId="1509" shapeId="0" xr:uid="{B22FA455-01DD-48CC-8201-F638F967CA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40" authorId="1510" shapeId="0" xr:uid="{96B86055-19A5-4E1B-A741-AA901FB3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40" authorId="1511" shapeId="0" xr:uid="{ACD8C848-37FD-49C2-86F3-87AB2849021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40" authorId="1512" shapeId="0" xr:uid="{249A6290-A5B1-4185-8EF4-24916CD80B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40" authorId="1513" shapeId="0" xr:uid="{AB548F0C-ED4E-43B4-AA2C-FB3B54347A9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40" authorId="1514" shapeId="0" xr:uid="{0FF24F07-579B-4427-940D-DE8FC1DE7F0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40" authorId="1515" shapeId="0" xr:uid="{649A5253-0859-4F1A-BB86-07E39C416B7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40" authorId="1516" shapeId="0" xr:uid="{D30482AC-CDF1-472B-8406-F12B239ABF0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40" authorId="1517" shapeId="0" xr:uid="{39E78A64-7267-4595-93CC-DBBFC3F07E1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40" authorId="1518" shapeId="0" xr:uid="{3B4C4D01-0A43-4A61-A217-4E68749724E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40" authorId="1519" shapeId="0" xr:uid="{DC402314-88AB-41F1-8CF8-669DDA4EC09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40" authorId="1520" shapeId="0" xr:uid="{D5B6AAE5-C618-4643-8890-1390899ECA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40" authorId="1521" shapeId="0" xr:uid="{32879C43-77AF-4659-8619-F90BE5674F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40" authorId="1522" shapeId="0" xr:uid="{A22BB3B0-B171-421B-98DB-F95BAAC9BE9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40" authorId="1523" shapeId="0" xr:uid="{503539AA-B2E0-463D-B2C1-BA3082F8EB8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40" authorId="1524" shapeId="0" xr:uid="{85E97D2C-EBBC-40BB-9873-C70FA172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40" authorId="1525" shapeId="0" xr:uid="{48EFABB0-F4BF-473C-803E-73D04CB6EA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40" authorId="1526" shapeId="0" xr:uid="{745EF65D-D4BD-43E0-8913-C94D35D14C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40" authorId="1527" shapeId="0" xr:uid="{FC8DD7E9-5D94-4BD9-AF54-5C9B7584DFD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40" authorId="1528" shapeId="0" xr:uid="{A9E0E480-7D01-4B33-9C47-11776EAB26B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40" authorId="1529" shapeId="0" xr:uid="{79979319-747C-422F-8903-2AEB7443339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40" authorId="1530" shapeId="0" xr:uid="{42EB4001-D1B4-45D3-81DF-C2713251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40" authorId="1531" shapeId="0" xr:uid="{1DA67AD7-0A98-4DDA-AF69-B16723749A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0" authorId="1532" shapeId="0" xr:uid="{A198A96C-7C5F-4BD8-9895-6DCC7FCDFB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0" authorId="1533" shapeId="0" xr:uid="{48C18ADD-48C7-4E41-B054-64CFBA5E41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0" authorId="1534" shapeId="0" xr:uid="{B75E21E6-8C86-4209-8180-5FE8B46D38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0" authorId="1535" shapeId="0" xr:uid="{619DC1F5-B799-4BCF-A912-078390E4D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0" authorId="1536" shapeId="0" xr:uid="{22EA4D71-8EDB-4A0D-9702-E0AD5D3E7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0" authorId="1537" shapeId="0" xr:uid="{5AADE75B-52FE-49AD-A08E-AA87AA5E17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0" authorId="1538" shapeId="0" xr:uid="{D8003A21-5B3C-4066-853B-7E086D945C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0" authorId="1539" shapeId="0" xr:uid="{0DDD62BB-B766-47C2-84AB-439CBE2E35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0" authorId="1540" shapeId="0" xr:uid="{87648328-FBCA-4EDA-BDF4-6642D1865B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41" authorId="1541" shapeId="0" xr:uid="{C4ECFEE2-1ADF-4003-B58C-CEB917946F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41" authorId="1542" shapeId="0" xr:uid="{5F78BA57-C2C5-4E77-9F4E-59F4982537F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41" authorId="1543" shapeId="0" xr:uid="{113E583F-90AC-40CE-974F-A68DEFE47D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41" authorId="1544" shapeId="0" xr:uid="{6880CDE6-2706-4DBE-9F22-5CDAACE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41" authorId="1545" shapeId="0" xr:uid="{1B905092-1FEC-4489-A45E-75CBD262CE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41" authorId="1546" shapeId="0" xr:uid="{D28C4B6E-FF1D-4854-B9A3-0C7FDE570B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41" authorId="1547" shapeId="0" xr:uid="{73971FBE-2301-4931-9979-828EF4CFD52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41" authorId="1548" shapeId="0" xr:uid="{8C20F0BA-B820-416B-B7E8-C88118867EB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41" authorId="1549" shapeId="0" xr:uid="{B8518CEA-2724-4A51-B7D5-2BA1C1F7F24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41" authorId="1550" shapeId="0" xr:uid="{BC2EC9E6-C0B1-4D71-B988-841C505F47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41" authorId="1551" shapeId="0" xr:uid="{07380A06-C3F0-4123-B8BE-7EEB712BF1B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41" authorId="1552" shapeId="0" xr:uid="{641CC03B-6D8C-45C0-80EC-CF4EA526867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41" authorId="1553" shapeId="0" xr:uid="{C35AC3BC-F5B2-4D70-9F1B-771EB6A230D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41" authorId="1554" shapeId="0" xr:uid="{51B6D6F1-77A7-47B8-BB72-4C0F485058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41" authorId="1555" shapeId="0" xr:uid="{C33522A2-DE38-480D-9300-673CDE9C44C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41" authorId="1556" shapeId="0" xr:uid="{93BF04CC-CD88-44B0-8BF8-910B79C2099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41" authorId="1557" shapeId="0" xr:uid="{40A2315B-ACE8-4F93-8775-8E705AA4039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41" authorId="1558" shapeId="0" xr:uid="{1B002F73-9294-4E90-8C64-43D9F9D7393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41" authorId="1559" shapeId="0" xr:uid="{C0821C09-F372-4674-A384-058213A2480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41" authorId="1560" shapeId="0" xr:uid="{16D56D6C-3110-4CF5-ACDC-3F23BF69A64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41" authorId="1561" shapeId="0" xr:uid="{738B7ACC-2B6C-4F04-BD40-BA51A413A1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41" authorId="1562" shapeId="0" xr:uid="{8911CBC2-1FD8-456D-AEA9-C77A4004F37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41" authorId="1563" shapeId="0" xr:uid="{4697F9C6-AC38-4967-94D2-8EF710AE39A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41" authorId="1564" shapeId="0" xr:uid="{3CEDF060-6E3A-4272-BA12-990F91AE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41" authorId="1565" shapeId="0" xr:uid="{17618077-C63A-4DA0-8B71-33AB71C7D6C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41" authorId="1566" shapeId="0" xr:uid="{54887CB1-3ECE-446E-92EB-E3B6B377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41" authorId="1567" shapeId="0" xr:uid="{CA364521-2357-40CE-9D78-BBFF9F7F9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1" authorId="1568" shapeId="0" xr:uid="{381BB2E0-9C21-4B2A-9844-A7A689E393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1" authorId="1569" shapeId="0" xr:uid="{7AD9E669-602C-4003-A6AF-76E49D44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1" authorId="1570" shapeId="0" xr:uid="{06DC4321-CDB0-4A97-A706-177D2B86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1" authorId="1571" shapeId="0" xr:uid="{4F1C19D4-217A-41D0-8C4B-4AC231B68E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1" authorId="1572" shapeId="0" xr:uid="{CC3594E0-079C-4C78-9B75-1B4237C8B2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1" authorId="1573" shapeId="0" xr:uid="{B4D7B083-CD20-4009-AB29-CDE4100EE5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1" authorId="1574" shapeId="0" xr:uid="{49D2DC32-0474-4C8C-8968-A594EA37B8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1" authorId="1575" shapeId="0" xr:uid="{65917565-686C-43F3-8DAF-D6EF397B7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1" authorId="1576" shapeId="0" xr:uid="{4A9FC644-B5BB-4BC6-BE18-77DA5BC405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2" authorId="1577" shapeId="0" xr:uid="{761FCC20-178F-4AB7-9E9A-04D9EC4A81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2" authorId="1578" shapeId="0" xr:uid="{EE4E4E0A-2B04-4D49-A21A-BD988F44B2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2" authorId="1579" shapeId="0" xr:uid="{408F56C4-5ECA-4958-89FA-D95228F48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2" authorId="1580" shapeId="0" xr:uid="{9A170E1B-41B9-429E-882C-D7802926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2" authorId="1581" shapeId="0" xr:uid="{FBA0A861-F7CD-4F53-8592-90845CCCE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2" authorId="1582" shapeId="0" xr:uid="{06C94B41-682C-4EB7-BC19-5C5298849B6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2" authorId="1583" shapeId="0" xr:uid="{4F804BF5-2C2D-42C1-9CE2-DCA95EF6783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2" authorId="1584" shapeId="0" xr:uid="{0AD1B923-52AD-4F83-B05A-CE06CFD75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2" authorId="1585" shapeId="0" xr:uid="{EC71C59F-19F9-47C4-8359-D54A3DF770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2" authorId="1586" shapeId="0" xr:uid="{68E5AEF7-A8A7-435A-83B3-049AE90F7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2" authorId="1587" shapeId="0" xr:uid="{D1C2EBEC-A4BA-4AE7-A7F6-19737B79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2" authorId="1588" shapeId="0" xr:uid="{99F503C1-BC9C-4F40-9DB0-A7E9121660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2" authorId="1589" shapeId="0" xr:uid="{35825BDA-CB7C-4D23-82E0-F2F8C54CD7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2" authorId="1590" shapeId="0" xr:uid="{FD1E6C37-85DB-429A-AF53-1B50C18D177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2" authorId="1591" shapeId="0" xr:uid="{386C2816-AAAB-4106-BCA6-D1C3D8564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2" authorId="1592" shapeId="0" xr:uid="{86D82F25-9760-491D-882D-E43ABD84373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2" authorId="1593" shapeId="0" xr:uid="{06F797FB-F11F-4E2B-B4B6-F0D57B64CD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2" authorId="1594" shapeId="0" xr:uid="{CDE3D130-C463-468A-A475-666B3E150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2" authorId="1595" shapeId="0" xr:uid="{DC67B121-F770-4CB4-B009-AB9DFF051E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2" authorId="1596" shapeId="0" xr:uid="{879F5519-F013-4B35-BE98-91AE8FDB3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2" authorId="1597" shapeId="0" xr:uid="{9AFF13D5-7DD8-4F9D-8CCE-99BD2A00CB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2" authorId="1598" shapeId="0" xr:uid="{069AC37B-1857-49C8-92DB-C4AD4F43BF9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2" authorId="1599" shapeId="0" xr:uid="{B23F0850-FBCA-4687-98F6-AB30495F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2" authorId="1600" shapeId="0" xr:uid="{D77DE950-2DAE-46AF-B645-F6CF3C62DEA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2" authorId="1601" shapeId="0" xr:uid="{988A8BFD-3A59-42AD-834B-79582D9BB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2" authorId="1602" shapeId="0" xr:uid="{456D825D-EC42-40C7-8EF9-53AC7511E3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2" authorId="1603" shapeId="0" xr:uid="{50FB2D91-0009-4860-BA06-6CFFC21366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2" authorId="1604" shapeId="0" xr:uid="{17CC7BDB-7E7D-450B-9CE1-AB0C8ADCD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2" authorId="1605" shapeId="0" xr:uid="{AF7A2169-DA63-4887-8454-8C937C053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2" authorId="1606" shapeId="0" xr:uid="{A4D5CED7-427E-4054-AC8F-E2AB83BC3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2" authorId="1607" shapeId="0" xr:uid="{D02B7639-4788-4C1F-A01C-2E215A92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2" authorId="1608" shapeId="0" xr:uid="{4D6071DC-CEA0-4B59-9901-6F4FAC027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2" authorId="1609" shapeId="0" xr:uid="{9E0EACC5-7A9B-4954-A88F-8CB9220BD2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2" authorId="1610" shapeId="0" xr:uid="{39F6FDD6-9A6E-496D-8CEF-22B4510F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2" authorId="1611" shapeId="0" xr:uid="{B46C1E29-413D-4CEF-BF48-F7B1BC523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2" authorId="1612" shapeId="0" xr:uid="{1E971634-20B7-4259-B3F3-9DC17E659A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2" authorId="1613" shapeId="0" xr:uid="{976A065F-06A8-4AF8-9B5F-0ADF1ED4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2" authorId="1614" shapeId="0" xr:uid="{0D56F109-91D1-4E63-8ED3-92F965564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2" authorId="1615" shapeId="0" xr:uid="{3EDF2778-81DD-4388-9832-8E2391B781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2" authorId="1616" shapeId="0" xr:uid="{5D197B63-3E12-4980-92DB-1D733A3A36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2" authorId="1617" shapeId="0" xr:uid="{C378F9EE-283F-42ED-97A2-12ED70B979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2" authorId="1618" shapeId="0" xr:uid="{1C0E2A24-EEC9-4AE0-94D0-C9B7F70452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3" authorId="1619" shapeId="0" xr:uid="{062D92EC-48BB-4A76-94A8-79E21AD2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3" authorId="1620" shapeId="0" xr:uid="{DB09B922-F60B-4993-88A6-E501DDFE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3" authorId="1621" shapeId="0" xr:uid="{24415BAE-9255-4C84-9DB3-7E773F5CD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3" authorId="1622" shapeId="0" xr:uid="{38A65729-6C02-4ED3-A073-71ADA0AFD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3" authorId="1623" shapeId="0" xr:uid="{8D23CCF6-5779-4110-A07C-218D829E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3" authorId="1624" shapeId="0" xr:uid="{27670C6E-A5DF-41C5-AC91-86DAEA0E59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3" authorId="1625" shapeId="0" xr:uid="{145F3EFF-6056-4B8D-B938-92D3135A90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3" authorId="1626" shapeId="0" xr:uid="{3562FDD1-2B4E-4DE1-BF7B-3F2186B25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3" authorId="1627" shapeId="0" xr:uid="{9EA822B1-4115-46AC-8BD2-3D7F6355D5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3" authorId="1628" shapeId="0" xr:uid="{25BFF859-2055-4A40-9B75-45798EA3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3" authorId="1629" shapeId="0" xr:uid="{923ED572-C106-41E8-954D-C476635F88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3" authorId="1630" shapeId="0" xr:uid="{A1996176-F558-4808-9028-13B0CCDEE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3" authorId="1631" shapeId="0" xr:uid="{D2F28A33-CAB2-45DA-B165-E7DCB5C82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3" authorId="1632" shapeId="0" xr:uid="{D25EB5D5-6ED7-4D73-92B9-D7206F0D8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3" authorId="1633" shapeId="0" xr:uid="{BE99A1BF-EEDF-440F-9C50-7F7213B7D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3" authorId="1634" shapeId="0" xr:uid="{CCCD5EA3-E4B5-45F8-83DC-075BD6797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3" authorId="1635" shapeId="0" xr:uid="{9CA4BAE9-980C-49D7-B146-8BFA26D9F5C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3" authorId="1636" shapeId="0" xr:uid="{01DB3FFE-BE63-48E5-81CD-3D013F833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3" authorId="1637" shapeId="0" xr:uid="{EF3DCE70-10C8-4D99-AFFF-03F6EFF1840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3" authorId="1638" shapeId="0" xr:uid="{6E833CBF-B51D-4360-A211-01BFB31DB60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3" authorId="1639" shapeId="0" xr:uid="{5176CAB6-3BBB-4530-9936-74B786FF5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3" authorId="1640" shapeId="0" xr:uid="{989158F9-CEEE-481D-B2AC-0C34B058F8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3" authorId="1641" shapeId="0" xr:uid="{F1665684-50DA-4442-8F77-ACEAC7710D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3" authorId="1642" shapeId="0" xr:uid="{4269B8C8-FFCF-4848-B561-33FDB0A0D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3" authorId="1643" shapeId="0" xr:uid="{9CA771FC-B3FB-4D52-B599-0BDA2FD6E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3" authorId="1644" shapeId="0" xr:uid="{6890FC22-94ED-4D01-BE59-4D3CDE7F9B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3" authorId="1645" shapeId="0" xr:uid="{022D082D-623A-4EEC-A781-3D8D11270C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3" authorId="1646" shapeId="0" xr:uid="{2C5F35AA-0295-4763-9D87-D99F1E29E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3" authorId="1647" shapeId="0" xr:uid="{3A04798F-640F-445E-B2BB-02B20E35B6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3" authorId="1648" shapeId="0" xr:uid="{79DAD702-FE4E-4A52-80B5-CF22FEB79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3" authorId="1649" shapeId="0" xr:uid="{CD9F8C77-006F-45E3-A3AA-D48C6FAF75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3" authorId="1650" shapeId="0" xr:uid="{D5CB71AE-E38A-4B30-87BC-745A5C14B8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3" authorId="1651" shapeId="0" xr:uid="{B16437A2-1DE1-47E5-9F1C-0E0043AC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3" authorId="1652" shapeId="0" xr:uid="{2BC177B7-D937-4307-9D80-28A72855C4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3" authorId="1653" shapeId="0" xr:uid="{52B971F4-AFEC-4F95-AF1E-741C5A50A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3" authorId="1654" shapeId="0" xr:uid="{532040DB-4867-469C-BC70-CDF9A136C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3" authorId="1655" shapeId="0" xr:uid="{37EBBC81-909F-46AE-B2D7-E3CA2091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3" authorId="1656" shapeId="0" xr:uid="{2131AA85-0A0E-4F74-BFAA-C7BFA9CDC7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3" authorId="1657" shapeId="0" xr:uid="{B665239B-63F9-4601-BB26-C2A11DCF75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3" authorId="1658" shapeId="0" xr:uid="{B4606CCF-8D8A-46F8-9B0E-54D886C8A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3" authorId="1659" shapeId="0" xr:uid="{822D7D5D-2D03-4A4E-A70D-24D31C830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3" authorId="1660" shapeId="0" xr:uid="{A4777F2E-5FB2-4636-A6AA-257EC6A0A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4" authorId="1661" shapeId="0" xr:uid="{A1F637FE-8A10-44D5-98ED-F8CE187DA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4" authorId="1662" shapeId="0" xr:uid="{97AF41BA-345D-432C-9A86-E1C985FC045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4" authorId="1663" shapeId="0" xr:uid="{9B42FCE6-D065-4014-B48A-1EA6CB40D0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4" authorId="1664" shapeId="0" xr:uid="{1056880D-2B39-4E99-8B77-E9E7B9680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4" authorId="1665" shapeId="0" xr:uid="{33E30C24-2C77-4424-9819-9560D79685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4" authorId="1666" shapeId="0" xr:uid="{D283AB07-731D-429E-AA9B-7B3F02CA0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4" authorId="1667" shapeId="0" xr:uid="{CE41E035-BACD-4054-84EF-348614805B5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4" authorId="1668" shapeId="0" xr:uid="{9635D72D-AF67-4069-9A49-84E214F9BD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4" authorId="1669" shapeId="0" xr:uid="{839D0B92-9506-471C-BE98-4CFA30A334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4" authorId="1670" shapeId="0" xr:uid="{F322E264-6BB5-44A1-83EC-B313FEF9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4" authorId="1671" shapeId="0" xr:uid="{FBB7C086-BA52-4154-809E-18F4CAD124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4" authorId="1672" shapeId="0" xr:uid="{759D8C5E-C5B8-446A-AF8D-B59C6C23C1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4" authorId="1673" shapeId="0" xr:uid="{CB7D0FFB-A682-4FD3-AD08-CCAF94ABA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4" authorId="1674" shapeId="0" xr:uid="{0B4D9C47-2948-4455-A5B1-6B89769F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4" authorId="1675" shapeId="0" xr:uid="{7AAF310E-E45F-42CF-954F-6E5399079FB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4" authorId="1676" shapeId="0" xr:uid="{351C4408-254A-43D2-B16C-42A874F8C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4" authorId="1677" shapeId="0" xr:uid="{91B3D6E5-541C-4450-B51A-F6612580A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4" authorId="1678" shapeId="0" xr:uid="{EB9AC5A5-45B1-4A25-A552-E7A2633BE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4" authorId="1679" shapeId="0" xr:uid="{19CA4E03-C79B-418D-A245-2910833C2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4" authorId="1680" shapeId="0" xr:uid="{41C48C60-DA21-43D9-A0D0-D68058F8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4" authorId="1681" shapeId="0" xr:uid="{86072278-C216-4037-A312-18B59A970D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4" authorId="1682" shapeId="0" xr:uid="{FB771DFE-0397-43FC-BB9F-BA0EE017A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4" authorId="1683" shapeId="0" xr:uid="{7053A207-3CD4-4060-8DD1-CAC6111161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4" authorId="1684" shapeId="0" xr:uid="{58FA9074-91B5-48C0-B793-AFD312015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4" authorId="1685" shapeId="0" xr:uid="{FBCC81B5-9AAD-4602-A60A-26A888FC9E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4" authorId="1686" shapeId="0" xr:uid="{7FB04550-6E82-4A09-AEC8-826DF2CE7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4" authorId="1687" shapeId="0" xr:uid="{53D09169-EE95-4907-8278-B5E3A7F9AA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4" authorId="1688" shapeId="0" xr:uid="{CC256C64-46B0-424B-A887-111992DBE5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4" authorId="1689" shapeId="0" xr:uid="{52C1ABC2-5E2E-4131-A912-E044C47D97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4" authorId="1690" shapeId="0" xr:uid="{E329AEA8-8980-4FB9-A467-18922CAA2B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4" authorId="1691" shapeId="0" xr:uid="{D219C817-CBBC-4A86-A817-FD393D913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4" authorId="1692" shapeId="0" xr:uid="{BA6BED4B-7CD0-4C5B-AF66-1919ECC69B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4" authorId="1693" shapeId="0" xr:uid="{9EBA6017-6377-4390-9ED6-ECD59B55D2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4" authorId="1694" shapeId="0" xr:uid="{D9E91B31-3A23-45BA-8330-E5FE59AC4C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4" authorId="1695" shapeId="0" xr:uid="{96B8DAC1-8830-4582-8794-43FAABF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4" authorId="1696" shapeId="0" xr:uid="{B4AFFE6E-2464-4841-A2DD-40E205B10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4" authorId="1697" shapeId="0" xr:uid="{B8D51499-010F-4532-8E01-D272878896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4" authorId="1698" shapeId="0" xr:uid="{BCF43F16-0A21-4B45-A8BB-641FA6554F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4" authorId="1699" shapeId="0" xr:uid="{AEAB9934-1877-4C02-993B-48EF2CE27C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4" authorId="1700" shapeId="0" xr:uid="{841A6A72-9776-4792-990D-512C44AA8A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4" authorId="1701" shapeId="0" xr:uid="{6E839C02-7F38-4091-BACB-85E5263F16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4" authorId="1702" shapeId="0" xr:uid="{1E54DC31-1FDE-4123-8064-FE3797B96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5" authorId="1703" shapeId="0" xr:uid="{7B6CD39F-1C66-440E-BC6F-EC811F109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5" authorId="1704" shapeId="0" xr:uid="{85319026-42AB-40A7-B7B8-015AB678AA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5" authorId="1705" shapeId="0" xr:uid="{98AEC95B-FBBA-4BA5-90D3-F4F06DFED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5" authorId="1706" shapeId="0" xr:uid="{EC7753A2-CF33-41E7-9CA8-7B4E734152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5" authorId="1707" shapeId="0" xr:uid="{EE79538C-C9AB-4D05-9AFF-3FAF336CEE2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5" authorId="1708" shapeId="0" xr:uid="{E1DE138F-060E-480D-A4D3-F409A6C02C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5" authorId="1709" shapeId="0" xr:uid="{FF4CC1CB-5D6A-4B00-B0D5-D467286ED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5" authorId="1710" shapeId="0" xr:uid="{74BFCFBB-B958-458B-AD91-9CF76E78B66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5" authorId="1711" shapeId="0" xr:uid="{38F983BD-1D45-4C49-B41E-B02AE49269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5" authorId="1712" shapeId="0" xr:uid="{138A2FE2-F999-45E1-AB14-5E9B729BB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5" authorId="1713" shapeId="0" xr:uid="{FA00C1B7-A3CD-4A75-98CD-A2A670E7BF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5" authorId="1714" shapeId="0" xr:uid="{D568B417-B2D8-4F52-922B-716C7A04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5" authorId="1715" shapeId="0" xr:uid="{D860074A-F9E1-4538-B54D-37B3F196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5" authorId="1716" shapeId="0" xr:uid="{32481DD1-12DE-4146-B97B-676FC179A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5" authorId="1717" shapeId="0" xr:uid="{CA7091F4-1A9A-453A-BE6C-D72BCDCCA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5" authorId="1718" shapeId="0" xr:uid="{4662686D-5A8D-431E-941F-A964BC5DD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5" authorId="1719" shapeId="0" xr:uid="{72A6FD45-27DD-489A-8B82-B9175803FFB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5" authorId="1720" shapeId="0" xr:uid="{9FBD3D19-EDFE-4967-BBAE-A48CBC5A24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5" authorId="1721" shapeId="0" xr:uid="{B8F705FA-4F09-48BE-A91A-2F45641259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5" authorId="1722" shapeId="0" xr:uid="{FAC04C0E-C297-4079-B9C0-E61F75D7D3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5" authorId="1723" shapeId="0" xr:uid="{7A1A8F9D-D062-4940-8F36-B0F7972E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5" authorId="1724" shapeId="0" xr:uid="{AF3ECE4A-2E91-472A-BEBF-AF32B3AE9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5" authorId="1725" shapeId="0" xr:uid="{F13E61D5-72F7-49D7-8249-D8ED31BF1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5" authorId="1726" shapeId="0" xr:uid="{1C4D660E-D656-4D3D-AC4B-B590524E799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5" authorId="1727" shapeId="0" xr:uid="{87C5F530-A0EF-4B6B-BA21-EBCE4E6E468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5" authorId="1728" shapeId="0" xr:uid="{2CECAC05-A719-4005-AA87-667F50F5341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5" authorId="1729" shapeId="0" xr:uid="{52E9B864-C442-4DC4-83C6-DF587DF170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5" authorId="1730" shapeId="0" xr:uid="{46D04EBA-9504-4AF0-BFEC-F82FF6D4E5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5" authorId="1731" shapeId="0" xr:uid="{E7B4ED15-DA55-4F7E-A701-EA58A34541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5" authorId="1732" shapeId="0" xr:uid="{4EA1D829-9EA9-4C76-9990-1870905234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5" authorId="1733" shapeId="0" xr:uid="{641C8E9F-E0D9-410B-9CA2-196EE9F771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5" authorId="1734" shapeId="0" xr:uid="{16CF94DB-1654-4DDC-8A05-1273714C3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5" authorId="1735" shapeId="0" xr:uid="{036017A0-46E2-4505-8539-152E8326B2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5" authorId="1736" shapeId="0" xr:uid="{D4C3E7AA-71FE-48A9-8382-E00102873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5" authorId="1737" shapeId="0" xr:uid="{87D1C5CC-A6F8-4097-AE24-8B91307BEB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5" authorId="1738" shapeId="0" xr:uid="{DE5E70DA-0E58-4B0C-AC85-C25D95C47E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5" authorId="1739" shapeId="0" xr:uid="{9A632DC5-9AE2-4BBA-A298-6D86CE2C36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5" authorId="1740" shapeId="0" xr:uid="{FA82DA22-70BE-4653-BEB4-362280FF5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5" authorId="1741" shapeId="0" xr:uid="{389283D2-20A1-4023-BFE2-2695C0A7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5" authorId="1742" shapeId="0" xr:uid="{95A107FC-1E8C-474B-9BD6-7E98663F1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5" authorId="1743" shapeId="0" xr:uid="{924E77A4-AF92-4C4D-9C35-16FE4C47F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5" authorId="1744" shapeId="0" xr:uid="{B154803D-9397-4911-9100-F1ECE74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6" authorId="1745" shapeId="0" xr:uid="{F1EDDC82-2A2E-497F-B7C2-40ADA35B7FB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6" authorId="1746" shapeId="0" xr:uid="{1722FDC1-3D0F-4CD9-B457-4ADF911C24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6" authorId="1747" shapeId="0" xr:uid="{914494D5-CDCC-4CE0-B6DF-0AD15278D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6" authorId="1748" shapeId="0" xr:uid="{C52F702A-1CF2-4E65-9C01-A4A57BD6B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6" authorId="1749" shapeId="0" xr:uid="{679972DF-A93F-46E6-87D5-741A317372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6" authorId="1750" shapeId="0" xr:uid="{076A9153-0FF5-4947-BC58-6F2CF4407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6" authorId="1751" shapeId="0" xr:uid="{EF750055-DF50-4EF9-BE13-C16CE6585E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6" authorId="1752" shapeId="0" xr:uid="{77262847-3F0F-47EE-8096-E8CBF80C1C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6" authorId="1753" shapeId="0" xr:uid="{C60A5981-4A35-45E5-9E9B-918CB78A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6" authorId="1754" shapeId="0" xr:uid="{4062D328-CE05-452F-A54C-F975CB714EC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6" authorId="1755" shapeId="0" xr:uid="{5A895D76-410B-4727-8D63-65421B215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6" authorId="1756" shapeId="0" xr:uid="{B841CA22-4FE6-4A66-A2C9-C9EC6B57E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6" authorId="1757" shapeId="0" xr:uid="{EB06E7E9-A461-4C04-9D2E-BF2D6F5117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6" authorId="1758" shapeId="0" xr:uid="{7C27D0AE-A8BD-49B9-BEE6-C7E1E40C93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6" authorId="1759" shapeId="0" xr:uid="{CCA9FA5C-E8A1-46E4-80DD-9977104FBC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6" authorId="1760" shapeId="0" xr:uid="{D42FFF44-1A92-4D25-A8F5-6AF3410E0B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6" authorId="1761" shapeId="0" xr:uid="{72C0F5DE-3F7D-40A9-B9CB-48689B139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6" authorId="1762" shapeId="0" xr:uid="{F151CD82-9A01-420A-B994-57CE3AA367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6" authorId="1763" shapeId="0" xr:uid="{82DA6046-15A3-475A-B5F5-91B68E2D6FB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6" authorId="1764" shapeId="0" xr:uid="{6544019D-E7BA-4D11-B55A-030E56D93E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6" authorId="1765" shapeId="0" xr:uid="{24D261DF-E23D-4279-ACE2-BF6EF9C1C8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6" authorId="1766" shapeId="0" xr:uid="{B816A782-2EE4-4BCF-A9A5-FBE83B5DE1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6" authorId="1767" shapeId="0" xr:uid="{1594B533-7E01-4243-B685-565107D60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6" authorId="1768" shapeId="0" xr:uid="{0080F789-D21A-435E-A0DD-BC7C4BA04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6" authorId="1769" shapeId="0" xr:uid="{D0BF3377-1082-4DE2-B948-4618B07233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6" authorId="1770" shapeId="0" xr:uid="{895BC7CC-2A22-4E24-AC4E-779D6DABC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6" authorId="1771" shapeId="0" xr:uid="{C6AC277F-BF89-4EDC-BBAA-03F40D8E1B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6" authorId="1772" shapeId="0" xr:uid="{EA341540-0643-4F12-92EA-64256EA53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6" authorId="1773" shapeId="0" xr:uid="{DC000F16-CC1B-45C1-87C5-E520FC99DE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6" authorId="1774" shapeId="0" xr:uid="{80D3263F-EE00-4BBD-A3C8-64D4D5F1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6" authorId="1775" shapeId="0" xr:uid="{686CCD2E-A6E7-466B-BEBA-4BAC29DA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6" authorId="1776" shapeId="0" xr:uid="{C1666A12-3B18-4F9E-A433-B795716E6A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6" authorId="1777" shapeId="0" xr:uid="{0B00D12F-15ED-4972-9001-3977602C21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6" authorId="1778" shapeId="0" xr:uid="{44F79FCA-F5C5-47C9-AB29-66E92C98E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6" authorId="1779" shapeId="0" xr:uid="{364CB6F5-D42C-42AE-9EA5-027246421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6" authorId="1780" shapeId="0" xr:uid="{BE4C09B8-EC6C-41A8-82E0-D3B07AF1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6" authorId="1781" shapeId="0" xr:uid="{76574908-F700-4025-A251-1EDD59C742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6" authorId="1782" shapeId="0" xr:uid="{6D4E99C9-138C-4ADC-9A60-8D55C2DDF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6" authorId="1783" shapeId="0" xr:uid="{0355E47C-E2D1-4E5D-8E7A-527FE20FAF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6" authorId="1784" shapeId="0" xr:uid="{430D98EC-F0BE-44BF-A0F0-6A03E20332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6" authorId="1785" shapeId="0" xr:uid="{6CF8F20A-8C93-490A-9C25-0C7E64DA1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6" authorId="1786" shapeId="0" xr:uid="{BFA36648-7163-4F12-BAA8-7CA4B6B6F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47" authorId="1787" shapeId="0" xr:uid="{2A1E811A-4DFD-48DA-A4AA-17AC66D08B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</t>
      </text>
    </comment>
    <comment ref="W148" authorId="1788" shapeId="0" xr:uid="{6B60C2C2-0DC9-475A-8D07-B3AD1D09E1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L149" authorId="1789" shapeId="0" xr:uid="{0A5752AE-0720-4D3D-B9DA-5DD8B58C6BA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M149" authorId="1790" shapeId="0" xr:uid="{545CD80A-AD23-434E-A7AD-C4D7360C17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W149" authorId="1791" shapeId="0" xr:uid="{AB8FDE3B-E07C-45FE-92F9-B04D0AF64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0" authorId="1792" shapeId="0" xr:uid="{652E95AC-2505-4370-A054-A17A935009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1" authorId="1793" shapeId="0" xr:uid="{7762DAAA-906E-49F4-93C6-E38DB0D53A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2" authorId="1794" shapeId="0" xr:uid="{A5B87777-5950-48A7-AA4C-84EF2ABF1B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3" authorId="1795" shapeId="0" xr:uid="{933E71FC-B3D6-40CE-8587-EAB9C3051D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4" authorId="1796" shapeId="0" xr:uid="{AE2FF9F2-6674-48E0-9C1E-45FCBF850D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AM155" authorId="1797" shapeId="0" xr:uid="{9BA71311-5B71-4831-A62E-6CE6791F22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55" authorId="1798" shapeId="0" xr:uid="{0EDE56A9-CF5D-4E45-8C2B-65276541E2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5" authorId="1799" shapeId="0" xr:uid="{F5814B2C-D608-429C-B122-5A6DF54F58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5" authorId="1800" shapeId="0" xr:uid="{2B39DAA5-3365-472C-8630-A3F015AEF5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5" authorId="1801" shapeId="0" xr:uid="{A4062CD6-A007-4E56-9002-183DD01A8F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5" authorId="1802" shapeId="0" xr:uid="{010320F1-E5E7-4B2E-9F41-313EDF093E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55" authorId="1803" shapeId="0" xr:uid="{4143C475-6D80-4C52-AD59-4557CE3F43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55" authorId="1804" shapeId="0" xr:uid="{4DCC41F7-D005-4620-8FB2-CA7615370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155" authorId="1805" shapeId="0" xr:uid="{4DAD3395-0A56-47B0-820E-0107790A47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5" authorId="1806" shapeId="0" xr:uid="{8E06E173-19FB-4CF7-B7AC-AA53C78689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BU155" authorId="1807" shapeId="0" xr:uid="{451A430E-D3FA-49EF-9DB6-F770951BE0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56" authorId="1808" shapeId="0" xr:uid="{1DCE1AFA-72DA-4C70-9E9E-2ADD213A12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6" authorId="1809" shapeId="0" xr:uid="{8B8704F4-E555-4E84-89F6-C87392DE73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E156" authorId="1810" shapeId="0" xr:uid="{3F72FF83-14ED-4BC9-A735-4C7BC3EB00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56" authorId="1811" shapeId="0" xr:uid="{635648E7-3D92-413A-A24F-667D04B3CF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I156" authorId="1812" shapeId="0" xr:uid="{C2CA39A7-2897-4376-921C-352CCD47DC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M156" authorId="1813" shapeId="0" xr:uid="{D1444BD5-064C-4B79-87FF-6D785D89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U156" authorId="1814" shapeId="0" xr:uid="{ADF59284-A7DC-472C-944D-14DBB18CFE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U157" authorId="1815" shapeId="0" xr:uid="{1F8CD0A2-52FB-4691-AB65-90DB36C482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7" authorId="1816" shapeId="0" xr:uid="{6E0591A2-95FF-4FBE-BD2C-B6F438C6A6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7" authorId="1817" shapeId="0" xr:uid="{69D0EEC0-80E0-440D-BBC3-D826C249E1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E157" authorId="1818" shapeId="0" xr:uid="{CE5BA848-AD8E-4FE3-939A-9E92FE061D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57" authorId="1819" shapeId="0" xr:uid="{EC8059A4-5CE1-4BB7-8D9D-8508D16240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I157" authorId="1820" shapeId="0" xr:uid="{266A494F-DA40-422F-A64D-EC21C14CC6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M157" authorId="1821" shapeId="0" xr:uid="{D2B8E01C-0E10-4D4E-AA52-28D05FFACA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U157" authorId="1822" shapeId="0" xr:uid="{6CDC948A-A0A1-4920-B01B-6E823B3A4A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U158" authorId="1823" shapeId="0" xr:uid="{2B13BE41-E870-42A7-A999-F68CC5774A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8" authorId="1824" shapeId="0" xr:uid="{3A0CCF5B-9608-4582-AC41-8227E85B94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8" authorId="1825" shapeId="0" xr:uid="{88E9DD00-662F-4AA1-A30F-AC759746AC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8" authorId="1826" shapeId="0" xr:uid="{21DCBAE7-1A97-4010-B22C-CE6C20D92B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8" authorId="1827" shapeId="0" xr:uid="{8BAD114D-E1A1-44E7-A1C2-5F16857F55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58" authorId="1828" shapeId="0" xr:uid="{5AB06B94-49EE-440C-B3EA-8A8C68E1BB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58" authorId="1829" shapeId="0" xr:uid="{1273FFB6-609D-429A-988E-9178E976A94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158" authorId="1830" shapeId="0" xr:uid="{A74B1A96-C491-4450-8ACD-1A83FFFFD8F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8" authorId="1831" shapeId="0" xr:uid="{C1C0218A-3482-4395-AD91-4EE0B3326E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U158" authorId="1832" shapeId="0" xr:uid="{D7DEE35A-60AC-4815-A85F-50ED1DE320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159" authorId="1833" shapeId="0" xr:uid="{5F36C94C-593B-4BE3-8B44-E2C8AE3C84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59" authorId="1834" shapeId="0" xr:uid="{3B1A143A-B3EA-4310-B3B1-071D751A84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9" authorId="1835" shapeId="0" xr:uid="{FF3041AF-2566-4520-AA7A-E585BF6A3F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9" authorId="1836" shapeId="0" xr:uid="{85E63BF8-0872-4592-90C0-6548B17615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9" authorId="1837" shapeId="0" xr:uid="{9396B8C9-760F-48A0-9E79-FE6E31E54C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9" authorId="1838" shapeId="0" xr:uid="{2EB1EDCC-45EB-4699-9BD9-F531EC8D2C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W160" authorId="1839" shapeId="0" xr:uid="{E210BB3E-9989-4FC0-97A1-041F9EE7BF28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X160" authorId="1840" shapeId="0" xr:uid="{10041DB8-1273-49C4-9380-264CB5239C6A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Y160" authorId="1841" shapeId="0" xr:uid="{8BACDE40-A0FF-4D8A-8447-09CB7C91C84E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Z160" authorId="1842" shapeId="0" xr:uid="{F6F1E606-A29C-44D2-A768-E396462FB847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AW160" authorId="1843" shapeId="0" xr:uid="{21F1FC97-899D-435F-AE7F-F5F77CC8B8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60" authorId="1844" shapeId="0" xr:uid="{6B17E308-3D0A-4EB3-AAE2-139CF0A23D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160" authorId="1845" shapeId="0" xr:uid="{26B2B20F-A8B3-4676-ABCA-2A18CBD9A33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BG160" authorId="1846" shapeId="0" xr:uid="{CED3FF07-6AF8-4BE5-8F63-0F937E09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BI160" authorId="1847" shapeId="0" xr:uid="{88E20FBD-63C0-4694-995E-BB234B165BA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BM160" authorId="1848" shapeId="0" xr:uid="{D702C755-56BC-41BC-8272-AB885BBA63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U160" authorId="1849" shapeId="0" xr:uid="{CC6C19B5-BA1F-4A6B-849D-4EFA52DEEE7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E161" authorId="1850" shapeId="0" xr:uid="{E5F89761-8BE1-461D-BE0C-48ECEA9908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I161" authorId="1851" shapeId="0" xr:uid="{8A403E8C-7373-4409-9A10-FB8665BB10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61" authorId="1852" shapeId="0" xr:uid="{6B9BD53D-2349-4326-9DB4-870F48597E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1" authorId="1853" shapeId="0" xr:uid="{E6F43313-188C-4DE0-B93A-96CD38D4362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1" authorId="1854" shapeId="0" xr:uid="{B5DEFDC1-530F-425F-B08C-AB80998EE4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I162" authorId="1855" shapeId="0" xr:uid="{C8880BB1-24D1-4EFD-A93B-C0736C5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62" authorId="1856" shapeId="0" xr:uid="{02FBBBEE-E1AA-4241-8D95-7C25F28B24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2" authorId="1857" shapeId="0" xr:uid="{72F79AAB-3507-4693-A780-A0FDB5A3D96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2" authorId="1858" shapeId="0" xr:uid="{333F19D1-62FD-41B6-A399-F1AFB1D6976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2" authorId="1859" shapeId="0" xr:uid="{DF293728-D90F-48EE-A983-9A83FEDA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2" authorId="1860" shapeId="0" xr:uid="{9BA94208-D84D-4230-B909-AF660D79C9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Q163" authorId="1861" shapeId="0" xr:uid="{E8870250-B6D5-4D3A-BD60-2B234EDAD7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3" authorId="1862" shapeId="0" xr:uid="{283A69C9-D49C-4D1A-B7F6-BCDE12E794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3" authorId="1863" shapeId="0" xr:uid="{3496CAFE-1525-4941-9D9D-3A46B36F39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I163" authorId="1864" shapeId="0" xr:uid="{4B71A27B-185B-47B8-93FD-86B13ED9969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63" authorId="1865" shapeId="0" xr:uid="{D0372802-2A98-41C6-83EF-B68695B02A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3" authorId="1866" shapeId="0" xr:uid="{E5F119A4-907E-4CC4-A86F-F6711D57D78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3" authorId="1867" shapeId="0" xr:uid="{03B6ADD4-5CBE-450A-94DD-5D43AF6581A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3" authorId="1868" shapeId="0" xr:uid="{D7BE10A1-C21E-4B49-9503-D195ABA327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3" authorId="1869" shapeId="0" xr:uid="{298F1800-518A-4CCA-BC49-BC77F06BDD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3" authorId="1870" shapeId="0" xr:uid="{3A621725-C017-40DD-9DF8-FB23E91B0F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3" authorId="1871" shapeId="0" xr:uid="{8E803E95-F9D4-444E-86D7-BC7F56607C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3" authorId="1872" shapeId="0" xr:uid="{F0A8F0E7-FEF5-4D34-84D8-27F4AEA54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S163" authorId="1873" shapeId="0" xr:uid="{E8B1774A-5833-4506-8BBB-0E39AA3E91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63" authorId="1874" shapeId="0" xr:uid="{2BB4B998-4818-422D-A2D0-3FE940F47D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Q164" authorId="1875" shapeId="0" xr:uid="{63D2B4AE-48FE-4FCE-A981-2597319083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4" authorId="1876" shapeId="0" xr:uid="{EBFB3024-57E8-4BF5-8204-043E572A5C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4" authorId="1877" shapeId="0" xr:uid="{978F9A22-3842-4E0D-B1C9-A363F616C9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G164" authorId="1878" shapeId="0" xr:uid="{BA8EA880-2D54-4538-BAEE-DB7BDD1CDF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64" authorId="1879" shapeId="0" xr:uid="{A9987CDB-72A9-4736-B4A6-A875A9F5F8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4" authorId="1880" shapeId="0" xr:uid="{1F2A4DDF-E14C-4BD7-9A6C-E893959E99D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4" authorId="1881" shapeId="0" xr:uid="{B96D7A3F-CB8B-4769-A4CC-C335438892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4" authorId="1882" shapeId="0" xr:uid="{27BAFF08-6F95-415B-BB3C-A09590DF67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4" authorId="1883" shapeId="0" xr:uid="{6D047495-F34F-49F6-A3E0-89A619C2EB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4" authorId="1884" shapeId="0" xr:uid="{25672225-4806-4FE8-844F-3BE3A4D695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4" authorId="1885" shapeId="0" xr:uid="{7D79E726-8845-4C98-BB3C-A34554147FB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4" authorId="1886" shapeId="0" xr:uid="{8D842576-832A-4197-927C-38BF5FA129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S164" authorId="1887" shapeId="0" xr:uid="{270EF813-0D32-41C7-85AE-6BE75E6B39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64" authorId="1888" shapeId="0" xr:uid="{6956D786-7F15-4A0C-A8BE-C3D535CF32A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165" authorId="1889" shapeId="0" xr:uid="{26EAC919-6067-4387-A701-4830D9FD47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5" authorId="1890" shapeId="0" xr:uid="{16296CCA-1AA1-417F-B2A4-E8547BBE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Y165" authorId="1891" shapeId="0" xr:uid="{21C4CEED-E31A-44DB-BB2F-515639A944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A165" authorId="1892" shapeId="0" xr:uid="{8B689C84-B42E-4C81-BCFD-EF6F85F6ED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K165" authorId="1893" shapeId="0" xr:uid="{B6FF1FBC-3575-463F-A66A-6BCB712A71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BM165" authorId="1894" shapeId="0" xr:uid="{597788F9-A6F5-4F5A-B22F-63E7CA9812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Q166" authorId="1895" shapeId="0" xr:uid="{8A05CAD2-E504-463F-87CC-45DE51D542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AY166" authorId="1896" shapeId="0" xr:uid="{D7443544-C692-4BC1-951B-3125FC7157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A166" authorId="1897" shapeId="0" xr:uid="{A2F41CAA-7571-45C7-A0A8-7E5700DC1F6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E166" authorId="1898" shapeId="0" xr:uid="{F2D445B5-DF55-4E9C-8898-2681F5BA37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66" authorId="1899" shapeId="0" xr:uid="{36A8172A-AA05-4C96-8D11-7AAF73EC54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I166" authorId="1900" shapeId="0" xr:uid="{4DC99BBC-DF37-4A01-AF93-A7AA0CCA2B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K166" authorId="1901" shapeId="0" xr:uid="{F5AF931A-14A5-46FE-945B-C514A43A7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M166" authorId="1902" shapeId="0" xr:uid="{4B8F8BD4-6E4D-4132-8B25-1BE08E124A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Q167" authorId="1903" shapeId="0" xr:uid="{692BE434-63BE-4140-BA2D-2D48A0195E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7" authorId="1904" shapeId="0" xr:uid="{E42F6645-3535-459B-A990-7E9B7F5610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BE167" authorId="1905" shapeId="0" xr:uid="{A97E5779-55A7-4881-9709-E582B8BC07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67" authorId="1906" shapeId="0" xr:uid="{E54F9962-F640-4FEA-BBE9-F0BF8C932F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I167" authorId="1907" shapeId="0" xr:uid="{CAFDDAE4-8D23-439C-82CC-F6CE0B127B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K167" authorId="1908" shapeId="0" xr:uid="{0A2C35DB-ED13-43C2-822C-301408C527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M167" authorId="1909" shapeId="0" xr:uid="{1207155A-60B3-4396-82F0-8B264ADF37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L168" authorId="1910" shapeId="0" xr:uid="{369C3425-619E-4CF7-9E8F-06BEE17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M168" authorId="1911" shapeId="0" xr:uid="{22CDE9F7-941C-47BB-A340-AAE9191F6ED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Q168" authorId="1912" shapeId="0" xr:uid="{04CB4DFE-23D0-499E-8F21-B9A2434646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8" authorId="1913" shapeId="0" xr:uid="{A8E028CD-B458-41C8-899D-50CDE953489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8" authorId="1914" shapeId="0" xr:uid="{8E86BCBC-EDC6-438F-80BB-F349121DB3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G168" authorId="1915" shapeId="0" xr:uid="{CC83A375-DEB0-4A9A-AC86-141D612AE2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68" authorId="1916" shapeId="0" xr:uid="{4C666AD4-70B6-498D-A6F5-3C335151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8" authorId="1917" shapeId="0" xr:uid="{A4B93147-943D-41B8-AE00-4BACF8D4B3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8" authorId="1918" shapeId="0" xr:uid="{64DAC661-3D9F-48E2-8620-0B0CF556035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8" authorId="1919" shapeId="0" xr:uid="{15EC6D5E-2290-479C-BC52-5386FA5D8E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8" authorId="1920" shapeId="0" xr:uid="{2D3F88F6-31D1-4BBC-ACFD-0E6C913E56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8" authorId="1921" shapeId="0" xr:uid="{9C94E218-3AE5-442C-A07D-6D103A63F2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1922" shapeId="0" xr:uid="{DBFABEF4-837D-42C6-B490-A4329C68D2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M169" authorId="1923" shapeId="0" xr:uid="{56F1E81E-8418-4E88-B142-24C010EE16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Q169" authorId="1924" shapeId="0" xr:uid="{A3B2573E-DD08-4518-A442-AF37443633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9" authorId="1925" shapeId="0" xr:uid="{4E706D91-7E0A-4952-BD77-6C11511024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M169" authorId="1926" shapeId="0" xr:uid="{4027A674-F2FF-400D-8AAD-8B6E300C4B2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9" authorId="1927" shapeId="0" xr:uid="{7CBC8E2B-CD90-417C-A7BE-5A618665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BM169" authorId="1928" shapeId="0" xr:uid="{19643E89-50BD-472F-8346-98D358101A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W170" authorId="1929" shapeId="0" xr:uid="{C14ABA19-5FBE-4F6A-A0BB-C41196C092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applicable from Aug'24</t>
      </text>
    </comment>
    <comment ref="X170" authorId="1930" shapeId="0" xr:uid="{3B055A2B-5438-4F1B-922C-0F25A19AB7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applicable from Aug'24</t>
      </text>
    </comment>
    <comment ref="Y170" authorId="1931" shapeId="0" xr:uid="{45F17078-15FF-4A75-9245-7F30DAED054F}">
      <text>
        <t>[Threaded comment]
Your version of Excel allows you to read this threaded comment; however, any edits to it will get removed if the file is opened in a newer version of Excel. Learn more: https://go.microsoft.com/fwlink/?linkid=870924
Comment:
    MG was 50 for Aug</t>
      </text>
    </comment>
    <comment ref="AQ170" authorId="1932" shapeId="0" xr:uid="{44C72E8C-9439-434D-AA49-AB5669ADBE15}">
      <text>
        <t>[Threaded comment]
Your version of Excel allows you to read this threaded comment; however, any edits to it will get removed if the file is opened in a newer version of Excel. Learn more: https://go.microsoft.com/fwlink/?linkid=870924
Comment:
    28 candidates joined against of target 27</t>
      </text>
    </comment>
    <comment ref="AS170" authorId="1933" shapeId="0" xr:uid="{E2AE0BCE-CE92-4873-A99F-A84A5B9F65C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- 80 MG and Jan-30, Feb-22 &amp; March-28 candidates joined</t>
      </text>
    </comment>
    <comment ref="AU170" authorId="1934" shapeId="0" xr:uid="{2F12D265-D536-4BC5-B2DC-234BA53D5E22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AW170" authorId="1935" shapeId="0" xr:uid="{4697A3F2-81DC-4290-8673-69B4FEE0B804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AY170" authorId="1936" shapeId="0" xr:uid="{3F0C1577-CB16-43E1-B488-5351FF4FA5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70" authorId="1937" shapeId="0" xr:uid="{3388A4C1-2F05-4D8B-8024-5592A2A77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70" authorId="1938" shapeId="0" xr:uid="{4D430FA6-7B01-44BA-A0FA-AAB8EAC7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F170" authorId="1939" shapeId="0" xr:uid="{C215845A-CF7C-441B-AFDB-CBB3E36DF4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G170" authorId="1940" shapeId="0" xr:uid="{EDCC44A8-AFD5-4C49-B27A-0EC2738E00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I170" authorId="1941" shapeId="0" xr:uid="{193EDD26-F04B-4AAB-9400-EC64078C86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K170" authorId="1942" shapeId="0" xr:uid="{2C0D988D-EE0E-4070-A802-D77BEC0B14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M170" authorId="1943" shapeId="0" xr:uid="{B727D7E8-5545-4548-962D-57AC75EA9C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O170" authorId="1944" shapeId="0" xr:uid="{C828D973-A2D0-49C2-9773-CC7B227079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Q170" authorId="1945" shapeId="0" xr:uid="{8AAD7C7B-69F3-43F9-AB6D-77EBEC4B43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S170" authorId="1946" shapeId="0" xr:uid="{C565D260-1970-4953-B191-240656C8BF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U170" authorId="1947" shapeId="0" xr:uid="{923F4422-7663-4BB9-AD74-7AC5953DB1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L171" authorId="1948" shapeId="0" xr:uid="{A569E75B-BA32-46DA-B402-692216353811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M171" authorId="1949" shapeId="0" xr:uid="{C4C1CC35-0D6E-475A-8494-A1E573CF2C7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Q171" authorId="1950" shapeId="0" xr:uid="{7B492017-664C-47A7-8E21-80669FA8A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71" authorId="1951" shapeId="0" xr:uid="{8233EBC9-C710-4B75-B245-CDAA56AAB2D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1" authorId="1952" shapeId="0" xr:uid="{75B32025-DC94-4F88-8DC5-D95D9E693E35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AY171" authorId="1953" shapeId="0" xr:uid="{D0B7B03E-328F-4AAB-93E2-29629EF3DCA0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L172" authorId="1954" shapeId="0" xr:uid="{C74C0D1B-5D42-4235-AE03-8742DA43981A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M172" authorId="1955" shapeId="0" xr:uid="{75AE22BE-D9EB-4F01-9F40-8B2EE9B0AAEF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Q172" authorId="1956" shapeId="0" xr:uid="{9AD74769-9072-46DC-AD39-2565762887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72" authorId="1957" shapeId="0" xr:uid="{7798177C-54E7-427A-8CA1-0A47736267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2" authorId="1958" shapeId="0" xr:uid="{25646177-9838-4149-A50D-111786707F68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AY172" authorId="1959" shapeId="0" xr:uid="{3D0DE255-3FD5-42E1-8822-2383F9F7EBD0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BA172" authorId="1960" shapeId="0" xr:uid="{60D6E841-6329-4759-9860-BC71211E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U173" authorId="1961" shapeId="0" xr:uid="{21EB911C-E823-4681-BA43-641A0878A7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3" authorId="1962" shapeId="0" xr:uid="{92BD999D-02C9-47F8-A271-19249FB79BD4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AY173" authorId="1963" shapeId="0" xr:uid="{2BC174F1-E616-4C7A-93DC-F5F570AEEA5B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BA173" authorId="1964" shapeId="0" xr:uid="{A97AF8D2-9AB3-4432-8A91-4D19F07AC8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L174" authorId="1965" shapeId="0" xr:uid="{1F2F59DF-CE46-4B30-A7B7-BF7BA0E6EF4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M174" authorId="1966" shapeId="0" xr:uid="{C8F9570B-A3FF-402E-88E1-A7C4DA4D96A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S174" authorId="1967" shapeId="0" xr:uid="{837FD4DE-6AFB-4D69-8C7F-71CCDC081F7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75" authorId="1968" shapeId="0" xr:uid="{4C6ABCAE-8727-45A9-89A4-AC77DD3869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75" authorId="1969" shapeId="0" xr:uid="{DC3F9D5C-EB93-47A3-94D4-3AED178C268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BA175" authorId="1970" shapeId="0" xr:uid="{B557FDD2-09F6-44BE-9641-138D81E6B9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L176" authorId="1971" shapeId="0" xr:uid="{70E7A3EE-ECAB-4BF0-A5B9-0D44C2253B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6" authorId="1972" shapeId="0" xr:uid="{8E43CF6F-1F11-4C9C-8EC0-747999FD752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6" authorId="1973" shapeId="0" xr:uid="{CD0B05CA-7F02-4DF0-B864-BD7108ABBF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U176" authorId="1974" shapeId="0" xr:uid="{1E89FEBE-3AB9-4EC4-9472-D085DC421B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6" authorId="1975" shapeId="0" xr:uid="{24222E27-E0BE-4E36-8F9E-34146C7110D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AY176" authorId="1976" shapeId="0" xr:uid="{B1E5CB24-0321-46ED-9204-8216CAFAFF21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BA176" authorId="1977" shapeId="0" xr:uid="{943C705E-EE08-4251-A11C-D45A283AEF01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L177" authorId="1978" shapeId="0" xr:uid="{CDA3AC5F-457D-4D8B-BD6E-58D04DE2EB1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7" authorId="1979" shapeId="0" xr:uid="{C4928E83-46F0-45C1-B8B5-CDE586C45D6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7" authorId="1980" shapeId="0" xr:uid="{4AE92C41-A171-439F-A3BB-3D98CAC1A3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W177" authorId="1981" shapeId="0" xr:uid="{1123D2E6-0F15-41B0-9550-A431AC9D2C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due to status not correctly updated</t>
      </text>
    </comment>
    <comment ref="Y177" authorId="1982" shapeId="0" xr:uid="{408661BE-7B9B-4FBB-B6E3-1BBD6D5CA1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77" authorId="1983" shapeId="0" xr:uid="{0C25EDF2-94BA-446D-BC51-5684968C52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7" authorId="1984" shapeId="0" xr:uid="{00ABC21B-B45A-4B72-9F75-864021CFF6FF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AY177" authorId="1985" shapeId="0" xr:uid="{6337B217-3162-4D8E-817D-535ECA38EABA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BA177" authorId="1986" shapeId="0" xr:uid="{021DDFC8-8DAC-4B36-882E-5BA69157C0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BC177" authorId="1987" shapeId="0" xr:uid="{4856F1A4-10F2-47E4-A253-C6C81C4EE9A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BE177" authorId="1988" shapeId="0" xr:uid="{922EEDEF-E9E7-4530-B795-AFA074056C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1989" shapeId="0" xr:uid="{955B01D8-2EF7-4229-B6BF-140EA8EAAD5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8" authorId="1990" shapeId="0" xr:uid="{A797DF83-C73E-4BAA-9CB4-9053E2CCCAD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8" authorId="1991" shapeId="0" xr:uid="{277DD9FA-9C22-4DE8-B679-D9A1D67FE4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W178" authorId="1992" shapeId="0" xr:uid="{7F024443-ABBA-409D-AEE3-6C00EF91C5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due to status not correctly updated</t>
      </text>
    </comment>
    <comment ref="Y178" authorId="1993" shapeId="0" xr:uid="{2ACF9FC5-0A57-450C-90E5-4F8A31F3B2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78" authorId="1994" shapeId="0" xr:uid="{1D914A00-4F5E-4482-90EC-42BCFAD055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8" authorId="1995" shapeId="0" xr:uid="{4D527FB4-AD3F-425A-B237-59480A59C646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AY178" authorId="1996" shapeId="0" xr:uid="{72CDE663-6733-442A-BB51-30C286D080D6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BA178" authorId="1997" shapeId="0" xr:uid="{F9320F5B-D556-4D14-B528-5DA19608B3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BE178" authorId="1998" shapeId="0" xr:uid="{2742711A-F0EE-4217-9066-18F7564955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9" authorId="1999" shapeId="0" xr:uid="{67C909E5-909B-4C60-9A07-7833B9BF96D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9" authorId="2000" shapeId="0" xr:uid="{A0173985-4F80-4C58-A7C3-F9E14AD5F9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9" authorId="2001" shapeId="0" xr:uid="{4B1B7D3B-BD78-4827-BDF3-D7375AF461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W179" authorId="2002" shapeId="0" xr:uid="{0966EECB-163A-49BC-92E3-FC0078A2B5E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AY179" authorId="2003" shapeId="0" xr:uid="{660E383E-6670-4DBC-AEF1-DB6174E8BF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BA179" authorId="2004" shapeId="0" xr:uid="{BEB2F1E3-09E9-4DE0-8323-03AAF6DCDC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L180" authorId="2005" shapeId="0" xr:uid="{443C8C13-9B36-4637-8651-D56EF21C6F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80" authorId="2006" shapeId="0" xr:uid="{D2FC9E57-1AF4-4B60-81F5-8872B31709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80" authorId="2007" shapeId="0" xr:uid="{7F5D57AC-4EE7-40B1-ACB6-AFE0111459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M180" authorId="2008" shapeId="0" xr:uid="{941CFB2C-5DD0-4EEC-91BB-C11549A4E5D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80" authorId="2009" shapeId="0" xr:uid="{B97B6041-F0EC-4E52-BE46-927AA898E2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BA180" authorId="2010" shapeId="0" xr:uid="{6DC9B35E-4567-4194-9362-829026F9DB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L181" authorId="2011" shapeId="0" xr:uid="{AFD28316-A408-4A57-8ABA-98B46A0332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81" authorId="2012" shapeId="0" xr:uid="{186E736D-203B-43D3-8469-67589C33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81" authorId="2013" shapeId="0" xr:uid="{7B18AB7E-776C-43E0-BA2D-D4A22BFDE2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Y181" authorId="2014" shapeId="0" xr:uid="{E062EDA6-76BF-4785-827C-6007D4EEB9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BA181" authorId="2015" shapeId="0" xr:uid="{00120400-9F15-44DA-8C37-6E7CA94392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Q182" authorId="2016" shapeId="0" xr:uid="{1AAC4AB1-7B34-49E9-B2BB-74C19A5B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182" authorId="2017" shapeId="0" xr:uid="{2D764FE6-E209-41F2-A97F-DCFFC4D821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82" authorId="2018" shapeId="0" xr:uid="{1EF71451-0EA6-4BBA-9B4B-56604B55CC9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2" authorId="2019" shapeId="0" xr:uid="{6D3AAC14-BB50-482A-9A86-85F11305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2" authorId="2020" shapeId="0" xr:uid="{9E70F32C-83DB-4C44-9D65-34EDE93FA0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182" authorId="2021" shapeId="0" xr:uid="{6F17A808-88E2-4FC2-BCB3-6227E8E0078E}">
      <text>
        <t>[Threaded comment]
Your version of Excel allows you to read this threaded comment; however, any edits to it will get removed if the file is opened in a newer version of Excel. Learn more: https://go.microsoft.com/fwlink/?linkid=870924
Comment:
    TA One view validation</t>
      </text>
    </comment>
    <comment ref="AP182" authorId="2022" shapeId="0" xr:uid="{4C4E740F-7BC7-4DB3-9CE0-B774CA857B6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82" authorId="2023" shapeId="0" xr:uid="{8B4D1AFD-2D5E-45BA-89D4-09D7D4DE8C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BU182" authorId="2024" shapeId="0" xr:uid="{B3A4B7B1-3AA8-4AE8-931E-776C55A1C3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83" authorId="2025" shapeId="0" xr:uid="{631645D5-F92C-4F1C-BE1E-BF70A18295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M183" authorId="2026" shapeId="0" xr:uid="{AF9FAB2E-984F-45EF-80BC-8588DF0A4F9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Q183" authorId="2027" shapeId="0" xr:uid="{0069E17D-9D3D-4127-9B4B-1D666484D9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183" authorId="2028" shapeId="0" xr:uid="{52671D4D-B2CB-4B20-94A1-49B306FE7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83" authorId="2029" shapeId="0" xr:uid="{031A9A04-68BA-4B44-8841-4AE7E17E6923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3" authorId="2030" shapeId="0" xr:uid="{BC13D063-CC26-4786-98AF-1ED8CFBC4E8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3" authorId="2031" shapeId="0" xr:uid="{DEECA3AE-F8F3-4F5D-B767-F75E53A25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183" authorId="2032" shapeId="0" xr:uid="{705F9844-7DEA-4FA8-9A28-F503EAC73F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 One view validation
</t>
      </text>
    </comment>
    <comment ref="AP183" authorId="2033" shapeId="0" xr:uid="{BF85E6F2-F437-4D47-AADC-55CCF21B11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83" authorId="2034" shapeId="0" xr:uid="{42062088-7466-4CC0-8956-D2524DC5D9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U183" authorId="2035" shapeId="0" xr:uid="{C79E5097-2003-4BD6-A22A-D44D1047F4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K184" authorId="2036" shapeId="0" xr:uid="{7EBA61AA-9301-451B-A847-B4875956F35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4" authorId="2037" shapeId="0" xr:uid="{F6352A2C-1263-49A0-B985-67519C10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W184" authorId="2038" shapeId="0" xr:uid="{91C6C1A8-2597-4785-B696-10BA7C2743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L184" authorId="2039" shapeId="0" xr:uid="{0F67F6DE-52CE-4848-A100-C2B669ADC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4" authorId="2040" shapeId="0" xr:uid="{68D4CCE1-6C35-4A2F-8F78-4DAD162D09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4" authorId="2041" shapeId="0" xr:uid="{80934D7B-F492-400C-9153-A6E2AD67CD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5" authorId="2042" shapeId="0" xr:uid="{07E3A668-F228-4BF7-BEBA-A20DC65DAA3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5" authorId="2043" shapeId="0" xr:uid="{50E92462-0CE5-4E52-8D1A-FF9D31749FC3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W185" authorId="2044" shapeId="0" xr:uid="{C22B16EF-BCF9-4382-9BDA-09A004795D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L185" authorId="2045" shapeId="0" xr:uid="{9333D6FE-6944-4FFC-B184-E994AEA0C0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5" authorId="2046" shapeId="0" xr:uid="{450CEC61-2ECA-4BFC-80AE-6DD552BBE2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5" authorId="2047" shapeId="0" xr:uid="{9ABA9A00-1A5E-45DE-A252-B242FC2FDD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6" authorId="2048" shapeId="0" xr:uid="{1F9DAF4C-698F-4EE3-BDED-AA0AE7785C0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6" authorId="2049" shapeId="0" xr:uid="{FD38C5D2-4F6D-468C-84DA-F4F4D46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86" authorId="2050" shapeId="0" xr:uid="{79F898F6-6733-4BA1-9D74-35AF0C520F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6" authorId="2051" shapeId="0" xr:uid="{F9FAD435-4CD2-4344-B2F6-93B4D0CAE6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6" authorId="2052" shapeId="0" xr:uid="{83BCB9AD-F3F7-4A34-BF99-B15EBFDC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7" authorId="2053" shapeId="0" xr:uid="{5798CEAD-DCAB-4D05-87F4-2FF949D8E5F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7" authorId="2054" shapeId="0" xr:uid="{B7D11CAD-E8F5-4E72-97FE-143957772A5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87" authorId="2055" shapeId="0" xr:uid="{70DD440C-63B3-4176-9001-075198A37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7" authorId="2056" shapeId="0" xr:uid="{D196DABE-5629-455B-8878-A23CD36BE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7" authorId="2057" shapeId="0" xr:uid="{EFE9C569-BC26-48A5-85BA-ED35B3EA66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8" authorId="2058" shapeId="0" xr:uid="{9487C13E-8A4D-47CC-A4B0-ADC993AFDB2C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8" authorId="2059" shapeId="0" xr:uid="{0DAE3141-4ACE-4592-88F1-CF5304329FF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8" authorId="2060" shapeId="0" xr:uid="{EA62BCE2-DC34-4854-AE47-A89676562A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188" authorId="2061" shapeId="0" xr:uid="{BDDDDB39-7370-4F03-B3B5-8644807753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8" authorId="2062" shapeId="0" xr:uid="{A33FF6E4-1BD9-4F74-BBC9-8D96EC4EAD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8" authorId="2063" shapeId="0" xr:uid="{7A3A8A23-0BC7-4AE4-874C-54448863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9" authorId="2064" shapeId="0" xr:uid="{9C67F575-6075-4D63-A6A3-9937E62EF32D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9" authorId="2065" shapeId="0" xr:uid="{20156AF9-61E2-4A48-A79D-B5EF6A28D3E5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9" authorId="2066" shapeId="0" xr:uid="{7B690806-B090-4CE6-B547-FFAD6FF361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189" authorId="2067" shapeId="0" xr:uid="{D46E3D45-5B8E-4806-AE57-5EE128362B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9" authorId="2068" shapeId="0" xr:uid="{657BB269-7957-4D0F-AF50-53C75F5CB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9" authorId="2069" shapeId="0" xr:uid="{8B329C8A-B8E7-4188-8A05-99AFC895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0" authorId="2070" shapeId="0" xr:uid="{F2C78062-2DA5-4723-A34F-2EAE2F31C86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0" authorId="2071" shapeId="0" xr:uid="{E00268A9-2C2C-4FF8-AAFD-4BE02C14D99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90" authorId="2072" shapeId="0" xr:uid="{6B0A0BE8-2727-4BDA-AEFF-C57266E271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0" authorId="2073" shapeId="0" xr:uid="{CA616E78-4093-436A-839F-859FBD9971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0" authorId="2074" shapeId="0" xr:uid="{5DCB04EF-ABEF-49E2-9E23-03BF1C103C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1" authorId="2075" shapeId="0" xr:uid="{A5577259-0413-4B8D-81A8-1768841675E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1" authorId="2076" shapeId="0" xr:uid="{0C473354-DFCB-4498-920B-9EF3AA0BB88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91" authorId="2077" shapeId="0" xr:uid="{2C46BE96-6B5F-4DD0-A77C-653947B1F4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1" authorId="2078" shapeId="0" xr:uid="{AF26AF07-5DB0-41CA-9BE2-87583B35EF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1" authorId="2079" shapeId="0" xr:uid="{8745A646-38FE-4FB8-9D6D-886D3B90F3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2" authorId="2080" shapeId="0" xr:uid="{AC6C41B6-D037-4AD1-B706-BA387BE01688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2" authorId="2081" shapeId="0" xr:uid="{40CEF52C-3D99-4C3D-BAEB-3830A8CE413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U192" authorId="2082" shapeId="0" xr:uid="{5FCC8255-25D7-42AC-A3E9-9DDC10CA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V192" authorId="2083" shapeId="0" xr:uid="{0DD0891D-0ECF-4213-B076-0143AE2F56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W192" authorId="2084" shapeId="0" xr:uid="{3AB632A2-CC8A-4706-BFDF-CE7DFEF93F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X192" authorId="2085" shapeId="0" xr:uid="{51C178FB-E156-4E40-A223-B41E688843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Y192" authorId="2086" shapeId="0" xr:uid="{1A48A692-220C-4A2D-BB42-E8A3FEE079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Z192" authorId="2087" shapeId="0" xr:uid="{2C1BB935-89B8-4AFF-83B5-BFE902D33C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A192" authorId="2088" shapeId="0" xr:uid="{AB09B217-E295-4D33-A2A1-86CB8666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B192" authorId="2089" shapeId="0" xr:uid="{7B6890B8-16E7-4B74-8CE7-8ACB649545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C192" authorId="2090" shapeId="0" xr:uid="{6C065922-8117-41EF-AE6F-5C2C5604D4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D192" authorId="2091" shapeId="0" xr:uid="{86C0CE64-824C-4BCD-9B7F-76C1A960F6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E192" authorId="2092" shapeId="0" xr:uid="{630BB9AA-ACD2-412B-8F12-0E9D699D4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F192" authorId="2093" shapeId="0" xr:uid="{B4988F39-DA0F-467B-B33B-AE580B081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G192" authorId="2094" shapeId="0" xr:uid="{A7F51006-5C14-4D2A-8D69-FEAC5F0A6D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H192" authorId="2095" shapeId="0" xr:uid="{95ADBB36-1782-43C8-B244-5453606FB1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I192" authorId="2096" shapeId="0" xr:uid="{69735F4C-4CEB-48D5-877A-8AFE9D828B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J192" authorId="2097" shapeId="0" xr:uid="{32E9EC29-4BA7-45AF-96B5-B8032C97F1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K192" authorId="2098" shapeId="0" xr:uid="{EEAFC4A6-47EB-49E7-9AD8-1CC7C6E9B6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L192" authorId="2099" shapeId="0" xr:uid="{FE7BCA60-DD2C-4E1C-8C98-7E6B0B0E40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M192" authorId="2100" shapeId="0" xr:uid="{C2BF2F21-90AC-4880-8BB8-0FF3159447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2" authorId="2101" shapeId="0" xr:uid="{577E65DD-02AB-4200-BE48-3A6B15F173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O192" authorId="2102" shapeId="0" xr:uid="{3E4102AB-64D8-4198-B557-43F94B2F85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2" authorId="2103" shapeId="0" xr:uid="{CE03AA09-8AFE-4AEA-83D1-EFAE211D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S192" authorId="2104" shapeId="0" xr:uid="{7D9F1E48-8142-4E10-977E-602FFF16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2" authorId="2105" shapeId="0" xr:uid="{9D1D6D0C-0071-476E-A69F-8773EF4323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3" authorId="2106" shapeId="0" xr:uid="{CCF2609B-9AD2-4844-924B-D2751E8B84A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3" authorId="2107" shapeId="0" xr:uid="{D54045FC-ABF6-45AC-9031-913A8E6C8E4D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U193" authorId="2108" shapeId="0" xr:uid="{24229C87-6A1F-4F77-99D3-25F376E403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V193" authorId="2109" shapeId="0" xr:uid="{51F3A20C-003A-4025-AE9D-39AFD488B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W193" authorId="2110" shapeId="0" xr:uid="{FC94D8DE-FAD1-44F9-AAE2-471BC41311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X193" authorId="2111" shapeId="0" xr:uid="{98740AFC-A4F3-4807-9352-4956636890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Y193" authorId="2112" shapeId="0" xr:uid="{E8658288-F176-4911-8AAE-2BD2F0CA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Z193" authorId="2113" shapeId="0" xr:uid="{9BFDFF48-4E53-42A7-8566-488BD15627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A193" authorId="2114" shapeId="0" xr:uid="{12C043CC-9039-4186-9A9F-29D4FD6CCA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B193" authorId="2115" shapeId="0" xr:uid="{5419481C-346C-44DB-89A5-112799B383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C193" authorId="2116" shapeId="0" xr:uid="{687CB6E2-D252-42CE-B76F-31F0C2734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D193" authorId="2117" shapeId="0" xr:uid="{DA437F69-6706-456F-AC4B-FECC405613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E193" authorId="2118" shapeId="0" xr:uid="{3E20B854-DD61-4D5B-8929-2E36714532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F193" authorId="2119" shapeId="0" xr:uid="{64E6B64D-BB67-46A3-AB7E-777FDA5A20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G193" authorId="2120" shapeId="0" xr:uid="{9F077AA5-CDB3-4E9B-B3F6-1499D3B311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H193" authorId="2121" shapeId="0" xr:uid="{AAFE1DEB-41C5-4C12-AA18-DC0383A998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I193" authorId="2122" shapeId="0" xr:uid="{76E579D1-1541-4B9B-9054-2EF9B6F3D3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J193" authorId="2123" shapeId="0" xr:uid="{CE775400-30B8-40B5-B727-CAD59D63D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K193" authorId="2124" shapeId="0" xr:uid="{B9075CED-B738-41F7-9FE6-9EDC2BF1C0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L193" authorId="2125" shapeId="0" xr:uid="{E85B84EB-6B8B-4307-BB40-28494FFB7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M193" authorId="2126" shapeId="0" xr:uid="{14E17071-63C3-4DA1-832E-BF754CF42B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3" authorId="2127" shapeId="0" xr:uid="{772220FC-5D56-4685-B275-22B669BC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3" authorId="2128" shapeId="0" xr:uid="{9FA82A16-173D-4E94-A225-BAB7FBD225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S193" authorId="2129" shapeId="0" xr:uid="{DAEA41B4-F690-4796-BB66-7297905465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3" authorId="2130" shapeId="0" xr:uid="{CA3CFBDF-4B31-4193-A34F-F8115F3C7D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4" authorId="2131" shapeId="0" xr:uid="{52A4953B-7A9D-4053-A60B-43E80F43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4" authorId="2132" shapeId="0" xr:uid="{C6A5CAB2-A710-4173-AB28-52072450E2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4" authorId="2133" shapeId="0" xr:uid="{B023630B-0E0F-4EB9-A46F-042769310B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4" authorId="2134" shapeId="0" xr:uid="{F348F0AC-9516-4D0F-85AF-1BD5D14120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4" authorId="2135" shapeId="0" xr:uid="{E0363ED7-BB02-41C2-843F-2EAD381D06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4" authorId="2136" shapeId="0" xr:uid="{4DB025F9-D10D-4D46-BC37-78C9FB78FB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4" authorId="2137" shapeId="0" xr:uid="{9E19B9C7-FA4F-4416-A2E0-C0D2DF3649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4" authorId="2138" shapeId="0" xr:uid="{10944CDA-4614-41E9-A788-8BDB808847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4" authorId="2139" shapeId="0" xr:uid="{4F2F0A14-DE30-4538-BF6F-F03FF11D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4" authorId="2140" shapeId="0" xr:uid="{62B172A8-8764-40D7-B829-04A141E4EA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4" authorId="2141" shapeId="0" xr:uid="{A3995DCB-FA04-4668-A31E-2E57DE08D0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4" authorId="2142" shapeId="0" xr:uid="{994466C7-A351-4051-898E-31EF57C02E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4" authorId="2143" shapeId="0" xr:uid="{A61AB78D-53E0-4E5E-94E6-E1156A8D2C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4" authorId="2144" shapeId="0" xr:uid="{99263465-508A-4BF8-A717-64B7F55F8F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4" authorId="2145" shapeId="0" xr:uid="{732AD7E4-D667-4768-8C7D-F027C5F356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4" authorId="2146" shapeId="0" xr:uid="{10B55C61-4709-4EBC-966B-0E828A68CD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4" authorId="2147" shapeId="0" xr:uid="{62F6DC34-1C7A-4CFA-8E1F-BDA3AD7A82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4" authorId="2148" shapeId="0" xr:uid="{7B159F32-FE32-43AF-A84D-7EA74EE639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4" authorId="2149" shapeId="0" xr:uid="{2B472F88-99F4-455D-BE40-41CE0AB5C7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4" authorId="2150" shapeId="0" xr:uid="{A3D0B3E8-C765-4A44-BEF2-ACD0B51740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4" authorId="2151" shapeId="0" xr:uid="{1B4CB6AF-442C-48F3-B3E8-1F88429DD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4" authorId="2152" shapeId="0" xr:uid="{890EA50E-B99F-4937-B4DA-EF2409D0A5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4" authorId="2153" shapeId="0" xr:uid="{A466D48A-F9C0-4C85-B0C5-C8C7ED66D5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4" authorId="2154" shapeId="0" xr:uid="{BA8268F9-BB10-48ED-8CB2-F60AEEF8F1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4" authorId="2155" shapeId="0" xr:uid="{AC23805F-7858-4F69-A061-3711520EC8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4" authorId="2156" shapeId="0" xr:uid="{8890AD5C-D102-4A98-8712-76D8F3ACEB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4" authorId="2157" shapeId="0" xr:uid="{469290A9-D948-4ADB-BFCA-8CC1BD273C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4" authorId="2158" shapeId="0" xr:uid="{149BFF59-D0AF-4BAC-AE5F-B592D10461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4" authorId="2159" shapeId="0" xr:uid="{A9FB6B90-5C62-47BD-88CE-E98AD37F23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4" authorId="2160" shapeId="0" xr:uid="{099018F2-14CE-48E7-8B72-B926683ED9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4" authorId="2161" shapeId="0" xr:uid="{ADF43BE0-A424-4C83-8605-F037F43801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4" authorId="2162" shapeId="0" xr:uid="{E3E14C5F-1DA4-4E36-A778-22E5D1E0F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4" authorId="2163" shapeId="0" xr:uid="{C0A48D1C-8A9A-4BDC-9343-979BD62C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4" authorId="2164" shapeId="0" xr:uid="{55882521-FFBE-45AD-AF08-4EE456DC99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4" authorId="2165" shapeId="0" xr:uid="{41CD1C17-9430-4E2E-93F8-ABBEA20785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5" authorId="2166" shapeId="0" xr:uid="{D6714E9E-C6FC-44F5-9105-52AE851C8E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5" authorId="2167" shapeId="0" xr:uid="{33C7DD5D-1F9B-4572-8176-015ADF3939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5" authorId="2168" shapeId="0" xr:uid="{BBEB8599-8308-413B-BC0D-F78E4C9A3C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5" authorId="2169" shapeId="0" xr:uid="{EE519DDE-DFA7-477B-BADE-4C72244D81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5" authorId="2170" shapeId="0" xr:uid="{3D8FC83A-0842-4542-ADE5-120112952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5" authorId="2171" shapeId="0" xr:uid="{0D72FB16-9858-4F87-8790-AA31CEE605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5" authorId="2172" shapeId="0" xr:uid="{D085630B-BA1D-41F5-AEBB-461447B81E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5" authorId="2173" shapeId="0" xr:uid="{C57E5A47-85F4-4B4A-B284-3C312A71FA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5" authorId="2174" shapeId="0" xr:uid="{A00E6BB0-112C-45A7-AE1B-3FFA7D385F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5" authorId="2175" shapeId="0" xr:uid="{BA3AA559-6D9E-477F-AC55-FF8A22383C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5" authorId="2176" shapeId="0" xr:uid="{DA5EFEFE-182C-4549-B222-E5C72633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5" authorId="2177" shapeId="0" xr:uid="{EB42C0DE-2EF7-4122-B290-2A46D23FCB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5" authorId="2178" shapeId="0" xr:uid="{6ED1CBB5-424E-4E4D-B097-D91AD0A1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5" authorId="2179" shapeId="0" xr:uid="{5AB9DDAF-D8E6-4845-805A-E55992751D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5" authorId="2180" shapeId="0" xr:uid="{B6CD2B03-03EA-45C2-B3AE-8800EB8AED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5" authorId="2181" shapeId="0" xr:uid="{34B6754D-8F0F-47D5-BAF7-769630382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5" authorId="2182" shapeId="0" xr:uid="{8EDCFC95-1FCF-4506-904A-BE55E6DC1E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5" authorId="2183" shapeId="0" xr:uid="{B2D942E7-C2FD-48CC-B8FC-03E101988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5" authorId="2184" shapeId="0" xr:uid="{BF651A42-2886-4623-ABF5-1E0F7FA42C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5" authorId="2185" shapeId="0" xr:uid="{C3F13CF1-BA8D-4A8B-8504-B5C7A57C47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5" authorId="2186" shapeId="0" xr:uid="{EAF2D661-7386-4D16-996E-52BFDF167C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5" authorId="2187" shapeId="0" xr:uid="{7649B306-8747-49BE-8523-D243F83071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5" authorId="2188" shapeId="0" xr:uid="{020F7928-1E8F-4E52-BC76-D1D84F3863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5" authorId="2189" shapeId="0" xr:uid="{C7D74AF2-3390-4A8B-996D-314756082D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5" authorId="2190" shapeId="0" xr:uid="{9BC0E8E2-59A5-4F7D-8B4D-8B6978EEE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5" authorId="2191" shapeId="0" xr:uid="{3806F2F1-86A1-4AB7-897F-7303C5DBD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5" authorId="2192" shapeId="0" xr:uid="{A29E2F23-1735-409E-ACBB-CA0C514FD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5" authorId="2193" shapeId="0" xr:uid="{68702C72-BE8D-43AB-8146-18E6E128F7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5" authorId="2194" shapeId="0" xr:uid="{7712C6A5-DB18-4396-8BAB-16A2F8ADE4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5" authorId="2195" shapeId="0" xr:uid="{F73F0E5C-573B-4191-ABA4-A2F97A4E3D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5" authorId="2196" shapeId="0" xr:uid="{AFCB26F1-2EA4-4B7E-998E-521536B1C2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5" authorId="2197" shapeId="0" xr:uid="{723CCDBC-FEB1-47AF-BAD3-77E2DF4FF1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5" authorId="2198" shapeId="0" xr:uid="{FA4ED377-E892-420D-8640-403679BF94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5" authorId="2199" shapeId="0" xr:uid="{4197151F-18D9-4E4C-BFB8-9A64AD32DD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5" authorId="2200" shapeId="0" xr:uid="{D4BC8F89-1876-4921-9A55-98416367FF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6" authorId="2201" shapeId="0" xr:uid="{F6EAEA99-0462-4855-A06F-0DFF29456C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6" authorId="2202" shapeId="0" xr:uid="{B8966D68-48C9-4B94-BDEB-9055960EFA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6" authorId="2203" shapeId="0" xr:uid="{1AEE7D15-9859-4BE8-BFFC-A94054D04D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6" authorId="2204" shapeId="0" xr:uid="{AB8F2232-B02C-4754-B684-A02FB0293C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6" authorId="2205" shapeId="0" xr:uid="{6EDF3E74-69EB-4379-84E5-407EECED24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6" authorId="2206" shapeId="0" xr:uid="{8CA76726-5F45-40DF-9D8A-C15469267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6" authorId="2207" shapeId="0" xr:uid="{0FF767B6-F657-4E19-AC9A-99517BD726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6" authorId="2208" shapeId="0" xr:uid="{257FA89B-0F0D-432A-B80E-4902B19D12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6" authorId="2209" shapeId="0" xr:uid="{7F64C47E-0247-4A01-A160-70B767395A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6" authorId="2210" shapeId="0" xr:uid="{FC0BDA24-4E97-48E7-851F-6572C7BD5D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6" authorId="2211" shapeId="0" xr:uid="{518A4DC6-2F49-4EE9-AF76-B8E327404D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6" authorId="2212" shapeId="0" xr:uid="{31B4C56A-D36A-45E1-8C12-35554A1CD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6" authorId="2213" shapeId="0" xr:uid="{7EFA3783-7F04-48D2-8904-4F46FBB34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6" authorId="2214" shapeId="0" xr:uid="{1B546CC8-23A2-4EC5-B517-116089AC48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6" authorId="2215" shapeId="0" xr:uid="{6321065B-4F46-47BB-9E38-64220CDF8E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6" authorId="2216" shapeId="0" xr:uid="{22B286EC-7033-41DE-94AE-829D112EF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6" authorId="2217" shapeId="0" xr:uid="{26882DC1-8A29-4B92-97B6-F7D78595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6" authorId="2218" shapeId="0" xr:uid="{852811C1-EE1C-481C-AEC4-4F2CBA4F30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6" authorId="2219" shapeId="0" xr:uid="{A461A7A3-AA48-4B1B-A417-1D19C86D0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6" authorId="2220" shapeId="0" xr:uid="{059045AA-E823-4FEB-88A1-1B1D5ABF3E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6" authorId="2221" shapeId="0" xr:uid="{30FC73ED-2081-4C07-84C4-5894993B2B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6" authorId="2222" shapeId="0" xr:uid="{67C3A12C-6161-4275-ADFA-7B0B6A235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6" authorId="2223" shapeId="0" xr:uid="{AC76C75B-421E-4606-9247-80A0003D02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6" authorId="2224" shapeId="0" xr:uid="{6FC521F4-07EB-472F-82C9-BE3ED31BB1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6" authorId="2225" shapeId="0" xr:uid="{48CCB7C5-DDF4-40F5-BC1B-8FE69002A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6" authorId="2226" shapeId="0" xr:uid="{2754E182-67BE-4419-B56A-4FBF3334F4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6" authorId="2227" shapeId="0" xr:uid="{91F12E9D-094E-44EE-BD6F-6A7937BC56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6" authorId="2228" shapeId="0" xr:uid="{FF31845A-8970-49A5-AAEE-08ED74E561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6" authorId="2229" shapeId="0" xr:uid="{FF3C29CD-1F21-480C-8C7B-51F28F0457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6" authorId="2230" shapeId="0" xr:uid="{824876DE-5F7F-4C88-B1DC-9A657B4AF5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6" authorId="2231" shapeId="0" xr:uid="{FFC1EECD-AEEB-4BAD-A3D0-ADE5F30FAB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6" authorId="2232" shapeId="0" xr:uid="{55E2FDF2-5797-4EB3-A0D9-8A07DFD71C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6" authorId="2233" shapeId="0" xr:uid="{54A638D7-6839-4A59-9052-F24C03A3C6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6" authorId="2234" shapeId="0" xr:uid="{175CB098-6301-47CC-B735-5CE5394E8F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6" authorId="2235" shapeId="0" xr:uid="{602E774C-9298-46E1-8DCA-B220696F8C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7" authorId="2236" shapeId="0" xr:uid="{37EA9C8A-D344-4AC8-AF67-3A92479A7D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7" authorId="2237" shapeId="0" xr:uid="{E92A7301-6501-45F1-89CF-F25916724C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7" authorId="2238" shapeId="0" xr:uid="{175FBBAE-40DF-4A94-98D1-4DA7F323F3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7" authorId="2239" shapeId="0" xr:uid="{16C87A4E-AB8F-4388-9F84-4BDD430DDD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7" authorId="2240" shapeId="0" xr:uid="{EC33346F-F58C-4A38-BD63-662AC86D81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7" authorId="2241" shapeId="0" xr:uid="{50BA2026-406C-4757-BC52-350579492D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7" authorId="2242" shapeId="0" xr:uid="{A5DA4BB7-2747-4A19-9329-600B6B6A3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7" authorId="2243" shapeId="0" xr:uid="{3716A2CE-C1CE-4A2B-871E-549245529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7" authorId="2244" shapeId="0" xr:uid="{6739EE6B-61B0-4B21-881E-91A31BE75B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7" authorId="2245" shapeId="0" xr:uid="{4025DAE5-5E60-4C36-86FB-730DB1065B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7" authorId="2246" shapeId="0" xr:uid="{AA82E281-BD4D-494B-87E0-6AB3E9F22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7" authorId="2247" shapeId="0" xr:uid="{566299AB-E139-4F7D-AEAA-98B1C74E1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7" authorId="2248" shapeId="0" xr:uid="{3FDBC382-3289-4310-89C7-8640716756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7" authorId="2249" shapeId="0" xr:uid="{4D8138AC-A25B-48F1-A925-5ECC3E55A2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7" authorId="2250" shapeId="0" xr:uid="{52E291DB-65E2-4519-AE46-2EAB7BC080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7" authorId="2251" shapeId="0" xr:uid="{7E3F2065-6941-4CA6-9D1D-24CF0F486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7" authorId="2252" shapeId="0" xr:uid="{F0D707C2-10F9-4164-A347-E42E515D2E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7" authorId="2253" shapeId="0" xr:uid="{C30CF64D-00B3-435F-9D14-5164EF0AD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7" authorId="2254" shapeId="0" xr:uid="{B31465A8-02BE-4F5A-8EBA-8B18E917FD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7" authorId="2255" shapeId="0" xr:uid="{B3B2FDC3-6F59-45B7-89C1-0FDA1DCFFF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7" authorId="2256" shapeId="0" xr:uid="{1E367128-97AE-4533-ABE9-6E01DA8FD8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7" authorId="2257" shapeId="0" xr:uid="{E350C2CC-447B-4853-B800-FA5D797E4A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7" authorId="2258" shapeId="0" xr:uid="{D25C97FA-D7D2-4DE6-A302-050CC06A1A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7" authorId="2259" shapeId="0" xr:uid="{488144B8-13DA-4451-9245-F2A71BB210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7" authorId="2260" shapeId="0" xr:uid="{C8414DC0-C998-486E-B4B8-BFE2A8658D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7" authorId="2261" shapeId="0" xr:uid="{1D08F4AB-A337-4EE0-B794-44F5A87466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7" authorId="2262" shapeId="0" xr:uid="{62DBE99B-48BF-46B0-9742-2DFEA4BA5B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7" authorId="2263" shapeId="0" xr:uid="{11F69588-38E6-4148-9D55-D7B6974F99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7" authorId="2264" shapeId="0" xr:uid="{FEFB0262-101D-472A-A5CC-D42CB35457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7" authorId="2265" shapeId="0" xr:uid="{F254883C-B428-441F-9E86-A0EC25B08E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7" authorId="2266" shapeId="0" xr:uid="{51F3B24D-0F72-4F97-8F8F-2F3F3A9C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7" authorId="2267" shapeId="0" xr:uid="{13031055-8E6F-48E8-9A48-10DCC3CF1B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7" authorId="2268" shapeId="0" xr:uid="{43A51A2B-4BF1-443C-88C9-329338416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7" authorId="2269" shapeId="0" xr:uid="{DF8D1B65-1070-4550-8C68-8C220B3B06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7" authorId="2270" shapeId="0" xr:uid="{5AD06799-D415-4105-AF9C-863EDF4AFC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8" authorId="2271" shapeId="0" xr:uid="{000F52E6-5CB6-40A6-B352-647BE51489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8" authorId="2272" shapeId="0" xr:uid="{962A6459-1A80-4C94-81AF-2EC1946F1E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8" authorId="2273" shapeId="0" xr:uid="{C1667216-4DAA-4EF3-8B71-D61BA7EC11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8" authorId="2274" shapeId="0" xr:uid="{C3809E71-EF8D-43EE-A32F-8113EB64FD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8" authorId="2275" shapeId="0" xr:uid="{B918D984-4AB8-4151-88E9-A2F74822AF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8" authorId="2276" shapeId="0" xr:uid="{78820F41-F2D9-48B2-9742-D4A4CE109E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8" authorId="2277" shapeId="0" xr:uid="{ED77DEF6-F651-4148-B842-06A8FB127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8" authorId="2278" shapeId="0" xr:uid="{89835411-830B-40A3-874E-BE3E54D4A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8" authorId="2279" shapeId="0" xr:uid="{87228CDF-B520-4A66-BA71-2F28DD184B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8" authorId="2280" shapeId="0" xr:uid="{45235AFE-829C-45D3-9EB5-722F7E884C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8" authorId="2281" shapeId="0" xr:uid="{7F1AD2E6-EABE-4547-B70B-9D568765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8" authorId="2282" shapeId="0" xr:uid="{7275C76E-BF11-46FE-AA8B-568CD57CC4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8" authorId="2283" shapeId="0" xr:uid="{0B9191DB-49A5-40B0-AA69-DC044A3581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8" authorId="2284" shapeId="0" xr:uid="{D378D54D-3C42-4E75-A9A5-481DDD6FC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8" authorId="2285" shapeId="0" xr:uid="{51EE69E2-E4B0-467D-AF9C-0AB34C8FC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8" authorId="2286" shapeId="0" xr:uid="{EE011DF8-397F-446E-8839-07372DAA06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8" authorId="2287" shapeId="0" xr:uid="{F599BBD5-F3B0-4CA7-B028-DBB94855B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8" authorId="2288" shapeId="0" xr:uid="{605656A3-211F-4B25-9808-39173EFB03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8" authorId="2289" shapeId="0" xr:uid="{69131091-5D16-4462-91E9-336191AB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8" authorId="2290" shapeId="0" xr:uid="{65BE44F0-192A-4233-BE9D-ACF3932E89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8" authorId="2291" shapeId="0" xr:uid="{B8CA43B8-B240-4D02-9B95-0EE092C66D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8" authorId="2292" shapeId="0" xr:uid="{CDBDCB6C-8394-4D91-A19C-5848712396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8" authorId="2293" shapeId="0" xr:uid="{A70F9589-9817-4C2D-A5B7-63745BE23B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8" authorId="2294" shapeId="0" xr:uid="{C92D5A97-0C03-45D4-AD9C-5386D1D918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8" authorId="2295" shapeId="0" xr:uid="{8AACED8B-79F8-416E-AED6-2E4831DBBF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8" authorId="2296" shapeId="0" xr:uid="{780BADF9-D24C-45F3-A1D8-27E1C5069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8" authorId="2297" shapeId="0" xr:uid="{61F0E3EB-D1B2-42A8-A453-800D10E046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8" authorId="2298" shapeId="0" xr:uid="{D8C598DF-DF00-4CD8-B027-F29D50BFE4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8" authorId="2299" shapeId="0" xr:uid="{2F258BA0-1B17-49EF-B6B5-7ADCBED8A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8" authorId="2300" shapeId="0" xr:uid="{96C47512-8B33-45D9-A947-43F400676F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8" authorId="2301" shapeId="0" xr:uid="{EE1C3909-45E9-4686-A637-C7815D515F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8" authorId="2302" shapeId="0" xr:uid="{543493A6-9C88-4FBD-9583-732012D4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8" authorId="2303" shapeId="0" xr:uid="{7CAF1C62-1429-4235-A865-3EE80DC7B2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8" authorId="2304" shapeId="0" xr:uid="{53E0D119-281B-48DB-8641-E99548AC3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8" authorId="2305" shapeId="0" xr:uid="{9C6C013B-7056-44D7-9BF6-60600EC6AB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9" authorId="2306" shapeId="0" xr:uid="{7F2AEA8D-5D2A-4839-8A08-AD00587482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9" authorId="2307" shapeId="0" xr:uid="{483A83E4-5601-45F1-865C-BC06C917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9" authorId="2308" shapeId="0" xr:uid="{36176397-41CF-4E1A-A0E6-A91BFA9260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9" authorId="2309" shapeId="0" xr:uid="{FAB92507-77FB-42C2-90DF-9800FD6FA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9" authorId="2310" shapeId="0" xr:uid="{C9400640-784E-41E6-AA91-CBB81F6BC4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9" authorId="2311" shapeId="0" xr:uid="{DF8EBC62-AB27-49A5-AD00-F0AD7CD702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9" authorId="2312" shapeId="0" xr:uid="{07F3E0F2-7FA2-484A-8B3F-56E15EE89D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9" authorId="2313" shapeId="0" xr:uid="{4C2994A2-B405-419D-8B47-65DC97B317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9" authorId="2314" shapeId="0" xr:uid="{FF602350-057A-45ED-90CF-8677A8D4A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9" authorId="2315" shapeId="0" xr:uid="{0E5D89B2-A580-4485-894E-4F1540807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9" authorId="2316" shapeId="0" xr:uid="{9A975291-33B2-4589-80AA-4A174394D4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9" authorId="2317" shapeId="0" xr:uid="{532C9FBF-C212-46F7-BF07-98A5F501D0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9" authorId="2318" shapeId="0" xr:uid="{CDDD0FEB-A16D-4AF2-A763-7E037E46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9" authorId="2319" shapeId="0" xr:uid="{2027CFA0-85F5-4C6A-AC16-0A61D717CC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9" authorId="2320" shapeId="0" xr:uid="{ADA69372-1C2D-4073-996D-29EB917D9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9" authorId="2321" shapeId="0" xr:uid="{19A4732D-5E5E-4395-B957-66BB29C7C3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9" authorId="2322" shapeId="0" xr:uid="{220C205B-95E7-4B45-8860-C32DC33129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9" authorId="2323" shapeId="0" xr:uid="{4B18AA41-B444-4938-A867-57F391D336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9" authorId="2324" shapeId="0" xr:uid="{45EC96AF-3525-4755-B443-8C7D037A14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9" authorId="2325" shapeId="0" xr:uid="{D527E090-592B-418C-96C1-F22E2D034C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9" authorId="2326" shapeId="0" xr:uid="{20E6D81B-EDA6-46BE-AA8C-05272B2698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9" authorId="2327" shapeId="0" xr:uid="{7844CE45-548E-423D-B4F9-4A763B53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9" authorId="2328" shapeId="0" xr:uid="{9237684A-B891-41F5-B46F-0EA2CAAA06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9" authorId="2329" shapeId="0" xr:uid="{8E2281EA-0C97-4250-A25B-7BF20BD220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9" authorId="2330" shapeId="0" xr:uid="{B94497F1-9A75-411E-8334-834B645213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9" authorId="2331" shapeId="0" xr:uid="{953A93E8-653E-48A2-81FC-E294E8DD2D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9" authorId="2332" shapeId="0" xr:uid="{7458B841-E3EA-46FE-95D3-27DC48CEF4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9" authorId="2333" shapeId="0" xr:uid="{049E4533-443C-4ED1-98D5-2892902FB7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9" authorId="2334" shapeId="0" xr:uid="{8A80D2B2-10BB-4D33-9977-0C9140C3EC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9" authorId="2335" shapeId="0" xr:uid="{EF19FE31-1EC9-4EA9-B714-BAD8C13F64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9" authorId="2336" shapeId="0" xr:uid="{47E01D13-7BD8-4E88-911A-25314D615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9" authorId="2337" shapeId="0" xr:uid="{B0D990E9-5B32-4F13-A529-F407E9ED18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9" authorId="2338" shapeId="0" xr:uid="{120E839A-8ECE-4554-A6B1-E36FB09329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9" authorId="2339" shapeId="0" xr:uid="{18A055DB-D294-4A48-BF3B-EE1EF5A1F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9" authorId="2340" shapeId="0" xr:uid="{9D289296-153E-4AC8-9A2E-3473D04162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200" authorId="2341" shapeId="0" xr:uid="{11D3496C-5D5F-4BCD-BA7E-548637C27D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200" authorId="2342" shapeId="0" xr:uid="{967DF03C-FE26-42FB-A75D-F9D7190927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200" authorId="2343" shapeId="0" xr:uid="{3858BC52-0EB8-4AEE-9D19-200EE9CD8F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200" authorId="2344" shapeId="0" xr:uid="{27186F54-5457-435E-A9C3-84B268EA32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200" authorId="2345" shapeId="0" xr:uid="{8F5E669C-3CD7-4E9F-A46F-1952573B27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0" authorId="2346" shapeId="0" xr:uid="{650C43FD-2BEF-4FEF-BFEA-0F77DCBDDD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0" authorId="2347" shapeId="0" xr:uid="{BEC4C278-31E3-4D56-A34A-2A6433F3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0" authorId="2348" shapeId="0" xr:uid="{D4A8792E-C237-48E9-B0EB-3FAF7E3B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0" authorId="2349" shapeId="0" xr:uid="{54F7A8BD-52DE-49E7-88D7-DC43FEBB1F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0" authorId="2350" shapeId="0" xr:uid="{88DD6A8E-78A2-4210-8974-50F39D6C46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0" authorId="2351" shapeId="0" xr:uid="{69FAB410-7014-4954-8CC2-132F9F30D1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0" authorId="2352" shapeId="0" xr:uid="{C879865A-ABA4-4D4C-9CAC-4E8F23873A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0" authorId="2353" shapeId="0" xr:uid="{45268E69-5982-4205-9945-9CED84C188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0" authorId="2354" shapeId="0" xr:uid="{72166393-AC3E-4900-9EB4-05AE972D6F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0" authorId="2355" shapeId="0" xr:uid="{ACE9D498-C88E-4254-AF33-EA00AD07F0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0" authorId="2356" shapeId="0" xr:uid="{C2AFAFE5-973C-4C1D-A25D-043A8ED3D1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0" authorId="2357" shapeId="0" xr:uid="{A8CEFB79-A7F0-419D-B3F6-EF35185C1E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0" authorId="2358" shapeId="0" xr:uid="{FB867FFD-0176-4DB8-B1C9-D7B8615DF9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0" authorId="2359" shapeId="0" xr:uid="{365ED58F-6511-47F9-95BA-660BD572DE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0" authorId="2360" shapeId="0" xr:uid="{339562F7-8B47-456E-AB64-6AF42A40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0" authorId="2361" shapeId="0" xr:uid="{29B6F9D5-0731-43F0-89F9-7D592C0C6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0" authorId="2362" shapeId="0" xr:uid="{BE27A9E3-3CE7-4FE3-A85A-A4136B002E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0" authorId="2363" shapeId="0" xr:uid="{C7BC7205-4A8E-4831-8523-0A0825C2C9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0" authorId="2364" shapeId="0" xr:uid="{4AD83470-52FE-4EBD-89F3-0D3B6F34C8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0" authorId="2365" shapeId="0" xr:uid="{D770366E-3EFB-4126-8537-31F805E4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0" authorId="2366" shapeId="0" xr:uid="{1F506365-3C9C-4AA7-B353-D78630498C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0" authorId="2367" shapeId="0" xr:uid="{A4C7D1CF-7EB9-4023-BC20-A624FD023B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0" authorId="2368" shapeId="0" xr:uid="{8B14DE13-4F90-4E9B-9CF9-0CC9AEBFE7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0" authorId="2369" shapeId="0" xr:uid="{46F55885-80AB-40B7-9F08-09263255CE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0" authorId="2370" shapeId="0" xr:uid="{6AC84CA2-F7F8-44A1-A184-DA5F22A20C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0" authorId="2371" shapeId="0" xr:uid="{1B6F6EB8-C901-4C15-9D61-2A7448B4DD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0" authorId="2372" shapeId="0" xr:uid="{9626241C-39F2-4A74-90D5-C1385330B5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0" authorId="2373" shapeId="0" xr:uid="{1513A08C-059D-412E-87F2-4BE5BED354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0" authorId="2374" shapeId="0" xr:uid="{1D78BA36-3091-428D-AD98-55437384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0" authorId="2375" shapeId="0" xr:uid="{459A55C0-B1F9-4DBB-A4E8-098E68202A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201" authorId="2376" shapeId="0" xr:uid="{F2AE2B3A-8D92-4B62-837F-84BE95BE61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201" authorId="2377" shapeId="0" xr:uid="{73FC03F1-7740-45C4-884C-A05DDFDED9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201" authorId="2378" shapeId="0" xr:uid="{21928236-4BEB-483C-A964-CE7B0C702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201" authorId="2379" shapeId="0" xr:uid="{4E805CF8-A8C7-46C1-9BF7-06B3590538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201" authorId="2380" shapeId="0" xr:uid="{DE8D356D-0665-42FA-9BFE-30DFF357AB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1" authorId="2381" shapeId="0" xr:uid="{C7FDED17-AF27-43BA-8E11-56E1C81B5C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1" authorId="2382" shapeId="0" xr:uid="{2F89E793-0FCD-4238-9BBF-3F875D3DA4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1" authorId="2383" shapeId="0" xr:uid="{C1875961-498F-4E03-8995-45237CC25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1" authorId="2384" shapeId="0" xr:uid="{072C3BB0-0AAC-4A18-8615-DD677AB1CF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1" authorId="2385" shapeId="0" xr:uid="{610C96BB-8054-4E8B-BC88-76CCD52F3E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1" authorId="2386" shapeId="0" xr:uid="{8ED8258D-2296-4E77-9DA4-1DD78C70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1" authorId="2387" shapeId="0" xr:uid="{70AE1F77-4613-4E1E-B051-3F9CF2A812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1" authorId="2388" shapeId="0" xr:uid="{D716E51C-B5BE-468B-886E-F6E07D831A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1" authorId="2389" shapeId="0" xr:uid="{00B7807D-9767-40F8-9FB5-ED151B6F21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1" authorId="2390" shapeId="0" xr:uid="{CDBC5032-371F-4BCD-970D-D41BE0EAB5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1" authorId="2391" shapeId="0" xr:uid="{B74AF3B2-CEAB-49E6-9C61-67A949176D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1" authorId="2392" shapeId="0" xr:uid="{3055B160-C9ED-4F5A-9643-3B49852ADF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1" authorId="2393" shapeId="0" xr:uid="{3F347F6A-2520-4B86-9126-1B4E9C04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1" authorId="2394" shapeId="0" xr:uid="{03372148-3583-4E4E-997B-D8C89FB3B7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1" authorId="2395" shapeId="0" xr:uid="{A8594C45-229B-4FA7-9202-E8DFD96201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1" authorId="2396" shapeId="0" xr:uid="{8663CAC2-0706-4187-8855-F09E9AF263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1" authorId="2397" shapeId="0" xr:uid="{8A025546-F776-404F-899E-46A015C7BE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1" authorId="2398" shapeId="0" xr:uid="{C9A5A504-04C0-4452-A9F7-14F9A1DDF7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1" authorId="2399" shapeId="0" xr:uid="{7BD596FA-7AD8-42A6-BC34-47F2FB07F5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1" authorId="2400" shapeId="0" xr:uid="{A9FACDD6-02C8-47D6-947C-BC933D6C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1" authorId="2401" shapeId="0" xr:uid="{DB54BB9B-C55B-4941-BC90-2F92510AEA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1" authorId="2402" shapeId="0" xr:uid="{7D20796D-2665-48A8-9532-E8B15648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1" authorId="2403" shapeId="0" xr:uid="{5904553E-9090-405A-A183-187D445F7E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1" authorId="2404" shapeId="0" xr:uid="{371D118E-D573-4C72-94A4-E7FA481B8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1" authorId="2405" shapeId="0" xr:uid="{F625D644-DC42-4A91-ACAD-3C879002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1" authorId="2406" shapeId="0" xr:uid="{0D6460D3-071F-4002-B8D2-EC88AA8F09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1" authorId="2407" shapeId="0" xr:uid="{DBD06691-45B1-468A-BA79-AF651E99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1" authorId="2408" shapeId="0" xr:uid="{632A026D-03A7-43A0-98EF-6325186BE9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1" authorId="2409" shapeId="0" xr:uid="{826F8ED0-6BF3-4420-9A22-D8DE6A7C66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1" authorId="2410" shapeId="0" xr:uid="{5AC5D1E9-3189-43B2-8A57-FDCD4532E7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2" authorId="2411" shapeId="0" xr:uid="{F443B7AC-22E9-4113-AD38-6D195051D7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02" authorId="2412" shapeId="0" xr:uid="{88D90328-840E-4E6D-A52C-C6EC5D09C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2" authorId="2413" shapeId="0" xr:uid="{CEE45C7B-0FE5-4627-BB21-2370BC95C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2" authorId="2414" shapeId="0" xr:uid="{4BE2D722-17D2-4F04-8730-8610196EAF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2" authorId="2415" shapeId="0" xr:uid="{DB9FE1DD-3D21-4DCE-BFDE-9C016DC1D4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2" authorId="2416" shapeId="0" xr:uid="{4CBBC2FA-F814-4056-99BD-486DBAF55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2" authorId="2417" shapeId="0" xr:uid="{D7635FE4-7F2C-4672-86BE-4772BBE71FA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2" authorId="2418" shapeId="0" xr:uid="{EDC4AAF3-4D25-4256-B3FD-445D947259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2" authorId="2419" shapeId="0" xr:uid="{8C327754-4FF1-4C0C-9B32-FCCED790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2" authorId="2420" shapeId="0" xr:uid="{831EB04B-013F-4AA9-8B80-8515DCEEC2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2" authorId="2421" shapeId="0" xr:uid="{333C0D9F-BCBE-4CB6-A5FE-BE2782A035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2" authorId="2422" shapeId="0" xr:uid="{1697CA5F-06DF-45C2-BD94-1DB16F5C61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2" authorId="2423" shapeId="0" xr:uid="{12DC9AA4-1FE0-4A7F-8457-562D517387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2" authorId="2424" shapeId="0" xr:uid="{DDFB49E9-4F6F-4144-986B-F5269D34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2" authorId="2425" shapeId="0" xr:uid="{4A28C5F2-CB0B-442B-988F-1835B7E5EC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2" authorId="2426" shapeId="0" xr:uid="{6BCE1550-BACE-4F01-9AD9-05819F943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2" authorId="2427" shapeId="0" xr:uid="{1C00B58C-92AF-4F34-909D-D9ABEAFCE9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2" authorId="2428" shapeId="0" xr:uid="{347874A1-9791-4F52-A3A8-92C55A3E45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2" authorId="2429" shapeId="0" xr:uid="{14815CF3-E4FA-426B-8B78-1830D7EF2A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2" authorId="2430" shapeId="0" xr:uid="{E7D398BD-0234-458E-ADC1-453BD698A7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2" authorId="2431" shapeId="0" xr:uid="{F1376645-26AA-4A99-8B1B-18CC1836BB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2" authorId="2432" shapeId="0" xr:uid="{8CFEF8BB-A68D-4818-B3E5-07244D41EB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2" authorId="2433" shapeId="0" xr:uid="{32586613-300C-4DD0-867B-75B5DFF17E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2" authorId="2434" shapeId="0" xr:uid="{59840A1C-65F5-4079-BFDC-0412FB11B4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2" authorId="2435" shapeId="0" xr:uid="{783CEA0A-6AB3-47C0-A2C1-641FF4F3A1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2" authorId="2436" shapeId="0" xr:uid="{67F5296E-4A81-4BFA-9093-1A5649F0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2" authorId="2437" shapeId="0" xr:uid="{3F79F2DE-A86B-4908-ACA3-C4C69CA34B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2" authorId="2438" shapeId="0" xr:uid="{1771458E-D5AE-43A5-AB88-CC0FDBD276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2" authorId="2439" shapeId="0" xr:uid="{5BF5D87F-44E1-4A02-A09C-307F1F6BD0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2" authorId="2440" shapeId="0" xr:uid="{6BD391C8-26B5-4CB7-A1C3-E579095518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2" authorId="2441" shapeId="0" xr:uid="{A08AD26F-998F-468F-A2FB-466A20750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2" authorId="2442" shapeId="0" xr:uid="{31088524-5B1A-45FE-8BA8-BEE39DBBB1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2" authorId="2443" shapeId="0" xr:uid="{EC860416-4454-40EB-BCD3-EB9A48DB1C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2" authorId="2444" shapeId="0" xr:uid="{553AA8DE-5584-40FD-BDB6-65D9D8C7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2" authorId="2445" shapeId="0" xr:uid="{6741BC34-2532-4D14-88DF-A4E48C0E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2" authorId="2446" shapeId="0" xr:uid="{7BDE61DE-27A5-473A-8458-A0B365B022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2" authorId="2447" shapeId="0" xr:uid="{19430DCD-E908-42FB-9908-EDCCC5FF2B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2" authorId="2448" shapeId="0" xr:uid="{2F597921-51CB-41D2-B340-CD28D5AB9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2" authorId="2449" shapeId="0" xr:uid="{BF4ECE17-6BF0-48EC-9DF0-41D92C5A42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2" authorId="2450" shapeId="0" xr:uid="{0F6BD030-EB20-4F20-8A47-EDE5A91587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2" authorId="2451" shapeId="0" xr:uid="{F96A9AF5-CC79-43B4-8607-A38AB14E84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2" authorId="2452" shapeId="0" xr:uid="{23D0518C-74FE-434B-9743-C891917D4D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2" authorId="2453" shapeId="0" xr:uid="{9949FE53-0F19-451D-9E44-FC0BE796DE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2" authorId="2454" shapeId="0" xr:uid="{7247B684-3254-4CEA-8131-00744DC93C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2" authorId="2455" shapeId="0" xr:uid="{42029C79-B348-4ABF-891B-0CCF4E1503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2" authorId="2456" shapeId="0" xr:uid="{C33C07B0-CB73-4F0F-B414-552D49A9AB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3" authorId="2457" shapeId="0" xr:uid="{5B95480D-FC72-4EB4-BD76-7AD7BBF7F3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03" authorId="2458" shapeId="0" xr:uid="{E61B0F97-421B-46A8-9482-62283015A3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3" authorId="2459" shapeId="0" xr:uid="{4BE581D7-9338-4B65-8156-DA885BA9B6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3" authorId="2460" shapeId="0" xr:uid="{D3AC3660-E8CE-4E29-AA32-E3813E4890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3" authorId="2461" shapeId="0" xr:uid="{E3FB3C95-2154-4BCA-BB52-5280CAEDC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3" authorId="2462" shapeId="0" xr:uid="{ADD4DC51-C040-4A20-96F2-0491DA4A13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3" authorId="2463" shapeId="0" xr:uid="{DD836BDB-B68A-4421-B1FC-FCCED3210C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3" authorId="2464" shapeId="0" xr:uid="{811B7787-D98F-4EB4-BEB1-8F0FD76B7F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3" authorId="2465" shapeId="0" xr:uid="{A888BEA4-5938-4E87-B907-91C5D46889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3" authorId="2466" shapeId="0" xr:uid="{F19C94B1-D65B-4412-BFDD-F402EE0F44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3" authorId="2467" shapeId="0" xr:uid="{EC2DA8CC-0A51-4445-B6FB-AD6CBE88F6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3" authorId="2468" shapeId="0" xr:uid="{8244A065-CC40-44D8-A7D7-C38EF2F19F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3" authorId="2469" shapeId="0" xr:uid="{9166C34C-1802-4931-880D-E5265A0426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3" authorId="2470" shapeId="0" xr:uid="{D08ED4EA-1E40-4ED3-8397-2631C327F2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3" authorId="2471" shapeId="0" xr:uid="{10A03A41-5328-43BC-B499-957C7A16C1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3" authorId="2472" shapeId="0" xr:uid="{3A2538F2-9FCD-4D6B-A88E-03806FE717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3" authorId="2473" shapeId="0" xr:uid="{5E5840DF-41C4-4656-B8C0-DD71F09F8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3" authorId="2474" shapeId="0" xr:uid="{F5C0B4E0-AF88-4BA1-8D76-663BE11250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3" authorId="2475" shapeId="0" xr:uid="{59E1FA4D-AD64-47C3-8C4B-DF864DCDCE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3" authorId="2476" shapeId="0" xr:uid="{131AFF2F-0461-46D4-B0A3-030E023BD2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3" authorId="2477" shapeId="0" xr:uid="{EBF2F787-3E68-4143-8E3B-73DB1B43B8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3" authorId="2478" shapeId="0" xr:uid="{E9E27F91-CF92-4FE4-8A47-479C175518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3" authorId="2479" shapeId="0" xr:uid="{4B4FD292-9A0C-4A0A-91A7-C649CECCE1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3" authorId="2480" shapeId="0" xr:uid="{3EDCC0CF-93F7-4B8A-8C13-799C5A3110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3" authorId="2481" shapeId="0" xr:uid="{788DFBB2-657A-4DB6-AE14-F919965A40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3" authorId="2482" shapeId="0" xr:uid="{9122318A-3B64-44CF-BA6A-10B6D00723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3" authorId="2483" shapeId="0" xr:uid="{6D993F39-ADFD-44D2-A023-B5A3280DED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3" authorId="2484" shapeId="0" xr:uid="{57E1856D-11D8-4B7F-BA41-BBE4BBD124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3" authorId="2485" shapeId="0" xr:uid="{64842401-D4D2-4DEA-A43E-4BB46CE39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3" authorId="2486" shapeId="0" xr:uid="{D399FFF1-FF80-4F95-9B1E-A28D0A99D3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3" authorId="2487" shapeId="0" xr:uid="{4F19BB9A-DBF9-4CE2-A822-0DD849E9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3" authorId="2488" shapeId="0" xr:uid="{B6761D1C-7122-4240-8C47-6150DE6519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3" authorId="2489" shapeId="0" xr:uid="{82A0B5C4-D200-43AE-BB64-1CB9500774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3" authorId="2490" shapeId="0" xr:uid="{97361049-2E19-412C-AD78-D6254F2BD0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3" authorId="2491" shapeId="0" xr:uid="{AEEFD733-A9E5-4975-9766-D1590984EE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3" authorId="2492" shapeId="0" xr:uid="{05D999BC-C66E-4D2A-8F7A-94788E09F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3" authorId="2493" shapeId="0" xr:uid="{3E548D34-D94C-4BF7-8229-1F222E7105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3" authorId="2494" shapeId="0" xr:uid="{EF16E2DB-3A0D-4E97-8D4A-8CE2CD2176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3" authorId="2495" shapeId="0" xr:uid="{2319960C-0070-4CF9-8177-646A9D5BE8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3" authorId="2496" shapeId="0" xr:uid="{EE5ABC1D-ED51-4358-8D50-4C67808B4D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3" authorId="2497" shapeId="0" xr:uid="{B8DED17D-285A-439F-9CFF-F81AC19175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3" authorId="2498" shapeId="0" xr:uid="{25556D20-7E0E-4A0B-A7FC-F8BD2332D0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3" authorId="2499" shapeId="0" xr:uid="{24ECDD93-DA80-45E5-8DC4-10A6AA0EBC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3" authorId="2500" shapeId="0" xr:uid="{66853D75-E66E-4B28-AD7E-78C2B1E561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3" authorId="2501" shapeId="0" xr:uid="{27D815CF-DB3A-4540-95BB-140ABD7EFC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3" authorId="2502" shapeId="0" xr:uid="{1FA4E4E5-86D7-43FA-983C-B051A87BC6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4" authorId="2503" shapeId="0" xr:uid="{56C5F17B-1A33-4884-BC1E-AD1D037E62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4" authorId="2504" shapeId="0" xr:uid="{F5674B70-D41F-4F12-9049-38824FA167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4" authorId="2505" shapeId="0" xr:uid="{DF48D073-19F2-4D85-9AA5-F7F80D73E6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4" authorId="2506" shapeId="0" xr:uid="{5C83065A-D0EC-4E3F-9023-E64EC5E895B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4" authorId="2507" shapeId="0" xr:uid="{3C6DC662-8E7F-4D4F-8736-754840A441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4" authorId="2508" shapeId="0" xr:uid="{B83AEA26-333C-45B7-9EE0-3F0B936250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4" authorId="2509" shapeId="0" xr:uid="{A29461D5-4E02-4524-9481-16FA3068A8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4" authorId="2510" shapeId="0" xr:uid="{079E1F05-9704-4819-86C0-BC25DE0271C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4" authorId="2511" shapeId="0" xr:uid="{537EA187-41B5-4FF4-B22E-0363CD07AE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4" authorId="2512" shapeId="0" xr:uid="{0D022CFE-7390-48A6-9830-977BB72AC7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4" authorId="2513" shapeId="0" xr:uid="{D57DD492-61A5-441B-A3F6-7309A55336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4" authorId="2514" shapeId="0" xr:uid="{C9CA2EC8-A455-44AD-8AB2-6984DAAA1E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4" authorId="2515" shapeId="0" xr:uid="{7B8DB71F-90CE-448D-83A6-9699785F6A5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4" authorId="2516" shapeId="0" xr:uid="{88E103D5-6C6F-472A-8D55-5BCFEBFA1E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4" authorId="2517" shapeId="0" xr:uid="{355CEAAD-5F46-4C22-B3D5-6ACF4BA643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4" authorId="2518" shapeId="0" xr:uid="{B695AD45-FCDB-4907-84DE-13F537B1D9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4" authorId="2519" shapeId="0" xr:uid="{CB21E1A0-9B5D-4435-A7A7-6C982C44B4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4" authorId="2520" shapeId="0" xr:uid="{9BB98CE5-BC02-4779-8B62-21D54FD326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4" authorId="2521" shapeId="0" xr:uid="{C5ADBE3C-C2DB-4511-96B5-24641AB82C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4" authorId="2522" shapeId="0" xr:uid="{09062E7A-179F-45A2-9FEA-0DA0775276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4" authorId="2523" shapeId="0" xr:uid="{FD0B93E8-C0D1-43BB-B206-CC30DC945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4" authorId="2524" shapeId="0" xr:uid="{0ACA067A-572A-4960-BFE2-E6B9C650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4" authorId="2525" shapeId="0" xr:uid="{748C298B-B0F3-4827-BB9A-B6686D0F9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4" authorId="2526" shapeId="0" xr:uid="{001894D0-D008-46D8-9A2B-C7AE44D5FB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4" authorId="2527" shapeId="0" xr:uid="{6C35CDF4-2E19-4A93-BF38-DD163FC868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4" authorId="2528" shapeId="0" xr:uid="{6888E321-F27A-471C-B600-0DDEDCE129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4" authorId="2529" shapeId="0" xr:uid="{DBF0A7F2-7BDE-4411-9863-0FB24E2BEB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4" authorId="2530" shapeId="0" xr:uid="{20F32CB6-8B38-466A-8776-000F5C69AB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4" authorId="2531" shapeId="0" xr:uid="{4C795462-66D6-4931-95DB-A9ED89FC63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4" authorId="2532" shapeId="0" xr:uid="{10F6C30C-79BE-4707-9116-E73B07895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4" authorId="2533" shapeId="0" xr:uid="{B3FCDA5D-B418-4428-A25F-E66AF07C2B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4" authorId="2534" shapeId="0" xr:uid="{916708AE-6F56-4457-8CAB-3632D41A1F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4" authorId="2535" shapeId="0" xr:uid="{A853E446-C913-484A-9930-689A8F2BE3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4" authorId="2536" shapeId="0" xr:uid="{27BEB39B-CD42-4E31-80D9-FBF54BD571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4" authorId="2537" shapeId="0" xr:uid="{8C2FFF56-6339-4CD6-B36E-8B7B786FEB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4" authorId="2538" shapeId="0" xr:uid="{2DF49976-4456-4AC1-867F-7488BCB7F2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4" authorId="2539" shapeId="0" xr:uid="{2AA6D6DB-64E3-4828-A8C3-0AAC86CA82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4" authorId="2540" shapeId="0" xr:uid="{AD03086A-8B5A-4D45-8492-21132F2B42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4" authorId="2541" shapeId="0" xr:uid="{7437F22E-62BF-48FF-AB9C-78D39B1F6F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4" authorId="2542" shapeId="0" xr:uid="{6A86CDCD-B01A-4524-836B-6ED004E8CB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4" authorId="2543" shapeId="0" xr:uid="{D0B5681C-077F-4EE2-B0A5-FD9E576488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4" authorId="2544" shapeId="0" xr:uid="{A802D638-C6D4-43F9-BE2B-0CC0D3A279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4" authorId="2545" shapeId="0" xr:uid="{4CB2F97C-FAB7-4687-89C2-398E67AE30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4" authorId="2546" shapeId="0" xr:uid="{077680B6-1148-4B6F-B99D-F89097739D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4" authorId="2547" shapeId="0" xr:uid="{F5BC8C4C-231A-4D54-B94B-13E0F2AC9B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4" authorId="2548" shapeId="0" xr:uid="{2743F7C2-6896-40E7-99B2-FAEC86936C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5" authorId="2549" shapeId="0" xr:uid="{AE7D6422-3F57-42D4-AB81-58C9BA1010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5" authorId="2550" shapeId="0" xr:uid="{15D0E2F1-FB86-4B76-91B3-28245F5C4E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5" authorId="2551" shapeId="0" xr:uid="{D7283C0D-6794-47D2-B6EE-395A3FDFD6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5" authorId="2552" shapeId="0" xr:uid="{9DE1FF14-AEF3-4165-82E0-B150313979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5" authorId="2553" shapeId="0" xr:uid="{D45DC28D-60F3-47E1-BB7C-801D92E0BB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5" authorId="2554" shapeId="0" xr:uid="{5CD2C124-7BC2-454C-970F-4D967F635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5" authorId="2555" shapeId="0" xr:uid="{BABDE8FB-4244-4B43-A38F-B8C2E28960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5" authorId="2556" shapeId="0" xr:uid="{B7FF7652-9273-484F-A83A-AD7D56C4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5" authorId="2557" shapeId="0" xr:uid="{F6AB9E83-08D5-47DC-8D6D-4B5871F62F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5" authorId="2558" shapeId="0" xr:uid="{2CACA152-3D6A-4450-B8C2-FDB5E2CD25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5" authorId="2559" shapeId="0" xr:uid="{1EA6CBEC-D43E-4FF9-B865-C6978619ED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5" authorId="2560" shapeId="0" xr:uid="{772F4539-E897-46E6-BB5E-91EBA59052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5" authorId="2561" shapeId="0" xr:uid="{F6B01655-11F1-4B80-B7C8-47745214D1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5" authorId="2562" shapeId="0" xr:uid="{ABC77FE8-30EB-4FA1-A5CC-6042D305D8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5" authorId="2563" shapeId="0" xr:uid="{A2C7EECA-D511-4B5C-B215-DB8D05C058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5" authorId="2564" shapeId="0" xr:uid="{73F7DF6E-B5A3-4E1D-9077-6AE11CFDDD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5" authorId="2565" shapeId="0" xr:uid="{64E5B8B8-A97C-4E27-95DC-F9B0131C70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5" authorId="2566" shapeId="0" xr:uid="{45186D61-C9DD-495D-86F8-F73FD3FA5D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5" authorId="2567" shapeId="0" xr:uid="{7D4F85DA-4BF5-4D54-A821-2A65405794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5" authorId="2568" shapeId="0" xr:uid="{9DE8DE7E-7FA2-403C-B367-0D5CDBD721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5" authorId="2569" shapeId="0" xr:uid="{0621D4C7-C170-4056-A555-BE68814B7A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5" authorId="2570" shapeId="0" xr:uid="{B2944770-B486-449A-B48E-F139595726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5" authorId="2571" shapeId="0" xr:uid="{31E837CE-7605-458E-AE58-3056380A2A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5" authorId="2572" shapeId="0" xr:uid="{80053C2F-478D-47A2-9B8F-BD5376DEE0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5" authorId="2573" shapeId="0" xr:uid="{5D01212E-9C83-4F58-A5D4-B8D8DFA7F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5" authorId="2574" shapeId="0" xr:uid="{EABFFFB6-26DD-4E4E-9D6C-61F6DA15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5" authorId="2575" shapeId="0" xr:uid="{1864E7B5-47AF-461E-AA7E-22A9DCAA04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5" authorId="2576" shapeId="0" xr:uid="{47F5EEC2-DB5A-47DA-BF58-CB421D43B2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5" authorId="2577" shapeId="0" xr:uid="{0CA8C733-2C59-40BC-ADDF-66DB477AA0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5" authorId="2578" shapeId="0" xr:uid="{FB8790DC-2260-4089-8A4B-8F6643C02F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5" authorId="2579" shapeId="0" xr:uid="{B723FC2B-763B-4853-9D7A-2A4D3B8A0D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5" authorId="2580" shapeId="0" xr:uid="{78B0D8D3-804C-4B5F-B2C3-DDCA0E73C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5" authorId="2581" shapeId="0" xr:uid="{1FD2894A-5D6A-4B24-BFD8-F22668E63E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5" authorId="2582" shapeId="0" xr:uid="{5B272982-99D1-4312-8973-A380C9D771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5" authorId="2583" shapeId="0" xr:uid="{4F9AF585-FFBE-4189-BADF-490427996A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5" authorId="2584" shapeId="0" xr:uid="{1386B7A8-F329-4391-8DBB-8DE4B0A0C8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5" authorId="2585" shapeId="0" xr:uid="{2A4E2326-0090-4C7B-B1A6-651567CDB7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5" authorId="2586" shapeId="0" xr:uid="{6C721AD4-83AA-4383-ACF9-3F6BB5D94D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5" authorId="2587" shapeId="0" xr:uid="{FA8FC76A-6301-4D17-AADF-7FB289D88D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5" authorId="2588" shapeId="0" xr:uid="{2052CBA7-BFC5-4C98-9CBE-0A1E4A371F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5" authorId="2589" shapeId="0" xr:uid="{E5ABFC20-6823-4B98-933E-1CB39AD838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5" authorId="2590" shapeId="0" xr:uid="{CDA54767-C8AB-4E03-8314-5793F3DBA5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5" authorId="2591" shapeId="0" xr:uid="{89DF47E0-3C38-4B34-B488-315BD838CA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5" authorId="2592" shapeId="0" xr:uid="{FBE1A528-3A5B-47B7-A598-51773E4348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5" authorId="2593" shapeId="0" xr:uid="{6045891A-ADF4-46CA-8BD1-E4DBC18A25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5" authorId="2594" shapeId="0" xr:uid="{938B8996-9D24-4010-9880-30333FD43C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6" authorId="2595" shapeId="0" xr:uid="{2BED59D2-87A3-4D51-8246-74F52DE5C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Y206" authorId="2596" shapeId="0" xr:uid="{FB8A478C-1BAD-445C-B8D7-A49CB74ED1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6" authorId="2597" shapeId="0" xr:uid="{9F196607-88DA-440F-920C-1905EE4476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6" authorId="2598" shapeId="0" xr:uid="{C69C436A-B563-4282-AB32-71A1F96E3E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6" authorId="2599" shapeId="0" xr:uid="{22A463FE-0905-4478-847A-C7EBB95860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6" authorId="2600" shapeId="0" xr:uid="{35A61461-489E-404B-845E-1348E50E5E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6" authorId="2601" shapeId="0" xr:uid="{54F2C8E5-2601-47C2-8FBD-0CA6B04644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6" authorId="2602" shapeId="0" xr:uid="{6AE51674-C1EC-46E3-A89E-88214AEA24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6" authorId="2603" shapeId="0" xr:uid="{B5380528-8551-4C22-BBA7-4D0AC3D28B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6" authorId="2604" shapeId="0" xr:uid="{A11E5CDC-C20A-4E81-8ABD-9A44D48DE7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6" authorId="2605" shapeId="0" xr:uid="{6D46C58F-15F6-4C3B-A317-C54336DF17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6" authorId="2606" shapeId="0" xr:uid="{305625F6-AC0A-4E71-8FB0-CB67ACDD83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6" authorId="2607" shapeId="0" xr:uid="{2876C38D-A2D4-455B-A77A-8D8BCE838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6" authorId="2608" shapeId="0" xr:uid="{6181BE73-4F17-4D94-BD7F-B6769619DC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6" authorId="2609" shapeId="0" xr:uid="{2D35737E-90ED-49F3-B85C-059F42556C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6" authorId="2610" shapeId="0" xr:uid="{5727151B-D83C-4935-8579-F168E2EAF8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6" authorId="2611" shapeId="0" xr:uid="{E444D0B3-D1D3-4F06-B2B2-FC5621042D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6" authorId="2612" shapeId="0" xr:uid="{FCBDD5E2-EFF1-4745-89AA-9FBB338799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6" authorId="2613" shapeId="0" xr:uid="{82DA14E5-91C1-4A5E-82B9-6376851F2C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6" authorId="2614" shapeId="0" xr:uid="{D933C0B0-45A0-4B99-A03A-C77D86F197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6" authorId="2615" shapeId="0" xr:uid="{292E71E0-4DF6-4682-AE6B-610695EEBB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6" authorId="2616" shapeId="0" xr:uid="{CF1A3BCF-7398-4316-BD8C-C512503292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6" authorId="2617" shapeId="0" xr:uid="{47E09159-BE50-4DE6-8BAB-673CC8EB42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6" authorId="2618" shapeId="0" xr:uid="{6F0FF1BF-04E8-41B0-90D3-EFB414E9B1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6" authorId="2619" shapeId="0" xr:uid="{BD1F4447-E7C8-4C16-9153-08C43BAE8B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6" authorId="2620" shapeId="0" xr:uid="{9A931B98-FE43-475C-BC1D-AFE34B3880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6" authorId="2621" shapeId="0" xr:uid="{F457FDE8-ADC3-47F8-AD3F-7394486329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6" authorId="2622" shapeId="0" xr:uid="{89C261B6-BF61-43AC-8507-8A2F7868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6" authorId="2623" shapeId="0" xr:uid="{85671B34-F965-4D16-8941-5E83D39DD8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6" authorId="2624" shapeId="0" xr:uid="{27B6DEF1-8B11-4DD2-8FDB-E8CB388624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6" authorId="2625" shapeId="0" xr:uid="{B136F78D-E84F-48C5-A0EF-14A4A1EBAB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6" authorId="2626" shapeId="0" xr:uid="{AAAFA09B-838D-4D95-A476-9BEFCB9D22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6" authorId="2627" shapeId="0" xr:uid="{172B7E37-CB8E-469F-A815-0838666412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6" authorId="2628" shapeId="0" xr:uid="{D6F43A7E-0659-4679-A6A3-4C5B1AD678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6" authorId="2629" shapeId="0" xr:uid="{15038E7F-0D99-488D-9A1C-4CF9CC25C8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6" authorId="2630" shapeId="0" xr:uid="{24F80D34-FC61-497B-BB9B-C8DD92145B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6" authorId="2631" shapeId="0" xr:uid="{4D8A2C9B-26BD-467E-A32C-49F4BF8D6A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6" authorId="2632" shapeId="0" xr:uid="{819431D0-18E1-4E41-8E1C-8D268AB9F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6" authorId="2633" shapeId="0" xr:uid="{E666F6F1-ECDE-49CB-A6BE-47767F7F7F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6" authorId="2634" shapeId="0" xr:uid="{80273C9A-59A9-46DA-A166-B8A352F273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6" authorId="2635" shapeId="0" xr:uid="{F16A1D9A-C2B6-44D5-B6D5-DD268FE495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6" authorId="2636" shapeId="0" xr:uid="{0601CB7C-9A78-4286-B4B0-90DF5B2A45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6" authorId="2637" shapeId="0" xr:uid="{99E6D192-18C2-42B9-8A25-A96F2BFB9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6" authorId="2638" shapeId="0" xr:uid="{A861850E-028D-48D0-892E-49EA26FC6D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6" authorId="2639" shapeId="0" xr:uid="{943DB9EF-7F81-4F8A-A95C-33CDB76FC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6" authorId="2640" shapeId="0" xr:uid="{2C67AC50-A7DE-4DCA-B338-371161D3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7" authorId="2641" shapeId="0" xr:uid="{8B8F59DF-BD7A-4469-A845-12860362BE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Y207" authorId="2642" shapeId="0" xr:uid="{30C4F02A-D116-44B1-BA6B-7AC4FB3265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7" authorId="2643" shapeId="0" xr:uid="{2953F327-5C33-4BF5-8701-A70D5F1377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7" authorId="2644" shapeId="0" xr:uid="{B60EB329-D565-4E7E-8E73-7BF9E7F0DF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7" authorId="2645" shapeId="0" xr:uid="{1C7CAA6C-F204-4D24-8DBE-2CCE1FA360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7" authorId="2646" shapeId="0" xr:uid="{E383B642-4624-4814-8E51-0E5F3D48D2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7" authorId="2647" shapeId="0" xr:uid="{F4DCA2DE-60A0-438E-AC99-276D0FCA79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7" authorId="2648" shapeId="0" xr:uid="{29C6CAFB-822B-469E-B2D9-3D99CB7830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7" authorId="2649" shapeId="0" xr:uid="{C30FE382-AA65-468A-A4C1-3ABA0586AA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7" authorId="2650" shapeId="0" xr:uid="{89B80E55-6785-48C0-8F5E-5948F66677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7" authorId="2651" shapeId="0" xr:uid="{A9620937-719C-48C7-88C1-88AF7D98E5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7" authorId="2652" shapeId="0" xr:uid="{25C89A06-61DE-4AD8-AD4C-62BB13246A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7" authorId="2653" shapeId="0" xr:uid="{183B97BE-5987-4BD6-8454-A582B348D3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7" authorId="2654" shapeId="0" xr:uid="{0A7B71AE-DB7F-4AED-BEF7-CE7A256D73E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7" authorId="2655" shapeId="0" xr:uid="{1240AAA1-EEA6-4F8A-9D53-76FB96CA87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7" authorId="2656" shapeId="0" xr:uid="{561FBD39-66F7-43B6-8F82-9F15DDA52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7" authorId="2657" shapeId="0" xr:uid="{AE9DF711-B0D3-4028-AC90-6DFC82CE22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7" authorId="2658" shapeId="0" xr:uid="{253C83B5-C1DF-4BFD-85B7-642764AA44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7" authorId="2659" shapeId="0" xr:uid="{1CAC0B51-7DC2-4603-B236-784C8F5553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7" authorId="2660" shapeId="0" xr:uid="{837DB9A8-7E26-4308-A774-1349F773A0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7" authorId="2661" shapeId="0" xr:uid="{FD06C536-EAEF-45EE-B8C1-EEC39A44B3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7" authorId="2662" shapeId="0" xr:uid="{4D9D2A45-E8B6-41D1-BD74-7865DF5859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7" authorId="2663" shapeId="0" xr:uid="{52B57787-7742-4F07-B90A-C1F337031D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7" authorId="2664" shapeId="0" xr:uid="{36A7A7AE-A243-4D52-A98C-806625A135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7" authorId="2665" shapeId="0" xr:uid="{0638E3F0-5040-4618-A41B-EEFBF20A8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7" authorId="2666" shapeId="0" xr:uid="{E74F812B-BA96-4668-8A5C-08D687D800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7" authorId="2667" shapeId="0" xr:uid="{F9AF34AD-1CF1-415B-BD8A-D7EB3C19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7" authorId="2668" shapeId="0" xr:uid="{C75C38F1-4001-49D6-90F8-505B7284BF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7" authorId="2669" shapeId="0" xr:uid="{D5FFCB19-A21C-44D9-A253-8F7E7520E2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7" authorId="2670" shapeId="0" xr:uid="{6750431A-5F2F-4EA5-A1E1-0B856C3B8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7" authorId="2671" shapeId="0" xr:uid="{084CD0EE-77FA-4F82-88BD-2E2D5EB393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7" authorId="2672" shapeId="0" xr:uid="{782A9806-58AB-429C-9728-55F4DD8EA5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7" authorId="2673" shapeId="0" xr:uid="{C869EB3D-6440-48AA-B650-8274A649A9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7" authorId="2674" shapeId="0" xr:uid="{318B93B3-C7F6-48A6-B17E-CF94BEF10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7" authorId="2675" shapeId="0" xr:uid="{5B605D9D-A4A8-4865-97A1-65E8DE3EC1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7" authorId="2676" shapeId="0" xr:uid="{25BD8581-1860-4D03-8D5B-4707EC9389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7" authorId="2677" shapeId="0" xr:uid="{7D3EB2E9-17E3-47E9-9D1F-942CD0FF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7" authorId="2678" shapeId="0" xr:uid="{F2BB1C24-D05D-480B-B775-1800E87E17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7" authorId="2679" shapeId="0" xr:uid="{EF947636-0545-47BA-9759-89880EA44F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7" authorId="2680" shapeId="0" xr:uid="{8290987F-E2C9-487C-9DFD-C92CBF0145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7" authorId="2681" shapeId="0" xr:uid="{FB9B3520-B51E-4E2E-96C9-B438FCF411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7" authorId="2682" shapeId="0" xr:uid="{F0FD3CF3-B302-46D0-9384-415FE16450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7" authorId="2683" shapeId="0" xr:uid="{1F2E7A5B-D85C-408C-AF8A-A2EB88989A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7" authorId="2684" shapeId="0" xr:uid="{FAE3FC31-D66B-463E-BDC7-3BA61DB75F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7" authorId="2685" shapeId="0" xr:uid="{2EC22EAD-BD2C-4C77-BC4C-63B48CE60D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7" authorId="2686" shapeId="0" xr:uid="{58503E8D-13D9-4ECA-B471-78AE10ED1D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2687" shapeId="0" xr:uid="{6888EC31-1C7F-4449-B425-07E823761D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8" authorId="2688" shapeId="0" xr:uid="{FB5D0ED4-28C3-4A0C-BA0C-37ECEA2ABF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8" authorId="2689" shapeId="0" xr:uid="{BBF14820-381F-4E54-82C7-37CE476D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8" authorId="2690" shapeId="0" xr:uid="{915D98B9-88E6-4255-9F62-ED32082A7E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8" authorId="2691" shapeId="0" xr:uid="{51590524-ECB3-4F88-AB27-8E8DD2014F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8" authorId="2692" shapeId="0" xr:uid="{F6561FF9-6800-405D-875F-AB4A69E9D8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8" authorId="2693" shapeId="0" xr:uid="{4C7917C6-C992-426E-A441-797CBFDE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8" authorId="2694" shapeId="0" xr:uid="{EF21E9D1-F50D-4D14-9CEF-F48AE09C3C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8" authorId="2695" shapeId="0" xr:uid="{48958D01-2B9E-4C41-9B7E-0DE8EEA687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8" authorId="2696" shapeId="0" xr:uid="{7571D383-799E-4403-847F-F9849C2DDD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8" authorId="2697" shapeId="0" xr:uid="{90D00B40-1FC7-44AA-9A48-7E6506A90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8" authorId="2698" shapeId="0" xr:uid="{5686C53C-037A-41E0-A305-86581A6BF3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8" authorId="2699" shapeId="0" xr:uid="{1EC3AF67-35F6-4261-8D9B-1D07AE14DE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8" authorId="2700" shapeId="0" xr:uid="{A02AE614-8314-4B34-BAB9-1BA6209CA7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8" authorId="2701" shapeId="0" xr:uid="{D8777D5B-696E-4C58-A21B-E9E5F0CC91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8" authorId="2702" shapeId="0" xr:uid="{41A299FE-6624-4B28-9516-2CB269DCE9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8" authorId="2703" shapeId="0" xr:uid="{CE305D14-B9C8-4775-BCAE-178607B952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8" authorId="2704" shapeId="0" xr:uid="{8C3BE1FF-C731-46E2-91B0-03FEDC03DC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8" authorId="2705" shapeId="0" xr:uid="{63C14D11-CDE9-45C6-A550-C95B10D852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8" authorId="2706" shapeId="0" xr:uid="{DE9140B9-60A5-4C67-B4D4-CE6961DC1F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8" authorId="2707" shapeId="0" xr:uid="{7360D816-1285-4F45-A6CE-CB1AE34A77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8" authorId="2708" shapeId="0" xr:uid="{2FC83F25-6C51-479C-A244-2C9B47EA96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8" authorId="2709" shapeId="0" xr:uid="{E94BCA51-40C7-4D16-B8AC-D54478052E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8" authorId="2710" shapeId="0" xr:uid="{F388102C-70EC-4A18-A86E-122769E72D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8" authorId="2711" shapeId="0" xr:uid="{2A1170B9-31F2-438D-9900-251C28E83A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8" authorId="2712" shapeId="0" xr:uid="{80F0F4AB-7180-4BF9-AAAE-57EE09065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8" authorId="2713" shapeId="0" xr:uid="{817DF13F-6F53-4219-AD5D-04634706D2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8" authorId="2714" shapeId="0" xr:uid="{022C8D00-6FE3-4242-ADBB-D7B0179973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8" authorId="2715" shapeId="0" xr:uid="{7BB93C53-1032-449C-A340-2716C98DA2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8" authorId="2716" shapeId="0" xr:uid="{00E3438C-5E7D-47C6-9B86-BC324AD343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8" authorId="2717" shapeId="0" xr:uid="{048BE6EA-715F-4B61-9D87-FD11725C4A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8" authorId="2718" shapeId="0" xr:uid="{0274A2D5-A2C5-4A5B-B6F1-ED20C1DA9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8" authorId="2719" shapeId="0" xr:uid="{3C8EABD6-0140-4582-BA03-4EE1F6D930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8" authorId="2720" shapeId="0" xr:uid="{8BFB9B56-8F6D-4BB6-B461-872FAAC765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8" authorId="2721" shapeId="0" xr:uid="{96A1AC06-0B01-43A2-9EBF-E510FB6F32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8" authorId="2722" shapeId="0" xr:uid="{39209FFB-2206-4F9C-B0A2-A75EC8B8AE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8" authorId="2723" shapeId="0" xr:uid="{5B8BAC25-B09C-41FF-9123-616836A6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8" authorId="2724" shapeId="0" xr:uid="{3A8A30A6-F435-457A-8C49-35D7FF072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8" authorId="2725" shapeId="0" xr:uid="{1F6CB73A-4026-4437-94B4-08F0251368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8" authorId="2726" shapeId="0" xr:uid="{112C745B-D328-40FC-9CD5-493F9E2738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8" authorId="2727" shapeId="0" xr:uid="{12F40113-6D96-4901-A5FE-68AC92329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8" authorId="2728" shapeId="0" xr:uid="{DDC2AF77-3734-4826-B8D5-154EA43D74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8" authorId="2729" shapeId="0" xr:uid="{ED49750E-5427-405E-A281-409C213638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8" authorId="2730" shapeId="0" xr:uid="{BF22D128-33FF-4B4F-8526-1967FF4AB3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8" authorId="2731" shapeId="0" xr:uid="{7091BB68-7B2F-426E-8812-3C2007DE8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8" authorId="2732" shapeId="0" xr:uid="{831C9875-E678-411A-9650-CDAC98EEE8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2733" shapeId="0" xr:uid="{6A68B88D-C020-41FE-BCBD-27D0B5A112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9" authorId="2734" shapeId="0" xr:uid="{FA9768A4-5D0F-4695-99C2-50E9479320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9" authorId="2735" shapeId="0" xr:uid="{762787ED-DC7F-4AE7-88E4-378DF1511D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9" authorId="2736" shapeId="0" xr:uid="{A13F8974-CC5E-4319-AD8C-8C6E89D9C9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9" authorId="2737" shapeId="0" xr:uid="{4CD9BE22-2095-4B86-8FBA-06E9D55B9A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9" authorId="2738" shapeId="0" xr:uid="{7A2CB3E0-4713-4364-B8FC-DC3C4496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9" authorId="2739" shapeId="0" xr:uid="{4119C9CC-A554-4CE7-B5E4-E01EEECA71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9" authorId="2740" shapeId="0" xr:uid="{40578E20-2B92-480D-96E3-D4D121E0461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9" authorId="2741" shapeId="0" xr:uid="{7096904B-AC13-4157-805A-25BA662825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9" authorId="2742" shapeId="0" xr:uid="{2D7E146C-1507-446F-A667-A39FB6436C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9" authorId="2743" shapeId="0" xr:uid="{CA16D9F8-60FC-4DC5-A691-CE97559EC5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9" authorId="2744" shapeId="0" xr:uid="{887C8081-B5CD-4841-81C5-DA517254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9" authorId="2745" shapeId="0" xr:uid="{D8919206-BCE3-45CC-ACE3-5C5A5E858F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9" authorId="2746" shapeId="0" xr:uid="{CB93B753-1ED9-42B1-8124-0907992252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9" authorId="2747" shapeId="0" xr:uid="{8890E9B1-65AF-4D2D-B581-DBB559F2D0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9" authorId="2748" shapeId="0" xr:uid="{56B041F5-BB94-486B-B5CE-A14AD345C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9" authorId="2749" shapeId="0" xr:uid="{33980F58-A4C7-4D4E-8927-FCBD6ECEBD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9" authorId="2750" shapeId="0" xr:uid="{4232C5C5-8DEC-4C5C-A40A-784582EDC9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9" authorId="2751" shapeId="0" xr:uid="{41E6EE32-4552-49AB-A59B-660373ECE9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9" authorId="2752" shapeId="0" xr:uid="{9583075F-010A-4646-B31D-284D543B3C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9" authorId="2753" shapeId="0" xr:uid="{ECC33E9F-4636-4664-879C-7D04E00392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9" authorId="2754" shapeId="0" xr:uid="{66239651-43F6-45AE-8CCE-4FA54BD8A5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9" authorId="2755" shapeId="0" xr:uid="{CB25F510-1C0A-4535-8E23-2BCB7AE5C5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9" authorId="2756" shapeId="0" xr:uid="{F7A78EEA-2CCF-4F36-9616-EB5FC39C45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9" authorId="2757" shapeId="0" xr:uid="{82C0ECE7-544A-4A63-98C9-0C33F62DBF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9" authorId="2758" shapeId="0" xr:uid="{B05D4EDC-00BF-4272-ACB1-E40E7F3EA9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9" authorId="2759" shapeId="0" xr:uid="{14317BC8-9F41-404A-BB89-E834169932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9" authorId="2760" shapeId="0" xr:uid="{72766959-AACF-4BFF-9C43-BB477DAAEA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9" authorId="2761" shapeId="0" xr:uid="{0ABB1814-43CA-4893-B028-552CE553E3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9" authorId="2762" shapeId="0" xr:uid="{3136A730-E73E-4B5C-8345-5117FD2CA9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9" authorId="2763" shapeId="0" xr:uid="{F829448E-6FC8-42B9-830D-44CC6AF38B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9" authorId="2764" shapeId="0" xr:uid="{3A2BF88F-5220-418F-A907-6B3332F4F6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9" authorId="2765" shapeId="0" xr:uid="{2D928347-875A-4BBA-97C2-5FAEA241D0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9" authorId="2766" shapeId="0" xr:uid="{AC30C79C-7A58-4A8B-839D-DBE351007D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9" authorId="2767" shapeId="0" xr:uid="{03C2E73A-13E9-46DC-98A0-42C3B8CA37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9" authorId="2768" shapeId="0" xr:uid="{1DBE8E99-CE45-4FDA-99AB-F848AED27F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9" authorId="2769" shapeId="0" xr:uid="{8622ED1D-538D-45BA-9D48-422CDF92E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9" authorId="2770" shapeId="0" xr:uid="{CE9524E3-D6CE-4F25-9577-3B54222C47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9" authorId="2771" shapeId="0" xr:uid="{ED16E47F-9FA6-4610-883D-3A049F633E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9" authorId="2772" shapeId="0" xr:uid="{F7A3AEE0-E715-4DE1-8DD9-B8CCD7F406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9" authorId="2773" shapeId="0" xr:uid="{3D0375C2-9C73-40B4-BE3E-DAFED62F23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9" authorId="2774" shapeId="0" xr:uid="{7CF50C18-F49D-4F6C-83CE-BA8ECD19F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9" authorId="2775" shapeId="0" xr:uid="{E34DFD85-8F34-4D83-A69B-4600DA8080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9" authorId="2776" shapeId="0" xr:uid="{125AAE1E-E144-402F-B745-6E0A9D35FF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9" authorId="2777" shapeId="0" xr:uid="{EEF130A1-6ADB-49C5-9411-1A2158ADF3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9" authorId="2778" shapeId="0" xr:uid="{86A762A9-9B7E-4BEB-B595-0A7996B420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2779" shapeId="0" xr:uid="{8731496C-5235-4D7F-8691-362F18B7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Y210" authorId="2780" shapeId="0" xr:uid="{0A2327C8-7D18-409A-8000-ADD4AF8E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10" authorId="2781" shapeId="0" xr:uid="{35E944BA-DCD5-492B-8B07-93123E4969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10" authorId="2782" shapeId="0" xr:uid="{805C9F52-A8AE-490B-8F7D-5B8BA047E7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10" authorId="2783" shapeId="0" xr:uid="{0FB01837-499E-4BF8-8F20-275526ECC9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10" authorId="2784" shapeId="0" xr:uid="{3681CC47-79D7-4A2C-B2F6-EFC18C250E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10" authorId="2785" shapeId="0" xr:uid="{DB4DE964-6F5E-4E8F-A965-E51A2B080B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10" authorId="2786" shapeId="0" xr:uid="{D792B3D5-C9CA-4B4D-B632-6D7B5FC04C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10" authorId="2787" shapeId="0" xr:uid="{F30B1142-D5D0-4955-B491-9FE2AB210A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10" authorId="2788" shapeId="0" xr:uid="{183CE20D-EFBE-47D3-9473-A2E9A98B4B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10" authorId="2789" shapeId="0" xr:uid="{8C5FA0E1-7E67-4F89-89DE-AF23B9D51E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10" authorId="2790" shapeId="0" xr:uid="{8BD7C274-5FD9-43FE-884D-60C92FB448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10" authorId="2791" shapeId="0" xr:uid="{0F6CA59E-0679-410F-9FD8-9F27C691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10" authorId="2792" shapeId="0" xr:uid="{F8176F44-8798-415C-92F2-B6BB1F188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10" authorId="2793" shapeId="0" xr:uid="{34E63E89-2E77-448C-B94E-770131FB5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10" authorId="2794" shapeId="0" xr:uid="{57D2915F-AAB9-4DA9-BF15-46591261DB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10" authorId="2795" shapeId="0" xr:uid="{F022B9D6-BFDF-43FA-8CA0-5AD90F88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10" authorId="2796" shapeId="0" xr:uid="{A6DB4A55-2D24-421D-AEBC-A2B7F69C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10" authorId="2797" shapeId="0" xr:uid="{E8EEBED8-CD7F-447C-9AE3-986DDFC306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10" authorId="2798" shapeId="0" xr:uid="{BC1E5FA6-027C-42DB-92FF-01AE485FA8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10" authorId="2799" shapeId="0" xr:uid="{5E2E77C7-51C7-44E0-BFEB-0F44FDE199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10" authorId="2800" shapeId="0" xr:uid="{22107A44-16A0-4F78-9CCB-08C41EBE2D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10" authorId="2801" shapeId="0" xr:uid="{52D5C8A1-17DE-4D7D-AE0E-FB020AC6FF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10" authorId="2802" shapeId="0" xr:uid="{DFAAA4C8-78BA-4B54-8AE1-2C4A753B62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10" authorId="2803" shapeId="0" xr:uid="{1A33F0A4-DB1D-477D-9F98-13C6A08D8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10" authorId="2804" shapeId="0" xr:uid="{AC1E5B8B-F3ED-480A-9320-F91200639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10" authorId="2805" shapeId="0" xr:uid="{DD1EF0F9-1621-493D-8649-93769F1878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10" authorId="2806" shapeId="0" xr:uid="{825D4F8E-05A4-4FFA-89B9-C0687A9798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10" authorId="2807" shapeId="0" xr:uid="{5CCECD78-A76B-4133-AE83-D73A64B61A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10" authorId="2808" shapeId="0" xr:uid="{E6FB255D-0BEB-4EA5-B93D-4ACA0429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10" authorId="2809" shapeId="0" xr:uid="{06655E49-1989-4D06-A85D-F40B962F83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10" authorId="2810" shapeId="0" xr:uid="{1E599A64-A648-40D7-B54A-9F1F884BDC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10" authorId="2811" shapeId="0" xr:uid="{C9E1EDED-7B3F-48C1-9F60-401F08E7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10" authorId="2812" shapeId="0" xr:uid="{7005D126-CC50-47D9-B431-1A6AD28747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10" authorId="2813" shapeId="0" xr:uid="{61A32D96-775B-4A24-8407-23EDDA6FF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10" authorId="2814" shapeId="0" xr:uid="{3D95AFDF-B9E6-4D41-86D5-FBF980850C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10" authorId="2815" shapeId="0" xr:uid="{A0BC7497-3E67-4E75-AAF7-AA3069B4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10" authorId="2816" shapeId="0" xr:uid="{0917449F-7963-483B-8117-CE97897E4D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10" authorId="2817" shapeId="0" xr:uid="{C011E748-EC1B-4A0E-A27C-6CDAFDF27B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10" authorId="2818" shapeId="0" xr:uid="{E1E7E52D-202C-4A71-A81F-EAD83D97D4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10" authorId="2819" shapeId="0" xr:uid="{BDFCB0F3-F130-4E7A-B286-2079967275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10" authorId="2820" shapeId="0" xr:uid="{594A64FA-2A81-4784-9443-070E387CDC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10" authorId="2821" shapeId="0" xr:uid="{488EE657-B5A9-408D-812A-BCC5D4C041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10" authorId="2822" shapeId="0" xr:uid="{6402065F-1EE3-4370-88B3-2D7B3FFB2C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10" authorId="2823" shapeId="0" xr:uid="{4240E8A5-D652-4D7C-B2CD-0BD3C6AB5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10" authorId="2824" shapeId="0" xr:uid="{91C12962-62A5-4E26-B627-38B40012C4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2825" shapeId="0" xr:uid="{1A8740EA-3E98-4CB8-88B9-AA66C4F0430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Y211" authorId="2826" shapeId="0" xr:uid="{EF83E192-EFB8-4F40-AE73-38991E6E5F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11" authorId="2827" shapeId="0" xr:uid="{AA32C07C-38F6-41B9-94C8-A8A96FCD41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11" authorId="2828" shapeId="0" xr:uid="{2CD5F56B-E664-41DC-B048-E2200AA948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11" authorId="2829" shapeId="0" xr:uid="{274531B4-3C05-4862-A068-AF0C550A5E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11" authorId="2830" shapeId="0" xr:uid="{56BF67FE-26CC-46D6-9211-8EA9DE4615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11" authorId="2831" shapeId="0" xr:uid="{FC850725-9965-4F0F-A511-3F113178DD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11" authorId="2832" shapeId="0" xr:uid="{73BBABF3-0B60-4F01-9340-01D3507168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11" authorId="2833" shapeId="0" xr:uid="{DEE0CF3B-F4B7-457A-8BFF-44678C5687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11" authorId="2834" shapeId="0" xr:uid="{410716A7-EED0-41DF-903A-735EAA1BE1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11" authorId="2835" shapeId="0" xr:uid="{6CAFA0EC-27D3-476F-9E48-CE692C63A9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11" authorId="2836" shapeId="0" xr:uid="{0CE593F0-3138-43C7-8D15-30A00F76E0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11" authorId="2837" shapeId="0" xr:uid="{FE86D460-0896-40C0-A302-4495AB18EC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11" authorId="2838" shapeId="0" xr:uid="{FAC2A49E-DBCE-429D-B8B5-0EF11797B4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11" authorId="2839" shapeId="0" xr:uid="{1E5FF8C6-7370-4E7A-9A59-D5756E3A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11" authorId="2840" shapeId="0" xr:uid="{495A66BD-4EF3-46C7-B209-3F43011CAC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11" authorId="2841" shapeId="0" xr:uid="{74C31FE1-94EF-47B9-B6E3-DF7C735226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11" authorId="2842" shapeId="0" xr:uid="{E603FD15-7604-4BF2-80B6-93F92DD409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11" authorId="2843" shapeId="0" xr:uid="{6F31E71E-AC98-49D6-96EF-CC206B80CA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11" authorId="2844" shapeId="0" xr:uid="{103D0AC1-2404-4A64-8362-292D19153B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11" authorId="2845" shapeId="0" xr:uid="{F0B071F6-8F07-4D20-BD94-1C23A824B9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11" authorId="2846" shapeId="0" xr:uid="{C1AE27FF-8149-4279-9831-ABB47490A0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11" authorId="2847" shapeId="0" xr:uid="{404D1E60-30A2-445A-B15F-FD4F07FF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11" authorId="2848" shapeId="0" xr:uid="{AC1FA66A-D50C-455C-BE02-141CB1605A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11" authorId="2849" shapeId="0" xr:uid="{2E2236B2-9686-4909-B7E5-F4140A3E66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11" authorId="2850" shapeId="0" xr:uid="{4BC32912-7F9B-4870-A5E7-640D9EA4F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11" authorId="2851" shapeId="0" xr:uid="{E5ED765C-CF59-4719-9433-1CB6385B62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11" authorId="2852" shapeId="0" xr:uid="{F631960B-FF72-4603-ADD4-2E8CF426F3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11" authorId="2853" shapeId="0" xr:uid="{69FB99DB-DA3E-4618-8313-B483D07C8F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11" authorId="2854" shapeId="0" xr:uid="{8D850159-D400-45C2-A2E0-5986E1B0BA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11" authorId="2855" shapeId="0" xr:uid="{AFEC66BF-05B5-4B3E-8985-856F1E46A2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11" authorId="2856" shapeId="0" xr:uid="{6D38CF47-7BB4-4D29-9CF5-3E06CDD0AD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11" authorId="2857" shapeId="0" xr:uid="{9D64B2E5-7CD3-4373-9702-0421A8ACDC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11" authorId="2858" shapeId="0" xr:uid="{F1E12011-FC31-4F5D-BC91-8AC6F1F540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11" authorId="2859" shapeId="0" xr:uid="{0F5E714D-1826-4836-B28B-1058B06B0C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11" authorId="2860" shapeId="0" xr:uid="{D246AB13-AFDC-4997-9555-1B5B46BF5C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11" authorId="2861" shapeId="0" xr:uid="{EED4DF45-AD78-49F6-96CD-5618651050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11" authorId="2862" shapeId="0" xr:uid="{6216B066-F722-4DC6-B96A-A7B1346FA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11" authorId="2863" shapeId="0" xr:uid="{892E068A-0766-4171-A23A-FE922E2E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11" authorId="2864" shapeId="0" xr:uid="{2E3F0BDC-6A98-4026-8E97-C97B86F77E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11" authorId="2865" shapeId="0" xr:uid="{039B0437-1FD3-4CB2-8E47-C7B64FCF6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11" authorId="2866" shapeId="0" xr:uid="{FF04B5E8-5937-49E7-9D67-00B1A817F4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11" authorId="2867" shapeId="0" xr:uid="{69E48AD8-DF2D-40EA-925B-8CB343B9D7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11" authorId="2868" shapeId="0" xr:uid="{06F84C58-189A-408F-9133-46DF103B73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11" authorId="2869" shapeId="0" xr:uid="{7DDBD608-C4C4-4C3B-A0E4-517B41CAA1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11" authorId="2870" shapeId="0" xr:uid="{CFB2E2F5-6DAF-47DE-84E7-653A1567C7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2871" shapeId="0" xr:uid="{C14906F7-354C-440B-A3EC-25AE5501F1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2" authorId="2872" shapeId="0" xr:uid="{D2F9F566-4CA7-4E1F-8985-03E724577F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2" authorId="2873" shapeId="0" xr:uid="{8EB5AE9A-962C-4940-8559-FF4FE09B2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2" authorId="2874" shapeId="0" xr:uid="{D1681A9F-C95C-4ACC-ABBF-BE423CB4F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2" authorId="2875" shapeId="0" xr:uid="{4C197E29-2747-4626-82C3-DD05E90B8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2" authorId="2876" shapeId="0" xr:uid="{540F0EF5-A83F-4B74-8B17-57CD9AE623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2" authorId="2877" shapeId="0" xr:uid="{687678E0-314A-4146-B625-CC65ACA7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2" authorId="2878" shapeId="0" xr:uid="{C75745BF-E928-4D74-BA6B-AA42F4249D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2" authorId="2879" shapeId="0" xr:uid="{684CCCA7-AC89-43F3-A04C-8FA2E9220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2" authorId="2880" shapeId="0" xr:uid="{5DE07417-7D7B-4545-925B-387D45D950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2" authorId="2881" shapeId="0" xr:uid="{13C39641-9697-4CC9-918B-C48C09098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2" authorId="2882" shapeId="0" xr:uid="{A63BB63B-483E-4DE4-BA35-3A9FDAB78C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2" authorId="2883" shapeId="0" xr:uid="{C7712045-4CE5-4474-9A7C-173711F63F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2" authorId="2884" shapeId="0" xr:uid="{62272320-103D-4B81-BB87-5C51A444C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2" authorId="2885" shapeId="0" xr:uid="{873EB353-F207-4981-A77F-8FC567AA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2" authorId="2886" shapeId="0" xr:uid="{3D2E7B06-A862-49FB-86D5-3ECCE6E940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2" authorId="2887" shapeId="0" xr:uid="{A60914A8-1944-4BAD-9278-4733D8D96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2" authorId="2888" shapeId="0" xr:uid="{95DC42E7-83A4-4750-B03B-C815C63C8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2" authorId="2889" shapeId="0" xr:uid="{9A68510C-39F3-4624-8CC6-D6D2338828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2" authorId="2890" shapeId="0" xr:uid="{E0C1F425-0BBA-422C-8474-286740F5B6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2" authorId="2891" shapeId="0" xr:uid="{C657F018-F3CB-4227-9ACE-B75B8DFE8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2" authorId="2892" shapeId="0" xr:uid="{CF6930A4-33B3-4C06-BECE-6562FB546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2" authorId="2893" shapeId="0" xr:uid="{416C8A07-9DD0-4CB9-A908-406F9641D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2" authorId="2894" shapeId="0" xr:uid="{726AD5A3-1DBD-4952-8395-22EF54485C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2" authorId="2895" shapeId="0" xr:uid="{00E472DA-543F-4D67-A792-FCF0E994E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2" authorId="2896" shapeId="0" xr:uid="{507E5D90-6B6D-44DE-B9DD-90131767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2" authorId="2897" shapeId="0" xr:uid="{DEAA0A2C-A1FC-4884-A930-CD97D39126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2" authorId="2898" shapeId="0" xr:uid="{AF1EA9DF-FC63-47B3-A6AF-7514A9E80D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2" authorId="2899" shapeId="0" xr:uid="{2C064EF5-4131-441E-BC7F-D29E9FBB7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2" authorId="2900" shapeId="0" xr:uid="{E046EDED-0CE9-4C44-B474-DB7194620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2" authorId="2901" shapeId="0" xr:uid="{62137C76-A068-4687-9527-71ECCC6EBB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2" authorId="2902" shapeId="0" xr:uid="{D2C10832-A5AE-4D1E-BAC8-5E3E106D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2" authorId="2903" shapeId="0" xr:uid="{FB01D7A8-31AB-4B10-A651-0E76BE3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2" authorId="2904" shapeId="0" xr:uid="{686561CD-3264-4896-9C00-1BB45A8BBE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2" authorId="2905" shapeId="0" xr:uid="{24D8F83C-A16E-4893-BAFF-A2934EE2E3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2" authorId="2906" shapeId="0" xr:uid="{19F1416A-0020-44DA-A39B-2905859314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2" authorId="2907" shapeId="0" xr:uid="{E472F03B-ACA3-4823-8DF5-05971278AA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2" authorId="2908" shapeId="0" xr:uid="{9014B307-1C1C-40F4-9043-2166F4139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2" authorId="2909" shapeId="0" xr:uid="{63590E7B-B569-49B5-B626-27C04845BD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2" authorId="2910" shapeId="0" xr:uid="{34340028-2F2A-4198-B269-683D4594D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2" authorId="2911" shapeId="0" xr:uid="{50D454DD-510B-4762-A7CF-A56932552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2" authorId="2912" shapeId="0" xr:uid="{9D0B275C-2789-4E72-9F0D-99DD8DE56D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2" authorId="2913" shapeId="0" xr:uid="{225AA474-174D-47B0-BBB4-953342665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2" authorId="2914" shapeId="0" xr:uid="{AA309D41-002D-4BBB-807C-1095B709C3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2" authorId="2915" shapeId="0" xr:uid="{F1BF7267-2405-4B2E-BCEA-6C4863032E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2" authorId="2916" shapeId="0" xr:uid="{ACB9891D-0FD4-4A5B-A370-BBE184D1E5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3" authorId="2917" shapeId="0" xr:uid="{1EDA8D99-1198-4B3C-A712-E009092D42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3" authorId="2918" shapeId="0" xr:uid="{C54A6794-E9B1-49B1-91A5-5C86804549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3" authorId="2919" shapeId="0" xr:uid="{F591C3C1-AB20-4F16-9D8A-E64794F12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3" authorId="2920" shapeId="0" xr:uid="{516201CC-FEEF-494F-B1BA-8097459C79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3" authorId="2921" shapeId="0" xr:uid="{541D7DA1-8103-406B-8A28-9EF7F40368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3" authorId="2922" shapeId="0" xr:uid="{1272D006-C037-4EA6-AD1E-4D985B6BD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3" authorId="2923" shapeId="0" xr:uid="{DC3DE0C8-72F3-4D62-A23B-EF2BD3A98D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3" authorId="2924" shapeId="0" xr:uid="{6334B4CE-D7E3-45A1-8FDA-401EEC40F7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3" authorId="2925" shapeId="0" xr:uid="{6DB4362F-5BFE-49FD-AA9C-643E527601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3" authorId="2926" shapeId="0" xr:uid="{4418C93E-B634-4CFB-BAF9-CD2758201B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3" authorId="2927" shapeId="0" xr:uid="{4EB58F7A-9B88-4105-A5DD-5369BFC914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3" authorId="2928" shapeId="0" xr:uid="{4CC5BBC5-25FF-49CD-BDB2-2E34D8E57E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3" authorId="2929" shapeId="0" xr:uid="{3984A834-6E9F-4688-8624-E189BFA003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3" authorId="2930" shapeId="0" xr:uid="{273882BA-99FC-4CE4-82F7-269D3827E5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3" authorId="2931" shapeId="0" xr:uid="{0346F079-31CD-45EF-A7E8-417B3821E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3" authorId="2932" shapeId="0" xr:uid="{F74A40CE-7FCA-406D-800D-60E5EC03A0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3" authorId="2933" shapeId="0" xr:uid="{DB693B5B-41FE-4A13-89FA-CFBEC3A5FA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3" authorId="2934" shapeId="0" xr:uid="{608E3F01-51D2-4ABB-80B7-AAF7C3FAB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3" authorId="2935" shapeId="0" xr:uid="{BF675F57-7934-420E-9EFB-347D64EC23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3" authorId="2936" shapeId="0" xr:uid="{A084AC9E-0E27-4386-A3D0-1D58B8BD22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3" authorId="2937" shapeId="0" xr:uid="{62F42F4A-147B-4267-A3FB-E185395D2F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3" authorId="2938" shapeId="0" xr:uid="{5EB0BBBE-34E5-4F56-9081-59C1E7477E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3" authorId="2939" shapeId="0" xr:uid="{9758B58F-0DD2-4A94-8893-32281220C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3" authorId="2940" shapeId="0" xr:uid="{CF0D372C-3B41-40F0-9903-9A6B87965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3" authorId="2941" shapeId="0" xr:uid="{6233F428-EE02-4F8A-A848-F9BD9ED2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3" authorId="2942" shapeId="0" xr:uid="{E17D725A-7F6F-4B1F-8B90-9D5579A2EC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3" authorId="2943" shapeId="0" xr:uid="{F99B897B-B554-4F04-99CF-D3E2769CAC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3" authorId="2944" shapeId="0" xr:uid="{87D0D057-61A0-48A2-A221-0E7F0D7A77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3" authorId="2945" shapeId="0" xr:uid="{51A36D94-50E1-4BAE-8D6C-C156167EB1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3" authorId="2946" shapeId="0" xr:uid="{D2B1B231-FD65-49CD-AB40-7080A23846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3" authorId="2947" shapeId="0" xr:uid="{F51D2ACC-3AE1-48A5-BD79-B69D052D61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3" authorId="2948" shapeId="0" xr:uid="{57D649EE-378B-48BD-80E2-E1C1DED0DA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3" authorId="2949" shapeId="0" xr:uid="{CE1A454D-CA6D-44BB-B57B-926AD3F95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3" authorId="2950" shapeId="0" xr:uid="{1EB9D4F6-40BC-429F-B014-7F4171E7BB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3" authorId="2951" shapeId="0" xr:uid="{909D16B0-B7ED-44ED-818C-57415D09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3" authorId="2952" shapeId="0" xr:uid="{FFEF0651-F071-4D4E-BD45-A189AF10D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3" authorId="2953" shapeId="0" xr:uid="{99E325DD-2BA1-4017-B23C-A5BA37F665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3" authorId="2954" shapeId="0" xr:uid="{8C11A1AD-A227-4E66-A973-7B8ED578E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3" authorId="2955" shapeId="0" xr:uid="{8DA313EE-C8D3-4645-998D-E175446240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3" authorId="2956" shapeId="0" xr:uid="{1B762AA1-E749-4C3D-9FC4-CEE5B951A2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3" authorId="2957" shapeId="0" xr:uid="{8755B437-954E-4E08-B8E2-5A30106B7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3" authorId="2958" shapeId="0" xr:uid="{9D133474-8F23-4B41-8699-005B1D2FE6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3" authorId="2959" shapeId="0" xr:uid="{2F68578C-76F6-4263-B844-ED320F6CD8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3" authorId="2960" shapeId="0" xr:uid="{D66BE932-3641-443A-B463-9828A32D5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3" authorId="2961" shapeId="0" xr:uid="{2C4EC528-5A8F-4998-973C-C8766ED0C7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3" authorId="2962" shapeId="0" xr:uid="{84D3A9F4-1076-4A05-A31F-6E994FE00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14" authorId="2963" shapeId="0" xr:uid="{29DDE063-E517-48A7-AB60-8485851BDE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V214" authorId="2964" shapeId="0" xr:uid="{408CD191-ECC1-46F3-96C4-98CDBDF105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AA214" authorId="2965" shapeId="0" xr:uid="{F717C7E4-802B-4C84-A38D-904D9A6811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4" authorId="2966" shapeId="0" xr:uid="{6DDE818F-492E-4096-A8A0-5A731064B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4" authorId="2967" shapeId="0" xr:uid="{1028216C-8477-4CDE-9420-D37D759F7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4" authorId="2968" shapeId="0" xr:uid="{726A3C56-370D-484D-8298-DEEC164EE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4" authorId="2969" shapeId="0" xr:uid="{4C4A1B4C-7358-4905-AE87-717FA5EBD6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4" authorId="2970" shapeId="0" xr:uid="{534A8682-0B08-49E1-8274-B195F3FE8A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4" authorId="2971" shapeId="0" xr:uid="{1D23D434-7FBA-43F1-ABE7-6889A4430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4" authorId="2972" shapeId="0" xr:uid="{E1C1F333-ADC7-4813-B296-DBECE11777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4" authorId="2973" shapeId="0" xr:uid="{74FD6A71-5028-4489-9452-3D3F09621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4" authorId="2974" shapeId="0" xr:uid="{33CFC279-EDBF-4AA0-9DED-89AEC8F49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4" authorId="2975" shapeId="0" xr:uid="{2A4172C0-CB4B-47E2-BB0C-8AD080357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4" authorId="2976" shapeId="0" xr:uid="{3A8D75C7-B73E-4E80-9F64-B1333D9393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4" authorId="2977" shapeId="0" xr:uid="{63DFA5F4-813F-4926-A08C-EC698AD92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4" authorId="2978" shapeId="0" xr:uid="{F60B8AB3-B4E7-4F03-BBD9-7F4B8E95F2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4" authorId="2979" shapeId="0" xr:uid="{F53757C7-C4B3-45BA-86A9-2482FBC92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4" authorId="2980" shapeId="0" xr:uid="{9AC4796C-12D1-4DA0-B440-2B2F8E08B8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4" authorId="2981" shapeId="0" xr:uid="{FD18E176-2BB0-4656-9079-CE568C36A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4" authorId="2982" shapeId="0" xr:uid="{090435B8-51E4-431A-B07E-F609DE529B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4" authorId="2983" shapeId="0" xr:uid="{DFC34735-7D82-4570-BE82-D50738207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4" authorId="2984" shapeId="0" xr:uid="{E96428A7-270A-4F29-A85E-2D758FD498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4" authorId="2985" shapeId="0" xr:uid="{67E10B81-A676-4858-81A3-A35AE7BAD6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4" authorId="2986" shapeId="0" xr:uid="{87DE865A-62AD-4ACA-AB95-1F863169C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4" authorId="2987" shapeId="0" xr:uid="{A904EEF2-0C3C-4374-A857-0C42E3C8C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4" authorId="2988" shapeId="0" xr:uid="{4EE02ED1-6C6F-47E9-9AD3-66B4F6BFF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4" authorId="2989" shapeId="0" xr:uid="{30BCFE89-C15B-46E2-AE36-27707888F0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4" authorId="2990" shapeId="0" xr:uid="{C8E44BF8-D6DA-470A-8B6D-FFDEEA7B0B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4" authorId="2991" shapeId="0" xr:uid="{01DC64D7-9AC3-4AE4-BD74-0CC9EDB54B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4" authorId="2992" shapeId="0" xr:uid="{18406DC3-26E1-489A-A0A9-B4D32786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4" authorId="2993" shapeId="0" xr:uid="{7193829F-7805-45CD-8BA9-BC586D7AFB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4" authorId="2994" shapeId="0" xr:uid="{235DA230-07EF-4F25-9A19-F6D635F89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4" authorId="2995" shapeId="0" xr:uid="{1051871A-3990-44A0-AF24-03D08D2189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4" authorId="2996" shapeId="0" xr:uid="{04C2D8A3-3B30-4532-AB45-A85D7B32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4" authorId="2997" shapeId="0" xr:uid="{FAA3B761-8609-4180-8F1B-9171C2A482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4" authorId="2998" shapeId="0" xr:uid="{9C81A87F-2D7F-4B14-B265-338403F1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4" authorId="2999" shapeId="0" xr:uid="{F7FF8E2C-B601-488D-96F4-10D98E24FF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4" authorId="3000" shapeId="0" xr:uid="{C0543692-B1DC-4E23-A71F-C17ECC0A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4" authorId="3001" shapeId="0" xr:uid="{51077283-77E7-49E3-BAB3-1CD0F9B8B8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4" authorId="3002" shapeId="0" xr:uid="{C6C1B5B8-EEC7-4FFB-A43E-4F54E15908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4" authorId="3003" shapeId="0" xr:uid="{1CC72325-5318-4851-9610-CE3231CD6E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4" authorId="3004" shapeId="0" xr:uid="{DAA5FC9A-67AE-4650-9A5B-FA0BCEA8BE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4" authorId="3005" shapeId="0" xr:uid="{08D91A8D-AEBC-477E-B88B-3BA6ADE3D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4" authorId="3006" shapeId="0" xr:uid="{9B630B72-857C-4A7C-97C7-3F673F532E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4" authorId="3007" shapeId="0" xr:uid="{62624323-2796-4F33-BA7E-8429ED310A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4" authorId="3008" shapeId="0" xr:uid="{D3FF3849-B83F-451E-AD05-EEB9365C3B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5" authorId="3009" shapeId="0" xr:uid="{F2D1296E-4105-4AC3-8B6A-BB3F2C67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5" authorId="3010" shapeId="0" xr:uid="{11D69E76-868A-4506-AC86-14129FE4FE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5" authorId="3011" shapeId="0" xr:uid="{BB141FD7-1133-4196-A340-394D86601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5" authorId="3012" shapeId="0" xr:uid="{4FDAFB1E-A03A-4E4D-A5AE-E80C7039F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5" authorId="3013" shapeId="0" xr:uid="{D8108BFE-7CA2-4F4D-9613-6AF3D58A78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5" authorId="3014" shapeId="0" xr:uid="{2B555650-CC03-41A8-9DC7-195A8522C7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5" authorId="3015" shapeId="0" xr:uid="{B9E0C330-54D7-476A-B18A-BC5788076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5" authorId="3016" shapeId="0" xr:uid="{27952382-7BB0-43F2-A96E-0BFF63FC52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5" authorId="3017" shapeId="0" xr:uid="{B89693E0-AAE1-4453-B115-5F470EDF4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5" authorId="3018" shapeId="0" xr:uid="{6F03E8FD-F682-4A5C-8E02-2F7F39EE14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5" authorId="3019" shapeId="0" xr:uid="{5ADC78D2-ABF8-4876-8266-F235F85330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5" authorId="3020" shapeId="0" xr:uid="{C302F1CF-C40E-463D-831E-A6D98ED969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5" authorId="3021" shapeId="0" xr:uid="{3C4538E6-B710-488A-B7F7-020A828C20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5" authorId="3022" shapeId="0" xr:uid="{FBB86888-CA23-41B4-96CE-00C506BB90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5" authorId="3023" shapeId="0" xr:uid="{1FF477FE-B477-4F0B-B063-8F4FBB90C7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5" authorId="3024" shapeId="0" xr:uid="{C49E40F5-EB2C-47CC-B941-D976B93D67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5" authorId="3025" shapeId="0" xr:uid="{15EFA7F2-CDBB-4DE2-8AC0-C4917D689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5" authorId="3026" shapeId="0" xr:uid="{50159452-F8EF-48E5-AEAA-F90AAF53F9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5" authorId="3027" shapeId="0" xr:uid="{792DDA98-1531-4F12-950F-84E46B44E3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5" authorId="3028" shapeId="0" xr:uid="{888AB848-7B11-436A-A6B9-BAA169E7BE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5" authorId="3029" shapeId="0" xr:uid="{63328658-CD8F-453E-9422-403E4D395E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5" authorId="3030" shapeId="0" xr:uid="{050842AA-EF63-4A91-9699-47C824950F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5" authorId="3031" shapeId="0" xr:uid="{C540F1EC-75D1-4D2A-A674-E55AE2D5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5" authorId="3032" shapeId="0" xr:uid="{8DE273EE-6741-4D82-B918-F899D8A2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5" authorId="3033" shapeId="0" xr:uid="{1D0CEBCE-516A-4D3F-A13F-10516B39EE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5" authorId="3034" shapeId="0" xr:uid="{7DC3DFDD-55F7-4402-B1DE-F69690D565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5" authorId="3035" shapeId="0" xr:uid="{E4BE8F1C-1EA0-4201-8454-9267CE3159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5" authorId="3036" shapeId="0" xr:uid="{1E9E2869-17FA-4052-A7CE-4144A78218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5" authorId="3037" shapeId="0" xr:uid="{ECB1ED53-76BD-40E9-AA4F-00B5A33F32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5" authorId="3038" shapeId="0" xr:uid="{0AA3D184-147A-4064-B5DB-7F37EAC38A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5" authorId="3039" shapeId="0" xr:uid="{FD453ADB-9D5B-43ED-B82C-B10DD6432E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5" authorId="3040" shapeId="0" xr:uid="{8BCF016B-9D7C-4ACB-9ACC-48FBF7F63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5" authorId="3041" shapeId="0" xr:uid="{3CA19F51-6BFC-4EE7-B557-16827BDBE0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5" authorId="3042" shapeId="0" xr:uid="{36DD2F7D-738D-42EA-96E0-1DDFC9C1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5" authorId="3043" shapeId="0" xr:uid="{358CB0FF-5F45-4140-98B1-A34C005639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5" authorId="3044" shapeId="0" xr:uid="{3DE0AE93-1EC9-49E5-A93D-24C2FFF870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5" authorId="3045" shapeId="0" xr:uid="{7FBE7D54-1D24-4A11-8875-96030A54D0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5" authorId="3046" shapeId="0" xr:uid="{215FCD2F-D292-4B43-890A-51876193BB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5" authorId="3047" shapeId="0" xr:uid="{273A2821-9655-4612-849D-79A8F27BC9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5" authorId="3048" shapeId="0" xr:uid="{8B913732-D04E-4DAB-95B3-EBDA641A94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5" authorId="3049" shapeId="0" xr:uid="{67DF66C4-55CB-4053-B22D-3A81DCF578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5" authorId="3050" shapeId="0" xr:uid="{46A1E2C8-D0EB-4B1F-9EDF-5FA2093ABD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5" authorId="3051" shapeId="0" xr:uid="{2F9F0A4D-4861-4F17-A4F3-43F1419650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5" authorId="3052" shapeId="0" xr:uid="{9C130E8A-1C27-4EBF-ABFC-66CC6BC6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5" authorId="3053" shapeId="0" xr:uid="{3E3F2A81-1A67-4BF8-AE0D-D11377DFB8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5" authorId="3054" shapeId="0" xr:uid="{F7CA4371-40E7-4A63-BDD2-6C87F2F86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6" authorId="3055" shapeId="0" xr:uid="{547F27A4-E80D-40FF-9116-50710E3990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6" authorId="3056" shapeId="0" xr:uid="{0DD63CD9-577A-4480-8D48-24664B60B6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6" authorId="3057" shapeId="0" xr:uid="{A1EEA6A2-314E-47E8-AC88-5FFA12112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6" authorId="3058" shapeId="0" xr:uid="{F06A4875-D607-4939-A6FD-B61E09E5F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6" authorId="3059" shapeId="0" xr:uid="{79ECB6AE-92B0-4E34-B521-A3C77C3453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6" authorId="3060" shapeId="0" xr:uid="{C37CB17D-2B57-4207-B7C9-4F2F787DE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6" authorId="3061" shapeId="0" xr:uid="{8B37A77A-301A-4898-800C-08E782AD34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6" authorId="3062" shapeId="0" xr:uid="{22139792-8447-4629-B282-BE355F7B9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6" authorId="3063" shapeId="0" xr:uid="{D5B03DB5-2B09-46CE-B3AE-B5F36A29D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6" authorId="3064" shapeId="0" xr:uid="{F70A5666-1EB6-4FD9-9E90-071062CDE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6" authorId="3065" shapeId="0" xr:uid="{48338108-B285-41B4-BB9C-B9F7E3E0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6" authorId="3066" shapeId="0" xr:uid="{EA02C0F7-C177-4FF7-B94A-7DF18E5A78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6" authorId="3067" shapeId="0" xr:uid="{73BC58D1-BEA6-498B-8EC3-2651EDFC3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6" authorId="3068" shapeId="0" xr:uid="{DC6BFCCA-1E8B-4D10-931C-B0FBEDBB48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6" authorId="3069" shapeId="0" xr:uid="{28991B5E-313C-46EB-ACDA-0FF6130269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6" authorId="3070" shapeId="0" xr:uid="{7DC4D8D1-B6A5-413A-8A4D-FC2625D8CE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6" authorId="3071" shapeId="0" xr:uid="{CD0574A2-1FAA-4872-A7B1-1BD17E35D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6" authorId="3072" shapeId="0" xr:uid="{E83F559D-747F-48DB-920E-9B85AB74B2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6" authorId="3073" shapeId="0" xr:uid="{4DEB0BDB-E2AA-41F0-82F4-ECFBAB9DA8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6" authorId="3074" shapeId="0" xr:uid="{D1356471-6E86-4FA2-9BF3-9E076F1588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6" authorId="3075" shapeId="0" xr:uid="{16C2BBAA-837B-45B0-9BF7-321C38AC36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6" authorId="3076" shapeId="0" xr:uid="{B03DC8AE-A073-4CE4-B5AF-8B86EC1BBB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6" authorId="3077" shapeId="0" xr:uid="{47419726-C95E-4DBA-82C9-D5ADD8369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6" authorId="3078" shapeId="0" xr:uid="{182417F1-62C1-4A5C-88D7-B890233FE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6" authorId="3079" shapeId="0" xr:uid="{0CCF1C7C-08B9-49BF-BE51-76CAB1ECC1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6" authorId="3080" shapeId="0" xr:uid="{B0400DD2-DA7D-42A4-82A1-FF6383E1F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6" authorId="3081" shapeId="0" xr:uid="{0A2CAD21-8F46-4B21-B4A4-BF0F9114A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6" authorId="3082" shapeId="0" xr:uid="{B305FD33-359F-48E5-B3D1-41913C476C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6" authorId="3083" shapeId="0" xr:uid="{47052B40-499D-4794-A77B-A157BC238C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6" authorId="3084" shapeId="0" xr:uid="{AF6020C1-C8F8-4F4E-87EE-2781E5B2E6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6" authorId="3085" shapeId="0" xr:uid="{A37ECE7F-01FE-4A23-A7D1-69136D3246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6" authorId="3086" shapeId="0" xr:uid="{DE5A3051-B7B7-4A2D-995D-7A6032539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6" authorId="3087" shapeId="0" xr:uid="{B149AB42-72C5-42D5-8817-D1578A7387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6" authorId="3088" shapeId="0" xr:uid="{E225B567-E474-4D61-9F09-685B9D893A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6" authorId="3089" shapeId="0" xr:uid="{E498CF6B-A3A8-466F-97EB-90C7AD7F17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6" authorId="3090" shapeId="0" xr:uid="{B193B6D6-8885-41E4-A87D-42D5C10325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6" authorId="3091" shapeId="0" xr:uid="{C62100B6-C817-4FB2-828A-CCBA97AD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6" authorId="3092" shapeId="0" xr:uid="{320BB78D-B2EC-477E-87E5-6F816E658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6" authorId="3093" shapeId="0" xr:uid="{FDEA2704-58F8-436C-B8C9-937556EC62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6" authorId="3094" shapeId="0" xr:uid="{CFBA37FA-94F2-48B1-8273-1D95380F9E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6" authorId="3095" shapeId="0" xr:uid="{C72AC03F-8CF7-43D2-BBF0-31838756A6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6" authorId="3096" shapeId="0" xr:uid="{828B62CB-5EE6-4596-9903-58A831F2A6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6" authorId="3097" shapeId="0" xr:uid="{5D586BDB-F7C7-488C-9A4C-122C3D24AD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6" authorId="3098" shapeId="0" xr:uid="{3E04AF97-B8C4-43DC-B6C7-76FD955911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6" authorId="3099" shapeId="0" xr:uid="{35B3B206-A8EE-44FB-9A1A-C814A1D4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6" authorId="3100" shapeId="0" xr:uid="{50878DDC-7F80-4EF3-BB09-75DEFCB729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7" authorId="3101" shapeId="0" xr:uid="{38CDA627-83DC-4913-9A43-B4FE812F4B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7" authorId="3102" shapeId="0" xr:uid="{EC21991A-A459-4F77-A394-4B368EB373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7" authorId="3103" shapeId="0" xr:uid="{449FC800-82ED-4C4F-B071-A97849106C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7" authorId="3104" shapeId="0" xr:uid="{AF1C38B1-9695-4091-9A3A-F609C54B9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7" authorId="3105" shapeId="0" xr:uid="{BBCD8101-F5CE-44B6-B5C1-F9E614DE67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7" authorId="3106" shapeId="0" xr:uid="{F984A899-473D-42E6-8134-9E510B6BFF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7" authorId="3107" shapeId="0" xr:uid="{D71B204B-7DC9-4D5F-B8CC-EEF377A934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7" authorId="3108" shapeId="0" xr:uid="{C839AEBF-E0F4-4930-A52D-734D83A3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7" authorId="3109" shapeId="0" xr:uid="{92228BC6-B6DE-40E8-AF83-57F7ECC4EE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7" authorId="3110" shapeId="0" xr:uid="{97A0C34D-BB5E-437C-96A2-63D8C3D6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7" authorId="3111" shapeId="0" xr:uid="{9A659BD8-4B7C-405E-8495-E8E8276CCD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7" authorId="3112" shapeId="0" xr:uid="{424E0EAF-8452-447E-B7E0-2B85F4E49D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7" authorId="3113" shapeId="0" xr:uid="{3EE73D6D-581C-4669-9D2E-78A9DD77A4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7" authorId="3114" shapeId="0" xr:uid="{B7853242-88BA-4ADF-ACD8-2671D6B546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7" authorId="3115" shapeId="0" xr:uid="{D6EB68E5-6E1B-4B99-AA61-B5E8618929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7" authorId="3116" shapeId="0" xr:uid="{960B8C53-A181-427D-8D14-362046D582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7" authorId="3117" shapeId="0" xr:uid="{666A7D30-55AA-4081-84F8-1AD455A56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7" authorId="3118" shapeId="0" xr:uid="{10EDF46D-00EB-4E29-9185-E7071E1804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7" authorId="3119" shapeId="0" xr:uid="{A49FA861-CE99-4F2A-B163-2DC47AC48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7" authorId="3120" shapeId="0" xr:uid="{D74DB645-759B-4886-A72A-02E0FF183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7" authorId="3121" shapeId="0" xr:uid="{5B86965C-84C9-49A9-895A-E2070921D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7" authorId="3122" shapeId="0" xr:uid="{110043C8-4D62-485B-9441-30DF6C9F9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7" authorId="3123" shapeId="0" xr:uid="{CB79BB75-40CD-4189-8121-469656BE1D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7" authorId="3124" shapeId="0" xr:uid="{A4ECBE3C-CF1E-4B65-B2A4-ABCC1F9B3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7" authorId="3125" shapeId="0" xr:uid="{84D18B4B-F956-4B83-BF9A-C32F79BD0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7" authorId="3126" shapeId="0" xr:uid="{93B65362-6D87-4EA3-9F5E-DD93C03309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7" authorId="3127" shapeId="0" xr:uid="{4A98A4D3-6625-4472-A85C-890EB63FE6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7" authorId="3128" shapeId="0" xr:uid="{85D29106-43E2-4779-BF3D-C1F48B770F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7" authorId="3129" shapeId="0" xr:uid="{31A1CDCC-5C86-471A-9446-E45278D91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7" authorId="3130" shapeId="0" xr:uid="{00D8679F-A7FA-4F4F-BECB-0B7EBD173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7" authorId="3131" shapeId="0" xr:uid="{12767557-E156-4482-9C9B-983F9D392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7" authorId="3132" shapeId="0" xr:uid="{95A10B63-59E4-4A9D-92D1-CEAFF7EA72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7" authorId="3133" shapeId="0" xr:uid="{D3386F7C-3C61-4271-A4C4-7086F5F782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7" authorId="3134" shapeId="0" xr:uid="{E1F03F88-59BB-4B57-9CB4-500617CB9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7" authorId="3135" shapeId="0" xr:uid="{10174B3F-8201-45F1-B765-0D6CBF7A0F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7" authorId="3136" shapeId="0" xr:uid="{5B4FFAAB-A49A-4190-8127-7C1EA708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7" authorId="3137" shapeId="0" xr:uid="{CF7C7D46-6625-4374-973E-ED0F52D912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7" authorId="3138" shapeId="0" xr:uid="{3C0D23D3-8483-4B69-A479-1945DAB67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7" authorId="3139" shapeId="0" xr:uid="{C4273EB7-5298-494A-ACB2-730FAD9C1E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7" authorId="3140" shapeId="0" xr:uid="{17314EF5-91DB-445F-A791-A739E9FB85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7" authorId="3141" shapeId="0" xr:uid="{5F991341-75A6-4B5C-A586-20EF11DB4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7" authorId="3142" shapeId="0" xr:uid="{0CA351D3-A678-4046-A9CB-7E423548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7" authorId="3143" shapeId="0" xr:uid="{94ADF80B-D42F-45F2-A11E-35E0DD6C8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7" authorId="3144" shapeId="0" xr:uid="{C1D382A5-6ADB-41B6-9125-812F49135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7" authorId="3145" shapeId="0" xr:uid="{242033E0-90AF-4750-A320-BF88FF923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7" authorId="3146" shapeId="0" xr:uid="{78243A97-EE0D-459D-A066-0AB0F7F3B1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8" authorId="3147" shapeId="0" xr:uid="{EFE87FE0-C146-4264-B36D-A951A554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8" authorId="3148" shapeId="0" xr:uid="{034EB561-9A35-4908-8FA1-EB223DB0DF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8" authorId="3149" shapeId="0" xr:uid="{BCC49200-E1B0-4DD6-B1C7-6B0B226EBE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8" authorId="3150" shapeId="0" xr:uid="{D40E2F02-BAEC-489F-828B-E8C461E12D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8" authorId="3151" shapeId="0" xr:uid="{C7289007-5235-49F1-AE1D-B022CCFB4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8" authorId="3152" shapeId="0" xr:uid="{C0408E9D-B17A-4373-A905-F25B175D8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8" authorId="3153" shapeId="0" xr:uid="{14CB3244-2B15-4C5F-9A12-13FA71C2C7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8" authorId="3154" shapeId="0" xr:uid="{3A37F285-0B29-4393-918C-E529590E17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8" authorId="3155" shapeId="0" xr:uid="{69534B88-3176-40AA-B155-3BF4B027D6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8" authorId="3156" shapeId="0" xr:uid="{892DC517-8382-41F7-BAE5-C9CFF3943A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8" authorId="3157" shapeId="0" xr:uid="{BCED1867-2F36-4AEE-8951-BB5155041B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8" authorId="3158" shapeId="0" xr:uid="{38156A8F-DC5C-4FA9-909B-6A767B1D54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8" authorId="3159" shapeId="0" xr:uid="{5EE01EC4-CE7B-4F1F-914A-D8CD896437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8" authorId="3160" shapeId="0" xr:uid="{75373702-80CE-4E17-A70B-C45281CB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8" authorId="3161" shapeId="0" xr:uid="{39BC99DA-922B-4ABB-8207-3596C8C3A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8" authorId="3162" shapeId="0" xr:uid="{95816E93-8A97-4C66-A9A3-DA835E23D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8" authorId="3163" shapeId="0" xr:uid="{41A55DB7-57C3-4172-94E4-7F636FD76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8" authorId="3164" shapeId="0" xr:uid="{94E38B71-EDA0-4FC2-89C2-6FFD9EF984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8" authorId="3165" shapeId="0" xr:uid="{DEDC0A2C-E87C-4388-AC6D-5F81029D36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8" authorId="3166" shapeId="0" xr:uid="{5BE58FC7-F0D6-4638-9431-089498F6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8" authorId="3167" shapeId="0" xr:uid="{72C2730C-7D59-4135-A5A4-B33A3E5A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8" authorId="3168" shapeId="0" xr:uid="{7A1BEFBE-4BFF-420E-A9F5-F681B84B1D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8" authorId="3169" shapeId="0" xr:uid="{D5AB538F-42F0-403D-9413-ADC0226C1F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8" authorId="3170" shapeId="0" xr:uid="{E43D7F64-B576-4717-B1F9-80D14197CA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8" authorId="3171" shapeId="0" xr:uid="{EA8FA66D-8A1E-4381-960B-F1CBEC831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8" authorId="3172" shapeId="0" xr:uid="{1FD27A09-AAA5-4E6E-8120-C6A78AD80C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8" authorId="3173" shapeId="0" xr:uid="{AED572C9-B010-4529-8931-4F9E86FFB5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8" authorId="3174" shapeId="0" xr:uid="{39F011E9-A545-4369-B8C3-91D0FB49D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8" authorId="3175" shapeId="0" xr:uid="{2C9C1009-2AA3-4B2D-A606-1B8BE8B280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8" authorId="3176" shapeId="0" xr:uid="{52311821-6385-4883-861E-8A2ED3F27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8" authorId="3177" shapeId="0" xr:uid="{394F7536-7EA8-4C41-99D4-D6F6706BA6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8" authorId="3178" shapeId="0" xr:uid="{506DBDE4-23D2-43B7-96F6-2900FA5696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8" authorId="3179" shapeId="0" xr:uid="{F4CF0358-0FB7-40ED-9E47-4A61172B06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8" authorId="3180" shapeId="0" xr:uid="{DFF4C1FA-DA8D-4196-9B4A-C561D95101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8" authorId="3181" shapeId="0" xr:uid="{FE2A8CC1-BEA9-4F8E-899B-30645667C9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8" authorId="3182" shapeId="0" xr:uid="{A4BEFCD3-0E79-4FC5-9278-2B6220C16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8" authorId="3183" shapeId="0" xr:uid="{A9545917-C4AC-49A7-81BF-D2082271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8" authorId="3184" shapeId="0" xr:uid="{39707CD5-62A8-46F9-9CC7-2DBFCDDD8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8" authorId="3185" shapeId="0" xr:uid="{A72F5798-1A57-4F3C-A640-FD53379880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8" authorId="3186" shapeId="0" xr:uid="{29DB5578-9643-426B-A483-06059533B2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8" authorId="3187" shapeId="0" xr:uid="{A32E2266-775D-4E0F-A2B8-64FB5A76A2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8" authorId="3188" shapeId="0" xr:uid="{BDEB5AB9-1D86-4461-939A-95CE5D0D1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8" authorId="3189" shapeId="0" xr:uid="{531C7492-D3B0-413D-82F5-C77C3222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8" authorId="3190" shapeId="0" xr:uid="{06B8F553-9B4D-42A7-84F9-AB2E5D68D5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8" authorId="3191" shapeId="0" xr:uid="{7D87D2AB-8F48-4DC4-9D5F-C0DD617953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8" authorId="3192" shapeId="0" xr:uid="{7529CA10-06D7-41E9-9A65-E1A05DD4BB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19" authorId="3193" shapeId="0" xr:uid="{5FFBCA18-BDDA-48C8-B1D1-734BF26550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V219" authorId="3194" shapeId="0" xr:uid="{07A8A4E7-A03D-4D6E-9980-CF5E43D20E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AA219" authorId="3195" shapeId="0" xr:uid="{00429796-1630-45F7-B2DB-927621EB4C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9" authorId="3196" shapeId="0" xr:uid="{C625BD3D-4877-42B0-896A-DA42681ADE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9" authorId="3197" shapeId="0" xr:uid="{B36FBDE2-08D4-4452-A814-F27B2A7C2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9" authorId="3198" shapeId="0" xr:uid="{417A0ADD-E172-45B8-9162-78C22AFFC4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9" authorId="3199" shapeId="0" xr:uid="{DB06D39C-500A-4E70-9AA2-128768AAB1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9" authorId="3200" shapeId="0" xr:uid="{E81825DF-3F62-40FB-A19C-74579F645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9" authorId="3201" shapeId="0" xr:uid="{282FEEC0-1B65-48C9-A2C4-95AC0E808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9" authorId="3202" shapeId="0" xr:uid="{BF3A1CAA-F5B9-49F1-A8ED-141F084D2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9" authorId="3203" shapeId="0" xr:uid="{391A94D9-0C14-4FBC-97A5-263037B22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9" authorId="3204" shapeId="0" xr:uid="{795DE29E-1EC1-4D92-8927-FDB8BF7C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9" authorId="3205" shapeId="0" xr:uid="{BA5C7837-21B5-40F5-8944-8A7D888CD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9" authorId="3206" shapeId="0" xr:uid="{825B306B-C376-424D-AE69-595540FE2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9" authorId="3207" shapeId="0" xr:uid="{B71B8A05-C62F-42CB-96C5-8D07C65FAB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9" authorId="3208" shapeId="0" xr:uid="{CEDBADC4-1781-493A-976D-94A104D444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9" authorId="3209" shapeId="0" xr:uid="{5D07D667-DBD3-428D-8741-D4E4CE7F4F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9" authorId="3210" shapeId="0" xr:uid="{6E241D00-A6C8-49A9-8A65-94E9487229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9" authorId="3211" shapeId="0" xr:uid="{7E2A95D5-E773-44C7-916F-AC243B508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9" authorId="3212" shapeId="0" xr:uid="{4EE3F82C-5346-4960-8A12-AB9A27797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9" authorId="3213" shapeId="0" xr:uid="{F9125D75-6C06-46B2-A37C-88D445CBFE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9" authorId="3214" shapeId="0" xr:uid="{BD57463D-F65D-41BF-8249-D703263C4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9" authorId="3215" shapeId="0" xr:uid="{D610ABE0-831E-4595-9C73-894EBFF6C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9" authorId="3216" shapeId="0" xr:uid="{933E00E4-9A55-4370-9D64-35EDAED3CD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9" authorId="3217" shapeId="0" xr:uid="{FBAA640B-8055-4ACC-A655-9BA7A22F8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9" authorId="3218" shapeId="0" xr:uid="{6D64EB5F-F31C-4C2D-8EED-B551842811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9" authorId="3219" shapeId="0" xr:uid="{069BAC01-1EFE-440B-9E2E-9215FD806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9" authorId="3220" shapeId="0" xr:uid="{F43C618C-D050-4A04-9116-9A8762E71B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9" authorId="3221" shapeId="0" xr:uid="{C96DAB14-1458-47FD-977F-AD0FCCF0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9" authorId="3222" shapeId="0" xr:uid="{D876F0CC-D845-47B6-8019-4EDCD8A4FA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9" authorId="3223" shapeId="0" xr:uid="{C0C83EE7-C498-4238-82D3-DE46D5A13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9" authorId="3224" shapeId="0" xr:uid="{4FE54B13-64E3-4630-A24A-BFEFA4A421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9" authorId="3225" shapeId="0" xr:uid="{B4C7F8BE-8896-4079-91F1-828C563DD3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9" authorId="3226" shapeId="0" xr:uid="{8D9A5F63-4E5C-4579-9B12-46E68E5978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9" authorId="3227" shapeId="0" xr:uid="{843A3C04-306D-4BE6-9133-7357BE2C45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9" authorId="3228" shapeId="0" xr:uid="{7B0993F1-9DA8-4B9A-8BEF-3C89158242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9" authorId="3229" shapeId="0" xr:uid="{1CBD9345-AD7A-4746-A571-CB503B2A20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9" authorId="3230" shapeId="0" xr:uid="{22F90B72-AD5B-464A-8900-8FC38B4C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9" authorId="3231" shapeId="0" xr:uid="{BF4D3362-39D1-4527-BE38-A3128B94C0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9" authorId="3232" shapeId="0" xr:uid="{72FDBF8A-7F4E-459E-9DC2-5A83EB9A2A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9" authorId="3233" shapeId="0" xr:uid="{45A651CD-228B-4C62-AA35-CEACF6200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9" authorId="3234" shapeId="0" xr:uid="{C3A9C4E8-94C1-48B7-9017-76E9A1CE7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9" authorId="3235" shapeId="0" xr:uid="{2D3D5584-C610-4D6D-8474-6A98CE8AB8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9" authorId="3236" shapeId="0" xr:uid="{6CD3EE8D-CD8B-40BF-8C47-B7CFC6BA8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9" authorId="3237" shapeId="0" xr:uid="{6D6134E8-BB20-4C5F-9D0D-EEC21132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9" authorId="3238" shapeId="0" xr:uid="{9EF9C91E-76D4-40DF-89BF-8BD53A18A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0" authorId="3239" shapeId="0" xr:uid="{D4D582E3-02F5-4837-8BA6-38C97922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20" authorId="3240" shapeId="0" xr:uid="{A6196F7E-C2F4-4E40-AB47-92769249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20" authorId="3241" shapeId="0" xr:uid="{5AB400E8-C51A-42D9-92A9-9321FAB8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0" authorId="3242" shapeId="0" xr:uid="{39B2B899-A68E-47DF-A608-C6173C0AE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0" authorId="3243" shapeId="0" xr:uid="{DC9DE1E5-3A4E-44D8-9E1A-E6B6EC78A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0" authorId="3244" shapeId="0" xr:uid="{959A184B-8700-44BD-B5D6-0E110CDDD4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0" authorId="3245" shapeId="0" xr:uid="{8F3E6113-C8DE-4010-AC51-687D25A49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0" authorId="3246" shapeId="0" xr:uid="{F288D660-9606-46C4-BC91-A1B56F3168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0" authorId="3247" shapeId="0" xr:uid="{5D8BF7AA-9F8C-4797-915E-703301B2E3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0" authorId="3248" shapeId="0" xr:uid="{4B2DE12F-320E-4398-9940-1F6E57B91E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0" authorId="3249" shapeId="0" xr:uid="{7E37BBEB-68E4-45CA-A300-1C11E61B7C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0" authorId="3250" shapeId="0" xr:uid="{D7BBEEFB-BD8E-43E1-9695-E26E76B9F3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0" authorId="3251" shapeId="0" xr:uid="{D6AC1090-3E86-4EA4-A2D3-20A4E2B6B2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0" authorId="3252" shapeId="0" xr:uid="{94F7E601-62F0-4823-94A6-49061E7C08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0" authorId="3253" shapeId="0" xr:uid="{CA001326-D54D-4829-85ED-87B0B092EA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0" authorId="3254" shapeId="0" xr:uid="{4FFCEA5B-92B1-49B0-8892-4BFB71CC1B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0" authorId="3255" shapeId="0" xr:uid="{DB621564-F952-424A-9A50-805B23DFA5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0" authorId="3256" shapeId="0" xr:uid="{59FEA008-4B41-4775-9C55-65F5FCEB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0" authorId="3257" shapeId="0" xr:uid="{200F0827-FAF3-4A1A-A9D7-6527FB06B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0" authorId="3258" shapeId="0" xr:uid="{3CE1EFC4-9C60-4E3F-AE6A-867C3AB24F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0" authorId="3259" shapeId="0" xr:uid="{C327EE28-5297-47CC-98C9-2588826F90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0" authorId="3260" shapeId="0" xr:uid="{972AA207-0A68-4857-BB2A-7E1449B04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0" authorId="3261" shapeId="0" xr:uid="{AFC5C636-2477-4354-A01E-EA10E795B0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0" authorId="3262" shapeId="0" xr:uid="{2BF1E52A-61AE-4DBF-91D8-11095B3737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0" authorId="3263" shapeId="0" xr:uid="{F268CE54-1B93-4999-8B44-008D99506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0" authorId="3264" shapeId="0" xr:uid="{AD636364-0977-4954-AF13-39EC11A622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0" authorId="3265" shapeId="0" xr:uid="{B36EF01C-A018-4C26-93C2-B7D2945AE5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0" authorId="3266" shapeId="0" xr:uid="{D0930640-6AB3-4334-B298-3EE13047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0" authorId="3267" shapeId="0" xr:uid="{2DFD8580-F0BB-46AE-8B39-E336F039A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0" authorId="3268" shapeId="0" xr:uid="{72577E51-5778-4501-8DB0-D508117C4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0" authorId="3269" shapeId="0" xr:uid="{AD0252FD-0229-44C0-97E1-F7A8010715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0" authorId="3270" shapeId="0" xr:uid="{5C09F902-7962-4701-9407-C439ACE93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0" authorId="3271" shapeId="0" xr:uid="{9B1F3C42-C850-44D3-B1C4-C966F7797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0" authorId="3272" shapeId="0" xr:uid="{281EA037-CE56-4232-B51F-E59B8E729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0" authorId="3273" shapeId="0" xr:uid="{389C2658-0654-4B00-859C-D3CB007A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0" authorId="3274" shapeId="0" xr:uid="{6C41C530-8296-4000-B54B-5EF2CAB8E1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0" authorId="3275" shapeId="0" xr:uid="{835DB815-B17C-4809-B86D-49C5628759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0" authorId="3276" shapeId="0" xr:uid="{9EB92CD8-3B33-4AFA-966D-B50E1A225F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0" authorId="3277" shapeId="0" xr:uid="{9D40ABE9-7600-43F9-8365-4AB4E344E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0" authorId="3278" shapeId="0" xr:uid="{6A2E59DC-F467-4620-A644-B565093B49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0" authorId="3279" shapeId="0" xr:uid="{C63747EC-6589-482B-ABB4-000F24CA8A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0" authorId="3280" shapeId="0" xr:uid="{70D26728-0762-4BF5-B122-879B2DDF1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0" authorId="3281" shapeId="0" xr:uid="{33E2DCB4-FC2E-41BC-AF5B-10A8D00BB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0" authorId="3282" shapeId="0" xr:uid="{1E56FC27-1B80-423C-AB6F-BF4343E558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0" authorId="3283" shapeId="0" xr:uid="{51E83894-DE19-41E6-98B0-4EE20D3CA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0" authorId="3284" shapeId="0" xr:uid="{9C4FC105-090C-4115-9542-98D31D4EAC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1" authorId="3285" shapeId="0" xr:uid="{6BCAEC8E-DC75-4C93-94C4-1646AC6A64F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21" authorId="3286" shapeId="0" xr:uid="{D4210E7E-4689-4A0F-9EBE-564C1BF0BB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21" authorId="3287" shapeId="0" xr:uid="{0D2435CA-08BD-48BA-B2AD-2F6C8EC4E6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1" authorId="3288" shapeId="0" xr:uid="{8964E631-06BA-43FB-9331-B4265FD8D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1" authorId="3289" shapeId="0" xr:uid="{5094AABA-8FE3-48FF-821A-A87C11F6E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1" authorId="3290" shapeId="0" xr:uid="{DEED5B6E-5C2A-44AF-B7AD-85F7685E5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1" authorId="3291" shapeId="0" xr:uid="{DE3F9753-BBB6-4EC0-A198-FE664463E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1" authorId="3292" shapeId="0" xr:uid="{860EEB8D-5AA0-4EAA-9C81-A08010102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1" authorId="3293" shapeId="0" xr:uid="{A2BAB908-39F0-4229-A298-C30B2E37A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1" authorId="3294" shapeId="0" xr:uid="{6B4C539A-9BDC-4A47-898F-AE34AF3EED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1" authorId="3295" shapeId="0" xr:uid="{0D82DA3A-8070-433E-A384-7E6A9AD12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1" authorId="3296" shapeId="0" xr:uid="{D18000E7-0BD6-46EB-ADC2-7FC5FD0A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1" authorId="3297" shapeId="0" xr:uid="{6C2A4CAB-396F-48DF-A47F-59E1C678E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1" authorId="3298" shapeId="0" xr:uid="{E3C1B810-C85B-4314-83C3-038F99D64A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1" authorId="3299" shapeId="0" xr:uid="{07E56D54-B77F-417C-92C0-1C9D590D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1" authorId="3300" shapeId="0" xr:uid="{AB5AAE23-7B55-493C-9029-DDA8F299C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1" authorId="3301" shapeId="0" xr:uid="{0E30FA61-03EA-416E-91CE-2E92F1E4E2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1" authorId="3302" shapeId="0" xr:uid="{795BF860-FB79-4C93-8464-0ADD47DA2F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1" authorId="3303" shapeId="0" xr:uid="{2D9EE6BF-2A25-4E2B-AEB4-1D10C647BF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1" authorId="3304" shapeId="0" xr:uid="{FAF78E4D-A4F5-4E8F-B775-3659670A8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1" authorId="3305" shapeId="0" xr:uid="{052F817D-911B-47B8-8255-851511D6A2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1" authorId="3306" shapeId="0" xr:uid="{5E9AC3ED-7677-4E20-A281-5C636B2745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1" authorId="3307" shapeId="0" xr:uid="{C4348491-F1F1-468E-993C-A8A40E6DD6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1" authorId="3308" shapeId="0" xr:uid="{AC6D6840-E9F2-4F08-8152-C0A932F576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1" authorId="3309" shapeId="0" xr:uid="{75BD4E92-14E5-4C70-B965-A1D2FB9E9B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1" authorId="3310" shapeId="0" xr:uid="{861532BE-E69D-494D-A68B-0D03ED6C8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1" authorId="3311" shapeId="0" xr:uid="{27BBB93B-3471-4F67-9AF0-64818339DD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1" authorId="3312" shapeId="0" xr:uid="{6B37988D-2535-4606-958E-7AC4C875E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1" authorId="3313" shapeId="0" xr:uid="{D57ED098-B44A-48D9-8054-6D73C6D01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1" authorId="3314" shapeId="0" xr:uid="{85832067-4C2F-487B-9F36-8403F8227D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1" authorId="3315" shapeId="0" xr:uid="{260C81F0-7B3D-4C9E-851A-C2FFA56507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1" authorId="3316" shapeId="0" xr:uid="{ACF9C291-E861-48F4-B1E6-24746E7EDE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1" authorId="3317" shapeId="0" xr:uid="{27B7794D-AD97-45FF-B405-9DE469C02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1" authorId="3318" shapeId="0" xr:uid="{D0EE9723-D3D9-4DF3-A4E0-41EF33DB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1" authorId="3319" shapeId="0" xr:uid="{82A162EE-3906-433F-9DA9-99E10746C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1" authorId="3320" shapeId="0" xr:uid="{A9F2951A-C9B7-4D71-A00A-3255A265E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1" authorId="3321" shapeId="0" xr:uid="{15CD3BCA-9578-45AA-B76B-0BC1B0E09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1" authorId="3322" shapeId="0" xr:uid="{BF55430C-09E6-4824-ACB5-D4AD941D05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1" authorId="3323" shapeId="0" xr:uid="{002B7DBA-19E5-4072-933B-F53552F63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1" authorId="3324" shapeId="0" xr:uid="{22575044-8F5A-4E1D-8E08-6750C38F83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1" authorId="3325" shapeId="0" xr:uid="{FBF5687A-62A0-449B-8C6B-52725DAC69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1" authorId="3326" shapeId="0" xr:uid="{AB1F61F0-E0FE-4C94-810F-120499FAA2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1" authorId="3327" shapeId="0" xr:uid="{B8DF4D34-0386-4FAE-B844-A23D235F00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1" authorId="3328" shapeId="0" xr:uid="{62F9B72F-49B4-4F44-A0B6-65486EBC75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1" authorId="3329" shapeId="0" xr:uid="{40A70A05-4A7A-4811-96F2-67013A484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1" authorId="3330" shapeId="0" xr:uid="{BCAA8AD3-2280-4DF8-86F4-72A225A33E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2" authorId="3331" shapeId="0" xr:uid="{2D8E9275-10FE-4E01-BD65-CA4A7E95B8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Jul'24</t>
      </text>
    </comment>
    <comment ref="AA222" authorId="3332" shapeId="0" xr:uid="{288840DE-73E7-44A8-8AF5-56F68E9BCD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2" authorId="3333" shapeId="0" xr:uid="{ABC63501-F301-4E33-BDE2-7E02CC535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2" authorId="3334" shapeId="0" xr:uid="{9C4FFE1E-4313-4BEC-8446-263AFF249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2" authorId="3335" shapeId="0" xr:uid="{858B8090-1F42-4208-A959-5D69A73716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2" authorId="3336" shapeId="0" xr:uid="{EAC10BE9-A8BA-4016-8A25-30541652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2" authorId="3337" shapeId="0" xr:uid="{484229C3-9ED3-4832-8E87-21DC281ABB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2" authorId="3338" shapeId="0" xr:uid="{0DF995CD-8C2A-4AE1-B464-F585B5AD7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2" authorId="3339" shapeId="0" xr:uid="{A62342E4-215D-4EAA-9957-D1587440FA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2" authorId="3340" shapeId="0" xr:uid="{F10C93FA-C49F-42A0-B8A6-26B13B1A8F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2" authorId="3341" shapeId="0" xr:uid="{220CE54F-4549-479E-AA28-06F9B12A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2" authorId="3342" shapeId="0" xr:uid="{B9D79411-2CF7-459F-AC90-83BB618BC2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2" authorId="3343" shapeId="0" xr:uid="{FDFF02B8-4FA1-410A-8AD4-93A294DDC4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2" authorId="3344" shapeId="0" xr:uid="{3A09E158-10F8-4D66-BA84-D65CBF9DE8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2" authorId="3345" shapeId="0" xr:uid="{9582BFF0-8AE7-4915-917D-7F2FD20BC6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2" authorId="3346" shapeId="0" xr:uid="{7A2B1E6A-1F3B-4BFC-9574-77BF2ED4BC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2" authorId="3347" shapeId="0" xr:uid="{60B0919D-6225-4293-911B-E7D1D9404B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2" authorId="3348" shapeId="0" xr:uid="{70B3D214-E721-452B-920D-86882EB1EB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2" authorId="3349" shapeId="0" xr:uid="{C95D4E14-2069-46B6-ACCB-722EEF4FC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2" authorId="3350" shapeId="0" xr:uid="{FBDB8656-24DE-4D13-8209-8D4F4AB287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2" authorId="3351" shapeId="0" xr:uid="{9ADE8F39-5E6C-4813-BA7C-F80E46CE6E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2" authorId="3352" shapeId="0" xr:uid="{03A24307-1C03-4382-B6EA-381D0F8F2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2" authorId="3353" shapeId="0" xr:uid="{352686E7-BDFC-485F-AF7A-79ACB0908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2" authorId="3354" shapeId="0" xr:uid="{A59D7FC6-B8F8-48F1-ADEC-6BD8BFD9A7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2" authorId="3355" shapeId="0" xr:uid="{396ECE29-7D05-41D9-A971-18D28DF6A0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2" authorId="3356" shapeId="0" xr:uid="{C8118E69-C87B-4E63-AB7E-479AB114F1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2" authorId="3357" shapeId="0" xr:uid="{A917EC5C-281F-4EB5-88DC-E50EA2F9A4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2" authorId="3358" shapeId="0" xr:uid="{2EA1EC82-B881-4CA0-ACF4-176ACDD2F3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2" authorId="3359" shapeId="0" xr:uid="{96B88FE8-614D-4423-A299-7059482C49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2" authorId="3360" shapeId="0" xr:uid="{8ADEB362-50A0-453B-933B-2B6804E097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2" authorId="3361" shapeId="0" xr:uid="{60523F58-F682-4BA2-9342-94B95A097F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2" authorId="3362" shapeId="0" xr:uid="{A22E9039-131B-4276-BFED-C9C0D7E1CC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2" authorId="3363" shapeId="0" xr:uid="{E34285AB-D075-4BDF-8301-C09E11DA2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2" authorId="3364" shapeId="0" xr:uid="{DF7221F2-454F-4EC1-AC6C-5FAF61F85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2" authorId="3365" shapeId="0" xr:uid="{6E82B03C-006C-4D20-877E-B6678E35EB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2" authorId="3366" shapeId="0" xr:uid="{26972398-1639-4C1A-95AD-35FB4B087C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2" authorId="3367" shapeId="0" xr:uid="{87C783A7-18B9-4CAD-8028-6A1DCF3C20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2" authorId="3368" shapeId="0" xr:uid="{39AC0D10-FC01-426F-9101-4C9BFDACFD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2" authorId="3369" shapeId="0" xr:uid="{11161EBC-591D-4E20-9158-83283FA9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2" authorId="3370" shapeId="0" xr:uid="{DEC747FC-C1BF-4D3E-84FF-9A7F7CBEE6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2" authorId="3371" shapeId="0" xr:uid="{79B83BE3-8638-4A42-B52E-DEB3857764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2" authorId="3372" shapeId="0" xr:uid="{EB70AF01-9672-4F44-BD7E-B9D89684B7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2" authorId="3373" shapeId="0" xr:uid="{D2A5AA3C-D105-4B3D-AB49-B70C0746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2" authorId="3374" shapeId="0" xr:uid="{61C31DB9-B433-421C-94B3-0766BEB6A0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2" authorId="3375" shapeId="0" xr:uid="{66908BED-2F0C-4267-9671-073343C14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3" authorId="3376" shapeId="0" xr:uid="{FD47BA12-FF94-4EE2-95B4-634CBA88FC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3" authorId="3377" shapeId="0" xr:uid="{3ECF65AC-68F2-476A-A77D-6191F82D25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3" authorId="3378" shapeId="0" xr:uid="{77B6B7B2-33CD-44F8-A651-1D4E17A09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3" authorId="3379" shapeId="0" xr:uid="{9983E294-EA5D-4017-AFD6-15F7BFF4AC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3" authorId="3380" shapeId="0" xr:uid="{5AA543BF-CD23-4E9E-96CB-131C93DF5D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3" authorId="3381" shapeId="0" xr:uid="{EF16E913-52BF-458D-8745-1BDBE47B2A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3" authorId="3382" shapeId="0" xr:uid="{09140BA1-8AC0-4528-8C92-E98B2B3D6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3" authorId="3383" shapeId="0" xr:uid="{5DCF9C12-B8ED-4A7F-9041-D053F415A0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3" authorId="3384" shapeId="0" xr:uid="{B0E7D269-55FB-4197-85DE-B88F72ED19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3" authorId="3385" shapeId="0" xr:uid="{2AEF24B1-5988-4195-8280-7D4C9E894C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3" authorId="3386" shapeId="0" xr:uid="{EA26867B-5106-4ED9-A96F-E155D1EEC5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3" authorId="3387" shapeId="0" xr:uid="{D6C593FC-F335-4C89-AC74-045336668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3" authorId="3388" shapeId="0" xr:uid="{2F2C9431-C9BE-4007-B493-FC63A5321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3" authorId="3389" shapeId="0" xr:uid="{49A5BF6F-6CB2-4E91-9309-203AD83AA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3" authorId="3390" shapeId="0" xr:uid="{331819D5-FFC3-4092-B82F-E55D06D7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3" authorId="3391" shapeId="0" xr:uid="{A19043F7-5C15-488C-9D0B-EE5663FF86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3" authorId="3392" shapeId="0" xr:uid="{BE8980E7-7422-4BC8-B70F-518D866540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3" authorId="3393" shapeId="0" xr:uid="{2628F8D5-B6DE-430C-A6D1-C8501FD4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3" authorId="3394" shapeId="0" xr:uid="{7F29D82A-17FF-4CAD-917B-0E071E0DEC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3" authorId="3395" shapeId="0" xr:uid="{4D218ACA-2E9B-4DF8-B56A-B71FF3CAAE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3" authorId="3396" shapeId="0" xr:uid="{DE9CA5E9-7760-47DA-BDE6-7D669460E1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3" authorId="3397" shapeId="0" xr:uid="{B82C5BBE-59B0-4CEF-82C2-64CB09F1A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3" authorId="3398" shapeId="0" xr:uid="{99B29888-2DD6-43E9-A17E-F6A4DD6FC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3" authorId="3399" shapeId="0" xr:uid="{A5ACD43E-AB26-49CD-9486-C7F7D0C45B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3" authorId="3400" shapeId="0" xr:uid="{3D196B65-C0EF-484E-B416-5A65C2629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3" authorId="3401" shapeId="0" xr:uid="{4FF6FFB6-D1D8-4253-AF81-790F267448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3" authorId="3402" shapeId="0" xr:uid="{28C9849D-D30F-4CD6-ABE0-65C3FF3BE7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3" authorId="3403" shapeId="0" xr:uid="{12BFA61D-0327-4B8E-9A83-126609DAF7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3" authorId="3404" shapeId="0" xr:uid="{307DD103-ECFE-4C81-9B38-B2D74B0AA6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3" authorId="3405" shapeId="0" xr:uid="{E77C1C19-E735-4E8F-93B5-4F8075AB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3" authorId="3406" shapeId="0" xr:uid="{9654E282-742A-433B-AEF8-0D5F93890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3" authorId="3407" shapeId="0" xr:uid="{75E674FC-9F00-4D81-9447-F84135D7E0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3" authorId="3408" shapeId="0" xr:uid="{58934A5C-A213-4D84-8DCA-FD99A7EA5F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3" authorId="3409" shapeId="0" xr:uid="{33354205-2858-4EF3-8E41-3FA35A39FD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3" authorId="3410" shapeId="0" xr:uid="{D7961970-8CF0-4467-8EB3-4F8F0B429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3" authorId="3411" shapeId="0" xr:uid="{78E65FBF-3C42-4E80-A5E4-3D79FC1F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3" authorId="3412" shapeId="0" xr:uid="{DC7D2664-E1C0-4425-AF35-6246CB3E4D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3" authorId="3413" shapeId="0" xr:uid="{44372C98-3E4E-4D99-8514-649D85586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3" authorId="3414" shapeId="0" xr:uid="{D5C62456-EE9F-45D6-8DDA-94136BCFBA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3" authorId="3415" shapeId="0" xr:uid="{FEA44299-DC6C-4012-87AF-BB13FF825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3" authorId="3416" shapeId="0" xr:uid="{003FB4DD-EA10-4BC3-BBBB-F3AF0D23A6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3" authorId="3417" shapeId="0" xr:uid="{350590EC-5DC0-455E-BACB-2DEEA7DF0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3" authorId="3418" shapeId="0" xr:uid="{B0954262-2966-4D85-ADF7-C6D3AD6DE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3" authorId="3419" shapeId="0" xr:uid="{2AF2024F-9D37-4CE6-8930-F90F527C16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4" authorId="3420" shapeId="0" xr:uid="{84FF0DDE-7A9E-4C93-99F9-4D3ECCC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made in May'24</t>
      </text>
    </comment>
    <comment ref="AA224" authorId="3421" shapeId="0" xr:uid="{C5B7FF1B-6AA2-4473-936A-CECEA43D89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4" authorId="3422" shapeId="0" xr:uid="{8BC6D909-ECC6-465A-AC70-6D604EBE3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4" authorId="3423" shapeId="0" xr:uid="{DF223733-B286-4B82-84AC-6B68C6DB55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4" authorId="3424" shapeId="0" xr:uid="{069721E0-CC90-4A97-A918-3ED3E6053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4" authorId="3425" shapeId="0" xr:uid="{FCFAE6C6-6D07-4AE1-ABF5-724FEA8366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4" authorId="3426" shapeId="0" xr:uid="{6A5BCEAA-EE98-4A69-AAB9-47594AF56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4" authorId="3427" shapeId="0" xr:uid="{7F171177-3217-4663-B76D-B3DC8ED7E9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4" authorId="3428" shapeId="0" xr:uid="{E4250DA4-DA1A-4BFB-A2AE-EAAE78BDE2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4" authorId="3429" shapeId="0" xr:uid="{14DEAE47-B231-4C29-A683-219560027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4" authorId="3430" shapeId="0" xr:uid="{6911C88A-68D0-4898-A19D-62A983C5CF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4" authorId="3431" shapeId="0" xr:uid="{70C50A70-755E-459E-9F47-3A0B0D460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4" authorId="3432" shapeId="0" xr:uid="{B2B02B4C-FBFD-418C-80D1-3B79D81832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4" authorId="3433" shapeId="0" xr:uid="{C2F1A6A2-E573-41EC-AD61-0314465A8F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4" authorId="3434" shapeId="0" xr:uid="{91B7446C-EE96-4E7F-AA04-11F5450C8D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4" authorId="3435" shapeId="0" xr:uid="{107ECB57-EC79-4299-98A6-D69C5F8EC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4" authorId="3436" shapeId="0" xr:uid="{A0018C53-ADEF-4ED8-AE4D-4EA1CDB712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4" authorId="3437" shapeId="0" xr:uid="{1D98822F-E09E-4DB9-8CB6-D1BA87B61A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4" authorId="3438" shapeId="0" xr:uid="{D16F05B1-F2B6-4B79-85F5-54AA4FEFE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4" authorId="3439" shapeId="0" xr:uid="{5FDB2DCB-7DF0-439D-B08A-841A705AAA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4" authorId="3440" shapeId="0" xr:uid="{3C484915-0393-4242-A3CC-7DC962E4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4" authorId="3441" shapeId="0" xr:uid="{BFCF7CB4-B200-4250-9B1C-45C304C222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4" authorId="3442" shapeId="0" xr:uid="{D92E1C0A-0089-4C6F-93AC-D7D4F02AC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4" authorId="3443" shapeId="0" xr:uid="{04D81FF7-6C2B-405E-84F8-3F43C9B744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4" authorId="3444" shapeId="0" xr:uid="{5801AE9C-1C3F-42D1-AB9F-DC06D1DCDF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4" authorId="3445" shapeId="0" xr:uid="{8D931092-3A4B-49C5-82B5-84B8524C9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4" authorId="3446" shapeId="0" xr:uid="{7ECAC983-CC06-4829-8D09-A1C661DD72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4" authorId="3447" shapeId="0" xr:uid="{6BDD758C-5922-4382-A2EF-4D090ECA3C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4" authorId="3448" shapeId="0" xr:uid="{400992EB-92FD-4A9E-92ED-AB0EFE5EF5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4" authorId="3449" shapeId="0" xr:uid="{C37857A5-D7F0-428D-8365-5A8D47C50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4" authorId="3450" shapeId="0" xr:uid="{2FD6CE7C-6D10-4084-8913-3F56B0B93E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4" authorId="3451" shapeId="0" xr:uid="{BD34F09A-D7C3-4ACD-922E-B77FBC21E4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4" authorId="3452" shapeId="0" xr:uid="{51020C48-24D7-4364-B4F6-6B53B60F3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4" authorId="3453" shapeId="0" xr:uid="{39578734-BC5A-46F2-BAA0-C49FBCD2A6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4" authorId="3454" shapeId="0" xr:uid="{70BD9B1E-116A-47FD-BEC2-04BE3B4E98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4" authorId="3455" shapeId="0" xr:uid="{50784C43-1325-472E-BC96-5942C8408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4" authorId="3456" shapeId="0" xr:uid="{98E03FA8-6820-45A4-BB5A-EB7406D578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4" authorId="3457" shapeId="0" xr:uid="{BFEF5912-532F-4BFC-8467-2E4203211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4" authorId="3458" shapeId="0" xr:uid="{9903906C-B62A-46A3-9B27-41DF00CCFD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4" authorId="3459" shapeId="0" xr:uid="{EF9D8537-58B2-4A90-AB56-D4E9D22710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4" authorId="3460" shapeId="0" xr:uid="{B3D82E83-33D8-4147-98CC-05E9FE2F5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4" authorId="3461" shapeId="0" xr:uid="{E315B3AC-4AA3-4DE9-AF2B-ACBD5B8186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4" authorId="3462" shapeId="0" xr:uid="{2BE0D43F-ECFA-4CD2-8158-2E447DAA9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4" authorId="3463" shapeId="0" xr:uid="{756FCEF4-C6AA-4D25-962D-08F108A74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4" authorId="3464" shapeId="0" xr:uid="{90717DCF-731E-484A-BB7E-F14D7A800D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5" authorId="3465" shapeId="0" xr:uid="{FB74C034-8080-4746-A043-C3734C529D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5" authorId="3466" shapeId="0" xr:uid="{FA16904E-2BE4-4893-AAD2-30C2DB0D2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5" authorId="3467" shapeId="0" xr:uid="{F23BB136-D7F6-4392-BF1D-1265698AFF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5" authorId="3468" shapeId="0" xr:uid="{CE61A29C-F89E-4B84-AE55-B4F039586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5" authorId="3469" shapeId="0" xr:uid="{B5C58670-364E-4940-91CB-CFCAEB8642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5" authorId="3470" shapeId="0" xr:uid="{EE071472-9B05-4F2D-8F5E-F71AE3D2C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5" authorId="3471" shapeId="0" xr:uid="{C973DDE5-3A42-4A05-8E71-876CF0C624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5" authorId="3472" shapeId="0" xr:uid="{B47A980C-02B0-4394-82D5-8CBEF75A9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5" authorId="3473" shapeId="0" xr:uid="{B4C63377-8492-494D-B2E9-A55BDFE3D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5" authorId="3474" shapeId="0" xr:uid="{82F2DF3A-25ED-423D-BEB6-8A085877C0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5" authorId="3475" shapeId="0" xr:uid="{ECA70F8B-859D-48F7-941F-627B9EB267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5" authorId="3476" shapeId="0" xr:uid="{8071BEC1-EAA4-4559-902B-C965BE277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5" authorId="3477" shapeId="0" xr:uid="{15D4E7F5-17C1-4C1C-9742-1AFFFC6170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5" authorId="3478" shapeId="0" xr:uid="{6F2BD537-60FB-4535-A2A4-4BC703EA4C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5" authorId="3479" shapeId="0" xr:uid="{BDADA285-CCC4-4132-BD88-8E1093D441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5" authorId="3480" shapeId="0" xr:uid="{D22DB8E8-2D5A-4E88-A9CB-BEAEA4F9BB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5" authorId="3481" shapeId="0" xr:uid="{11CF78F2-BCEA-42AD-A52F-86931CC783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5" authorId="3482" shapeId="0" xr:uid="{FA306C7A-D6A8-47D1-81CB-AD8638A37D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5" authorId="3483" shapeId="0" xr:uid="{C63076E7-78E5-4084-A317-661545520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5" authorId="3484" shapeId="0" xr:uid="{771800BC-B5C4-4FBE-81D2-DEF6B8EFAF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5" authorId="3485" shapeId="0" xr:uid="{705844D2-F284-4EC0-BC98-526CB5FB0B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5" authorId="3486" shapeId="0" xr:uid="{5228B1A1-41C5-44E7-BE41-CB465A9AB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5" authorId="3487" shapeId="0" xr:uid="{5F4464D3-B638-46FE-88E0-5A818C09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5" authorId="3488" shapeId="0" xr:uid="{8E7911B8-3481-456A-9657-AC5B0709DF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5" authorId="3489" shapeId="0" xr:uid="{30F2BFB7-0681-470A-9107-50E496011F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5" authorId="3490" shapeId="0" xr:uid="{941BE780-E613-4233-A57B-340AA54CF4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5" authorId="3491" shapeId="0" xr:uid="{064F7E56-3DB2-48AA-8CC9-84D8E803FF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5" authorId="3492" shapeId="0" xr:uid="{49C6444C-D1E7-414D-80DE-9A5149BA93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5" authorId="3493" shapeId="0" xr:uid="{FE01326E-291D-4CE6-8EBD-280DBBFE9D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5" authorId="3494" shapeId="0" xr:uid="{F08CABE2-A77C-4AA0-A0A4-65023B249B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5" authorId="3495" shapeId="0" xr:uid="{056E593E-19F3-4F51-9F00-776E3FEBD7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5" authorId="3496" shapeId="0" xr:uid="{0B77CFE6-CE7E-46C2-8AD3-2845896E71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5" authorId="3497" shapeId="0" xr:uid="{485DD884-8724-4D96-A69A-70181520F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5" authorId="3498" shapeId="0" xr:uid="{F2F6AF5D-7A51-47CA-8D5B-AE4DB8862F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5" authorId="3499" shapeId="0" xr:uid="{27A55BB2-2597-4AA7-85B0-3200CF58F7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5" authorId="3500" shapeId="0" xr:uid="{852E303C-4D6E-4818-8D00-E7F1320BE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5" authorId="3501" shapeId="0" xr:uid="{EA5893BD-1C24-4AEA-B2BD-D7DBD5CA25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5" authorId="3502" shapeId="0" xr:uid="{C80CAA17-DDC5-4930-B0B0-E229B085AA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5" authorId="3503" shapeId="0" xr:uid="{A62BD793-766C-4F99-8450-4E93A33171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5" authorId="3504" shapeId="0" xr:uid="{B6E3D246-BB69-43CC-B2F9-A300758F78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5" authorId="3505" shapeId="0" xr:uid="{1EB58BE7-C927-4A1B-A11B-21C7E00DE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5" authorId="3506" shapeId="0" xr:uid="{31CDDA2C-EF5A-4639-A524-00FE8B7CAE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5" authorId="3507" shapeId="0" xr:uid="{2698AB2C-95D3-42D5-8F9E-9D58378502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5" authorId="3508" shapeId="0" xr:uid="{C7B63BF9-3BBE-40C1-8793-F7D4401B4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3509" shapeId="0" xr:uid="{B60CD5BF-3E70-4C86-99CB-47890410B3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made in May'24</t>
      </text>
    </comment>
    <comment ref="U226" authorId="3510" shapeId="0" xr:uid="{75723E1D-682F-41D3-A63B-1F64C0C0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month of Jun'24</t>
      </text>
    </comment>
    <comment ref="V226" authorId="3511" shapeId="0" xr:uid="{FAB907CC-7A3B-4363-AACE-59FD2678ED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month of Jun'24</t>
      </text>
    </comment>
    <comment ref="AA226" authorId="3512" shapeId="0" xr:uid="{1622F456-C83C-4EE5-A2A8-DD080A9504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3513" shapeId="0" xr:uid="{622CE299-5672-4F7E-BDEA-35066A8EB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6" authorId="3514" shapeId="0" xr:uid="{1AB7602F-A646-4607-BB31-B4CC49915E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6" authorId="3515" shapeId="0" xr:uid="{FA2F2044-E4C1-41C1-8034-440D1A17DE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6" authorId="3516" shapeId="0" xr:uid="{A9C43A8C-59B9-42F4-9C1F-29F8B8A5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6" authorId="3517" shapeId="0" xr:uid="{685643D7-7245-4848-831A-A710D56F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6" authorId="3518" shapeId="0" xr:uid="{418E549B-5E2E-44C2-ACB2-197BC59C1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6" authorId="3519" shapeId="0" xr:uid="{CD091F58-E8B5-4E9F-99EC-9B6624E2A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6" authorId="3520" shapeId="0" xr:uid="{855CEFD0-1E1F-444A-B34B-6395543D0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6" authorId="3521" shapeId="0" xr:uid="{D96FB62C-C798-4AC5-A4E4-F7A544058F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6" authorId="3522" shapeId="0" xr:uid="{D453B314-FCF7-4BC4-B91F-B6790B088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6" authorId="3523" shapeId="0" xr:uid="{290E82B2-EE64-4A6F-ADD1-EBC1F2F7B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6" authorId="3524" shapeId="0" xr:uid="{CEA284BD-474B-4B53-BC11-F433B0204B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6" authorId="3525" shapeId="0" xr:uid="{E764088F-319A-4C1E-89B3-0D97646F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6" authorId="3526" shapeId="0" xr:uid="{8C0996FE-C7DA-4F10-B1A8-1CEE988E8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6" authorId="3527" shapeId="0" xr:uid="{F431D816-111D-4AE2-97DB-F51CA6E1D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6" authorId="3528" shapeId="0" xr:uid="{E07F9EE1-446E-45C7-912B-E4C760ADCD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6" authorId="3529" shapeId="0" xr:uid="{7F4E02EA-7046-4F8E-8C5F-5A18548063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6" authorId="3530" shapeId="0" xr:uid="{E48C76CA-F3D1-4C5F-84E6-D7CFFF93C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6" authorId="3531" shapeId="0" xr:uid="{2549518E-BF19-4FC7-B9AD-05E920A7D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6" authorId="3532" shapeId="0" xr:uid="{06622BF0-E33B-4627-BB9E-ACB933C36E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6" authorId="3533" shapeId="0" xr:uid="{2A5A221F-6E04-41C2-89D1-7DA603CCF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6" authorId="3534" shapeId="0" xr:uid="{A962C8DC-1BEA-404C-803C-7FC9856A84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6" authorId="3535" shapeId="0" xr:uid="{D80270D0-971B-4627-B04B-F2F835432E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6" authorId="3536" shapeId="0" xr:uid="{3DB9FF6A-888B-4C54-8E67-0CB09C35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6" authorId="3537" shapeId="0" xr:uid="{9663221B-A9A6-49A6-9907-B177EC3162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6" authorId="3538" shapeId="0" xr:uid="{E908B76E-6066-4D13-90A4-CC52713F8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6" authorId="3539" shapeId="0" xr:uid="{BE0BAD7C-732F-4D82-91E0-F321CC553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6" authorId="3540" shapeId="0" xr:uid="{90262A92-B043-4413-99DA-926F3A2EE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6" authorId="3541" shapeId="0" xr:uid="{15901A45-8123-4325-8C2D-F06E9576D3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6" authorId="3542" shapeId="0" xr:uid="{621EB5D0-010A-475D-966A-DAB59EB6B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6" authorId="3543" shapeId="0" xr:uid="{A2446AEA-CA02-40AA-870A-F412FC075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6" authorId="3544" shapeId="0" xr:uid="{54778904-3578-4A75-8FB6-2711DCAB5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6" authorId="3545" shapeId="0" xr:uid="{6899D58E-60DD-4169-AFE0-97C0F36C23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6" authorId="3546" shapeId="0" xr:uid="{91B807FD-3668-4067-9CE4-FCD30E9EA6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6" authorId="3547" shapeId="0" xr:uid="{55D68509-D5C5-40E8-A7A5-9B503CB8D4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6" authorId="3548" shapeId="0" xr:uid="{46AF3B44-F552-4FEF-9A2F-598E1AE79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6" authorId="3549" shapeId="0" xr:uid="{46C283F3-25D2-4505-8E82-497C72F9D6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6" authorId="3550" shapeId="0" xr:uid="{449A556D-3F15-4E9F-A191-9C994063C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6" authorId="3551" shapeId="0" xr:uid="{33EDE09F-2CAE-4C78-A901-D8893DBB6E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6" authorId="3552" shapeId="0" xr:uid="{9EAAFB08-8151-4524-8F9E-F1155B898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6" authorId="3553" shapeId="0" xr:uid="{9300D037-0A6D-4490-9E28-9D9406A7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6" authorId="3554" shapeId="0" xr:uid="{FB2E25EF-4C8D-4F80-9900-2752DED2C1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6" authorId="3555" shapeId="0" xr:uid="{07D75257-C5D5-4A63-B91E-DE40096F5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3556" shapeId="0" xr:uid="{2C5C7562-C8A2-40B2-AEBE-7C082394BC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3557" shapeId="0" xr:uid="{760B2672-F7FE-4D2C-BA09-E8ECEA5901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7" authorId="3558" shapeId="0" xr:uid="{F0E97D12-22BD-46E5-BABF-D87AE63F6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7" authorId="3559" shapeId="0" xr:uid="{D3B63CA9-A61F-4287-ACFF-219185C6B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7" authorId="3560" shapeId="0" xr:uid="{ABBB36E2-46E2-4818-86A5-A357DF02AE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7" authorId="3561" shapeId="0" xr:uid="{3BD2B22B-DB8A-42E6-A261-81B8C7BEC5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7" authorId="3562" shapeId="0" xr:uid="{F8AE39AB-5711-4103-9E16-30236C8073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7" authorId="3563" shapeId="0" xr:uid="{5C4456EC-1F17-4360-B039-516D678BD7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7" authorId="3564" shapeId="0" xr:uid="{B0D89B5F-4ED9-444F-8A68-0EE0ECC88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7" authorId="3565" shapeId="0" xr:uid="{E1C8C1E4-65F1-4E13-A495-84EB924BF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7" authorId="3566" shapeId="0" xr:uid="{83A8CF91-02EB-4BDC-B11F-9D0CD61EDC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7" authorId="3567" shapeId="0" xr:uid="{650D9466-B013-4EF4-B8BD-F6A559B868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7" authorId="3568" shapeId="0" xr:uid="{67753426-FAF9-4FDB-A71D-58C8775F4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7" authorId="3569" shapeId="0" xr:uid="{1CE467BE-AC92-486A-8A0B-E40FC4475B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7" authorId="3570" shapeId="0" xr:uid="{7A2E50B9-3088-4093-8F7B-A277E937E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7" authorId="3571" shapeId="0" xr:uid="{157FE0E8-9DD2-4C98-B596-D67091747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7" authorId="3572" shapeId="0" xr:uid="{933822D0-7058-4A04-82D2-1D12A1D3B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7" authorId="3573" shapeId="0" xr:uid="{8575C09F-3677-4D41-A5DC-910E955298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7" authorId="3574" shapeId="0" xr:uid="{A52D91E8-7960-4C6F-8786-E35D12FED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7" authorId="3575" shapeId="0" xr:uid="{A797608C-357F-4A58-8B39-779E986168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7" authorId="3576" shapeId="0" xr:uid="{0E72D8D2-2907-4732-ADA0-4D5DE1D624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7" authorId="3577" shapeId="0" xr:uid="{BE42D72F-A89E-45A2-A079-0CB0BA57C2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7" authorId="3578" shapeId="0" xr:uid="{118CCBCB-1955-4762-93B9-580DC700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7" authorId="3579" shapeId="0" xr:uid="{DD5F0180-77BE-4E0D-AA2F-17670C6D2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7" authorId="3580" shapeId="0" xr:uid="{F3EB43F1-9C73-467C-9607-70075D818B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7" authorId="3581" shapeId="0" xr:uid="{4A683F8E-A365-4BE8-A5BD-BB66527DA8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7" authorId="3582" shapeId="0" xr:uid="{B945874E-9EED-48D1-8A85-F3FCAE5E5B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7" authorId="3583" shapeId="0" xr:uid="{09140A33-AC8B-466F-BD2A-82F6A354BF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7" authorId="3584" shapeId="0" xr:uid="{66B79F32-9BB8-48DA-917B-D2DA9F18F8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7" authorId="3585" shapeId="0" xr:uid="{BD500D3C-C03B-4C26-A595-8CC0177926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7" authorId="3586" shapeId="0" xr:uid="{0B8A4741-91B3-4B8C-B3CE-C8CE07507E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7" authorId="3587" shapeId="0" xr:uid="{3B1B90FA-E6E0-4FE4-AFB1-8C8297B985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7" authorId="3588" shapeId="0" xr:uid="{9A9845F2-E441-4C6F-9066-09F8548B3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7" authorId="3589" shapeId="0" xr:uid="{02DAE641-EDDF-4A56-A796-447CF15674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7" authorId="3590" shapeId="0" xr:uid="{CF793661-9713-449B-BBB2-14356E81ED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7" authorId="3591" shapeId="0" xr:uid="{9A7E6AED-49B7-4999-8FB0-337A34D1F0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7" authorId="3592" shapeId="0" xr:uid="{065C31DE-DC0A-44A6-BC8E-283E5A8908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7" authorId="3593" shapeId="0" xr:uid="{9D0F45D5-F7C4-4E45-BA01-22091D14AD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7" authorId="3594" shapeId="0" xr:uid="{A1266F9D-5716-4974-8E1C-2C4D2E9340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7" authorId="3595" shapeId="0" xr:uid="{9BED9608-E333-4406-9217-8F49B712D5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7" authorId="3596" shapeId="0" xr:uid="{6D2F2226-282D-49BF-A9C7-4D16D768D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7" authorId="3597" shapeId="0" xr:uid="{54A93A54-68EE-4F9A-9037-B5790B5CB9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7" authorId="3598" shapeId="0" xr:uid="{C215DE38-9903-4752-8147-93C758A60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7" authorId="3599" shapeId="0" xr:uid="{F9B51FDF-CA7E-4042-9BC3-AA250DD05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3600" shapeId="0" xr:uid="{1E560464-7E1D-4652-831C-D684825A1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3601" shapeId="0" xr:uid="{6C59E022-781E-4AAD-AAB9-0B4ECE9E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8" authorId="3602" shapeId="0" xr:uid="{2465E733-5B73-4DE2-9B28-20AD18A28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8" authorId="3603" shapeId="0" xr:uid="{118F0F95-6AF5-4841-8E6C-F5EACCCC6A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8" authorId="3604" shapeId="0" xr:uid="{22566CF7-65FC-4EFD-8457-972A38EBE5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8" authorId="3605" shapeId="0" xr:uid="{7BF45B8E-A3EF-4E5B-88DA-2B2922574A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8" authorId="3606" shapeId="0" xr:uid="{734B0925-01B0-43CE-9389-861FD3C1E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8" authorId="3607" shapeId="0" xr:uid="{0C7A181F-CF1D-4529-A626-79946F96B4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8" authorId="3608" shapeId="0" xr:uid="{680123F9-0D39-4D11-82D7-1C164224EB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8" authorId="3609" shapeId="0" xr:uid="{B603BEE1-FF18-4258-91A4-6906B118A9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8" authorId="3610" shapeId="0" xr:uid="{7C9B5BD4-EEB6-4789-9E31-920B3FC0A6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8" authorId="3611" shapeId="0" xr:uid="{1006DC4A-F445-4201-8EBB-640D7FF5EA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8" authorId="3612" shapeId="0" xr:uid="{5D8F38F5-E07B-4670-B63C-93C187D117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8" authorId="3613" shapeId="0" xr:uid="{08E81102-0C77-409E-9FFD-B5301155D1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8" authorId="3614" shapeId="0" xr:uid="{9455AEA3-0CCC-46E8-91D5-222CD9EEE0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8" authorId="3615" shapeId="0" xr:uid="{E5DC602E-FA94-4ECA-BC7E-DE1EDF2C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8" authorId="3616" shapeId="0" xr:uid="{DC2DD4F9-33A2-430C-AA45-932B30F5A1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8" authorId="3617" shapeId="0" xr:uid="{1BA90773-5243-43D9-8B75-46388E78B0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8" authorId="3618" shapeId="0" xr:uid="{AB204ABB-E9C4-416A-A5F6-59C150463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8" authorId="3619" shapeId="0" xr:uid="{2B11E262-ADC3-40FE-8C2C-41B466B4A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8" authorId="3620" shapeId="0" xr:uid="{B1A2322C-D6D9-49D0-9166-B044EDDFB5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8" authorId="3621" shapeId="0" xr:uid="{D979467A-1B13-48D3-87EB-C5779FC91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8" authorId="3622" shapeId="0" xr:uid="{AF5B10AD-BD1E-4012-876E-64BBEB0198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8" authorId="3623" shapeId="0" xr:uid="{DFF42B77-EA8D-49BA-AD1A-61792BC821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8" authorId="3624" shapeId="0" xr:uid="{C8D2C7AD-E5AD-4106-9548-B344D81C9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8" authorId="3625" shapeId="0" xr:uid="{F8BEB70F-3F17-4BE0-BDA3-5A5CF3DF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8" authorId="3626" shapeId="0" xr:uid="{B48224A5-5ADD-4DD3-905C-C371134AEC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8" authorId="3627" shapeId="0" xr:uid="{95924913-A28A-49FF-B42D-3335299B96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8" authorId="3628" shapeId="0" xr:uid="{8E137125-2E11-4D4D-B937-EB5043BA2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8" authorId="3629" shapeId="0" xr:uid="{44C7F38F-0B6A-4F75-8408-0DCF38F00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8" authorId="3630" shapeId="0" xr:uid="{3D365AB8-BA3C-44B6-B6D9-C092668CFE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8" authorId="3631" shapeId="0" xr:uid="{E85D645B-FF2B-43AC-8939-C1A1F05D7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8" authorId="3632" shapeId="0" xr:uid="{8EA686D1-2E04-4285-8C57-00EE60234C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8" authorId="3633" shapeId="0" xr:uid="{EA1068D1-E69E-455F-A8DE-D9A1A8F631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8" authorId="3634" shapeId="0" xr:uid="{30FA1FD3-DA32-4D00-961F-887619712B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8" authorId="3635" shapeId="0" xr:uid="{D4841467-6537-428D-A3F3-0A0D0B7CBA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8" authorId="3636" shapeId="0" xr:uid="{E0C221D2-4D3E-493C-BB1C-BEAF5E5877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8" authorId="3637" shapeId="0" xr:uid="{76CC22A3-0473-4C03-8E24-D370ACDFF2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8" authorId="3638" shapeId="0" xr:uid="{96D71D25-DF16-4BBD-9958-4EB69AEF23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8" authorId="3639" shapeId="0" xr:uid="{8D8C3D6C-18B5-4CEE-815C-F5F57A82BB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8" authorId="3640" shapeId="0" xr:uid="{A440FAA5-38DB-4FE7-95DD-BA8871FE9A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8" authorId="3641" shapeId="0" xr:uid="{732312FA-EE15-4A00-8CAD-F01E23F542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8" authorId="3642" shapeId="0" xr:uid="{B5D6BA03-91D8-48E7-8BD3-569BFBFBC2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8" authorId="3643" shapeId="0" xr:uid="{F04EE5D2-394F-4ACD-87A2-7C30C22FD3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3644" shapeId="0" xr:uid="{AAEEE107-12DA-4008-81B0-1CFCDEC7C2A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29" authorId="3645" shapeId="0" xr:uid="{8DCBCA4E-41F2-4C3F-BB95-1619BF9804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29" authorId="3646" shapeId="0" xr:uid="{D4F31934-6614-4AEC-B8FC-690869FA91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0" authorId="3647" shapeId="0" xr:uid="{46CC4D3E-47B8-4006-A1F6-8EE08830F60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0" authorId="3648" shapeId="0" xr:uid="{C9AE66D7-7462-4EE2-BF37-6EE5150B82D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0" authorId="3649" shapeId="0" xr:uid="{C1FED32F-0AD8-4414-B423-7D2400E7E4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1" authorId="3650" shapeId="0" xr:uid="{ADDF608C-D361-41B7-809C-FE75C225FC8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1" authorId="3651" shapeId="0" xr:uid="{B34B78D2-EBF9-436D-AA16-5A1A7C06FC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1" authorId="3652" shapeId="0" xr:uid="{5B1B8DAB-AAD3-4437-B79D-A1CF35711F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2" authorId="3653" shapeId="0" xr:uid="{D0BFA2EB-230E-43B7-8ACE-1CD852C658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2" authorId="3654" shapeId="0" xr:uid="{C62ED52E-05C0-479A-A1B3-002A22E999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2" authorId="3655" shapeId="0" xr:uid="{4B10C6AF-74EA-47F4-BAFD-741C2134D1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3" authorId="3656" shapeId="0" xr:uid="{44B7DFB1-2B07-43CA-87B5-37D8E614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3" authorId="3657" shapeId="0" xr:uid="{71F328B4-4B62-421B-8976-1E3949CC3B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3" authorId="3658" shapeId="0" xr:uid="{BE7CD7E3-2F85-4FFD-9417-1C717B6C5A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4" authorId="3659" shapeId="0" xr:uid="{CC99F671-EE38-4BB7-ADBB-564CB283640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4" authorId="3660" shapeId="0" xr:uid="{2C1E1ECE-9FCD-4532-A27D-52F6C87CEAF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4" authorId="3661" shapeId="0" xr:uid="{4BD91870-6D7B-4595-A25D-F746B7576A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AE234" authorId="3662" shapeId="0" xr:uid="{E862EA4D-6596-451F-B1D3-4ED09FB5128F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BM234" authorId="3663" shapeId="0" xr:uid="{A7D0445E-39AD-400F-AD7E-9C7522A1D6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35" authorId="3664" shapeId="0" xr:uid="{A3BA9EAE-7EA0-4F91-BADD-2BDDE66073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5" authorId="3665" shapeId="0" xr:uid="{8BDBEDCD-3984-4E54-B53B-EB00B2DC951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5" authorId="3666" shapeId="0" xr:uid="{BDD30AC8-6A15-4B49-BBDE-DD7A2E6B1D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BM235" authorId="3667" shapeId="0" xr:uid="{3554AE8D-CD12-4557-8F97-77DEE2C914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236" authorId="3668" shapeId="0" xr:uid="{F162459C-025C-4A4E-AF33-9FEACD91DA5B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released and same has been declined in same month Apr'24</t>
      </text>
    </comment>
    <comment ref="R236" authorId="3669" shapeId="0" xr:uid="{87A118B9-B016-4032-AF4E-5E9DBAA87289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released and same has been declined in same month Apr'24</t>
      </text>
    </comment>
    <comment ref="S236" authorId="3670" shapeId="0" xr:uid="{D113DBF9-19C7-4FA2-AC8F-3DF2F10B14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T236" authorId="3671" shapeId="0" xr:uid="{B0A84C60-9051-4CA4-B811-FFEC532FF3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AA236" authorId="3672" shapeId="0" xr:uid="{514D2CCD-AD6A-4B14-AC75-161E6B75AA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Sept’24</t>
      </text>
    </comment>
    <comment ref="AB236" authorId="3673" shapeId="0" xr:uid="{ACE04D3F-6B89-454E-8710-48F0C947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</t>
      </text>
    </comment>
    <comment ref="AG236" authorId="3674" shapeId="0" xr:uid="{15DECA62-6A71-4117-873B-A7504F55E9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6" authorId="3675" shapeId="0" xr:uid="{590D73AD-EC9B-478D-8CBC-79A066B127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6" authorId="3676" shapeId="0" xr:uid="{F97D675E-300E-4FC5-AF3D-610951A7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6" authorId="3677" shapeId="0" xr:uid="{A19CE141-F217-49B3-AD2F-114C1ABD1AA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6" authorId="3678" shapeId="0" xr:uid="{91361AC5-A59C-4BD7-8062-EA2F9A2444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O236" authorId="3679" shapeId="0" xr:uid="{E7052DBD-8A6D-4110-B7F8-E7FAC6E4D6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6" authorId="3680" shapeId="0" xr:uid="{8B28E05D-68F3-4709-BD07-A3649FA8DE5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Q236" authorId="3681" shapeId="0" xr:uid="{7519414C-B716-49A5-9B7C-03676746E98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6" authorId="3682" shapeId="0" xr:uid="{523FB7F5-0E9E-47C9-956D-BD506F966B2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6" authorId="3683" shapeId="0" xr:uid="{DEB808EB-C917-4899-81E9-12D33B1856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6" authorId="3684" shapeId="0" xr:uid="{C308E63B-8EC3-424C-8887-962A8158D9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7" authorId="3685" shapeId="0" xr:uid="{F70A3995-0F7B-4EAC-ADD5-15105AF6A4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to validate</t>
      </text>
    </comment>
    <comment ref="U237" authorId="3686" shapeId="0" xr:uid="{8DCA1E40-1E7C-4F6D-8C2D-CF2CF9AE0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37" authorId="3687" shapeId="0" xr:uid="{2D32743E-9BB0-4E2A-B993-02F05DF83DB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7" authorId="3688" shapeId="0" xr:uid="{5D7FD367-F7CF-4C4C-B8C6-E844531F7E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7" authorId="3689" shapeId="0" xr:uid="{F54BEF4A-E306-4CC6-A793-7AEC55B1231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7" authorId="3690" shapeId="0" xr:uid="{BE4FDF45-E978-4A18-A3BD-D79F4CB0BD3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7" authorId="3691" shapeId="0" xr:uid="{40AD5AD6-1814-4FFC-8BF3-F5D88C1DBA2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7" authorId="3692" shapeId="0" xr:uid="{6A612851-049C-4F9F-98F2-E70725FB7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7" authorId="3693" shapeId="0" xr:uid="{DA8A316C-4835-46A2-8F84-34D7CE5527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7" authorId="3694" shapeId="0" xr:uid="{E2B13F65-4943-4CA8-ABA8-75D04993D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7" authorId="3695" shapeId="0" xr:uid="{7FADA0EA-B559-40C2-B8C1-35C8E086C5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8" authorId="3696" shapeId="0" xr:uid="{A86EB483-0A19-4BC6-B2E2-58CBC796A0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to validate</t>
      </text>
    </comment>
    <comment ref="U238" authorId="3697" shapeId="0" xr:uid="{37B21F2D-919E-4C8A-9158-24CEEA8E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238" authorId="3698" shapeId="0" xr:uid="{004D195D-A305-4631-AA37-AAB4F384FE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238" authorId="3699" shapeId="0" xr:uid="{C65D0D3E-0BB8-4ADF-968F-33C6DBDCB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38" authorId="3700" shapeId="0" xr:uid="{5D6B73A5-E658-4651-B150-D1F1E1743B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8" authorId="3701" shapeId="0" xr:uid="{1F9FA1DC-8064-479A-B75B-7DA0A7A8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8" authorId="3702" shapeId="0" xr:uid="{A3BCEDB4-B2DA-422C-BD0F-D6A4D2A32E3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8" authorId="3703" shapeId="0" xr:uid="{D59B8B29-48D1-4B0E-8C25-C1E3657169C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8" authorId="3704" shapeId="0" xr:uid="{6A40BBED-8E79-46BC-97B8-8A218B0C60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8" authorId="3705" shapeId="0" xr:uid="{0943A0BD-6C5A-4AD2-93F7-E8E45BEF2F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8" authorId="3706" shapeId="0" xr:uid="{E2F6D85B-CD25-4EC7-BE22-D77B08D310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8" authorId="3707" shapeId="0" xr:uid="{0909C82F-2465-4602-B54F-DF88CB59FA5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8" authorId="3708" shapeId="0" xr:uid="{C5E81B42-D8A1-461C-A4A5-E774ACC9EC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9" authorId="3709" shapeId="0" xr:uid="{D6344868-7691-4C9B-8570-05C444388C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U239" authorId="3710" shapeId="0" xr:uid="{625F038A-8DB1-495A-AE01-9C6C175334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V239" authorId="3711" shapeId="0" xr:uid="{76275675-0D57-475B-8670-5B747F9A29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AG239" authorId="3712" shapeId="0" xr:uid="{89E67829-D9DF-4C48-9D9B-E3980DF051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9" authorId="3713" shapeId="0" xr:uid="{C260BCB7-D742-482E-A7D4-72B475FADA0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9" authorId="3714" shapeId="0" xr:uid="{9D0B2081-4742-4764-B5EF-322EB060AE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9" authorId="3715" shapeId="0" xr:uid="{0D1A94DB-AF34-448B-9CCD-1AAD11FFFD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9" authorId="3716" shapeId="0" xr:uid="{E72EAADE-1EC2-44B2-BA42-52F218990A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9" authorId="3717" shapeId="0" xr:uid="{244006FF-03EE-4F4D-AD02-B0110E451C8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9" authorId="3718" shapeId="0" xr:uid="{D28BEA62-084A-4029-AA47-10D6AF184D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9" authorId="3719" shapeId="0" xr:uid="{642D1F81-A266-4551-B436-6F77D5246A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9" authorId="3720" shapeId="0" xr:uid="{B45598AA-BB12-4940-9564-D742C961338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Q240" authorId="3721" shapeId="0" xr:uid="{FCA32E43-9C16-4275-A149-F67909FFCB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Joining's in Apr'24</t>
      </text>
    </comment>
    <comment ref="R240" authorId="3722" shapeId="0" xr:uid="{D9BEE0BD-C84B-4870-9F7A-10B3317B2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Joining's in Apr'24</t>
      </text>
    </comment>
    <comment ref="S240" authorId="3723" shapeId="0" xr:uid="{CC6A89AE-2F80-4F85-8F67-40CE3E015E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T240" authorId="3724" shapeId="0" xr:uid="{40F9BE87-BBAA-4829-A06F-E713AD577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U240" authorId="3725" shapeId="0" xr:uid="{1BF7E742-F072-4BFB-AD4D-831ACE0FEE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V240" authorId="3726" shapeId="0" xr:uid="{5FBF99BE-A306-447C-8221-18A0035168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AG240" authorId="3727" shapeId="0" xr:uid="{AFA0CB99-FC3C-4549-8BED-59C4A919F0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0" authorId="3728" shapeId="0" xr:uid="{BE871ADD-03CB-400B-A766-79AC641C71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0" authorId="3729" shapeId="0" xr:uid="{07588343-81EA-4F95-B499-0C651D5E3FA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0" authorId="3730" shapeId="0" xr:uid="{202F5F1E-7175-43EC-A97E-8CE6736CC5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0" authorId="3731" shapeId="0" xr:uid="{E4E96293-B9A3-445A-A8C9-81AE529522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0" authorId="3732" shapeId="0" xr:uid="{1E617A72-D89F-42A1-9C14-1E9C9FC475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0" authorId="3733" shapeId="0" xr:uid="{71D719B3-7B2A-4DD4-A899-2F00180DC23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0" authorId="3734" shapeId="0" xr:uid="{721C3ED7-7EAB-4C2B-87E2-C744F37494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0" authorId="3735" shapeId="0" xr:uid="{B669B356-F8EE-48D6-84AB-47834B623F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W241" authorId="3736" shapeId="0" xr:uid="{7EBB0C09-4DEB-43B5-8ED5-C9F3018F1F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selections</t>
      </text>
    </comment>
    <comment ref="AA241" authorId="3737" shapeId="0" xr:uid="{04E10312-B9F6-45C7-98F8-B389D124C6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41" authorId="3738" shapeId="0" xr:uid="{4EB698BE-9E5D-4928-BBBF-01D12A2DFE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1" authorId="3739" shapeId="0" xr:uid="{6E1601F0-36C0-49B2-84E9-ADC24C81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1" authorId="3740" shapeId="0" xr:uid="{DC6A8526-F471-4BE0-BD8F-36AD717E3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1" authorId="3741" shapeId="0" xr:uid="{21294B9C-BFFD-48F5-B513-87990D250D4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1" authorId="3742" shapeId="0" xr:uid="{A071E22C-170A-4E37-84E2-F628B932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1" authorId="3743" shapeId="0" xr:uid="{58805824-7BA9-4269-B9D8-D04531CAD0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1" authorId="3744" shapeId="0" xr:uid="{235C3A34-8E5B-4B31-B559-DED9B41D4A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1" authorId="3745" shapeId="0" xr:uid="{B19082D6-0873-427F-84AC-035ABD9116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1" authorId="3746" shapeId="0" xr:uid="{5DE783F7-E57B-493B-97BA-081765E7E47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42" authorId="3747" shapeId="0" xr:uid="{85E05DE1-1C09-4F7E-A267-6D5596C749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YTJ cases added to pipeline till May'24</t>
      </text>
    </comment>
    <comment ref="U242" authorId="3748" shapeId="0" xr:uid="{B2B1B60C-7844-40B0-BA73-1BEC1CB4F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drops</t>
      </text>
    </comment>
    <comment ref="W242" authorId="3749" shapeId="0" xr:uid="{3B1A40FA-FA19-427B-8184-61864708D3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drops</t>
      </text>
    </comment>
    <comment ref="AG242" authorId="3750" shapeId="0" xr:uid="{1E44612F-1A1D-43E2-B8F0-91B4ABA4CB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2" authorId="3751" shapeId="0" xr:uid="{553ED539-328E-4DE2-B3DC-AE3E26423E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2" authorId="3752" shapeId="0" xr:uid="{06E96D73-0512-43C1-BC3F-A25EB55BAA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2" authorId="3753" shapeId="0" xr:uid="{5591CDC5-6AC4-441B-B5B4-342B596DE6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2" authorId="3754" shapeId="0" xr:uid="{1C67F845-C6C2-4725-AFD7-AEF82D1352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2" authorId="3755" shapeId="0" xr:uid="{380FB309-AB6A-46A7-B7EA-19855A9135C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2" authorId="3756" shapeId="0" xr:uid="{865BA151-55A6-4E9D-9DB9-139C071B6A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2" authorId="3757" shapeId="0" xr:uid="{A7EDC60F-A182-4BED-91F7-44BBBFF0C3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2" authorId="3758" shapeId="0" xr:uid="{FF260CC5-18D4-48CE-83D8-CDAE153737C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Q243" authorId="3759" shapeId="0" xr:uid="{D4B747CF-8C9C-47C9-98D2-5CD11FC4DB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3" authorId="3760" shapeId="0" xr:uid="{C28E698D-A839-452F-AF29-CF26C107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3" authorId="3761" shapeId="0" xr:uid="{0B726D13-394E-4706-9841-7BB97ED550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3" authorId="3762" shapeId="0" xr:uid="{F7E0A2EF-6EB5-4C43-ADB5-0CED4E9F93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3" authorId="3763" shapeId="0" xr:uid="{DED2B926-442F-4418-88F3-A58C6A050F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3" authorId="3764" shapeId="0" xr:uid="{D24B2E87-1B77-4D1A-8F5A-9EC7C76D04A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3" authorId="3765" shapeId="0" xr:uid="{12F2A85F-D1D2-47CC-8F4B-9A668688D6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3" authorId="3766" shapeId="0" xr:uid="{D9BAD02C-C1D7-4104-A2FE-225A111C57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3" authorId="3767" shapeId="0" xr:uid="{3F96EA22-C08E-434A-AEA4-606473BB9B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3" authorId="3768" shapeId="0" xr:uid="{D0A94A55-AEA7-4B04-B8EC-692871CF6B9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3" authorId="3769" shapeId="0" xr:uid="{AFF7F225-B7EB-4F3F-8565-394E6CEEEB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3" authorId="3770" shapeId="0" xr:uid="{40166F2F-029A-4C45-96B2-AEE1E05EE1E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3" authorId="3771" shapeId="0" xr:uid="{EE0C2042-054F-4E4A-8274-CE47167C44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3" authorId="3772" shapeId="0" xr:uid="{409EDC53-5234-4897-B4CE-41262E8806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3" authorId="3773" shapeId="0" xr:uid="{06D48FEA-31FD-4BFB-A172-675B2B69DA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3" authorId="3774" shapeId="0" xr:uid="{2CB19FBA-A0CA-4092-826B-B2787936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3" authorId="3775" shapeId="0" xr:uid="{2087548B-AF71-4CA3-B295-38FF4F730B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3" authorId="3776" shapeId="0" xr:uid="{B8A8A69E-E86C-45B0-9AD4-72DB3942554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3" authorId="3777" shapeId="0" xr:uid="{4047DEE4-F943-441C-A978-FC7C0BACA33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3" authorId="3778" shapeId="0" xr:uid="{91BAB6E2-80F2-431D-A7CB-22F2CDC23C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3" authorId="3779" shapeId="0" xr:uid="{0D362737-6638-4690-9507-FC6AFCED1D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3" authorId="3780" shapeId="0" xr:uid="{0A58EF80-7E11-4024-9A61-FA187D0358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3" authorId="3781" shapeId="0" xr:uid="{3E8A7236-EA55-4963-B91C-C1F8FDE56C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3" authorId="3782" shapeId="0" xr:uid="{B36FC6DA-0A6E-4348-8F2B-9E3FC606F3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3" authorId="3783" shapeId="0" xr:uid="{2ACAC7B6-73B3-4AB7-8D4C-616B61F503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3" authorId="3784" shapeId="0" xr:uid="{7BE72443-13B1-4B7D-9A0E-9E2696DDF3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3" authorId="3785" shapeId="0" xr:uid="{B51A69D4-55ED-4A2C-87F1-D4A973C9D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3" authorId="3786" shapeId="0" xr:uid="{A59AAE34-4679-48E9-B57D-2DF376086A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3" authorId="3787" shapeId="0" xr:uid="{D6CD4479-1AA2-4370-8FA4-A4E69C7569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3" authorId="3788" shapeId="0" xr:uid="{D97D8A32-B6AC-42BF-9244-13C8217134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3" authorId="3789" shapeId="0" xr:uid="{751F1993-A4E9-45B2-BB63-E403F146C5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3" authorId="3790" shapeId="0" xr:uid="{4496BEE2-4B36-456C-9804-74D101E7885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3" authorId="3791" shapeId="0" xr:uid="{A3CCF7D3-49A7-457E-B8A4-1D2373697E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3" authorId="3792" shapeId="0" xr:uid="{AF2BFAFE-1B7D-4E96-A4FC-7846852B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3" authorId="3793" shapeId="0" xr:uid="{DBC17E8D-390F-4398-BC9D-842CC96B57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3" authorId="3794" shapeId="0" xr:uid="{96DA6081-6E4C-4AC1-A4A8-2B779D40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3" authorId="3795" shapeId="0" xr:uid="{D53C6CE1-D162-4A63-A0CC-A7105B7B029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3" authorId="3796" shapeId="0" xr:uid="{E5C8FC6C-137D-4009-B0D7-E586EB38D8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3" authorId="3797" shapeId="0" xr:uid="{89C7437B-EB67-492C-AB81-77A6D0B70C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3" authorId="3798" shapeId="0" xr:uid="{00DD59E8-30B1-48CD-BDF1-0E3BE99ABE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3" authorId="3799" shapeId="0" xr:uid="{C9CE8870-CA46-4E7E-B0A1-1BFA1FA908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3" authorId="3800" shapeId="0" xr:uid="{BC8745D1-FEFC-41B9-BDEA-E05AE81235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3" authorId="3801" shapeId="0" xr:uid="{104579BD-CBDF-46C7-9884-DA8ECE4CE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3" authorId="3802" shapeId="0" xr:uid="{D40100DB-A5CE-4A5E-A7A0-6843C1430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3" authorId="3803" shapeId="0" xr:uid="{68E494C3-EFFD-480C-A060-15720801D2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3" authorId="3804" shapeId="0" xr:uid="{834886F1-C821-4749-8E80-593B8A253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3" authorId="3805" shapeId="0" xr:uid="{82304531-25E7-4F3B-B544-1046351CE8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3" authorId="3806" shapeId="0" xr:uid="{9FB85E7E-9CB5-4C94-B842-747EE734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3" authorId="3807" shapeId="0" xr:uid="{6ECA048D-5C03-4E5A-B6CB-E3C08F2AB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3" authorId="3808" shapeId="0" xr:uid="{D771C55D-1164-4252-98C1-850E403EA4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3" authorId="3809" shapeId="0" xr:uid="{4ECB95D4-BE11-4DA4-8A39-9BA447DD4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3" authorId="3810" shapeId="0" xr:uid="{8D621897-69B5-4243-A503-7B9F19F211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3" authorId="3811" shapeId="0" xr:uid="{802D9DE0-776D-49C5-8EE2-19B00F404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3" authorId="3812" shapeId="0" xr:uid="{C0009D9B-AAD5-47CB-A977-9DDD1B1F8D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4" authorId="3813" shapeId="0" xr:uid="{6BC3A6DD-2F5F-4675-B9F5-16A997692A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4" authorId="3814" shapeId="0" xr:uid="{C166466E-63C2-4B3B-B202-CE7EAC261C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4" authorId="3815" shapeId="0" xr:uid="{00E44EF9-932E-4823-B43A-CF031B3015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4" authorId="3816" shapeId="0" xr:uid="{E17DC24D-C11A-444D-AEBD-710E28F829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4" authorId="3817" shapeId="0" xr:uid="{7B5D9696-3C85-4DDF-86E4-FCA5EF14DE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4" authorId="3818" shapeId="0" xr:uid="{0E10C381-B8C3-45DD-A67E-867DB36DDF5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4" authorId="3819" shapeId="0" xr:uid="{505BA856-D677-4DB2-937F-A993DE8589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4" authorId="3820" shapeId="0" xr:uid="{7F4E563A-3692-434E-A1D5-5F4C471358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4" authorId="3821" shapeId="0" xr:uid="{8BD64E31-0ACF-4255-B053-94D544F9D67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4" authorId="3822" shapeId="0" xr:uid="{C1E02D23-38D0-468A-A58C-49EB4A880F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4" authorId="3823" shapeId="0" xr:uid="{18902211-EA40-41BD-9663-0C1F9879A0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4" authorId="3824" shapeId="0" xr:uid="{B6207572-3635-4ACA-9C05-A024689F57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4" authorId="3825" shapeId="0" xr:uid="{693CD326-7DDB-4D83-B600-CBCC491E6AE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4" authorId="3826" shapeId="0" xr:uid="{67843661-7494-4670-ABDC-71135DD16C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4" authorId="3827" shapeId="0" xr:uid="{57A3792D-2B03-4EA5-AB64-AA360A1C2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4" authorId="3828" shapeId="0" xr:uid="{C0BAA1FB-72AF-4DA0-BFDB-DCC4FFCD2D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4" authorId="3829" shapeId="0" xr:uid="{BEFF2375-B590-4DA0-9211-8354C5EE1F0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4" authorId="3830" shapeId="0" xr:uid="{AF5324AB-7A88-437D-9EB9-962562DB7B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4" authorId="3831" shapeId="0" xr:uid="{7C25500D-12C9-41FF-94A1-76C47096B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4" authorId="3832" shapeId="0" xr:uid="{10C04FDA-FD4F-4168-AA39-1F84B47A122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4" authorId="3833" shapeId="0" xr:uid="{0E9C1E4B-287B-4BFE-A122-B5499C0AA8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4" authorId="3834" shapeId="0" xr:uid="{479D02B5-902E-4057-A89B-085B462831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4" authorId="3835" shapeId="0" xr:uid="{E7A83F24-5B10-4DDD-BC95-647F3F1AA0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4" authorId="3836" shapeId="0" xr:uid="{43F88CB7-F875-4886-8C05-DD6472B0E4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4" authorId="3837" shapeId="0" xr:uid="{54ADD456-C44B-4311-B9EC-969E455021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4" authorId="3838" shapeId="0" xr:uid="{5F25172C-746C-41E1-B796-2DD4045253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4" authorId="3839" shapeId="0" xr:uid="{431BCFF2-414C-4C0F-B6A1-839445E512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4" authorId="3840" shapeId="0" xr:uid="{FCAB6733-22A1-42F1-8587-2AA480113E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4" authorId="3841" shapeId="0" xr:uid="{F8636D3E-017B-48C2-BD7F-88311BB20C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4" authorId="3842" shapeId="0" xr:uid="{22FFC0C5-09A3-484C-BE06-A1061A2C5D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4" authorId="3843" shapeId="0" xr:uid="{E6386A10-910D-4CF2-87D8-04F937FD0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4" authorId="3844" shapeId="0" xr:uid="{1876B228-78BF-4743-87BE-3F51E74146A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4" authorId="3845" shapeId="0" xr:uid="{A2348E13-1A9E-4982-93A3-4730C9B6D1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4" authorId="3846" shapeId="0" xr:uid="{D4D32639-B4B8-4215-B56B-7961FC198C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4" authorId="3847" shapeId="0" xr:uid="{91FC600C-5B2A-41C7-8942-543D652C4E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4" authorId="3848" shapeId="0" xr:uid="{8037ED47-A7CF-406A-B894-97104D9CF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4" authorId="3849" shapeId="0" xr:uid="{25A8DDD7-1777-4644-8F5C-342F1DC6AA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4" authorId="3850" shapeId="0" xr:uid="{EF6244B7-15AC-4E73-869D-203EB02F05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4" authorId="3851" shapeId="0" xr:uid="{51A17F56-605B-4F5C-828D-ACDA15F3CC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4" authorId="3852" shapeId="0" xr:uid="{B629797A-107E-4C4E-887F-BAFB47CFC4D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4" authorId="3853" shapeId="0" xr:uid="{73AD26EC-CE52-49FB-8E81-22C8C2DB12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4" authorId="3854" shapeId="0" xr:uid="{C7F14CB4-4E37-4795-8DD0-0E7D1740C1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4" authorId="3855" shapeId="0" xr:uid="{CF87B15B-97E6-4A06-958F-77C953C5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4" authorId="3856" shapeId="0" xr:uid="{ADFA1C35-F5EE-431F-A74D-E1EBCF0BE9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4" authorId="3857" shapeId="0" xr:uid="{E59052DA-05F1-4C03-BF93-61DC474F9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4" authorId="3858" shapeId="0" xr:uid="{7985DFAF-04FC-4532-8E1F-B852AFBF9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4" authorId="3859" shapeId="0" xr:uid="{2FC78040-338D-40B9-8469-C6E8704EA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4" authorId="3860" shapeId="0" xr:uid="{EBCB813C-2EBB-4B6B-AAF9-56F4793886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4" authorId="3861" shapeId="0" xr:uid="{C48653AD-6E00-464E-98CC-40E1E03B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4" authorId="3862" shapeId="0" xr:uid="{40874A33-CFA6-4B02-9E44-1253D9B669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4" authorId="3863" shapeId="0" xr:uid="{CC2C82A1-4299-4BA7-A228-1695E9D51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4" authorId="3864" shapeId="0" xr:uid="{00EB213F-3B26-4BEB-9F77-D41384956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4" authorId="3865" shapeId="0" xr:uid="{3C9ABF1C-87D9-49C2-9C36-2C850F722C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4" authorId="3866" shapeId="0" xr:uid="{1C6B4B9D-D1BF-47BF-A82E-1DEF0B0453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5" authorId="3867" shapeId="0" xr:uid="{9260EF9A-6CF0-4F20-A4A4-E7F511CAEF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5" authorId="3868" shapeId="0" xr:uid="{68ED7134-80DB-4245-9433-69AE77DA25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5" authorId="3869" shapeId="0" xr:uid="{BD3E9966-5A9D-413D-A5C9-653C669F7C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5" authorId="3870" shapeId="0" xr:uid="{0BE69EC0-E1F4-481E-9ABE-E63A931982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5" authorId="3871" shapeId="0" xr:uid="{C8AA9BA5-EED2-4C73-8235-E8101FACE8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5" authorId="3872" shapeId="0" xr:uid="{12336959-BF01-4138-9FB0-395A8C30F6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5" authorId="3873" shapeId="0" xr:uid="{17EAF479-FBE4-406D-BFC0-B84E7EBFBA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5" authorId="3874" shapeId="0" xr:uid="{9B3D1C74-7844-4F7B-9A92-861E8D31BBB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5" authorId="3875" shapeId="0" xr:uid="{6BD0FA3A-1923-447C-BF25-12A2E6AE24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5" authorId="3876" shapeId="0" xr:uid="{740D00CC-364B-4488-A5C5-068280D009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5" authorId="3877" shapeId="0" xr:uid="{79DBD18D-9C03-48DD-A312-619AD58793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5" authorId="3878" shapeId="0" xr:uid="{A27DF4AD-7AB1-4748-9F9C-5D4DD074A21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5" authorId="3879" shapeId="0" xr:uid="{5318EB60-7E33-4B20-9B72-2403EEA22B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5" authorId="3880" shapeId="0" xr:uid="{8E2279BD-01D3-49AC-B9F7-F8314D2DE07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5" authorId="3881" shapeId="0" xr:uid="{6DED4BC9-79DC-4CE8-BDBD-096A9E47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5" authorId="3882" shapeId="0" xr:uid="{E12333A8-8A4E-4F07-B5DE-E38397FA3D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5" authorId="3883" shapeId="0" xr:uid="{F6CF19F8-E303-4F3E-96D0-BE2FCF5EF8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5" authorId="3884" shapeId="0" xr:uid="{8BE2C263-ED9B-4921-940D-195FD06EF3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5" authorId="3885" shapeId="0" xr:uid="{FAD3F9BA-50AC-4C78-9FA2-18650237A2C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5" authorId="3886" shapeId="0" xr:uid="{948FA309-F793-48D8-AA3F-375FBB0982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5" authorId="3887" shapeId="0" xr:uid="{78DF8892-A470-4D76-B483-8BEF50C8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5" authorId="3888" shapeId="0" xr:uid="{16038A02-6B79-4874-BF00-300B1C0BA7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5" authorId="3889" shapeId="0" xr:uid="{5B5AC7EE-E8DE-4651-BC6A-C9AE2CAB783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5" authorId="3890" shapeId="0" xr:uid="{03353534-DEC5-41F6-815B-9D2116CE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5" authorId="3891" shapeId="0" xr:uid="{0C2ED063-F928-4ADB-9031-29BAE01331B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5" authorId="3892" shapeId="0" xr:uid="{B5C9D8AB-CBC2-4C41-AA74-47DB8D2B1D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5" authorId="3893" shapeId="0" xr:uid="{59EBE3BF-77C6-464A-80F2-3A1A5D2881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5" authorId="3894" shapeId="0" xr:uid="{BEB240E0-1A38-45E1-812B-1D7F3A1B30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5" authorId="3895" shapeId="0" xr:uid="{8BCA66E8-1CFE-449A-A01A-D3C2606E9F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5" authorId="3896" shapeId="0" xr:uid="{B51BAA50-E807-400E-86F1-657AB33366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5" authorId="3897" shapeId="0" xr:uid="{2EE69732-F115-4194-ABE7-4B025FB0EE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5" authorId="3898" shapeId="0" xr:uid="{A1D2805F-9657-40AB-87CD-1EFE33576F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5" authorId="3899" shapeId="0" xr:uid="{5EE16DC9-673B-43C1-9206-110861501CE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5" authorId="3900" shapeId="0" xr:uid="{050A62BD-5CAA-491F-A117-CDC9F371C0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5" authorId="3901" shapeId="0" xr:uid="{15D8B7D3-D33E-410C-A801-AFFB518E89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5" authorId="3902" shapeId="0" xr:uid="{CD91BE74-7395-4492-B629-7570EFF6D5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5" authorId="3903" shapeId="0" xr:uid="{E0553522-DF04-44B7-A2CB-062205F00B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5" authorId="3904" shapeId="0" xr:uid="{A96B45BB-53CE-4527-99ED-2320342577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5" authorId="3905" shapeId="0" xr:uid="{795DCFDC-D2CD-40E6-9FEF-E3D80B860D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5" authorId="3906" shapeId="0" xr:uid="{CE5766BC-8206-4762-B3EF-37D778158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5" authorId="3907" shapeId="0" xr:uid="{C95A38AB-8CAD-4603-AA6D-CAA46CA411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5" authorId="3908" shapeId="0" xr:uid="{CB86A1F4-8512-405A-B772-77651D8003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5" authorId="3909" shapeId="0" xr:uid="{E71F4197-7D1D-4B37-B3E1-46466E63E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5" authorId="3910" shapeId="0" xr:uid="{441257A4-1BCA-4AAA-A3D8-DE06FC61E5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5" authorId="3911" shapeId="0" xr:uid="{0C391540-E77E-4CFF-9255-08242EFE56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5" authorId="3912" shapeId="0" xr:uid="{506EEF95-0926-46CF-A23D-5EBA36CC5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5" authorId="3913" shapeId="0" xr:uid="{0E48960F-F487-447B-BCED-0CDABB9396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5" authorId="3914" shapeId="0" xr:uid="{96B4B1A6-48D9-40EF-B78D-791849B93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5" authorId="3915" shapeId="0" xr:uid="{9203141C-BEB4-4994-BB73-1F25467233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5" authorId="3916" shapeId="0" xr:uid="{3306DF54-7E14-4313-8470-B5B2B6619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5" authorId="3917" shapeId="0" xr:uid="{B776DC69-2339-4424-8C7B-5CABA8B15F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5" authorId="3918" shapeId="0" xr:uid="{CCB5E4CB-E0B0-49A4-8BE5-894E42A0CA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5" authorId="3919" shapeId="0" xr:uid="{284903EE-23CA-4B73-862A-79EE5EDF91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5" authorId="3920" shapeId="0" xr:uid="{B2649280-FA0F-4878-B775-802CBD6901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6" authorId="3921" shapeId="0" xr:uid="{22037264-845C-41DB-9EA9-94509AA6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6" authorId="3922" shapeId="0" xr:uid="{BAAC7CD9-BFED-4210-AB5A-1E554BB17C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6" authorId="3923" shapeId="0" xr:uid="{0B017936-6354-4F07-A90F-1AB7985E73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6" authorId="3924" shapeId="0" xr:uid="{1B6FA250-9505-49F2-BA54-814129268A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6" authorId="3925" shapeId="0" xr:uid="{BA0DE21C-4633-4AEB-8089-57F2307E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6" authorId="3926" shapeId="0" xr:uid="{0CDA119C-C94E-4CC1-9FD8-D94931127C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6" authorId="3927" shapeId="0" xr:uid="{24F7D4AA-AA4D-43CA-815F-E65CA4E9ADD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6" authorId="3928" shapeId="0" xr:uid="{528DD73E-B490-4769-AE97-7EEE995CE7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6" authorId="3929" shapeId="0" xr:uid="{217706FE-024E-4B03-8DA4-23C41BAC1A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6" authorId="3930" shapeId="0" xr:uid="{77339074-4E9F-49A8-BCC6-8F20DAC913F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6" authorId="3931" shapeId="0" xr:uid="{47CB8CFB-BF3E-4118-8525-D4849F350E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6" authorId="3932" shapeId="0" xr:uid="{B8F2D7EA-C6E9-4E81-8A2E-C3730A1C6B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6" authorId="3933" shapeId="0" xr:uid="{09EEA295-0896-4055-8DB4-CDE83860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6" authorId="3934" shapeId="0" xr:uid="{1FF14342-8F3C-4C7D-BF2E-518E18C9A0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6" authorId="3935" shapeId="0" xr:uid="{DCFD8AE8-1D76-4A0A-8C9C-431A51AC81A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6" authorId="3936" shapeId="0" xr:uid="{2EE09F22-5258-42ED-8885-8EFA130911A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6" authorId="3937" shapeId="0" xr:uid="{8A13431F-5295-4386-9390-3118C6C5CE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6" authorId="3938" shapeId="0" xr:uid="{C5D8665C-505F-4966-9DC4-9DA4930982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6" authorId="3939" shapeId="0" xr:uid="{AD982DD6-3B5B-4EF8-9598-CA46379159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6" authorId="3940" shapeId="0" xr:uid="{12072D61-A38B-453E-A591-BFAC70C5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6" authorId="3941" shapeId="0" xr:uid="{C7E2667A-E021-4DD2-8E41-2F31378F39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6" authorId="3942" shapeId="0" xr:uid="{0DC763F3-D57C-4BB0-8E16-2E315E8614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6" authorId="3943" shapeId="0" xr:uid="{9AF33115-8F0F-4FBA-8F31-9820B47F05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6" authorId="3944" shapeId="0" xr:uid="{8C421245-6D4D-42E8-BB32-94A3FEEB20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6" authorId="3945" shapeId="0" xr:uid="{C64F955C-3854-4C9B-A0A1-4B7052184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6" authorId="3946" shapeId="0" xr:uid="{723BAFCB-6347-4879-886A-3FEDB00B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6" authorId="3947" shapeId="0" xr:uid="{5D10CB2D-E426-4254-B4CF-5AB0F82A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6" authorId="3948" shapeId="0" xr:uid="{72774215-04C4-4384-AA58-84F6F9A6DF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6" authorId="3949" shapeId="0" xr:uid="{B1D79785-F009-4E17-9083-B69B3254EB3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6" authorId="3950" shapeId="0" xr:uid="{D09DB8F2-1965-45C3-B035-C92ADE851D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6" authorId="3951" shapeId="0" xr:uid="{7B562761-2F19-45B9-AE05-65BA4EB0FB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6" authorId="3952" shapeId="0" xr:uid="{20FCFA4D-E915-4EE4-9B9F-40C82191753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6" authorId="3953" shapeId="0" xr:uid="{C5E1F83F-B272-45BF-B592-0F2324E0CD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6" authorId="3954" shapeId="0" xr:uid="{C3961744-07C4-4074-B1CC-A5FCC8E92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6" authorId="3955" shapeId="0" xr:uid="{331D9466-96D4-48BD-A4FC-C832EC2F56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6" authorId="3956" shapeId="0" xr:uid="{CF1F0DE2-7239-4FFD-9312-597FD4C41D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6" authorId="3957" shapeId="0" xr:uid="{FDAA77E8-CBFA-4B4F-A950-A0F7CB6C3D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6" authorId="3958" shapeId="0" xr:uid="{472B8453-61BC-44C6-8955-B2E265610D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6" authorId="3959" shapeId="0" xr:uid="{555014E8-EF8C-4FF3-8D8A-84C56B37AD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6" authorId="3960" shapeId="0" xr:uid="{6CCD8F12-59E4-47D9-BE7A-B8FA98AB50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6" authorId="3961" shapeId="0" xr:uid="{34B9A9AF-816A-42A4-BECD-CFC36FD4B1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6" authorId="3962" shapeId="0" xr:uid="{A258DCDF-CB4E-4A3F-999D-74FC94CCE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6" authorId="3963" shapeId="0" xr:uid="{949CFD0E-7274-454A-AF87-5063BB318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6" authorId="3964" shapeId="0" xr:uid="{301A696B-14A0-4F55-81EC-0157121066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6" authorId="3965" shapeId="0" xr:uid="{14CB48FA-AD29-4F17-8985-7FA8B3FE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6" authorId="3966" shapeId="0" xr:uid="{0DC547A2-7EEC-47DE-82B4-B37480331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6" authorId="3967" shapeId="0" xr:uid="{9A4CB785-2664-4467-8ABA-BF0ECE64E5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6" authorId="3968" shapeId="0" xr:uid="{B8CFF8E7-1E6A-4BFB-A558-DA7184366D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6" authorId="3969" shapeId="0" xr:uid="{F61CB40F-440B-4470-8E80-5B7D9AEF70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6" authorId="3970" shapeId="0" xr:uid="{08F6A2B0-1DDE-415B-AFEA-5BF45D83C4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6" authorId="3971" shapeId="0" xr:uid="{16026081-E953-473B-8610-3E1544C543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6" authorId="3972" shapeId="0" xr:uid="{06FF2A38-C440-4645-90BB-E7C2A39B8A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6" authorId="3973" shapeId="0" xr:uid="{1A32DBFC-E66C-41DA-912B-4AFC6A4D3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6" authorId="3974" shapeId="0" xr:uid="{06EE9987-7925-416A-8273-4A1B205689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7" authorId="3975" shapeId="0" xr:uid="{F8D26C87-8AC4-44E3-8A2E-8102D92A2B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7" authorId="3976" shapeId="0" xr:uid="{D55C91F5-0B40-4216-A418-036FAA40F9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7" authorId="3977" shapeId="0" xr:uid="{2DE0E556-3148-4B7A-9AD4-EAC3868D3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7" authorId="3978" shapeId="0" xr:uid="{31CE2277-F378-42E5-B9B9-C2DE412BA1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7" authorId="3979" shapeId="0" xr:uid="{BEE0E493-02A3-4FCD-9ECC-B17E037E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7" authorId="3980" shapeId="0" xr:uid="{5EB0411C-45E3-4242-AF68-047E1A9233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7" authorId="3981" shapeId="0" xr:uid="{E77777C9-B331-41C8-99AC-6A291D4C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7" authorId="3982" shapeId="0" xr:uid="{9BD3173B-4B2C-4F70-9710-8BF435385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7" authorId="3983" shapeId="0" xr:uid="{9A74895E-8A1C-4984-BB29-AFA755B27B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7" authorId="3984" shapeId="0" xr:uid="{6DB17864-F688-4E4F-8FE8-3165613BDC7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7" authorId="3985" shapeId="0" xr:uid="{4C89A036-D46C-4AE0-8B63-428B7268C72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7" authorId="3986" shapeId="0" xr:uid="{5DDAEA45-ED56-4AF6-9BDC-5F2FEB14FC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7" authorId="3987" shapeId="0" xr:uid="{D633B3E1-2AE7-46EA-877E-68A1ADE125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7" authorId="3988" shapeId="0" xr:uid="{D7F589E9-4844-4AE8-A3BB-82690E3691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7" authorId="3989" shapeId="0" xr:uid="{9CA7DF0C-C8A2-4C8B-B35A-1763DC77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7" authorId="3990" shapeId="0" xr:uid="{34B665F8-E4C8-4C0B-89C1-6A1B83B4955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7" authorId="3991" shapeId="0" xr:uid="{82B3B1DD-4577-42FD-A26A-E7974A8351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7" authorId="3992" shapeId="0" xr:uid="{4D170C25-2FF6-4618-8C0E-EB0B2976AA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7" authorId="3993" shapeId="0" xr:uid="{80D5E933-6FB7-456F-BA75-B85B42AA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7" authorId="3994" shapeId="0" xr:uid="{99A0901F-5856-47C6-8EB0-554C00551F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7" authorId="3995" shapeId="0" xr:uid="{DE77073F-8FD7-45B9-B29F-4A223089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7" authorId="3996" shapeId="0" xr:uid="{C254EC6A-BE40-42C5-A674-CD777D3820A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7" authorId="3997" shapeId="0" xr:uid="{6EF376EB-05B1-45AD-A067-4B5AA5934D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7" authorId="3998" shapeId="0" xr:uid="{B14E9854-3256-4DEB-A490-BFDF96A8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7" authorId="3999" shapeId="0" xr:uid="{F57678A1-FAB3-4E83-9567-F0FD0ECDF68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7" authorId="4000" shapeId="0" xr:uid="{60752993-3E88-4A0F-9735-A18CA8E67F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7" authorId="4001" shapeId="0" xr:uid="{8F5EAA6B-61B4-408B-B9CD-7DDF303D38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7" authorId="4002" shapeId="0" xr:uid="{210C9F17-234F-4EEC-A225-B5240F7A0E3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7" authorId="4003" shapeId="0" xr:uid="{6C5FD71F-3A0B-49E1-A717-EA08AF1C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7" authorId="4004" shapeId="0" xr:uid="{DA362C75-CD5B-4DF1-9678-4F60727F5C1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7" authorId="4005" shapeId="0" xr:uid="{2B98BC6A-37BD-4905-AF75-72AE5429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7" authorId="4006" shapeId="0" xr:uid="{7EF91DF1-5938-4CCE-8B50-584276ED81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7" authorId="4007" shapeId="0" xr:uid="{EA150CDA-AF36-44D7-AAD8-7E09C841A9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7" authorId="4008" shapeId="0" xr:uid="{6A95F722-028C-4DA3-B84E-BAFBA9AFB9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7" authorId="4009" shapeId="0" xr:uid="{EF22CC35-6EB5-4D5F-8460-2DF028AFAD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7" authorId="4010" shapeId="0" xr:uid="{043C86AC-EDC1-4B3E-B76D-4D72E6D5C4F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7" authorId="4011" shapeId="0" xr:uid="{5BC4D4A3-C51C-44F3-8924-C9BC45D934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7" authorId="4012" shapeId="0" xr:uid="{7B02B8BE-91B8-40D6-A8B8-81AA19ED1E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7" authorId="4013" shapeId="0" xr:uid="{E858B76F-5F93-4A87-AC5B-C7B4C49F988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7" authorId="4014" shapeId="0" xr:uid="{6C2AA124-BA8B-4A68-A431-7E1620DEE0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7" authorId="4015" shapeId="0" xr:uid="{FAB2674F-48EB-4436-B051-17B5B4AAF7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7" authorId="4016" shapeId="0" xr:uid="{21F38497-C810-4C06-B751-8DCF136121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7" authorId="4017" shapeId="0" xr:uid="{FBDEAC83-1E17-4958-829A-F2193D122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7" authorId="4018" shapeId="0" xr:uid="{4115F6CF-1965-4CC9-AF25-3FB79D574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7" authorId="4019" shapeId="0" xr:uid="{7328DE7B-6730-4703-BA66-F3E4B25E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7" authorId="4020" shapeId="0" xr:uid="{627E8FA4-9DC7-4886-823A-39CC6B028D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7" authorId="4021" shapeId="0" xr:uid="{4A54881A-82EB-41D9-A11F-CB8A347D3F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7" authorId="4022" shapeId="0" xr:uid="{E5EC3D19-0101-4521-BDB1-FDA01C6096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7" authorId="4023" shapeId="0" xr:uid="{9BB24C75-1FFA-4DE2-93DD-F3A85696CE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7" authorId="4024" shapeId="0" xr:uid="{B9771CEF-6797-4F77-9028-67614C19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7" authorId="4025" shapeId="0" xr:uid="{9EC73743-9E14-4157-9648-B1DF727B4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7" authorId="4026" shapeId="0" xr:uid="{AAD4844F-B5E9-44CF-9112-1589756217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7" authorId="4027" shapeId="0" xr:uid="{F8C53AF9-E5E3-4909-B7F7-ECE290368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7" authorId="4028" shapeId="0" xr:uid="{0CA98CEF-12CB-4010-B49B-95D75DFC21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8" authorId="4029" shapeId="0" xr:uid="{5307AE31-9267-49DA-BF2D-C4B14E3134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8" authorId="4030" shapeId="0" xr:uid="{9AAD42EE-A1F9-477E-9623-7816796FDCF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8" authorId="4031" shapeId="0" xr:uid="{5CAAFA6E-8028-4243-8AEE-44F36CF09C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8" authorId="4032" shapeId="0" xr:uid="{7E3D17D6-66ED-4193-A849-534E484175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8" authorId="4033" shapeId="0" xr:uid="{3E70CE35-8211-43C5-BF0F-12BB413F24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8" authorId="4034" shapeId="0" xr:uid="{E56F4E09-5E9C-4DD4-9ABF-BC41BE0DE7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8" authorId="4035" shapeId="0" xr:uid="{61BF786B-1E60-41A9-87D7-5BC2D02FC5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8" authorId="4036" shapeId="0" xr:uid="{60B2E599-6C9B-4C87-A93C-1F9BF8589A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8" authorId="4037" shapeId="0" xr:uid="{3271FAEE-D547-46E1-A6C2-D9C25B4DB6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8" authorId="4038" shapeId="0" xr:uid="{BE09738B-9EE7-424F-9F24-AAD44A48146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8" authorId="4039" shapeId="0" xr:uid="{644F8FA3-A500-429B-9D4B-52C0FFCDF69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8" authorId="4040" shapeId="0" xr:uid="{A3B3CD52-C6D7-4C67-953B-33F017D53DE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8" authorId="4041" shapeId="0" xr:uid="{CF0DE9FD-22CE-46EE-AC17-F453402FCE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8" authorId="4042" shapeId="0" xr:uid="{EB392761-4811-4EAC-9E65-42D4B4742B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8" authorId="4043" shapeId="0" xr:uid="{E1366CE4-D2DE-4311-8F0C-A671F4498E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8" authorId="4044" shapeId="0" xr:uid="{BCCFECBE-0448-4E0E-8B37-3F8D45A92F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8" authorId="4045" shapeId="0" xr:uid="{689FED7F-B03C-43EC-AAE0-E48332173C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8" authorId="4046" shapeId="0" xr:uid="{85047443-2AE7-4725-AEFC-8ECBA08C12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8" authorId="4047" shapeId="0" xr:uid="{95BC78DF-FDF5-4906-AE43-F63612FD55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8" authorId="4048" shapeId="0" xr:uid="{9A3362A1-E1A7-4F0D-A17E-3362F64358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8" authorId="4049" shapeId="0" xr:uid="{4C89D516-6C93-43CA-B0AF-A6250680A4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8" authorId="4050" shapeId="0" xr:uid="{32AD88F4-297F-44F6-AA63-5A5665B1CBE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8" authorId="4051" shapeId="0" xr:uid="{7C59EBBD-E3DC-47B4-8845-E7ED98B5B7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8" authorId="4052" shapeId="0" xr:uid="{4E11D0AE-DEA2-4BDF-87E5-3047C631B9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8" authorId="4053" shapeId="0" xr:uid="{1A8227CF-8941-4288-83F7-861CCCEF65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8" authorId="4054" shapeId="0" xr:uid="{8AE97630-4AA1-4773-B7EC-5C84E1218C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8" authorId="4055" shapeId="0" xr:uid="{FC4302A8-7F01-48FC-9F20-95E0DB98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8" authorId="4056" shapeId="0" xr:uid="{8392BD78-B27C-419D-96F5-B1556BB37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8" authorId="4057" shapeId="0" xr:uid="{3F2C755E-ABA1-4247-A421-E794A3F740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8" authorId="4058" shapeId="0" xr:uid="{72C0BB04-8949-4B1D-BAB7-6C41A93134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8" authorId="4059" shapeId="0" xr:uid="{D28C8785-5D6D-4CAC-B1F2-0982A34375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8" authorId="4060" shapeId="0" xr:uid="{0CE9626B-035F-4C8B-935D-E75036DE7D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8" authorId="4061" shapeId="0" xr:uid="{3AF00ED2-CAC8-4555-8EE9-1402935EC4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8" authorId="4062" shapeId="0" xr:uid="{0E08B171-EA26-4157-95EE-3E14A1453E1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8" authorId="4063" shapeId="0" xr:uid="{8A5F4A49-C12C-4D71-BF32-F5B8A2FB3DB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8" authorId="4064" shapeId="0" xr:uid="{DEEE7453-A391-4801-89BF-C08E2D00A4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8" authorId="4065" shapeId="0" xr:uid="{EFCDDCF0-85C7-408E-BCAB-45588C266F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8" authorId="4066" shapeId="0" xr:uid="{1434834B-4ABA-4D8B-B32F-A2D732B1A4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8" authorId="4067" shapeId="0" xr:uid="{05B3B6ED-FB96-4172-9453-E19BBF53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8" authorId="4068" shapeId="0" xr:uid="{6C3F35E5-7D25-457B-82AE-3DB724BEDD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8" authorId="4069" shapeId="0" xr:uid="{D7FEA412-401F-475D-ADF8-08B663ECF5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8" authorId="4070" shapeId="0" xr:uid="{42741E10-23AE-48A6-B45F-66E2D4F17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8" authorId="4071" shapeId="0" xr:uid="{B8F223AF-9CE2-408B-B07E-D44BE6716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8" authorId="4072" shapeId="0" xr:uid="{CFB8E7BF-3F50-4CFB-8509-8ABA5EC386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8" authorId="4073" shapeId="0" xr:uid="{26A5FBB0-AAE5-4C10-80D5-A802E6E47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8" authorId="4074" shapeId="0" xr:uid="{E79E7BCF-0461-4AA0-899F-B5B5E2F47D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8" authorId="4075" shapeId="0" xr:uid="{347D6831-246F-442B-A4D9-92C6F24C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8" authorId="4076" shapeId="0" xr:uid="{BFA49D39-E0C3-4338-808E-DF9D8D1F73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8" authorId="4077" shapeId="0" xr:uid="{70F70014-BCFF-49C8-93D7-70DE1C699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8" authorId="4078" shapeId="0" xr:uid="{3CD7010C-B9E7-4C75-B2CF-F2D99E1C1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8" authorId="4079" shapeId="0" xr:uid="{A9736F9F-63BE-4005-95B7-225B151488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8" authorId="4080" shapeId="0" xr:uid="{6693DE7A-9FB5-49A6-B07B-2BA01A0B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8" authorId="4081" shapeId="0" xr:uid="{4DE28BCF-7815-4322-A497-54DA69B7A0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8" authorId="4082" shapeId="0" xr:uid="{2057115D-C5A1-46BC-A084-8B4171B3B4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9" authorId="4083" shapeId="0" xr:uid="{B5723D04-F500-4D8A-BF41-50681F2C00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9" authorId="4084" shapeId="0" xr:uid="{E55DEC0E-3881-4C32-AA65-5722392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9" authorId="4085" shapeId="0" xr:uid="{5DE61DBC-36AA-4361-BC38-E0BD26E9B5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9" authorId="4086" shapeId="0" xr:uid="{F56FEC09-A800-4857-A646-73C3E67386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9" authorId="4087" shapeId="0" xr:uid="{38FC5089-01D5-4E3D-A143-AB77A2F4FC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9" authorId="4088" shapeId="0" xr:uid="{385D564D-DB82-4F95-B87C-D3878DE6DF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9" authorId="4089" shapeId="0" xr:uid="{D16B26A0-90CA-4371-AB01-2C9B5761080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9" authorId="4090" shapeId="0" xr:uid="{7183B5EF-84C9-4DD7-8BD1-47B007118FF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9" authorId="4091" shapeId="0" xr:uid="{DE15C482-7C56-49E0-8D4C-E3FE6BAB14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9" authorId="4092" shapeId="0" xr:uid="{2F0870DC-BA04-4F94-943F-ECB7FB1C68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9" authorId="4093" shapeId="0" xr:uid="{99154771-FE43-4542-9809-5C57E78557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9" authorId="4094" shapeId="0" xr:uid="{6583A363-7620-491A-A228-A1F71CE461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9" authorId="4095" shapeId="0" xr:uid="{89DB2FB6-C032-4D54-815C-3820C4BE17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9" authorId="4096" shapeId="0" xr:uid="{C7705A02-187E-4C77-9980-E9F1DD09CF8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9" authorId="4097" shapeId="0" xr:uid="{59865553-0E7A-419E-9CD5-CEEA1CF6BE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9" authorId="4098" shapeId="0" xr:uid="{BDE02CBF-579A-40E9-B361-EB2B246964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9" authorId="4099" shapeId="0" xr:uid="{8EE715E1-31C3-4ABD-9D46-9D3A98E729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9" authorId="4100" shapeId="0" xr:uid="{56D3FD67-B896-406F-86D1-FC21EF400C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9" authorId="4101" shapeId="0" xr:uid="{9C0E3FA3-C8F4-4931-A2A1-E2A579B986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9" authorId="4102" shapeId="0" xr:uid="{D597BDE9-E8D6-42E9-98A5-0E04186F5E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9" authorId="4103" shapeId="0" xr:uid="{9D6C3BB9-316E-4FA5-9DA6-B85574363AB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9" authorId="4104" shapeId="0" xr:uid="{2AD04AEB-49DB-43DD-86BF-4935A4F05B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9" authorId="4105" shapeId="0" xr:uid="{69C98DC7-DD88-4F3A-90A9-69702AC815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9" authorId="4106" shapeId="0" xr:uid="{63C2ACF3-8A1B-4143-A0DE-0DA17F5D9B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9" authorId="4107" shapeId="0" xr:uid="{08F4450D-FA73-47F9-B4D6-FA2CF90D73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9" authorId="4108" shapeId="0" xr:uid="{0DA5D896-D26C-458F-A506-8F3896A265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9" authorId="4109" shapeId="0" xr:uid="{186E0007-8E4F-46F9-A79E-5575A0401A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9" authorId="4110" shapeId="0" xr:uid="{8763CCDE-ECA3-4620-AB6F-BE9CA462E1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9" authorId="4111" shapeId="0" xr:uid="{BD9EE941-521B-4E09-ACCD-0258D398F4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9" authorId="4112" shapeId="0" xr:uid="{A62BAE7E-F0A6-46C8-B671-ABF8637FBB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9" authorId="4113" shapeId="0" xr:uid="{D45463C8-8D0F-425B-82D3-A8A6EC98AF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9" authorId="4114" shapeId="0" xr:uid="{391F5045-159A-4420-A741-3F573F89DBE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9" authorId="4115" shapeId="0" xr:uid="{825170BC-3677-4B58-B647-DBCEBA25FB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9" authorId="4116" shapeId="0" xr:uid="{5CB15D57-F7FC-46B5-B7AF-B49FC066B9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9" authorId="4117" shapeId="0" xr:uid="{791D6EA5-9898-47DD-812B-FE5BC75F46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9" authorId="4118" shapeId="0" xr:uid="{257B487A-1AA6-4CBF-BCD1-BB7BFCA2E94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9" authorId="4119" shapeId="0" xr:uid="{44E71821-27F9-455F-AFC7-570E75E7970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9" authorId="4120" shapeId="0" xr:uid="{12EFCBE4-5575-4A13-8C22-3ABEB17073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9" authorId="4121" shapeId="0" xr:uid="{BB7B057D-5DD1-4207-8371-41B4F966E5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9" authorId="4122" shapeId="0" xr:uid="{4A89A9B3-2FB5-4242-859B-39DF3BF8DE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9" authorId="4123" shapeId="0" xr:uid="{FCCFE588-596C-428E-91ED-0DED762E88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9" authorId="4124" shapeId="0" xr:uid="{55D6036A-E15C-4B12-9E3B-E5F31A86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9" authorId="4125" shapeId="0" xr:uid="{9F2C28F1-8747-4832-AD1D-2BD2912FE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9" authorId="4126" shapeId="0" xr:uid="{8E96163D-329A-4B74-AE6C-6ADA3B579E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9" authorId="4127" shapeId="0" xr:uid="{20B9A1A6-BB5D-4454-9CF6-D30920C229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9" authorId="4128" shapeId="0" xr:uid="{C67F369A-B5F0-4575-AED2-4BCE5FE5B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9" authorId="4129" shapeId="0" xr:uid="{8C0A21FF-204F-422F-A17B-88607CC2C6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9" authorId="4130" shapeId="0" xr:uid="{A4CB36D3-DA2F-4C87-8D1B-603DD52D97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9" authorId="4131" shapeId="0" xr:uid="{7AD273E5-188A-41C6-8778-49405B4A4F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9" authorId="4132" shapeId="0" xr:uid="{5C1E12F4-49CA-4A92-B6C3-ED8282EB9B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9" authorId="4133" shapeId="0" xr:uid="{C753BF0D-098D-4ADB-844B-E5D395CA5E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9" authorId="4134" shapeId="0" xr:uid="{AC637682-DB52-40FB-9325-05A72E628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9" authorId="4135" shapeId="0" xr:uid="{5D726B8C-CCC4-4FD2-95FC-A766AE2A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9" authorId="4136" shapeId="0" xr:uid="{D3B1DBAC-6B2E-43CE-B8A9-E46936334A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0" authorId="4137" shapeId="0" xr:uid="{AE090213-1BD0-43A6-8890-54ABA7950A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0" authorId="4138" shapeId="0" xr:uid="{D05A9B2D-FC2F-4F74-A679-BD378F0740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0" authorId="4139" shapeId="0" xr:uid="{FE772502-57D0-4A8D-B6F9-73DF94EA19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0" authorId="4140" shapeId="0" xr:uid="{5473C73B-536A-43B1-8183-0C6684708E9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0" authorId="4141" shapeId="0" xr:uid="{2B4C1424-1CEA-48DD-BA39-1DB181AE37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0" authorId="4142" shapeId="0" xr:uid="{7D622151-665D-4D8D-A6AA-07453D12C9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0" authorId="4143" shapeId="0" xr:uid="{8E1B66A7-2BEB-4C23-A769-324F9E61DC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0" authorId="4144" shapeId="0" xr:uid="{7DC45E9A-198E-40E0-B957-BCF0F88502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0" authorId="4145" shapeId="0" xr:uid="{5603EC96-7717-4CBF-9F5C-582F7F66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0" authorId="4146" shapeId="0" xr:uid="{0C5B5D90-C137-4914-B494-676B9CF616F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0" authorId="4147" shapeId="0" xr:uid="{77BF7A1E-42AD-4D8A-B27B-E502D5F704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0" authorId="4148" shapeId="0" xr:uid="{F1433A92-0AC3-4CC2-A4B6-FC42583AE5C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0" authorId="4149" shapeId="0" xr:uid="{A0076F09-520E-4389-9FFF-44936A8989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0" authorId="4150" shapeId="0" xr:uid="{8160BF3B-CF53-4B5A-923A-8025E92A78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0" authorId="4151" shapeId="0" xr:uid="{9EED387B-5CB3-4E2C-B7B4-24D6E89BD3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0" authorId="4152" shapeId="0" xr:uid="{8B8A9875-57D9-4541-9D5E-66F001FD23C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0" authorId="4153" shapeId="0" xr:uid="{ECF26DEE-D794-4D5D-A8A8-F8921A07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0" authorId="4154" shapeId="0" xr:uid="{312AB47F-D68A-41F9-AFC1-9EE95F3E33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0" authorId="4155" shapeId="0" xr:uid="{EE93C329-B9ED-4473-A9ED-8053AD59752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0" authorId="4156" shapeId="0" xr:uid="{A0DC8545-F7EC-4A46-9B88-C05B3ECE49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0" authorId="4157" shapeId="0" xr:uid="{62F0B72A-9DE7-456B-A122-F0F9D21EBA8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0" authorId="4158" shapeId="0" xr:uid="{014FE862-FDA5-442B-81F4-D6C791BF5F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0" authorId="4159" shapeId="0" xr:uid="{4C37E325-DF15-48EC-BFFE-FB4D3B8DFC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0" authorId="4160" shapeId="0" xr:uid="{1E34F2FD-A0D2-43F9-BE0D-41112BC51E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0" authorId="4161" shapeId="0" xr:uid="{B5AADF15-0444-42CB-BCD5-C510BE861DE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0" authorId="4162" shapeId="0" xr:uid="{72F10312-A628-454E-A706-BC46B95693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0" authorId="4163" shapeId="0" xr:uid="{2430CC25-F35F-45E0-AAB5-6845E07587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0" authorId="4164" shapeId="0" xr:uid="{E93A09E6-DCF8-4EA1-86A5-1D23FE1C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0" authorId="4165" shapeId="0" xr:uid="{06AC624C-C7E5-47DF-84DD-21CB1544CC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0" authorId="4166" shapeId="0" xr:uid="{38358D33-B2B1-4C60-BA24-AEA6AF25C56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0" authorId="4167" shapeId="0" xr:uid="{499B241D-BBE8-4D70-A05A-2F98CDFB06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0" authorId="4168" shapeId="0" xr:uid="{9011D8DC-021E-4881-88FB-CB0BB7D48A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0" authorId="4169" shapeId="0" xr:uid="{870B0D2F-231C-4756-A8D1-0F66435EB97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0" authorId="4170" shapeId="0" xr:uid="{17357616-9C81-4AD9-B60B-AEC1D994220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0" authorId="4171" shapeId="0" xr:uid="{DFECD7EC-1DA7-4984-8C5C-B5BAC76748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0" authorId="4172" shapeId="0" xr:uid="{2368B07D-6760-4CCA-AB63-8B8DB29B07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0" authorId="4173" shapeId="0" xr:uid="{A591CBC6-4100-4339-8495-3DED744CC5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0" authorId="4174" shapeId="0" xr:uid="{F8D549EF-9760-4BC1-8C0C-77A5E348D3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0" authorId="4175" shapeId="0" xr:uid="{088F0657-CE0F-4F81-9390-3CAFF8068F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0" authorId="4176" shapeId="0" xr:uid="{15F01C7C-A1A9-43F5-9CB6-DF199A95B1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0" authorId="4177" shapeId="0" xr:uid="{B89977DC-4CB7-4768-B923-D601A7812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0" authorId="4178" shapeId="0" xr:uid="{6769D29C-3599-43B2-A64E-166CE7A3E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0" authorId="4179" shapeId="0" xr:uid="{10D5C938-5ED7-4414-91AD-70DED09F4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0" authorId="4180" shapeId="0" xr:uid="{9F66B2B1-8084-404A-A65D-3B27748B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0" authorId="4181" shapeId="0" xr:uid="{233933AA-9C06-4893-9EF1-8D2CCE3A22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0" authorId="4182" shapeId="0" xr:uid="{10062FF9-25F9-4350-BBF5-F8490FE0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0" authorId="4183" shapeId="0" xr:uid="{CBDB07DF-114E-4B75-AA8A-CE93797EE2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0" authorId="4184" shapeId="0" xr:uid="{50752852-F659-492D-B7FD-2208DFFE4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0" authorId="4185" shapeId="0" xr:uid="{D726B912-BCCE-4260-9339-19BE58A317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0" authorId="4186" shapeId="0" xr:uid="{309ABB92-197E-425E-9023-82D1B2557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0" authorId="4187" shapeId="0" xr:uid="{F529B899-9940-4F6B-BCFC-C655694404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0" authorId="4188" shapeId="0" xr:uid="{0CF29F96-402C-4AF3-B0BE-42741DCB37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0" authorId="4189" shapeId="0" xr:uid="{186D82A8-46C5-419E-8C33-07C3B86FE9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0" authorId="4190" shapeId="0" xr:uid="{62C9479B-3858-47C0-8747-C1952BFAE3D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1" authorId="4191" shapeId="0" xr:uid="{6171970A-90FF-4D93-A8B9-4454333E0E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1" authorId="4192" shapeId="0" xr:uid="{CDB7EB57-1506-4E58-85F5-DF8105C8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1" authorId="4193" shapeId="0" xr:uid="{CE99197B-636F-4AFD-8731-68F83B3989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1" authorId="4194" shapeId="0" xr:uid="{F9E7C11E-E563-4800-861A-2E7786C0732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1" authorId="4195" shapeId="0" xr:uid="{16547850-3939-4936-B5DE-1DE619FF2D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1" authorId="4196" shapeId="0" xr:uid="{24D43D63-EBAB-4AC8-973B-1E8D5CD0ABB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1" authorId="4197" shapeId="0" xr:uid="{93372CC1-EEC8-458A-9509-26DFCB4EF0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1" authorId="4198" shapeId="0" xr:uid="{D156941B-64D0-4DE1-ABDB-E45F4AE7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1" authorId="4199" shapeId="0" xr:uid="{AA94A243-EB94-4885-8E75-79A15E5941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1" authorId="4200" shapeId="0" xr:uid="{B2C0D99B-709C-4CBC-9D11-8C37E5D5F99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1" authorId="4201" shapeId="0" xr:uid="{1ADD74AD-23A2-43A2-BB09-2E009A74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1" authorId="4202" shapeId="0" xr:uid="{3435877B-7128-4264-B2C8-F59A730642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1" authorId="4203" shapeId="0" xr:uid="{C9B418A6-7112-4F93-9369-78557F0219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1" authorId="4204" shapeId="0" xr:uid="{F39ECA1A-0BF7-4F12-90AE-6A367B5DDD7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1" authorId="4205" shapeId="0" xr:uid="{0FCC41D8-0B9F-4874-8896-94BF755098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1" authorId="4206" shapeId="0" xr:uid="{D8DBB80B-80E1-4C3A-BD23-75D36ACDA0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1" authorId="4207" shapeId="0" xr:uid="{0B699F5C-C432-474F-A629-BEC6A153F8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1" authorId="4208" shapeId="0" xr:uid="{43126476-5A1C-472B-8A17-69C3D249A00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1" authorId="4209" shapeId="0" xr:uid="{CE7FB047-E36A-4C90-97DD-E18E32BC825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1" authorId="4210" shapeId="0" xr:uid="{865A92EF-10F7-43BD-AADA-1593786017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1" authorId="4211" shapeId="0" xr:uid="{C48A4A9A-72EF-466B-9EFE-18AA52F874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1" authorId="4212" shapeId="0" xr:uid="{5E0AB0BC-2A5F-4FED-8401-DA660C64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1" authorId="4213" shapeId="0" xr:uid="{5EFBA0C8-D71E-44C1-AEC1-9B0D3ABFB5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1" authorId="4214" shapeId="0" xr:uid="{D898A515-792C-4CD5-ACD5-E9E6A16DC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1" authorId="4215" shapeId="0" xr:uid="{91F28A41-CD0A-404E-841A-8C6BD4CF599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1" authorId="4216" shapeId="0" xr:uid="{8BF1884A-C457-4FD1-BA84-1AE4CEED3C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1" authorId="4217" shapeId="0" xr:uid="{267C8F29-EBCF-4BB6-9398-EDE08B4A3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1" authorId="4218" shapeId="0" xr:uid="{2A5C383C-04CD-43FF-872D-C9EEE579EC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1" authorId="4219" shapeId="0" xr:uid="{2DD3BE73-C8CC-4AEA-8F52-6432216FB3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1" authorId="4220" shapeId="0" xr:uid="{DE0AE8D9-23FE-474D-AFC5-CF0154DC8B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1" authorId="4221" shapeId="0" xr:uid="{AD5DEF20-821E-47E0-A150-74765019CD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1" authorId="4222" shapeId="0" xr:uid="{61255628-FAD2-4D5D-8687-A21ACDC37A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1" authorId="4223" shapeId="0" xr:uid="{47EF4EA1-5ADC-49C6-A94F-AAAE92268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1" authorId="4224" shapeId="0" xr:uid="{CFBF1477-9419-4EC6-B500-363EF0F275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1" authorId="4225" shapeId="0" xr:uid="{6B433F92-20D4-449A-B057-849897274EC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1" authorId="4226" shapeId="0" xr:uid="{B6B0242A-A669-4EEA-BA26-B5EDF6880AC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1" authorId="4227" shapeId="0" xr:uid="{108C19C4-3983-43AB-8505-98D5B0B67D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1" authorId="4228" shapeId="0" xr:uid="{C1747232-D23D-450B-B183-FB53B31B4E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1" authorId="4229" shapeId="0" xr:uid="{817B30A2-EDB8-4AAD-B8D0-B91B1E00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1" authorId="4230" shapeId="0" xr:uid="{43AD3F78-E19D-4CC3-B25F-E5D1E9947F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1" authorId="4231" shapeId="0" xr:uid="{89BBF2AF-D149-4BAB-9262-9AD19DB34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1" authorId="4232" shapeId="0" xr:uid="{71508583-2568-4459-862D-F2A8B7005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1" authorId="4233" shapeId="0" xr:uid="{AC713BB5-0CC0-4B84-A018-750D3CF96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1" authorId="4234" shapeId="0" xr:uid="{13240F71-FBA9-4813-998B-8B19F2AA38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1" authorId="4235" shapeId="0" xr:uid="{4874037B-20F5-434D-AF8B-633008114E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1" authorId="4236" shapeId="0" xr:uid="{77D6506E-43CE-4C60-989B-99C44A5200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1" authorId="4237" shapeId="0" xr:uid="{C923928B-7A66-4A5A-A3C6-457FCF9F86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1" authorId="4238" shapeId="0" xr:uid="{04750618-655C-430B-B6E3-BC41F36B0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1" authorId="4239" shapeId="0" xr:uid="{25B53B64-FDC9-4F3C-B2CF-963F65C11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1" authorId="4240" shapeId="0" xr:uid="{E4168149-398D-4903-9E5E-EA38AAB38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1" authorId="4241" shapeId="0" xr:uid="{CB0C3862-29B2-4EBA-8130-6BD8C15AB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1" authorId="4242" shapeId="0" xr:uid="{39D7F820-F901-4B66-8A33-FB6DD47F0F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1" authorId="4243" shapeId="0" xr:uid="{F243288E-4DB1-48E9-BF70-E289507B52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1" authorId="4244" shapeId="0" xr:uid="{24971600-26B9-4D7D-BA6F-C21305E6CB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2" authorId="4245" shapeId="0" xr:uid="{52B95EC5-0CBB-484E-9EF1-4ACCA1AF6C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2" authorId="4246" shapeId="0" xr:uid="{F4DBE0F1-7387-4A73-BA93-B18B630ECE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2" authorId="4247" shapeId="0" xr:uid="{7BC6BBF6-FB92-4B95-A2A7-7E1D429668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2" authorId="4248" shapeId="0" xr:uid="{D3DED176-2730-43AA-A1C5-98D1816862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2" authorId="4249" shapeId="0" xr:uid="{9DA8E340-7C02-438C-9822-A9E8ECC72D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2" authorId="4250" shapeId="0" xr:uid="{A158F34F-8FA7-4F9C-AA19-2CC9C8EA97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2" authorId="4251" shapeId="0" xr:uid="{62B93B1F-55F3-4249-BDE3-1D0F948855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2" authorId="4252" shapeId="0" xr:uid="{1ADDED4B-430D-49A3-92FD-CFB39044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2" authorId="4253" shapeId="0" xr:uid="{DD6DBF74-5D32-4FFE-950A-8F8AD3D2951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2" authorId="4254" shapeId="0" xr:uid="{4FB343A9-7A0B-4ADF-97A8-0BD897E4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2" authorId="4255" shapeId="0" xr:uid="{476F9D5D-17A0-4D61-9FD0-D0A69C081B8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2" authorId="4256" shapeId="0" xr:uid="{F9D1D600-CFA6-45D3-8C4E-C87590488B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2" authorId="4257" shapeId="0" xr:uid="{1056F654-DA08-47C2-8729-25F2056F29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2" authorId="4258" shapeId="0" xr:uid="{8A6FD794-0D6C-4738-A3EF-026C2D464A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2" authorId="4259" shapeId="0" xr:uid="{546F83C7-0A60-495C-BB22-9B3E31A58A8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2" authorId="4260" shapeId="0" xr:uid="{69B38F14-0EA5-48E5-8784-CB3E999B48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2" authorId="4261" shapeId="0" xr:uid="{5861AB3F-5E72-4569-BFEE-19C06CB29C5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2" authorId="4262" shapeId="0" xr:uid="{5A3A0ED3-7678-4EC4-A515-57EF66DC3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2" authorId="4263" shapeId="0" xr:uid="{57808CDF-D973-40EB-BB83-2D622119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2" authorId="4264" shapeId="0" xr:uid="{2C0317BA-D34F-44F0-BD23-74E0495B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2" authorId="4265" shapeId="0" xr:uid="{8315CD08-4099-4D3F-9CB5-00F9D8F684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2" authorId="4266" shapeId="0" xr:uid="{406D1023-FE6D-4ADA-A545-8F783561C1B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2" authorId="4267" shapeId="0" xr:uid="{E58F4A78-A69C-47FA-9A8D-A9E0D76A568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2" authorId="4268" shapeId="0" xr:uid="{8F26EF15-FA12-4614-8D42-7FD8348593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2" authorId="4269" shapeId="0" xr:uid="{E5D6F777-A413-404D-A70D-568EEFE7AF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2" authorId="4270" shapeId="0" xr:uid="{606C7CE5-07EA-43E2-8DB0-E903A537858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2" authorId="4271" shapeId="0" xr:uid="{6AC874E6-2D3F-4550-B678-FA1483962D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2" authorId="4272" shapeId="0" xr:uid="{A2EAC016-C114-41C2-81C7-3277F1CD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2" authorId="4273" shapeId="0" xr:uid="{24A3E1E9-D504-4561-A919-1A5EB77964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2" authorId="4274" shapeId="0" xr:uid="{73609373-5DA5-4DFA-8570-1502E2859DA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2" authorId="4275" shapeId="0" xr:uid="{F4071896-629B-4803-B5E5-92F1ABFC2A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2" authorId="4276" shapeId="0" xr:uid="{808A6D48-AB1D-4284-8949-0DE5DC1654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2" authorId="4277" shapeId="0" xr:uid="{3EC095C2-70F1-4067-BEB0-229FC81BC24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2" authorId="4278" shapeId="0" xr:uid="{41DF0486-6CB1-469A-BBC0-8BFA34D859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2" authorId="4279" shapeId="0" xr:uid="{6FF8D328-8414-4F97-A7CB-528EC12DE7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2" authorId="4280" shapeId="0" xr:uid="{7D78F989-DE15-4208-B4FA-D49E443969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2" authorId="4281" shapeId="0" xr:uid="{BCC53862-E630-4370-A102-06197B49A1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2" authorId="4282" shapeId="0" xr:uid="{195B479A-E7BE-40D3-9FEA-2EBE46BE23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2" authorId="4283" shapeId="0" xr:uid="{CF7B2285-7C4E-42B6-95B3-BD907596F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2" authorId="4284" shapeId="0" xr:uid="{78BDAFBA-EC22-414E-832E-F4145D1F19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2" authorId="4285" shapeId="0" xr:uid="{59DD9214-4858-41B3-A9F4-8AB64DEE07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2" authorId="4286" shapeId="0" xr:uid="{5F01D97C-872A-4C86-BC21-356FF7D68D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2" authorId="4287" shapeId="0" xr:uid="{08832139-C5C9-4E8D-BA22-B4D2C4705C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2" authorId="4288" shapeId="0" xr:uid="{281F98E0-2DC3-461C-90DC-2032C611D7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2" authorId="4289" shapeId="0" xr:uid="{B9B39A06-2CA7-411D-B85B-9D807E81D7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2" authorId="4290" shapeId="0" xr:uid="{DC701EA1-B074-40A3-A55F-812D900622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2" authorId="4291" shapeId="0" xr:uid="{98F81948-8E01-4A93-8CC7-36CC919B9B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2" authorId="4292" shapeId="0" xr:uid="{7A1BB831-C9AE-4820-9382-EC1675AA45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2" authorId="4293" shapeId="0" xr:uid="{4E53D7D6-8347-44AB-B975-CF509633D8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2" authorId="4294" shapeId="0" xr:uid="{7FC252CE-AB67-43DA-A833-C0BFEF9FE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P252" authorId="4295" shapeId="0" xr:uid="{83D60492-EDA7-41B0-99C9-D73B4D7ACB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R252" authorId="4296" shapeId="0" xr:uid="{DDE6B6D2-DC18-4C2F-8D82-8698D55DF7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S252" authorId="4297" shapeId="0" xr:uid="{A962B81E-9593-42F8-ABA5-C8D98AC8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2" authorId="4298" shapeId="0" xr:uid="{95EB3314-6D91-409A-A77C-9A6832C56E5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3" authorId="4299" shapeId="0" xr:uid="{26644D77-AA18-4DF5-A445-9B3E7F6EF1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3" authorId="4300" shapeId="0" xr:uid="{4AD952E2-15BA-4A0C-89EF-FAD0F5189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3" authorId="4301" shapeId="0" xr:uid="{02F2857B-ADFE-40A5-8C23-B0C5A320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3" authorId="4302" shapeId="0" xr:uid="{F6CB1998-15B7-43FC-BFBF-5E7EBD26CC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3" authorId="4303" shapeId="0" xr:uid="{9FDDA990-7FEB-4754-8398-0D7863E9FF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3" authorId="4304" shapeId="0" xr:uid="{600A5DD2-DF3B-4763-A26F-F511D5B042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3" authorId="4305" shapeId="0" xr:uid="{A01CCC71-AEFD-4788-A21A-ECD81B1B4F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3" authorId="4306" shapeId="0" xr:uid="{57ADB1CA-D04F-43EE-B7E2-D24E944B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3" authorId="4307" shapeId="0" xr:uid="{ED55FDA0-8C52-4B4B-8654-23C0E112CCA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3" authorId="4308" shapeId="0" xr:uid="{2B74B4E6-6505-423A-8F08-6D3EAF8415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3" authorId="4309" shapeId="0" xr:uid="{BC2793F6-75A7-4461-946B-A4F44250CB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3" authorId="4310" shapeId="0" xr:uid="{22F9C165-9E80-46B8-9D75-9523AB505B7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3" authorId="4311" shapeId="0" xr:uid="{E2790BFE-7CC6-4315-BAAC-2E758F5C5A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3" authorId="4312" shapeId="0" xr:uid="{7F6A0822-8B40-4C19-B95C-C4C9E7A502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3" authorId="4313" shapeId="0" xr:uid="{21BACA40-1C29-4E24-B349-9AD6C28AE9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3" authorId="4314" shapeId="0" xr:uid="{E4473837-5A45-4D10-98EB-865A82DE1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3" authorId="4315" shapeId="0" xr:uid="{B6A058FB-5EB7-4217-B090-50F8AAC448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3" authorId="4316" shapeId="0" xr:uid="{2B173731-A7CC-4713-ACCB-C54D221A5F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3" authorId="4317" shapeId="0" xr:uid="{87D8AD47-2346-4EFF-9135-3218981750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3" authorId="4318" shapeId="0" xr:uid="{EAD44E92-FF48-46EC-87F9-D56CE8D25F5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3" authorId="4319" shapeId="0" xr:uid="{DC13AF9D-2CD7-4776-8D97-7F0B2AC28F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3" authorId="4320" shapeId="0" xr:uid="{654E8D30-55F2-4748-B7F7-274F8742CD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3" authorId="4321" shapeId="0" xr:uid="{1CB2AFAA-E402-4D29-A68D-193585E3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3" authorId="4322" shapeId="0" xr:uid="{04761428-84A4-44DD-A19D-C0D8E7F4EC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3" authorId="4323" shapeId="0" xr:uid="{72869207-27BC-4F81-AB2A-C1F40879F6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3" authorId="4324" shapeId="0" xr:uid="{4FFDF0E6-D075-4B5C-8386-69AF5D4B335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3" authorId="4325" shapeId="0" xr:uid="{9E68CC12-5E79-4C76-A9C4-633CCD1400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3" authorId="4326" shapeId="0" xr:uid="{7B846D0E-F4BE-4F35-8A51-47F596C7F5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3" authorId="4327" shapeId="0" xr:uid="{F790A8DA-F265-446B-B8D7-39DBA63C94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3" authorId="4328" shapeId="0" xr:uid="{B57C2AF4-5085-4CDD-B4F2-C8B768B4CD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3" authorId="4329" shapeId="0" xr:uid="{73D0D55D-535B-49A8-8A75-0C8B07BADD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3" authorId="4330" shapeId="0" xr:uid="{E0CBC220-A834-4AA2-BE6E-796525627CB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3" authorId="4331" shapeId="0" xr:uid="{E9829769-B4DF-413C-819F-08B90378EAD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3" authorId="4332" shapeId="0" xr:uid="{B3B30FEF-F689-4533-BFF0-3620055CA69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3" authorId="4333" shapeId="0" xr:uid="{7801C0F6-C729-4BD8-878C-5034A995F2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3" authorId="4334" shapeId="0" xr:uid="{8411564C-EDF3-4A46-BAB2-4272D8CD6D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3" authorId="4335" shapeId="0" xr:uid="{9C19B308-6709-48A1-83D2-E3360DF338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3" authorId="4336" shapeId="0" xr:uid="{8DB94388-D15B-40F7-9B18-FFE782DBD1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3" authorId="4337" shapeId="0" xr:uid="{38F61C38-6D67-4E79-A8A1-33E5475192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3" authorId="4338" shapeId="0" xr:uid="{2542FF75-6D57-4D25-A2DC-B10E62CBC6B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3" authorId="4339" shapeId="0" xr:uid="{123CAD91-7253-4B88-9027-02E0A44AC8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3" authorId="4340" shapeId="0" xr:uid="{C2020B22-34BC-443A-B95D-C26621113C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3" authorId="4341" shapeId="0" xr:uid="{DA0B82CB-491E-4FDE-A514-1A7ED8B313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3" authorId="4342" shapeId="0" xr:uid="{E139E544-6104-4296-97B6-D216B973E7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3" authorId="4343" shapeId="0" xr:uid="{1962D34B-978A-4172-B125-4B812A4203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3" authorId="4344" shapeId="0" xr:uid="{F02BA910-5FFC-4D3A-B323-282B96E9A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3" authorId="4345" shapeId="0" xr:uid="{24CF834F-71D6-407E-8973-39719F16F1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3" authorId="4346" shapeId="0" xr:uid="{1E507951-565B-4CF0-9C66-46C33435BE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3" authorId="4347" shapeId="0" xr:uid="{DAE64BE3-0A0F-476F-B43F-CD8FF6DF3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3" authorId="4348" shapeId="0" xr:uid="{C362632E-C8DE-4CD2-99C9-371F332D80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3" authorId="4349" shapeId="0" xr:uid="{4E754121-4E6D-4C4D-9E60-AC6B37EC9E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3" authorId="4350" shapeId="0" xr:uid="{4F05C1DB-804F-4378-8ACD-253CD2A8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3" authorId="4351" shapeId="0" xr:uid="{6302EF74-FE7A-4E90-84D3-551311B32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3" authorId="4352" shapeId="0" xr:uid="{FD1DC2E1-0F10-4E8C-8CA0-BA5EBC4DC9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4" authorId="4353" shapeId="0" xr:uid="{A135B5C4-D74C-4312-A80C-34964A0413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4" authorId="4354" shapeId="0" xr:uid="{824B0071-07EF-4269-BCE2-C7F6C072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4" authorId="4355" shapeId="0" xr:uid="{16DACEF1-684B-4054-956A-70390D97639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4" authorId="4356" shapeId="0" xr:uid="{757080FC-70E2-4FA3-AA26-930EA1DB79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4" authorId="4357" shapeId="0" xr:uid="{6B9582C6-B314-40C5-9CDE-D569467B55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4" authorId="4358" shapeId="0" xr:uid="{AE840F06-3FB1-40C8-B2EF-651FFF434A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4" authorId="4359" shapeId="0" xr:uid="{CC344405-444F-4C1E-8FBC-C48DFE7172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4" authorId="4360" shapeId="0" xr:uid="{8D28A361-CFA3-4A13-8D20-C91309002A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4" authorId="4361" shapeId="0" xr:uid="{857F729C-3A64-4E87-9AFC-CDBAF8C26B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4" authorId="4362" shapeId="0" xr:uid="{394244F8-70DA-418B-9CD8-096C3C96B6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4" authorId="4363" shapeId="0" xr:uid="{9CC4E5A9-D074-4907-88A8-81729D2DCB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4" authorId="4364" shapeId="0" xr:uid="{A217F32A-45F4-45A5-BCF2-E659ACB82A8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4" authorId="4365" shapeId="0" xr:uid="{8EC87F2F-6D0A-4209-B838-96E0A50B42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4" authorId="4366" shapeId="0" xr:uid="{46083FDC-7564-4095-894D-02AE2FE4FA5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4" authorId="4367" shapeId="0" xr:uid="{6039C536-0198-4ADF-B5BC-0F2CA24833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4" authorId="4368" shapeId="0" xr:uid="{F61BCF8D-EAC5-4598-BACA-93611E24DB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4" authorId="4369" shapeId="0" xr:uid="{1744B3A8-6F8A-4130-BEB7-DD6104F8D2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4" authorId="4370" shapeId="0" xr:uid="{ED9D06C5-BDA9-4F88-A054-33A755401BD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4" authorId="4371" shapeId="0" xr:uid="{FAB7CFAD-A719-469D-B630-D6F7A3274F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4" authorId="4372" shapeId="0" xr:uid="{B194EDD4-6B5D-4559-9630-EE326FA3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4" authorId="4373" shapeId="0" xr:uid="{ED89A1C3-EB62-4D59-9CD2-AE54C7131C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4" authorId="4374" shapeId="0" xr:uid="{F0CA3285-D691-4107-ADBF-B33F9241FA6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4" authorId="4375" shapeId="0" xr:uid="{C35B3394-4E10-45A5-B9A3-91A30929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4" authorId="4376" shapeId="0" xr:uid="{6EA992FD-D90B-4855-9275-1CF6DC4647D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4" authorId="4377" shapeId="0" xr:uid="{DD36C2C6-091C-4A41-A986-44C5070476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4" authorId="4378" shapeId="0" xr:uid="{C6B00BFC-FE13-4D47-BB2B-A83004B7C3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4" authorId="4379" shapeId="0" xr:uid="{FBC504DF-75A5-4BB4-AC86-8CDC46C18FD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4" authorId="4380" shapeId="0" xr:uid="{BD662A48-B6E5-4881-94DB-3345C5B75BD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4" authorId="4381" shapeId="0" xr:uid="{F2FBD507-BE9D-4FB0-A397-2764E85A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4" authorId="4382" shapeId="0" xr:uid="{410C9FCE-6372-4ED7-B3D2-D3C0C6FE97B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4" authorId="4383" shapeId="0" xr:uid="{9658E395-B834-485C-80B8-6A6876026FF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4" authorId="4384" shapeId="0" xr:uid="{EED270C9-264D-49D1-915E-52A3182134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4" authorId="4385" shapeId="0" xr:uid="{186A62F5-150C-4E63-8803-DB3858840B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4" authorId="4386" shapeId="0" xr:uid="{433C4AD1-0F64-41EB-9A2E-C1EDB0BCC9D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4" authorId="4387" shapeId="0" xr:uid="{19399F02-7379-4F3D-9473-D868472FAC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4" authorId="4388" shapeId="0" xr:uid="{CCC55A7D-F292-4E07-A2A8-78674FD8B8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4" authorId="4389" shapeId="0" xr:uid="{BFE63CB8-86A4-49F5-B653-B4E378F678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4" authorId="4390" shapeId="0" xr:uid="{FF52DDE6-347F-46DB-B82F-B7AA41719F9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4" authorId="4391" shapeId="0" xr:uid="{D06FDE5F-62EB-4B40-9DB0-8FFA7FD492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4" authorId="4392" shapeId="0" xr:uid="{8F32622D-339D-4EBD-A49A-B0CE9A6AEA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4" authorId="4393" shapeId="0" xr:uid="{A4EB7FFC-E544-477B-B813-0F1F56ED2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4" authorId="4394" shapeId="0" xr:uid="{50E8AD46-3233-4E8D-AE3B-E5ECB8EBDC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4" authorId="4395" shapeId="0" xr:uid="{AD6B362C-05AA-490D-868D-1165FE1F1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4" authorId="4396" shapeId="0" xr:uid="{661325F2-0567-47F2-A825-9AC8C1931D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4" authorId="4397" shapeId="0" xr:uid="{C1AFFA6B-2406-43D6-BAC8-341E4735B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4" authorId="4398" shapeId="0" xr:uid="{6B8280A7-886E-47AC-B01C-6351FA1F0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4" authorId="4399" shapeId="0" xr:uid="{E55E3CC1-FEC0-4A18-9F77-EA96D871E8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4" authorId="4400" shapeId="0" xr:uid="{D0CE0EAC-960D-4601-A435-A1BF7B9F36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4" authorId="4401" shapeId="0" xr:uid="{E679B436-5E1D-4470-B378-87DFC4A0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4" authorId="4402" shapeId="0" xr:uid="{1975E221-5122-4C85-8DF5-4513BDDA3B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4" authorId="4403" shapeId="0" xr:uid="{8AA64C4A-97F8-48CB-AF3E-4C0119DA9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4" authorId="4404" shapeId="0" xr:uid="{84A96171-E8B9-4BCB-99E2-559C79AA55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4" authorId="4405" shapeId="0" xr:uid="{812D7D6A-2787-40F2-A850-89D6454444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4" authorId="4406" shapeId="0" xr:uid="{4D1675FB-7EC1-48EB-BA9C-8FF0FABE70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5" authorId="4407" shapeId="0" xr:uid="{81D8B1CD-6A7F-46CB-B962-632C940373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5" authorId="4408" shapeId="0" xr:uid="{966C38C8-64C7-4E66-9238-5D9A3A2BF8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5" authorId="4409" shapeId="0" xr:uid="{1CA480E3-14BA-4DA0-A428-2666E3278D3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5" authorId="4410" shapeId="0" xr:uid="{9682CDB8-3DE9-4642-A081-5A5D828BD5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5" authorId="4411" shapeId="0" xr:uid="{DBFDA696-CD6B-4117-9102-D1842637AC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5" authorId="4412" shapeId="0" xr:uid="{12DDADE2-D74A-4D15-A535-791BB55E34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5" authorId="4413" shapeId="0" xr:uid="{F9AD359D-BE60-41D8-B6CD-2C2F3141F1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5" authorId="4414" shapeId="0" xr:uid="{8FFA49A9-C99E-4047-9E5F-096678D2FBD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5" authorId="4415" shapeId="0" xr:uid="{4381F57A-0889-47E2-8C23-F3E6271E73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5" authorId="4416" shapeId="0" xr:uid="{92A119DA-1B34-49F1-81BF-EF60FB3261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5" authorId="4417" shapeId="0" xr:uid="{2DD3769A-C792-4293-ABCC-576C8B9778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5" authorId="4418" shapeId="0" xr:uid="{31F14EB4-E89B-4108-A449-FDA69C3090C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5" authorId="4419" shapeId="0" xr:uid="{7C530D58-071B-4636-976E-A3677B1472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5" authorId="4420" shapeId="0" xr:uid="{EF83D6CE-96DB-4765-8512-2412D3F141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5" authorId="4421" shapeId="0" xr:uid="{4D2D0875-0835-46FA-A3C5-E6E3816DCE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5" authorId="4422" shapeId="0" xr:uid="{B024A7E7-C2DB-43BC-B6EE-5EB3FF18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5" authorId="4423" shapeId="0" xr:uid="{AB125323-74DE-4CED-81BA-7F5CD3BF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5" authorId="4424" shapeId="0" xr:uid="{458C78F1-8D80-4A46-8587-8E6A37F1B8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5" authorId="4425" shapeId="0" xr:uid="{1DD09725-8540-44A7-B94D-5E9FC7EF62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5" authorId="4426" shapeId="0" xr:uid="{C2998A08-785D-4161-B8BC-F73B75550F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5" authorId="4427" shapeId="0" xr:uid="{42B6A773-460D-427A-8B1C-B340A6BEB3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5" authorId="4428" shapeId="0" xr:uid="{65569EB9-D817-4FC0-BF89-1412F3CE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5" authorId="4429" shapeId="0" xr:uid="{51F3A2FC-784D-4D2C-A2C9-F0AA20EE42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5" authorId="4430" shapeId="0" xr:uid="{C0964D9D-E0E3-410E-9998-84776A05A2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5" authorId="4431" shapeId="0" xr:uid="{0AAC9F89-298C-4375-9601-1FDD3F1ED1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5" authorId="4432" shapeId="0" xr:uid="{D90053CE-4588-4435-89A3-E23E638AF1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5" authorId="4433" shapeId="0" xr:uid="{AC1C8225-3408-4893-A798-427FBDFD8D6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5" authorId="4434" shapeId="0" xr:uid="{3050D47D-0AA1-4BE8-9F9B-886F007858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5" authorId="4435" shapeId="0" xr:uid="{DF2CC156-B058-450D-A9D6-3B6D331451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5" authorId="4436" shapeId="0" xr:uid="{DAA5726F-862C-4998-8CBD-60EB33B28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5" authorId="4437" shapeId="0" xr:uid="{2490C7EB-409D-463D-9F30-F9EEC78840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5" authorId="4438" shapeId="0" xr:uid="{501BAFF4-A15D-435A-92D2-6A878AD9387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5" authorId="4439" shapeId="0" xr:uid="{9DFAF36A-29EB-4B7B-B9E4-17BC499B3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5" authorId="4440" shapeId="0" xr:uid="{B45E0178-DB39-45EC-AD26-666146D1B4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5" authorId="4441" shapeId="0" xr:uid="{C8ECBB7B-567D-4232-A3F3-F9E15CB2CD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5" authorId="4442" shapeId="0" xr:uid="{64485A4D-16FE-4399-AC00-5B1CCB9B7B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5" authorId="4443" shapeId="0" xr:uid="{C2879D8C-F2C8-4F5D-ADF4-537ECD4F7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5" authorId="4444" shapeId="0" xr:uid="{E561335D-EF00-4140-9EE7-A41EB4A561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5" authorId="4445" shapeId="0" xr:uid="{2F78F3EA-BBEB-41BF-9410-769CCE1DD4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5" authorId="4446" shapeId="0" xr:uid="{08211615-551D-43F6-BF49-B76A1073B4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5" authorId="4447" shapeId="0" xr:uid="{9FAD8DC2-C6E2-499E-B4B0-E88790239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5" authorId="4448" shapeId="0" xr:uid="{E1F24A6E-C34F-4A30-A4C2-C0B51711C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5" authorId="4449" shapeId="0" xr:uid="{F6117F8E-1779-4610-BE03-F1D923A27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5" authorId="4450" shapeId="0" xr:uid="{A80A3B70-2EE0-4A44-BB07-3940106BA2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5" authorId="4451" shapeId="0" xr:uid="{6E88DC40-64A4-42B3-8271-3EDB2E1CA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5" authorId="4452" shapeId="0" xr:uid="{961039BB-8B46-4C47-B282-97FADDFAD6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5" authorId="4453" shapeId="0" xr:uid="{E78C8283-D250-4EA9-8F05-76BC59DE6F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5" authorId="4454" shapeId="0" xr:uid="{EA1119AD-DD06-4EE0-A979-34815DF8A7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5" authorId="4455" shapeId="0" xr:uid="{A9EE7EFF-719F-4E96-8DDD-6D8E6F3A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5" authorId="4456" shapeId="0" xr:uid="{BC482F07-C36F-43FA-B116-A538FE4F75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5" authorId="4457" shapeId="0" xr:uid="{492596F6-89F4-42C5-8754-6A8E5DE5EE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5" authorId="4458" shapeId="0" xr:uid="{38F38F6D-E351-4451-B060-B43AA59034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5" authorId="4459" shapeId="0" xr:uid="{0902DBD4-27FB-42D0-AAB7-20F95DC34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5" authorId="4460" shapeId="0" xr:uid="{879D95A7-E9BE-46B7-85DF-4DF2BDEBD25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6" authorId="4461" shapeId="0" xr:uid="{0854156E-1AB7-48EE-B35E-CE98B46CAAD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6" authorId="4462" shapeId="0" xr:uid="{0D48B038-4DF5-46A8-B5B6-1C114DC073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6" authorId="4463" shapeId="0" xr:uid="{11E2C88C-26CB-42D9-823F-D69DD86647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6" authorId="4464" shapeId="0" xr:uid="{04D0A374-A1A3-4C6E-A9A4-5A59ED18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6" authorId="4465" shapeId="0" xr:uid="{4E88A1A1-10EB-43CC-B708-9240B3E4478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6" authorId="4466" shapeId="0" xr:uid="{7135F065-0E6B-41B1-8528-A2A6C13FA7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6" authorId="4467" shapeId="0" xr:uid="{40C7AE8E-252B-4F4A-B1CC-1F620810028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6" authorId="4468" shapeId="0" xr:uid="{3418AA0A-8C44-4953-9AB7-3373FF9828A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6" authorId="4469" shapeId="0" xr:uid="{8E321588-58ED-4BA5-BEA8-C18EC08BE05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6" authorId="4470" shapeId="0" xr:uid="{4AAD35C1-3055-456B-8322-BA4F9606BF1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6" authorId="4471" shapeId="0" xr:uid="{2F47C09F-02BF-42E3-A717-D48495650C5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6" authorId="4472" shapeId="0" xr:uid="{58910C31-3330-49FF-88AB-AC362A393C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6" authorId="4473" shapeId="0" xr:uid="{64A80C96-310E-43D7-9EBC-30877C334E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6" authorId="4474" shapeId="0" xr:uid="{1BB79C43-3D24-49AC-ADE5-433804CAF8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6" authorId="4475" shapeId="0" xr:uid="{7DDFA765-721A-4B75-9997-058960562D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6" authorId="4476" shapeId="0" xr:uid="{6F1A35B7-FE90-4607-8581-03DECA57EB0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6" authorId="4477" shapeId="0" xr:uid="{5ED72E85-2D1C-4A3D-9172-04C9313F83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6" authorId="4478" shapeId="0" xr:uid="{A848A53D-9784-40AB-9D74-00CEED9630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6" authorId="4479" shapeId="0" xr:uid="{A33CF9F5-E4AC-472A-82A3-B8318E99F2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6" authorId="4480" shapeId="0" xr:uid="{78B08E86-C171-4024-AB16-A7E5C15E90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6" authorId="4481" shapeId="0" xr:uid="{EEB9D083-7248-4075-A51D-FE80894E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6" authorId="4482" shapeId="0" xr:uid="{B9EE162C-65A8-42C6-AF6F-4854FE057B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6" authorId="4483" shapeId="0" xr:uid="{9DD8DD74-6F58-447B-9018-208F8EA35E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6" authorId="4484" shapeId="0" xr:uid="{F16ECCC3-C660-419F-BEBD-8461DA8D31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6" authorId="4485" shapeId="0" xr:uid="{C802DB7F-1721-4A7D-8005-B4ABB37543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6" authorId="4486" shapeId="0" xr:uid="{0368F74E-27CA-4DA5-849F-614C1A6D10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6" authorId="4487" shapeId="0" xr:uid="{8A681774-F28B-41E2-A1DF-FC8C258E46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6" authorId="4488" shapeId="0" xr:uid="{AEA69125-F794-48DC-9CBE-F30BE8DB453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6" authorId="4489" shapeId="0" xr:uid="{EA27C9EF-0F3D-44F7-96CD-B9B1D6177D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6" authorId="4490" shapeId="0" xr:uid="{CCF0DB0D-5B9E-4EB1-85F7-F343E43D24D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6" authorId="4491" shapeId="0" xr:uid="{1357FF5E-8461-4547-AB34-307EB09146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6" authorId="4492" shapeId="0" xr:uid="{2254C569-67DD-4ADF-A61B-D9009DE74D5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6" authorId="4493" shapeId="0" xr:uid="{360C93DA-DCAE-4B29-8E55-42269648E7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6" authorId="4494" shapeId="0" xr:uid="{C716E557-F9EF-46A9-AA9C-BFA32EF038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6" authorId="4495" shapeId="0" xr:uid="{14C39EBC-7E64-4EF4-BD99-B2D66844F2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6" authorId="4496" shapeId="0" xr:uid="{3FE98490-A4A3-426A-A1AB-151B708CADF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6" authorId="4497" shapeId="0" xr:uid="{F741929A-3E57-4BC1-85DC-65F99617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6" authorId="4498" shapeId="0" xr:uid="{996CDF1A-710F-4182-B4D7-12EB390B9F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6" authorId="4499" shapeId="0" xr:uid="{5BF2F4ED-EF52-4354-81AC-5BB9007D117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6" authorId="4500" shapeId="0" xr:uid="{27B78031-FE6E-4B41-9566-B735937ECFC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6" authorId="4501" shapeId="0" xr:uid="{BF6B1C1C-886F-4595-A096-4EF095671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6" authorId="4502" shapeId="0" xr:uid="{D139DC91-44EC-4511-A9B5-A1087D6895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6" authorId="4503" shapeId="0" xr:uid="{99C13148-EB91-4C5B-ACEA-B68B52F6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6" authorId="4504" shapeId="0" xr:uid="{37C9B100-C874-49E9-838E-07FBEEA894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6" authorId="4505" shapeId="0" xr:uid="{9C2CBE71-67F3-41C2-8CC0-990505167B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6" authorId="4506" shapeId="0" xr:uid="{1414FAD9-1940-4542-8829-A719231D19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6" authorId="4507" shapeId="0" xr:uid="{D1CE4F07-9B2D-4D5B-BC2C-042900025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6" authorId="4508" shapeId="0" xr:uid="{96ECEA72-4D51-44E3-A132-010D5134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6" authorId="4509" shapeId="0" xr:uid="{87FC52F6-AC48-4ABF-90C6-C05E37B19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6" authorId="4510" shapeId="0" xr:uid="{F2E76C1C-683F-41EA-88E5-D945CAE697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6" authorId="4511" shapeId="0" xr:uid="{7A6E717C-368F-484F-B24E-F512E482A8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6" authorId="4512" shapeId="0" xr:uid="{D82D01AB-AC78-4220-9A3B-64660F8E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6" authorId="4513" shapeId="0" xr:uid="{C4645AA7-D9C3-422E-97B1-B84F89877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6" authorId="4514" shapeId="0" xr:uid="{49C4EF8F-4CA0-49D6-91F5-A9D95DF9CA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Y257" authorId="4515" shapeId="0" xr:uid="{87A9D741-C8DA-4DF1-85DE-7D912DB75AD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Y257" authorId="4516" shapeId="0" xr:uid="{908CF2FD-0861-4E1E-B5BF-67E5BDF17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A257" authorId="4517" shapeId="0" xr:uid="{3E61DA80-58FC-47C7-A71E-828D322852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C257" authorId="4518" shapeId="0" xr:uid="{A29E445C-40E4-4C5C-BB45-0E24BEFB0DC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7" authorId="4519" shapeId="0" xr:uid="{D881B196-DFE3-43FF-8F62-0F90AC432D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E257" authorId="4520" shapeId="0" xr:uid="{35244F0C-625F-4D42-B5CE-83554BF699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F257" authorId="4521" shapeId="0" xr:uid="{DD917F7A-F078-41AC-850D-6EBD92F9A1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Y258" authorId="4522" shapeId="0" xr:uid="{0B0EC61E-5D3A-4429-AA0F-9EB6179AE9C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Y258" authorId="4523" shapeId="0" xr:uid="{CEC04983-DEBB-489B-A782-B393A29E82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A258" authorId="4524" shapeId="0" xr:uid="{34C1DBE1-F952-4642-9740-ECF9C35D4F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C258" authorId="4525" shapeId="0" xr:uid="{F254D8B9-B6ED-4ADD-B2BE-328BE7C17E3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8" authorId="4526" shapeId="0" xr:uid="{D07E11E0-C389-4F34-89A5-80605F33F16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59" authorId="4527" shapeId="0" xr:uid="{39CCA737-7583-4EFD-8EF0-DF496248D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59" authorId="4528" shapeId="0" xr:uid="{30520F83-90E9-44E0-BFA1-DFC1861A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59" authorId="4529" shapeId="0" xr:uid="{38602510-8D4F-4832-9C80-1DBB658C7D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59" authorId="4530" shapeId="0" xr:uid="{DA41A35A-18B9-4B62-A03C-1000605F0A0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59" authorId="4531" shapeId="0" xr:uid="{D80366C2-DC3A-46C4-934A-AB13638D157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59" authorId="4532" shapeId="0" xr:uid="{BDB72F68-E728-443C-9776-B38A9314A7B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59" authorId="4533" shapeId="0" xr:uid="{ED4979A6-CEE4-4E18-BD3A-1E2FCB3FF1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59" authorId="4534" shapeId="0" xr:uid="{62F28745-8725-4877-8F53-0560C7BC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59" authorId="4535" shapeId="0" xr:uid="{12EDCF12-845A-4862-9D8E-F9ED5C1BD4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59" authorId="4536" shapeId="0" xr:uid="{8FE8677E-4F45-49BA-8965-9C5189E9AC5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59" authorId="4537" shapeId="0" xr:uid="{AAD78066-8436-4CEE-A705-8BE8382A26B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59" authorId="4538" shapeId="0" xr:uid="{9FC0F152-4702-406E-9A45-5EE216F17D9D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59" authorId="4539" shapeId="0" xr:uid="{DA3DBFBB-021A-4ACB-A731-D8F66131F06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59" authorId="4540" shapeId="0" xr:uid="{FBCA98F1-6425-42C3-9573-3C42BCBC92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59" authorId="4541" shapeId="0" xr:uid="{37836686-70FA-447F-A48B-AD682E0FC3A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9" authorId="4542" shapeId="0" xr:uid="{DE1502FB-03E1-476B-9F52-F17D2DFD65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L259" authorId="4543" shapeId="0" xr:uid="{1EC6E96F-C5CA-476D-9B64-073A70E4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9" authorId="4544" shapeId="0" xr:uid="{BAA57A65-0EB7-4139-88D2-2C48A534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9" authorId="4545" shapeId="0" xr:uid="{C6360F6B-E06D-4D8C-986C-9DE8CFC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9" authorId="4546" shapeId="0" xr:uid="{2A0D44E0-C362-4AA8-9381-85F2AD619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4547" shapeId="0" xr:uid="{51002FED-4AEB-42BE-A3A1-7CA535805E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G260" authorId="4548" shapeId="0" xr:uid="{465A3161-EEAD-42E0-BF77-E022C311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60" authorId="4549" shapeId="0" xr:uid="{1597F443-59C1-463F-A597-2A9897609D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260" authorId="4550" shapeId="0" xr:uid="{E05BC638-1AF6-402D-BE07-6A0F426E1CC7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BC260" authorId="4551" shapeId="0" xr:uid="{5B5F81A7-535A-4A5C-A91D-C02FACB992B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0" authorId="4552" shapeId="0" xr:uid="{F3126A89-E1AB-45D5-9850-BC23DE6EB78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61" authorId="4553" shapeId="0" xr:uid="{FDC02BF2-F7E2-4C75-A1BD-13650C5759E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61" authorId="4554" shapeId="0" xr:uid="{58D9639C-32B7-49BE-8EC9-5C6746CDA9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61" authorId="4555" shapeId="0" xr:uid="{84BA090C-D1EB-4EE2-A88E-95B9A4297A6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61" authorId="4556" shapeId="0" xr:uid="{404A4554-659D-4A0F-A327-D148DAA87CD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61" authorId="4557" shapeId="0" xr:uid="{2F0B8E73-E182-4521-AEA6-E5EEC4A422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61" authorId="4558" shapeId="0" xr:uid="{C42052FD-424B-45DD-9C1E-4F9F49C8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61" authorId="4559" shapeId="0" xr:uid="{614E51B6-2EB0-4A9F-9C90-D6D7B0491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61" authorId="4560" shapeId="0" xr:uid="{040AC810-211D-4DAB-B1F6-F9FF51FEF8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61" authorId="4561" shapeId="0" xr:uid="{7C7145C2-FDD2-46C7-9293-5C408B43AAF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61" authorId="4562" shapeId="0" xr:uid="{1C638F38-602A-4DF0-8CC0-65CF89001D4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61" authorId="4563" shapeId="0" xr:uid="{E615B6CF-F054-4407-830E-08FCD74386E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61" authorId="4564" shapeId="0" xr:uid="{F2C6226E-5B5D-4D6D-9405-5937209A28B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61" authorId="4565" shapeId="0" xr:uid="{D6F4995A-EDD4-4353-A15B-058D7AAC3E0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1" authorId="4566" shapeId="0" xr:uid="{9B7473E1-BA00-4FD7-965E-4BB1C3F90CF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1" authorId="4567" shapeId="0" xr:uid="{95E3007F-B5B1-4ADF-AE3F-DABA8B3D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1" authorId="4568" shapeId="0" xr:uid="{02BEE2FF-5531-4E69-8BD3-25E25821BBF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M262" authorId="4569" shapeId="0" xr:uid="{BEF1C010-3BB6-4FB7-B555-95889678BAE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2" authorId="4570" shapeId="0" xr:uid="{63CC7AB8-8006-47E1-9DC4-975C099B20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2" authorId="4571" shapeId="0" xr:uid="{5EF1760F-1879-4A15-83C1-32F8733AD47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2" authorId="4572" shapeId="0" xr:uid="{DD856411-8D11-42D6-BAC2-8A6D8E8720C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L262" authorId="4573" shapeId="0" xr:uid="{1F091954-CC69-4CA8-AFD9-00A1ADFD8E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62" authorId="4574" shapeId="0" xr:uid="{A70EB32B-B113-4ED8-B9E8-8B6F860E8E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62" authorId="4575" shapeId="0" xr:uid="{2C3ABD1F-357B-491E-A4E1-0061B7358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62" authorId="4576" shapeId="0" xr:uid="{79424B83-4801-4202-A30F-D4477408F9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63" authorId="4577" shapeId="0" xr:uid="{A96D1D8D-7B71-44E6-9654-FE9D8C8D8E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3" authorId="4578" shapeId="0" xr:uid="{25AF3C84-4B11-438A-8130-7A9C286256F4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3" authorId="4579" shapeId="0" xr:uid="{D80D4ED4-DD3C-43A1-806E-E36A99C94DA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3" authorId="4580" shapeId="0" xr:uid="{073E2D95-0DBB-4961-87D4-26E9820651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64" authorId="4581" shapeId="0" xr:uid="{8AEF3DA3-319F-426B-BC9D-346EDEFA36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64" authorId="4582" shapeId="0" xr:uid="{A0FBDE8A-4CCD-4A62-ACC6-BC57B15111F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64" authorId="4583" shapeId="0" xr:uid="{64298F39-A328-40B5-BF80-52A45989581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64" authorId="4584" shapeId="0" xr:uid="{547720E9-32E4-4EFF-B686-BFFA0AA8F21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64" authorId="4585" shapeId="0" xr:uid="{F42FFDF7-2885-4938-9E03-B7C1FC064E6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64" authorId="4586" shapeId="0" xr:uid="{8616C050-2A32-4B77-A59B-865CC915304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64" authorId="4587" shapeId="0" xr:uid="{133FF333-F769-4AF1-A382-00E221CF3E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64" authorId="4588" shapeId="0" xr:uid="{2B6C31EB-0093-4013-B2AF-CF8A9F1406A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64" authorId="4589" shapeId="0" xr:uid="{542C9426-2D24-444A-9352-2ABD0D5362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64" authorId="4590" shapeId="0" xr:uid="{61B6AF41-19CB-47F8-AA60-BEE37F982B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64" authorId="4591" shapeId="0" xr:uid="{98454F12-AE40-4ABF-BCC9-B55241EB3F9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64" authorId="4592" shapeId="0" xr:uid="{699939DB-23DF-4997-90A8-9B954AE7B2E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64" authorId="4593" shapeId="0" xr:uid="{D60F474B-87D3-4D28-AFC9-60F4FE8A163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4" authorId="4594" shapeId="0" xr:uid="{234A5C7E-F7C8-4B9A-89E0-ED82024110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4" authorId="4595" shapeId="0" xr:uid="{30B2B96F-566E-4B81-B365-37262098E5B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4" authorId="4596" shapeId="0" xr:uid="{1D87FF2B-DFEE-4BB3-B103-63F6A589F69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Y265" authorId="4597" shapeId="0" xr:uid="{DE4984FF-C69C-4109-BB68-11AF8FCC76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BA265" authorId="4598" shapeId="0" xr:uid="{FEFDCB84-9BA1-4F8A-9EA1-A3096633DBFE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BC265" authorId="4599" shapeId="0" xr:uid="{A9DB562B-B7BE-4ED9-B54E-379F44D64BE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5" authorId="4600" shapeId="0" xr:uid="{2BD92287-38F9-40E0-8C3A-25082B080D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W266" authorId="4601" shapeId="0" xr:uid="{771E2454-32CA-45D9-876B-0AA545CB3B8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6" authorId="4602" shapeId="0" xr:uid="{612BA4BD-7102-4BD8-A00D-06B9A870079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6" authorId="4603" shapeId="0" xr:uid="{9D6F0E8A-FC39-4865-AFC7-0C76760CED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6" authorId="4604" shapeId="0" xr:uid="{E1EBB647-2E39-465D-A4D5-6F670D72EB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6" authorId="4605" shapeId="0" xr:uid="{D813A8A8-EDDE-4829-BCE3-E3FB4D110B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6" authorId="4606" shapeId="0" xr:uid="{7684BA35-FF70-4A1C-A3CD-EACD83AB293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6" authorId="4607" shapeId="0" xr:uid="{39E4D291-0A3B-4B41-BFE6-1C4C6CD6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6" authorId="4608" shapeId="0" xr:uid="{5066041E-E923-4340-9435-CD5E5A795A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6" authorId="4609" shapeId="0" xr:uid="{9F9298BC-8FD3-4B85-8D90-FDE7E4B1E5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6" authorId="4610" shapeId="0" xr:uid="{9E767376-8D5D-4A35-81C0-B715591F76F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6" authorId="4611" shapeId="0" xr:uid="{90804172-B0C7-4310-BE72-6A91F25DAA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6" authorId="4612" shapeId="0" xr:uid="{F075CF68-8443-4FDA-A35D-AD95D40FF68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6" authorId="4613" shapeId="0" xr:uid="{80C5DC76-D702-4E7E-9E29-D1DBAABB754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6" authorId="4614" shapeId="0" xr:uid="{CD841E74-F90F-4906-A230-2AEE4138C0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6" authorId="4615" shapeId="0" xr:uid="{4767A0D9-8598-498D-9D83-36C377F1D2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6" authorId="4616" shapeId="0" xr:uid="{1D840E80-57BA-4E48-9427-85B0C80B7D5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6" authorId="4617" shapeId="0" xr:uid="{3738C004-98F3-4AE1-88BA-0EF8542B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6" authorId="4618" shapeId="0" xr:uid="{0AD1BEA0-7E64-4787-B1D9-5B544D28606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6" authorId="4619" shapeId="0" xr:uid="{C30BE8E6-F1B3-4218-BC81-64578464B1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6" authorId="4620" shapeId="0" xr:uid="{246DA2CF-C7EE-4465-AA6F-91219A179FC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6" authorId="4621" shapeId="0" xr:uid="{A4E7451D-BE0B-4F28-B641-970D90DB5EA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7" authorId="4622" shapeId="0" xr:uid="{E29D109F-99A7-48DC-B8BB-61BA000712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7" authorId="4623" shapeId="0" xr:uid="{8E6A3454-9F1A-4E70-B948-F0B0BCF9D66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7" authorId="4624" shapeId="0" xr:uid="{1CA35E5F-9CCA-4967-B898-E4F5FA11CC4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7" authorId="4625" shapeId="0" xr:uid="{8250AB67-DA19-411F-BC54-E4736476C7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7" authorId="4626" shapeId="0" xr:uid="{6EA5EBC3-213C-41E5-AD72-B0B1D74BC14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7" authorId="4627" shapeId="0" xr:uid="{A68B4E10-887E-4224-AAAB-DC1C1DA283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7" authorId="4628" shapeId="0" xr:uid="{6C3CC897-09F3-4C4E-9997-E2BF86A045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7" authorId="4629" shapeId="0" xr:uid="{DF9E978D-EC5D-4540-A832-529DE0223AE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7" authorId="4630" shapeId="0" xr:uid="{58B83DB8-BD94-4C37-8066-5D3F6826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7" authorId="4631" shapeId="0" xr:uid="{3025B7A9-B2BB-4894-8400-FEB69D2D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7" authorId="4632" shapeId="0" xr:uid="{FA5FD769-D67C-421D-9577-8990F3A9373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7" authorId="4633" shapeId="0" xr:uid="{67D43E04-0870-4BCF-9509-110B19C0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7" authorId="4634" shapeId="0" xr:uid="{BF7DAFBF-6489-48C6-8A6E-31D5ED57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7" authorId="4635" shapeId="0" xr:uid="{63A0D346-F5AA-4BF8-A954-23858F3596C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7" authorId="4636" shapeId="0" xr:uid="{4CB889D9-0CFA-483C-8B30-F76BC34868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7" authorId="4637" shapeId="0" xr:uid="{8897C1FF-1ACD-422B-8EDF-8D34EB8799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7" authorId="4638" shapeId="0" xr:uid="{D63FE7DE-8841-429C-9B30-2F2D4597F4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7" authorId="4639" shapeId="0" xr:uid="{F57BE401-43B2-4E08-B301-5F26EF839E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7" authorId="4640" shapeId="0" xr:uid="{2A2016BC-85CB-47A5-9803-0B35231ED38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7" authorId="4641" shapeId="0" xr:uid="{9DCF2690-4FA6-4BB6-A99C-41A70A89B2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7" authorId="4642" shapeId="0" xr:uid="{9DAA8C4A-BB06-4E60-83EC-9C32DCED68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8" authorId="4643" shapeId="0" xr:uid="{A3CE9A43-5829-49CE-869C-D16D29AFF1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8" authorId="4644" shapeId="0" xr:uid="{4A75D42E-9B88-48A3-BAF3-48DFCE60181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8" authorId="4645" shapeId="0" xr:uid="{D0FF8BCE-9660-4B44-A185-3683E4CDE1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8" authorId="4646" shapeId="0" xr:uid="{73E7B502-E6C2-4CAF-9564-2307823EDA1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8" authorId="4647" shapeId="0" xr:uid="{9F290042-A5E6-41EC-8B31-FC54E83300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8" authorId="4648" shapeId="0" xr:uid="{7B21B82F-12E7-413E-B04B-76E6F4F10C9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8" authorId="4649" shapeId="0" xr:uid="{947A535B-5853-4A9B-9735-D6A3275AE32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8" authorId="4650" shapeId="0" xr:uid="{23627F04-C947-4A4E-80BB-2E206F98016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8" authorId="4651" shapeId="0" xr:uid="{F418A05D-5823-4C3C-9BDB-1AE1D5BE826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8" authorId="4652" shapeId="0" xr:uid="{81A5E3D0-DA94-47B4-8EA4-B1A300E16ED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8" authorId="4653" shapeId="0" xr:uid="{3AFD0369-49F2-4C56-B07E-5506DAC916E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8" authorId="4654" shapeId="0" xr:uid="{EDE43656-2224-4DB5-B585-E0107CC8C3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8" authorId="4655" shapeId="0" xr:uid="{B2CF8C04-B312-4A9E-B2A9-252390B9EB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8" authorId="4656" shapeId="0" xr:uid="{4ADCF64A-9017-4BD1-BA4D-94369706C1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8" authorId="4657" shapeId="0" xr:uid="{90A81429-0227-49C8-B4FD-19B333D28D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8" authorId="4658" shapeId="0" xr:uid="{8F9DACBC-69A9-4BF6-AD85-02A17BE4283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8" authorId="4659" shapeId="0" xr:uid="{810EBEF4-0249-49F3-BA1F-56A2B24537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8" authorId="4660" shapeId="0" xr:uid="{3E88DB5F-3001-47F3-9BC3-A89E34BC3E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8" authorId="4661" shapeId="0" xr:uid="{C96D299E-B6FF-4BED-A555-80B8985B6C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8" authorId="4662" shapeId="0" xr:uid="{FE4CEE72-F8E7-461B-AD1C-98AF284DAA0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8" authorId="4663" shapeId="0" xr:uid="{F15FA2E3-93B4-46E0-AB8A-7B091BE868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9" authorId="4664" shapeId="0" xr:uid="{D99BB9DE-200B-465B-998B-E3401799447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9" authorId="4665" shapeId="0" xr:uid="{F6CBF39F-96C5-4F7E-B665-C5BC1B2B07C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9" authorId="4666" shapeId="0" xr:uid="{C3C6D0B5-BFB9-4F8B-99CC-60D8E46513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9" authorId="4667" shapeId="0" xr:uid="{DB4982F4-1D02-4568-801B-A80DA0B3BD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9" authorId="4668" shapeId="0" xr:uid="{27409107-9739-4884-8512-E9D1C61DCB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9" authorId="4669" shapeId="0" xr:uid="{70CBEB58-5532-4889-868C-40E4554B0E7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9" authorId="4670" shapeId="0" xr:uid="{CA50EFF0-FDDC-4492-ADA2-28C4A04CEB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9" authorId="4671" shapeId="0" xr:uid="{A0F0F0E6-2867-4974-B559-869501F763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9" authorId="4672" shapeId="0" xr:uid="{8120B886-B895-4DFD-A16B-3DCD602E251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9" authorId="4673" shapeId="0" xr:uid="{27C5C24E-2AAF-4F87-B2AB-127EA3731A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9" authorId="4674" shapeId="0" xr:uid="{CFC66A42-CF45-4E13-ACB8-776679B5361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9" authorId="4675" shapeId="0" xr:uid="{191390B7-0BCF-408B-8D16-BF1E14B1F9A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9" authorId="4676" shapeId="0" xr:uid="{2FA8FA62-5433-411E-A287-9474B3254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9" authorId="4677" shapeId="0" xr:uid="{62EAC55E-3514-4A40-906C-DBFF0E3340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9" authorId="4678" shapeId="0" xr:uid="{7B83A14C-BE47-4E92-9FA4-F21FFAD3E0F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9" authorId="4679" shapeId="0" xr:uid="{85A412B7-275B-4A17-9786-C5027FE8BE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69" authorId="4680" shapeId="0" xr:uid="{0C076204-DA14-4D86-BC49-5DDE9B56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0" authorId="4681" shapeId="0" xr:uid="{07ACB861-3E41-49AE-8D4E-1AEA80F648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0" authorId="4682" shapeId="0" xr:uid="{8E751C8A-0075-4B98-B8F2-909AEB319B0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0" authorId="4683" shapeId="0" xr:uid="{EE48483F-61AB-4619-889E-65CAF018BD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0" authorId="4684" shapeId="0" xr:uid="{8298E4F2-8124-46B5-8B27-1947C37AAD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0" authorId="4685" shapeId="0" xr:uid="{F7ACBB63-926F-4D18-B85B-2305DE0C2AC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0" authorId="4686" shapeId="0" xr:uid="{7CABE236-5BF0-4676-8F0C-414F313F6A8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0" authorId="4687" shapeId="0" xr:uid="{D7C35507-3D4E-4EF1-9B8A-CAAAA2CA74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0" authorId="4688" shapeId="0" xr:uid="{09ACB7FF-202D-41A1-B594-F0ED2ED6E44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0" authorId="4689" shapeId="0" xr:uid="{7BBB669E-67DB-4506-BC4A-C58247BB882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0" authorId="4690" shapeId="0" xr:uid="{D6722DC7-1740-49D3-96D9-0AF9BE81FB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0" authorId="4691" shapeId="0" xr:uid="{2C50D0D8-475B-47A4-BAFF-2B8F8AD0B7F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0" authorId="4692" shapeId="0" xr:uid="{9F3DA239-4221-4EA8-8C78-BDF71B248F4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0" authorId="4693" shapeId="0" xr:uid="{FFA45B8D-66D6-487F-9021-6002047B9A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0" authorId="4694" shapeId="0" xr:uid="{F41B634F-CE25-4320-97E0-C76FD452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0" authorId="4695" shapeId="0" xr:uid="{A74BCE9D-5725-4F01-82D6-BC59E61E1E2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0" authorId="4696" shapeId="0" xr:uid="{8E3FF99B-863C-46DB-ACE6-8C93F39F10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70" authorId="4697" shapeId="0" xr:uid="{B4FC363B-2B0F-4802-A2B0-30CFE3AF33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0" authorId="4698" shapeId="0" xr:uid="{D39C53DD-8F43-4CB1-BAFE-6453A87F5F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70" authorId="4699" shapeId="0" xr:uid="{27E11170-7DDF-489A-B506-68C6F41425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70" authorId="4700" shapeId="0" xr:uid="{EC9AB2E6-F3DA-46C3-9059-24E9C93A342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70" authorId="4701" shapeId="0" xr:uid="{C9F1365A-B4A8-486A-8171-1BCC4B4714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1" authorId="4702" shapeId="0" xr:uid="{737747A6-96D7-4C6A-9BA2-B93596FDD4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1" authorId="4703" shapeId="0" xr:uid="{6B66BFC8-0A25-4B46-B177-7E1037E872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1" authorId="4704" shapeId="0" xr:uid="{9E56A1EE-68E6-4819-8B12-318899A24B0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1" authorId="4705" shapeId="0" xr:uid="{4A810B7C-DC22-402D-9890-F6DE24327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1" authorId="4706" shapeId="0" xr:uid="{9D953454-042B-40FB-A464-445D476432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1" authorId="4707" shapeId="0" xr:uid="{AF776437-508E-4607-81E9-CE11A96D49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1" authorId="4708" shapeId="0" xr:uid="{91ABA908-FAC7-485B-B432-2A0B7570A90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1" authorId="4709" shapeId="0" xr:uid="{6B3D7059-384A-4F37-8DD7-AB53E61460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1" authorId="4710" shapeId="0" xr:uid="{F7C173F4-9CC1-46D5-9685-E28D2F6E9BD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1" authorId="4711" shapeId="0" xr:uid="{F114EEBB-0C6F-4FE6-A26C-24C7C0DF42F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1" authorId="4712" shapeId="0" xr:uid="{6C84AF4D-4D9B-4355-AE50-62327CDF3AD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1" authorId="4713" shapeId="0" xr:uid="{FFB94523-F372-4A33-9D7B-82DCBE18876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1" authorId="4714" shapeId="0" xr:uid="{70F35852-F843-453C-A960-2E0CC50C6D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1" authorId="4715" shapeId="0" xr:uid="{67AF17BF-FE6C-4BE1-B5CA-C710054BE93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1" authorId="4716" shapeId="0" xr:uid="{1C079057-D998-40DC-896F-CA7AB6A4A95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1" authorId="4717" shapeId="0" xr:uid="{BA48A45F-C3EA-4521-9782-1B38194010D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71" authorId="4718" shapeId="0" xr:uid="{C3796761-CDD0-4C4E-9977-8328108ACB2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1" authorId="4719" shapeId="0" xr:uid="{E5F8D7E4-8C3E-4B14-AE1D-CD60043337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71" authorId="4720" shapeId="0" xr:uid="{70A4C93E-04E8-4D5D-8FA5-1785A82F816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71" authorId="4721" shapeId="0" xr:uid="{3F425EBA-A8BD-4FD9-9F99-BC3BFE3D5E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71" authorId="4722" shapeId="0" xr:uid="{A7447939-F755-433F-8CE4-FC80B121528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2" authorId="4723" shapeId="0" xr:uid="{02013D3B-707A-4B1F-B9D0-7FF1A64757F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2" authorId="4724" shapeId="0" xr:uid="{9C5E2067-4D02-45AF-930E-D62BE237A2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2" authorId="4725" shapeId="0" xr:uid="{554CE84F-E1AA-47B8-8477-3CDA608C6B8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2" authorId="4726" shapeId="0" xr:uid="{806ED247-BBFC-44F2-9A09-15AB75C7A1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2" authorId="4727" shapeId="0" xr:uid="{AEAF79A1-2963-4AEC-996C-7D5B943FF2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2" authorId="4728" shapeId="0" xr:uid="{502A3A6D-1A3C-47AC-B6E0-3EA398BF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2" authorId="4729" shapeId="0" xr:uid="{5B0DD266-1D66-4662-A125-0D2F614A66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2" authorId="4730" shapeId="0" xr:uid="{FAA19D81-8C46-45F2-A1D9-04DDFF68634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2" authorId="4731" shapeId="0" xr:uid="{62FEC350-264A-47E3-8F36-5CC6712E018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2" authorId="4732" shapeId="0" xr:uid="{881171B6-A68D-4251-A7F8-714F061AABB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2" authorId="4733" shapeId="0" xr:uid="{297BC0D1-9E31-430A-9CCA-AE0FFE155E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2" authorId="4734" shapeId="0" xr:uid="{5E73FF2C-382C-48EA-AFF4-2F80900D3A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2" authorId="4735" shapeId="0" xr:uid="{B072E250-A906-47FC-94DB-0817AD86E5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2" authorId="4736" shapeId="0" xr:uid="{F615C0AC-DAE8-4380-AA45-964234AE209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2" authorId="4737" shapeId="0" xr:uid="{5534A631-63B0-4474-A0AA-4215625D679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2" authorId="4738" shapeId="0" xr:uid="{9DBC03C2-9D6C-4FD3-BF53-2CA4D1D73B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72" authorId="4739" shapeId="0" xr:uid="{A60C3415-5E07-4E51-BC1C-CD94F9359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2" authorId="4740" shapeId="0" xr:uid="{922BCA69-5722-41D7-A152-1F16E6D5A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2" authorId="4741" shapeId="0" xr:uid="{6B5E3E62-6D9B-476C-A656-803910896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2" authorId="4742" shapeId="0" xr:uid="{329426AD-4998-49D8-B88C-0DE27D7BD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2" authorId="4743" shapeId="0" xr:uid="{9E9DCD59-8669-4069-A140-A7ED2FE7A6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Q273" authorId="4744" shapeId="0" xr:uid="{EC6051A8-B73B-455A-BBE7-30073C9C6D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3" authorId="4745" shapeId="0" xr:uid="{C3CFB6D5-235E-45D4-B268-620CDD0B94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3" authorId="4746" shapeId="0" xr:uid="{09720A86-EC6F-4162-8B0B-2018AF7C37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3" authorId="4747" shapeId="0" xr:uid="{79849865-9B66-48AE-9165-2645620B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3" authorId="4748" shapeId="0" xr:uid="{E7897B34-5D37-4AB4-8964-741F9879768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3" authorId="4749" shapeId="0" xr:uid="{A8A5B11D-7040-4DCF-873E-EDF7458BA81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3" authorId="4750" shapeId="0" xr:uid="{7D6C4D18-82EB-4589-8DFA-7E0A938D1E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3" authorId="4751" shapeId="0" xr:uid="{268EF4F5-DBE7-4C17-BD7F-1F507600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3" authorId="4752" shapeId="0" xr:uid="{FDA1B4D9-6FF2-4188-9B75-20DAE2DFF20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3" authorId="4753" shapeId="0" xr:uid="{F3061C50-76BA-421F-8121-81E0574D41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3" authorId="4754" shapeId="0" xr:uid="{53E8261C-F563-4C9E-9372-D44942921A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3" authorId="4755" shapeId="0" xr:uid="{FDC7B628-BC6F-411E-AAB3-BCE3993C0E4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3" authorId="4756" shapeId="0" xr:uid="{F4B18FAF-6DD5-471A-8121-EBA8C329EE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3" authorId="4757" shapeId="0" xr:uid="{D2BC5580-5CB5-43E9-BDED-24AC415E2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3" authorId="4758" shapeId="0" xr:uid="{01EC69E6-2BA8-4F61-A0D3-C97237A5998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3" authorId="4759" shapeId="0" xr:uid="{70E8E8B7-D18F-47E2-9867-E1DE63C31F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3" authorId="4760" shapeId="0" xr:uid="{5CCA8B2C-B767-4D9A-9289-477CDEBBB8A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3" authorId="4761" shapeId="0" xr:uid="{D81867B0-7595-4EF5-9F07-798AF72E3AE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3" authorId="4762" shapeId="0" xr:uid="{11DE59F3-2DD1-41DF-8E4A-3898A7C2626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3" authorId="4763" shapeId="0" xr:uid="{3B6096B4-F50E-48F3-B08C-84A649D5D0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3" authorId="4764" shapeId="0" xr:uid="{DFF1686E-363A-49A2-B455-0B76124D3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3" authorId="4765" shapeId="0" xr:uid="{D9A87091-566C-480C-81B7-8DE3FB74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3" authorId="4766" shapeId="0" xr:uid="{E96BCAB1-1A8F-4523-BAD4-EA45FD3C7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3" authorId="4767" shapeId="0" xr:uid="{0076683F-63EF-48E9-B895-B6B8E3211A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3" authorId="4768" shapeId="0" xr:uid="{5DB727B5-8ADE-479B-BF47-5EFAF8E68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3" authorId="4769" shapeId="0" xr:uid="{C9E675D8-D57A-45DA-A16D-7F5006927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3" authorId="4770" shapeId="0" xr:uid="{014B262F-0F1C-40F5-9F50-C53F71D00B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3" authorId="4771" shapeId="0" xr:uid="{A16B26CE-0C68-4292-95DF-65626D235E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3" authorId="4772" shapeId="0" xr:uid="{7D519BBF-D776-4F87-939C-143AD79D8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3" authorId="4773" shapeId="0" xr:uid="{7972F756-CB34-462C-8105-47DA31970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3" authorId="4774" shapeId="0" xr:uid="{133E693B-CB83-4B7B-8B60-C0248232CC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3" authorId="4775" shapeId="0" xr:uid="{FE66A0F5-0B5D-47CF-B491-9F17D3873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3" authorId="4776" shapeId="0" xr:uid="{62FFE5CC-19BA-4C2E-AA69-D9D56153B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3" authorId="4777" shapeId="0" xr:uid="{5A41DAE5-A71C-42EB-BB23-6FCB206B9A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3" authorId="4778" shapeId="0" xr:uid="{404405E8-1FCC-435A-95E9-B1A033256C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3" authorId="4779" shapeId="0" xr:uid="{23871ADD-8F6F-461F-A626-A3A5135C49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3" authorId="4780" shapeId="0" xr:uid="{2C5FE1A1-2247-4937-A24A-4C86923953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3" authorId="4781" shapeId="0" xr:uid="{C45BAAD9-4456-43A2-AA28-C92E627C9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3" authorId="4782" shapeId="0" xr:uid="{3E5776E2-A70D-46CE-AA98-A947430A2C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3" authorId="4783" shapeId="0" xr:uid="{95AD14FB-CDB9-4C86-96C2-0ECE0FC5B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3" authorId="4784" shapeId="0" xr:uid="{3139FFB5-C054-41A8-B67F-96451A928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3" authorId="4785" shapeId="0" xr:uid="{7CF9336A-CAF9-4C54-AC8A-F035BAD809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73" authorId="4786" shapeId="0" xr:uid="{83B2809A-A3A0-4497-8D18-F69AD7ECC3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BN273" authorId="4787" shapeId="0" xr:uid="{DAFCE64F-2DBC-436D-99E6-E54F57001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3" authorId="4788" shapeId="0" xr:uid="{A5B2E866-FC09-4293-93D9-F1FF59D8D0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3" authorId="4789" shapeId="0" xr:uid="{E1AB2E17-B890-4A5B-8622-67E26FEA1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3" authorId="4790" shapeId="0" xr:uid="{56BFFCF7-78C9-439A-9C14-B51D566A5D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4" authorId="4791" shapeId="0" xr:uid="{AA89D851-9F86-46C9-9057-659CB6265AB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4" authorId="4792" shapeId="0" xr:uid="{65C00B76-CEFE-4411-97EB-BC048831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4" authorId="4793" shapeId="0" xr:uid="{35C8689C-39FB-424F-9F0E-8A10DE856AE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4" authorId="4794" shapeId="0" xr:uid="{9E5E6CF9-2860-4D17-A30C-A38CB0A069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4" authorId="4795" shapeId="0" xr:uid="{80FA3B34-F980-4B77-8B44-0504FF1574F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4" authorId="4796" shapeId="0" xr:uid="{BC2B1DD9-A095-4102-8D0E-80CA6AFC29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4" authorId="4797" shapeId="0" xr:uid="{0B9B34B1-E352-42DD-8680-C6919930E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4" authorId="4798" shapeId="0" xr:uid="{07B6C628-720A-4304-A60F-3294D6D3E0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4" authorId="4799" shapeId="0" xr:uid="{DEAA03E8-5847-43BA-B846-E04027E2B29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4" authorId="4800" shapeId="0" xr:uid="{590A20EB-AD95-41D2-AE7D-8761B0D659D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4" authorId="4801" shapeId="0" xr:uid="{C3EBC4CE-FFB9-4B85-B1CB-ABA98402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4" authorId="4802" shapeId="0" xr:uid="{349F9EA1-29ED-4ED7-8C06-86497A06669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4" authorId="4803" shapeId="0" xr:uid="{61B07038-F97A-4A36-815B-29DF6E75C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4" authorId="4804" shapeId="0" xr:uid="{115DDF5F-5786-4AD7-9AAC-60A56A3C2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4" authorId="4805" shapeId="0" xr:uid="{527BE84A-8263-46A1-8653-19F76B866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4" authorId="4806" shapeId="0" xr:uid="{29B31A64-DA34-4C4C-AEEA-B55B49CBC32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4" authorId="4807" shapeId="0" xr:uid="{8CBC7E58-7DE6-4CCA-8383-6F1D132F3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4" authorId="4808" shapeId="0" xr:uid="{2B027EEB-053A-413B-B386-86D3854B9D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4" authorId="4809" shapeId="0" xr:uid="{CDC37339-7797-408B-B4E0-D8DBCB6F88F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4" authorId="4810" shapeId="0" xr:uid="{8CA57C99-E790-4CEC-BDD6-8260BF4FCE0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4" authorId="4811" shapeId="0" xr:uid="{91239C5A-C718-49BC-80D1-4864B1EC9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4" authorId="4812" shapeId="0" xr:uid="{6C845819-D02E-4A62-A828-72469A1C7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4" authorId="4813" shapeId="0" xr:uid="{C6510092-9B91-456C-8976-86CA9A286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4" authorId="4814" shapeId="0" xr:uid="{6C47E329-657F-4DD6-B95A-6BC893255D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4" authorId="4815" shapeId="0" xr:uid="{6ED69961-ABB1-4F36-9F10-C838D0DB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4" authorId="4816" shapeId="0" xr:uid="{C83D48B5-D446-493A-9A77-C33393DAEC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4" authorId="4817" shapeId="0" xr:uid="{CECDB2DF-016D-444F-B939-E8919E237D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4" authorId="4818" shapeId="0" xr:uid="{47ED71D5-48EA-4E1C-A522-2DD1098ED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4" authorId="4819" shapeId="0" xr:uid="{33BA4020-8BEE-4502-AA5A-A40B191670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4" authorId="4820" shapeId="0" xr:uid="{8BF0BBEB-03C2-44B1-BFCA-64C03E0590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4" authorId="4821" shapeId="0" xr:uid="{2FB1B6CD-8688-4CC4-B5D1-7270A996ED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4" authorId="4822" shapeId="0" xr:uid="{AC159F0A-14FE-47F5-A25E-C4BF036EA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4" authorId="4823" shapeId="0" xr:uid="{6BA92846-3EE7-4026-AA6F-2D1053579B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4" authorId="4824" shapeId="0" xr:uid="{DE065F2D-7549-43FE-BC1E-0271DB754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4" authorId="4825" shapeId="0" xr:uid="{141AE0A5-F417-4765-967A-1190CD4AF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4" authorId="4826" shapeId="0" xr:uid="{575CBE83-05AD-45EF-A74F-DF2F975B9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4" authorId="4827" shapeId="0" xr:uid="{F9D83F7C-D24E-4E54-B85F-DA951FF46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4" authorId="4828" shapeId="0" xr:uid="{2E38C9B3-7F81-4E0D-8648-1C963B93E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4" authorId="4829" shapeId="0" xr:uid="{419EC6F9-3AF6-45DB-8C28-43CECA2A8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4" authorId="4830" shapeId="0" xr:uid="{5CB10710-0C13-4874-B9B5-82C2FE2A7D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4" authorId="4831" shapeId="0" xr:uid="{CABD0A27-A810-429E-B5D9-9E07E08FA9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4" authorId="4832" shapeId="0" xr:uid="{B6C2965D-6497-4421-BC0B-C890CBACB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4" authorId="4833" shapeId="0" xr:uid="{D18AC135-0C59-4DA6-8974-5944A6B2C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4" authorId="4834" shapeId="0" xr:uid="{616BC7B3-8437-4486-8BE9-3C9E3CB80C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4" authorId="4835" shapeId="0" xr:uid="{61DA0187-D88B-4F30-B162-82A6CF9C05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4" authorId="4836" shapeId="0" xr:uid="{097AA18E-1006-41A0-A01B-EE019A5B05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4" authorId="4837" shapeId="0" xr:uid="{9216D34B-5F94-4BFC-A3AA-5FBFF2A4D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4" authorId="4838" shapeId="0" xr:uid="{7077C06F-5DF4-4AD6-A6B8-E8864F1E6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4" authorId="4839" shapeId="0" xr:uid="{2289C2C8-B19E-4F54-87F9-EC9237BC1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5" authorId="4840" shapeId="0" xr:uid="{327C5B19-B53E-41C7-A0E1-7CAD0E9ECAC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5" authorId="4841" shapeId="0" xr:uid="{39276669-2CD9-4292-ABF8-DBEA71E6E41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5" authorId="4842" shapeId="0" xr:uid="{589FBB2A-5589-4B49-A547-03873DF88B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5" authorId="4843" shapeId="0" xr:uid="{F7890BFD-BDA2-4D55-AE75-95DE8F078A3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5" authorId="4844" shapeId="0" xr:uid="{60EE8898-6DDF-4C35-8D4C-F1BE41D2FEB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5" authorId="4845" shapeId="0" xr:uid="{C084BFEE-3233-42BB-AFDC-87919A05C25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5" authorId="4846" shapeId="0" xr:uid="{921ECFF5-8DF5-42D7-9776-028D502C8C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5" authorId="4847" shapeId="0" xr:uid="{C5D98708-C566-49D5-BAFA-31EB4F59BA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5" authorId="4848" shapeId="0" xr:uid="{7EDFFAD9-008E-4779-8ACF-95D3D20ED21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5" authorId="4849" shapeId="0" xr:uid="{C7480EDB-0D90-4C1D-99C4-0098B4E1840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5" authorId="4850" shapeId="0" xr:uid="{7CE00C37-64CE-4A46-9500-7BCB55EA4F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5" authorId="4851" shapeId="0" xr:uid="{67AA80AA-5558-4966-A714-F37018FAC1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5" authorId="4852" shapeId="0" xr:uid="{0BA81D8F-D821-4B97-B019-0EB7FEA61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5" authorId="4853" shapeId="0" xr:uid="{35A29881-6A2B-401A-82E6-93F2AC3412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5" authorId="4854" shapeId="0" xr:uid="{EEC954B3-5899-4132-B588-C652D495BC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5" authorId="4855" shapeId="0" xr:uid="{5DAD5FFD-0EF3-4E8F-8811-D2F3C8CE4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5" authorId="4856" shapeId="0" xr:uid="{33416DB9-08D3-42E2-94C2-E42AB895C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5" authorId="4857" shapeId="0" xr:uid="{0D775C6F-2DA8-4B3B-82F5-F83B9B982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5" authorId="4858" shapeId="0" xr:uid="{1721DA29-722F-47B6-9085-5E0B0962D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5" authorId="4859" shapeId="0" xr:uid="{251174FF-D5B3-468C-9C40-CF2AAD90F54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5" authorId="4860" shapeId="0" xr:uid="{7FA97961-496C-4AF1-ADAD-B09EF78A21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5" authorId="4861" shapeId="0" xr:uid="{DB1E2E83-F022-41A5-91FE-55D0021121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5" authorId="4862" shapeId="0" xr:uid="{7C87F253-A516-4B43-99EA-95AA20D77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5" authorId="4863" shapeId="0" xr:uid="{522D83A6-9310-49B0-AEF8-2F9F91DEF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5" authorId="4864" shapeId="0" xr:uid="{16DD129B-DB5E-404F-BDE6-CA38979B03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5" authorId="4865" shapeId="0" xr:uid="{346B7C20-CCE1-44FD-8C07-DA1FAAB9C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5" authorId="4866" shapeId="0" xr:uid="{4F3EB052-2CE9-482C-9EC8-B5202BBB6A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5" authorId="4867" shapeId="0" xr:uid="{F44357C4-6F5A-41CD-A9CC-241DFEDBF5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5" authorId="4868" shapeId="0" xr:uid="{533CAD49-C4DC-4B02-9DCC-751C84303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5" authorId="4869" shapeId="0" xr:uid="{0B797C82-39D7-4BFB-8481-50533371C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5" authorId="4870" shapeId="0" xr:uid="{0684BA3B-2FB8-4BC5-A93D-847540D116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5" authorId="4871" shapeId="0" xr:uid="{1EB66DF9-E926-4186-99BD-CE36318425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5" authorId="4872" shapeId="0" xr:uid="{BAE0DE1D-2D8E-49B2-B427-D888CA14A5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5" authorId="4873" shapeId="0" xr:uid="{532E204F-7043-49AE-A9BF-DB3B7167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5" authorId="4874" shapeId="0" xr:uid="{41C65399-9D5B-4A13-A42E-42D93BB4C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5" authorId="4875" shapeId="0" xr:uid="{2F81BE60-ECA3-4EA5-A388-481D43B7DE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5" authorId="4876" shapeId="0" xr:uid="{22989F3C-E920-4248-817D-34C511BE39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5" authorId="4877" shapeId="0" xr:uid="{CF840C0F-0C62-4B57-B9CD-5D251825A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5" authorId="4878" shapeId="0" xr:uid="{A2B028B4-2D1B-4348-9A79-F88CAEDA76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5" authorId="4879" shapeId="0" xr:uid="{80893E38-CC44-4577-B273-277C455130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5" authorId="4880" shapeId="0" xr:uid="{0DB56EC3-8BD3-4F1F-A04E-6C0CC881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5" authorId="4881" shapeId="0" xr:uid="{F05BB37F-5CBE-47E0-8E5A-7CD874E64E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5" authorId="4882" shapeId="0" xr:uid="{7453AECE-F36B-4FB8-ADD5-D37FB9D70C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5" authorId="4883" shapeId="0" xr:uid="{5580CAC2-3BB4-40DA-815F-6F60D0C382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5" authorId="4884" shapeId="0" xr:uid="{95295784-98E4-421D-AB93-A7FCD4F40B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5" authorId="4885" shapeId="0" xr:uid="{063068E1-9A63-419D-9BAC-B92A5B54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5" authorId="4886" shapeId="0" xr:uid="{44EC09D8-9D7C-4DBB-8A9D-57C4742139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5" authorId="4887" shapeId="0" xr:uid="{C80437B8-9F02-4B57-9136-4B38AF38E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5" authorId="4888" shapeId="0" xr:uid="{FBD44086-1D35-4B42-A8C4-D12CE2AE66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6" authorId="4889" shapeId="0" xr:uid="{DF00347F-C64E-41ED-B7B4-50EC64E41F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6" authorId="4890" shapeId="0" xr:uid="{F2C23187-4E96-4AA5-8C6F-F0FCA81390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6" authorId="4891" shapeId="0" xr:uid="{D49BA014-7807-4CD7-9BBA-7A3A3ED2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6" authorId="4892" shapeId="0" xr:uid="{735CF6FA-997B-4FAE-A091-7BF92B08A6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6" authorId="4893" shapeId="0" xr:uid="{19464C7D-A3D7-4D5D-A196-BFFADAF9C19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6" authorId="4894" shapeId="0" xr:uid="{072E9AFF-3061-4007-B923-D9700273953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6" authorId="4895" shapeId="0" xr:uid="{B4719446-DC35-4099-9202-B52E5BAAC78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6" authorId="4896" shapeId="0" xr:uid="{AD0C0D78-B976-4A33-BD16-363D6B8A87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6" authorId="4897" shapeId="0" xr:uid="{D51DF7D5-0633-4703-937C-5BE00F3DD93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6" authorId="4898" shapeId="0" xr:uid="{388AA35B-C803-4970-9694-495DD637BBA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6" authorId="4899" shapeId="0" xr:uid="{331A910B-B81E-46AB-AFBB-23D3A324B0B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6" authorId="4900" shapeId="0" xr:uid="{077A71CF-D833-48A9-8963-C44EBBA8AD9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6" authorId="4901" shapeId="0" xr:uid="{28AEC18D-5A75-4DE7-A9A3-66AA316F99D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6" authorId="4902" shapeId="0" xr:uid="{83E8A8A3-92B1-4FE0-B38A-998ACB21426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6" authorId="4903" shapeId="0" xr:uid="{8F5F9453-DD6A-441D-BD2E-DC34EDED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6" authorId="4904" shapeId="0" xr:uid="{287861FD-F6DE-4B0E-800B-5058AE8B2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6" authorId="4905" shapeId="0" xr:uid="{0F7535DF-5C0A-4DF9-9794-685CEB253B1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6" authorId="4906" shapeId="0" xr:uid="{313C8074-7C80-43FB-9C80-EA0AED1B703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6" authorId="4907" shapeId="0" xr:uid="{2CC14D4F-5C7E-48B1-8E5F-06D40C69A2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6" authorId="4908" shapeId="0" xr:uid="{04315BFD-C010-45FE-9F1E-9ACD51AAC4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6" authorId="4909" shapeId="0" xr:uid="{37AB765A-CBBE-45ED-921A-2956B1A41F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6" authorId="4910" shapeId="0" xr:uid="{9ED3852E-0B93-4CFF-8B90-FAB5067039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6" authorId="4911" shapeId="0" xr:uid="{BD5981C4-69F2-49A4-91C0-06D21F0CD0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6" authorId="4912" shapeId="0" xr:uid="{9694CA73-A927-437F-BCCB-9F6DBE4AD6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6" authorId="4913" shapeId="0" xr:uid="{E4F39DDE-377B-4757-976B-FA99539ED9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6" authorId="4914" shapeId="0" xr:uid="{B5C5D522-76E2-4F7D-9922-3701574E4C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6" authorId="4915" shapeId="0" xr:uid="{F3BB8C47-B2EC-48FF-BCFA-AAE836AB5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6" authorId="4916" shapeId="0" xr:uid="{67FA8592-9861-4C0E-B8C8-A5485A358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6" authorId="4917" shapeId="0" xr:uid="{8F64CE66-6812-4EFE-B80A-3B7515433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6" authorId="4918" shapeId="0" xr:uid="{0E408BEA-0EBA-442E-A7E8-C80EBC0C1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6" authorId="4919" shapeId="0" xr:uid="{8E90220F-7CF6-4E93-8E60-0A4B718C43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6" authorId="4920" shapeId="0" xr:uid="{2406DA50-9454-4716-AB9B-986245E632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6" authorId="4921" shapeId="0" xr:uid="{A0FD1DE9-F08D-4B8E-938D-C92E504839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6" authorId="4922" shapeId="0" xr:uid="{56575CFC-B6B6-4B83-940B-AE1196276D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6" authorId="4923" shapeId="0" xr:uid="{D88663C9-69EB-42C4-A589-333A046B89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6" authorId="4924" shapeId="0" xr:uid="{E5CBF8E4-7C72-42CD-A772-34898306F9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6" authorId="4925" shapeId="0" xr:uid="{04E82767-AD09-4076-9A31-7C325781E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6" authorId="4926" shapeId="0" xr:uid="{6F9DD42F-0B95-4A27-A99A-F3BB59134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6" authorId="4927" shapeId="0" xr:uid="{D76F0095-3023-468B-80D4-57DF42AF71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6" authorId="4928" shapeId="0" xr:uid="{78A5748A-40E2-4AA3-8327-7035F00D12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6" authorId="4929" shapeId="0" xr:uid="{49D6164E-CDE6-4DAE-8055-9FF69099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6" authorId="4930" shapeId="0" xr:uid="{2CD97832-B2D9-4926-988C-F57DFA32C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6" authorId="4931" shapeId="0" xr:uid="{4D9B3C51-7265-4F39-B524-FA4E2BF55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6" authorId="4932" shapeId="0" xr:uid="{16F4E336-1B1B-4814-AA3F-C1ACD000C2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6" authorId="4933" shapeId="0" xr:uid="{E46C7E8E-6EA5-4B50-9A24-F7132FEB1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6" authorId="4934" shapeId="0" xr:uid="{3CE29C22-858F-4E12-8C34-FDC6E59D92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6" authorId="4935" shapeId="0" xr:uid="{C1D47264-8B55-48CE-8F7F-1888805BE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6" authorId="4936" shapeId="0" xr:uid="{66E0876B-97D4-4AE8-9C78-1BE7A3142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6" authorId="4937" shapeId="0" xr:uid="{51DA2C44-EA40-467D-931B-BE85019324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7" authorId="4938" shapeId="0" xr:uid="{72618822-808D-4F80-A6CF-B20FAE2A8A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7" authorId="4939" shapeId="0" xr:uid="{26D10400-B1CC-4D74-B715-01775CC732E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7" authorId="4940" shapeId="0" xr:uid="{F58DC6AA-64F2-4484-9956-C06A024ADD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7" authorId="4941" shapeId="0" xr:uid="{ED39EB0E-6A3E-4C53-8D20-CE02C8E1FE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7" authorId="4942" shapeId="0" xr:uid="{6777A481-721F-44D3-8FFD-C68610643D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7" authorId="4943" shapeId="0" xr:uid="{EDA25C02-C0B1-4F89-A3CB-6B47526F47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7" authorId="4944" shapeId="0" xr:uid="{94236363-C7CC-4BD6-9C6D-C1A1770AD78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7" authorId="4945" shapeId="0" xr:uid="{8E318C82-3ECA-46FB-A45A-0400AFE788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7" authorId="4946" shapeId="0" xr:uid="{641BC47D-B1A1-44C8-91EA-E14F529F803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7" authorId="4947" shapeId="0" xr:uid="{33CB43FD-DC3B-49A2-A6CD-FEB4FB7443E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7" authorId="4948" shapeId="0" xr:uid="{244A1828-DD90-4CAF-86F5-DCA7E6F8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7" authorId="4949" shapeId="0" xr:uid="{EC49B29D-E42D-4713-812E-B8AEE117F20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7" authorId="4950" shapeId="0" xr:uid="{AE50BB1F-603A-4770-8A19-171897EF2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7" authorId="4951" shapeId="0" xr:uid="{CA61CE32-F1B6-4CB6-B9A3-A9AE51C39D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7" authorId="4952" shapeId="0" xr:uid="{0B2E4682-5BD7-42F7-8E43-D751908609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7" authorId="4953" shapeId="0" xr:uid="{E21BB721-9796-438C-95FC-9ED6F12237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7" authorId="4954" shapeId="0" xr:uid="{B3C22212-C669-4375-B2A8-75B7927C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7" authorId="4955" shapeId="0" xr:uid="{ACD86DBC-01F0-4D9B-AF52-E765EF1B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7" authorId="4956" shapeId="0" xr:uid="{D20031E8-3B85-4841-9A55-64376ACC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7" authorId="4957" shapeId="0" xr:uid="{7EEEE07F-9F3C-4822-B7BB-851C0EF4017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7" authorId="4958" shapeId="0" xr:uid="{AB7568AF-9368-4E9D-9C41-F4E4CE2F58D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7" authorId="4959" shapeId="0" xr:uid="{E49DDE7E-B887-4DD1-AA01-94CD4365E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7" authorId="4960" shapeId="0" xr:uid="{8FB80C4E-BD78-4D20-ACF1-E6523FB26F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7" authorId="4961" shapeId="0" xr:uid="{02F54B46-7A4B-446B-9039-2D7253C85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7" authorId="4962" shapeId="0" xr:uid="{36C0AF0D-233B-477F-BC78-01153106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7" authorId="4963" shapeId="0" xr:uid="{958E6D79-953E-46DB-8C34-ADDB161E3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7" authorId="4964" shapeId="0" xr:uid="{54317230-3D49-474C-ADFD-6BC0981AC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7" authorId="4965" shapeId="0" xr:uid="{87D5833F-CC21-4D1B-9B36-F561AE1FC6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7" authorId="4966" shapeId="0" xr:uid="{A8A3A79A-63F1-43B8-A7F2-4B96C79EC6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7" authorId="4967" shapeId="0" xr:uid="{6C78E210-34A2-48C0-A6BD-6B7A68C0F0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7" authorId="4968" shapeId="0" xr:uid="{D51646DD-FAFB-441A-8BB2-69442E2AE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7" authorId="4969" shapeId="0" xr:uid="{A6F05874-FB9D-45F5-860A-35DE68B62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7" authorId="4970" shapeId="0" xr:uid="{A32A7D78-A918-498E-86D4-876F191BF7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7" authorId="4971" shapeId="0" xr:uid="{686A0C0F-E002-4841-A883-4E0C14BF1E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7" authorId="4972" shapeId="0" xr:uid="{2F74E27E-6FC2-4ADD-8623-7B2657E78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7" authorId="4973" shapeId="0" xr:uid="{8D1FBA96-74BB-4DE6-BFA0-54235D846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7" authorId="4974" shapeId="0" xr:uid="{0C55249B-D313-4504-BC3E-2788AF9DE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7" authorId="4975" shapeId="0" xr:uid="{51A417AC-1E91-4408-AC1D-D501F3C384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7" authorId="4976" shapeId="0" xr:uid="{D568997C-5DDA-493E-88B4-41CAF2E06A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7" authorId="4977" shapeId="0" xr:uid="{2A95B3A7-A673-4978-B23C-AED7E27657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7" authorId="4978" shapeId="0" xr:uid="{EE902662-0AB3-4FC7-91BB-4EEC03B5A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7" authorId="4979" shapeId="0" xr:uid="{FEFD02A1-79E3-42F0-86FB-C470C6BDAC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7" authorId="4980" shapeId="0" xr:uid="{CBBCC90B-EF67-4003-AE92-15B1A460A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7" authorId="4981" shapeId="0" xr:uid="{0EE466EA-41BC-4EFB-89EC-D96454308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7" authorId="4982" shapeId="0" xr:uid="{FCCE3344-FE22-4CF1-B95A-24F9D677A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7" authorId="4983" shapeId="0" xr:uid="{143F2E3C-0E80-42D2-B21E-1BD85A82A8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7" authorId="4984" shapeId="0" xr:uid="{48967875-5190-45A1-AFBB-4D2D9ABA49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7" authorId="4985" shapeId="0" xr:uid="{6CD071CF-2F43-4A0D-A02A-AACFD4DA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7" authorId="4986" shapeId="0" xr:uid="{5703A738-BD7B-41F6-A0A0-238B5FD13BA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8" authorId="4987" shapeId="0" xr:uid="{9D8A0A20-B119-47A8-8E7D-9B26D028A02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8" authorId="4988" shapeId="0" xr:uid="{3807F40A-E784-40E8-8BA3-A1D19CBB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8" authorId="4989" shapeId="0" xr:uid="{E0207894-1ACC-4A26-86E8-395226B4F3C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8" authorId="4990" shapeId="0" xr:uid="{A1626E88-2586-499F-B141-D7E6039B05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8" authorId="4991" shapeId="0" xr:uid="{F64D4866-AB02-4A91-93E0-DB694EBB1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8" authorId="4992" shapeId="0" xr:uid="{FB391210-4FB3-4C22-B0C3-ABA5D1A4511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8" authorId="4993" shapeId="0" xr:uid="{48ACFB1B-F75A-447F-8DC4-B3E564552AE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8" authorId="4994" shapeId="0" xr:uid="{197ECE57-76E6-4DBB-9C81-F66FB70E2B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8" authorId="4995" shapeId="0" xr:uid="{A67976CD-303C-4EB0-A815-B5E83F6D20D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8" authorId="4996" shapeId="0" xr:uid="{5129B481-8861-4AF7-8B1F-810E482E49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8" authorId="4997" shapeId="0" xr:uid="{35155219-0BC8-4C94-9E05-3856829BE3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8" authorId="4998" shapeId="0" xr:uid="{801BAFFF-6F3B-41E2-A271-E0ED2DAE1D4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8" authorId="4999" shapeId="0" xr:uid="{D1434016-7664-426E-AFF8-5C58707F7F1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8" authorId="5000" shapeId="0" xr:uid="{BEF9139D-8B7F-4EC2-9AB9-281B29F2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8" authorId="5001" shapeId="0" xr:uid="{D915D430-163F-4440-B538-99BEBBE71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8" authorId="5002" shapeId="0" xr:uid="{B58A3ED8-A7C5-462F-96C2-3A86BD01FC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8" authorId="5003" shapeId="0" xr:uid="{0A09473A-3088-48D6-BBB0-0730538E0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8" authorId="5004" shapeId="0" xr:uid="{3211B298-5DB4-4084-BF61-A3015C503F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8" authorId="5005" shapeId="0" xr:uid="{3BAA5F60-552C-40DE-83C1-A758E9440C1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8" authorId="5006" shapeId="0" xr:uid="{544B0944-3159-4E15-BF03-50295C12AE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8" authorId="5007" shapeId="0" xr:uid="{DC123FF3-5E56-47E7-BD68-EE5650A0BB9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8" authorId="5008" shapeId="0" xr:uid="{8E5FFA60-3F80-40D8-B1EF-BE3A36A3B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8" authorId="5009" shapeId="0" xr:uid="{F434ADED-36B3-41ED-845D-F3826D07A7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8" authorId="5010" shapeId="0" xr:uid="{9E439A54-710E-4EB3-8351-5620EAAEB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8" authorId="5011" shapeId="0" xr:uid="{99949B66-54F0-40C4-87DC-FD8045E2D5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8" authorId="5012" shapeId="0" xr:uid="{B95B927B-475B-433E-8CC3-38C8BF71DD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8" authorId="5013" shapeId="0" xr:uid="{C73D5E7E-81EB-4920-BA50-62DD1C0E210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8" authorId="5014" shapeId="0" xr:uid="{5F0ECF28-EAFA-4503-B4D2-107367DE2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8" authorId="5015" shapeId="0" xr:uid="{4005EABE-3677-4C81-994B-5417201618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8" authorId="5016" shapeId="0" xr:uid="{A87CD128-BCB2-4A18-B3E6-86559305DB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8" authorId="5017" shapeId="0" xr:uid="{63F5F811-8616-4907-9532-38C30860AF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8" authorId="5018" shapeId="0" xr:uid="{C610C6E2-91A9-4032-B1A8-E9507C3F99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8" authorId="5019" shapeId="0" xr:uid="{88DCC8F2-E3C7-430F-8CE0-F0CB032EBA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8" authorId="5020" shapeId="0" xr:uid="{67DD21B0-EAE7-436F-8538-8E1786B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8" authorId="5021" shapeId="0" xr:uid="{F44CFC80-297C-4CE4-A8DA-270AA41BE6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8" authorId="5022" shapeId="0" xr:uid="{47D9C644-DF62-4940-A54D-99DF4032A7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8" authorId="5023" shapeId="0" xr:uid="{F3E73150-FB06-4BAE-A2F8-0CEA292BC6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8" authorId="5024" shapeId="0" xr:uid="{A6C09476-76A0-4468-ABDD-2A1875FD16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8" authorId="5025" shapeId="0" xr:uid="{41256EF4-619E-46B8-BD51-A65779404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8" authorId="5026" shapeId="0" xr:uid="{31FAAA94-6D20-4E56-9078-85BA8C0351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8" authorId="5027" shapeId="0" xr:uid="{C1A06E73-E539-4047-A324-0EF3C7ED5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8" authorId="5028" shapeId="0" xr:uid="{79A96522-786B-4B68-BB3A-B11736DE23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8" authorId="5029" shapeId="0" xr:uid="{D6C30FA2-1474-4FF8-8593-F522EB5C1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8" authorId="5030" shapeId="0" xr:uid="{565EB559-092B-443E-9EAC-9140D1DE0A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8" authorId="5031" shapeId="0" xr:uid="{B7D58ECA-A7C6-4C17-B6D1-70EAF36434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8" authorId="5032" shapeId="0" xr:uid="{DD7EC10C-D2D7-4BE2-BD20-E08F17B7D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8" authorId="5033" shapeId="0" xr:uid="{ED358A74-E4FE-4CA4-9CBB-8FC0DDF692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8" authorId="5034" shapeId="0" xr:uid="{4F430759-7C39-4642-A879-96A6E28D7A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8" authorId="5035" shapeId="0" xr:uid="{FA1137DB-41BE-4C9C-A4E9-4DAED0EB1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9" authorId="5036" shapeId="0" xr:uid="{C5D96D4E-F4B7-4F22-BD11-08A08A7E384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9" authorId="5037" shapeId="0" xr:uid="{A40BE8A7-FBE8-4865-AA1D-DC2D2DFDBA1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9" authorId="5038" shapeId="0" xr:uid="{6B646ABC-A984-4185-B5B4-338388EEE9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9" authorId="5039" shapeId="0" xr:uid="{1DDFFBC8-DAC1-4E9A-B957-4C7B92CF7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9" authorId="5040" shapeId="0" xr:uid="{23DB9216-0FE4-438C-8DD9-DD2B5742F3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9" authorId="5041" shapeId="0" xr:uid="{6C52F66A-2472-491E-BF69-445B4AC051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9" authorId="5042" shapeId="0" xr:uid="{E610FBA0-8FD1-4E58-8EA7-09E20688A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9" authorId="5043" shapeId="0" xr:uid="{90EB6B2E-D914-4C43-A947-791271BA4ED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9" authorId="5044" shapeId="0" xr:uid="{45715ED5-C2E7-4389-982B-7B7BD378FAD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9" authorId="5045" shapeId="0" xr:uid="{62BAAF28-F3F1-440F-AB91-4F4ECDC936F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9" authorId="5046" shapeId="0" xr:uid="{87D2B0CC-6784-463E-8E89-DA1323A60A3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9" authorId="5047" shapeId="0" xr:uid="{F93B64AC-DB7E-4C78-92F0-F5FD69AE127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9" authorId="5048" shapeId="0" xr:uid="{BD8BB8BE-F285-4F45-900A-E9271F864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9" authorId="5049" shapeId="0" xr:uid="{2BC7944B-6032-4FC6-BD97-62B842A522E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9" authorId="5050" shapeId="0" xr:uid="{35771493-D365-4711-AE6F-B601B2633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9" authorId="5051" shapeId="0" xr:uid="{C24EC100-FE66-4A64-849B-3A92AFCA98F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9" authorId="5052" shapeId="0" xr:uid="{E5912C10-1238-40F7-B5BC-F06840CB3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9" authorId="5053" shapeId="0" xr:uid="{D31C2835-D0C2-44A8-9A60-A89E29E74DF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9" authorId="5054" shapeId="0" xr:uid="{5C6CF03F-6635-4BF0-8A0D-9C87CA715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9" authorId="5055" shapeId="0" xr:uid="{6892115A-E358-47FF-AA44-2E269CC2B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9" authorId="5056" shapeId="0" xr:uid="{3F7FBD6F-D5AB-4841-B008-23E3D9D12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9" authorId="5057" shapeId="0" xr:uid="{1FB9B9BD-4B2F-433F-999E-74E5D630E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9" authorId="5058" shapeId="0" xr:uid="{F2699BC7-CAE7-4AE1-8E4D-060F24AAD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9" authorId="5059" shapeId="0" xr:uid="{252D05F0-7320-48EB-81E1-B704A8AA2A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9" authorId="5060" shapeId="0" xr:uid="{597F892B-11CA-4682-8680-1F8CCCF19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9" authorId="5061" shapeId="0" xr:uid="{2C5360C7-251B-4721-AD11-5D2ECD5CF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9" authorId="5062" shapeId="0" xr:uid="{A3B7F58F-593F-45F5-8C58-03508E5FD4F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9" authorId="5063" shapeId="0" xr:uid="{B414F994-06DE-434B-B751-A34CFC6D4D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9" authorId="5064" shapeId="0" xr:uid="{CC5A95FE-C722-4290-B664-EF4999B7EC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9" authorId="5065" shapeId="0" xr:uid="{BF323B93-432D-4D8D-9BC0-B6B3E906B5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9" authorId="5066" shapeId="0" xr:uid="{FC30E178-B090-4260-80E5-D997A882F2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9" authorId="5067" shapeId="0" xr:uid="{5828E670-AD63-47DF-A4DD-F4A9EB8EEA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9" authorId="5068" shapeId="0" xr:uid="{93DBEB74-C102-46C5-ADFD-27CC824C79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9" authorId="5069" shapeId="0" xr:uid="{614ADD63-5BE1-4B9A-9B5D-35B113F59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9" authorId="5070" shapeId="0" xr:uid="{B4357532-47F4-437B-8936-E29A2B89F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9" authorId="5071" shapeId="0" xr:uid="{582BB8B1-F673-4F55-A1F2-76A3D5DB4A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9" authorId="5072" shapeId="0" xr:uid="{C6E04B43-40E6-48E3-AC8F-E13C41620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9" authorId="5073" shapeId="0" xr:uid="{A268F96B-2992-4B97-B957-4A3DD5E37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9" authorId="5074" shapeId="0" xr:uid="{9B4FED4F-5791-4821-8E3C-1CA0B6368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9" authorId="5075" shapeId="0" xr:uid="{E39AF8FC-EC78-4980-80F4-9F32A18288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9" authorId="5076" shapeId="0" xr:uid="{A2F2A992-7380-407D-9F9C-916897A2B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9" authorId="5077" shapeId="0" xr:uid="{63B07DE7-8DEB-4E2B-B864-6286877DC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9" authorId="5078" shapeId="0" xr:uid="{266599C8-A9FB-4618-BFE9-4387FA4E66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9" authorId="5079" shapeId="0" xr:uid="{3E6818AD-5A01-4A72-99B1-F910AA08D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9" authorId="5080" shapeId="0" xr:uid="{09CA1BDB-741B-4DE9-9561-DBFBF52610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9" authorId="5081" shapeId="0" xr:uid="{923E0860-B8E9-40B5-BCDC-E92CA1ADD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9" authorId="5082" shapeId="0" xr:uid="{99F0BE0E-10C2-43EE-BBAB-BB003527FF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9" authorId="5083" shapeId="0" xr:uid="{0E8360E9-3C00-4EDC-8643-BE68323A9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9" authorId="5084" shapeId="0" xr:uid="{60CE0A9C-B546-40CD-A173-74AF4ED244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80" authorId="5085" shapeId="0" xr:uid="{B23959F5-AC9A-4358-B11D-D6ADEED61C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0" authorId="5086" shapeId="0" xr:uid="{10010C62-3F49-4973-9F31-B3B6587A3C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1" authorId="5087" shapeId="0" xr:uid="{FF3C3E3F-DF9E-44B3-A6DF-5DDCB14B6A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1" authorId="5088" shapeId="0" xr:uid="{ECB80A19-6288-4C4C-A696-84AF808DB2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2" authorId="5089" shapeId="0" xr:uid="{E2DD0DE5-024A-464C-9FE2-D187CE8F6C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2" authorId="5090" shapeId="0" xr:uid="{81718712-1862-42AA-BDAA-634D25BC33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3" authorId="5091" shapeId="0" xr:uid="{2EE8A242-E32F-4C1C-BF63-74C2897E7C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3" authorId="5092" shapeId="0" xr:uid="{159A4CB5-B78B-4E13-A485-401641E6BC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4" authorId="5093" shapeId="0" xr:uid="{E15388B1-9C93-4C12-A222-4748683D9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4" authorId="5094" shapeId="0" xr:uid="{634D0218-AD1D-458F-84F9-AF7803846F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5" authorId="5095" shapeId="0" xr:uid="{682175AA-6998-4935-9870-60112D931E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5" authorId="5096" shapeId="0" xr:uid="{4FDABFFF-248E-49F4-9CFC-FB7E204F74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6" authorId="5097" shapeId="0" xr:uid="{6BE4079A-07AD-463B-9267-59AEF4BE16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6" authorId="5098" shapeId="0" xr:uid="{7232E170-1511-4867-BCE8-69B01AD58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7" authorId="5099" shapeId="0" xr:uid="{69F15657-133B-43DB-B467-DC0A915F77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7" authorId="5100" shapeId="0" xr:uid="{CC337E45-0312-4963-838F-A5FE292892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BK287" authorId="5101" shapeId="0" xr:uid="{6AAFDEE9-8ACF-4D28-816C-C32EBBCBB9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L287" authorId="5102" shapeId="0" xr:uid="{B1D6FA4C-D242-456F-A6E4-3D369AE4ED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N287" authorId="5103" shapeId="0" xr:uid="{32D410FB-737C-4E86-9D63-4E66FAC94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P287" authorId="5104" shapeId="0" xr:uid="{06BA720A-B986-4DB8-95DE-5C5531565C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R287" authorId="5105" shapeId="0" xr:uid="{F97DDEE6-84E3-41B6-ACA4-4BA97D4491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S288" authorId="5106" shapeId="0" xr:uid="{FC937FC7-0D71-4B0F-A5A6-8E93AD214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5107" shapeId="0" xr:uid="{BE80736E-DCC0-4AF8-9C17-DF99E9D37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5108" shapeId="0" xr:uid="{E1DF5E63-6BF9-4622-BF26-7A91D1F3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5109" shapeId="0" xr:uid="{0F3692B3-A7B9-4AE9-B851-E417C14441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5110" shapeId="0" xr:uid="{94012305-CA78-4596-AFB8-FD0EBDE82B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5111" shapeId="0" xr:uid="{DC404A47-64FA-4A9C-A133-81F25788CE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5112" shapeId="0" xr:uid="{8EB2846D-BC18-483D-9CB4-22221876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8" authorId="5113" shapeId="0" xr:uid="{555FB30F-E5C7-4E1C-97AA-952A806A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88" authorId="5114" shapeId="0" xr:uid="{63459E5C-A3C2-46E7-890F-7563A8AD6C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8" authorId="5115" shapeId="0" xr:uid="{28FE8AD0-6987-4807-B82F-93CF86B94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88" authorId="5116" shapeId="0" xr:uid="{094287E1-58A7-49E3-8EDD-060BBEB0B3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88" authorId="5117" shapeId="0" xr:uid="{9FFCBF70-2DAD-4B5F-ADE3-1E9C5598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88" authorId="5118" shapeId="0" xr:uid="{1D4BE8B7-A5ED-42D7-B150-165DEB4D99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88" authorId="5119" shapeId="0" xr:uid="{ECB0C6CB-80A9-4306-90F9-FB54CB3FC8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88" authorId="5120" shapeId="0" xr:uid="{89E77589-FA0A-4C02-B14B-56696F02C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88" authorId="5121" shapeId="0" xr:uid="{76559D8C-36D2-41C0-944E-2B3779D5B6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88" authorId="5122" shapeId="0" xr:uid="{2C661F4E-6FEA-4C61-8176-06AE547AB8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88" authorId="5123" shapeId="0" xr:uid="{F5E08D2C-5434-424D-A810-41408B5BC8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88" authorId="5124" shapeId="0" xr:uid="{A1F6E481-73A2-44D9-861B-4C5A9F26E3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88" authorId="5125" shapeId="0" xr:uid="{57AF68BF-24BE-4654-B08E-990D552DCB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88" authorId="5126" shapeId="0" xr:uid="{9242ACF4-2FAF-44C2-9B3F-9CD1D19F21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88" authorId="5127" shapeId="0" xr:uid="{B5617969-5F71-408A-8E7E-DA44C6E596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88" authorId="5128" shapeId="0" xr:uid="{4006D595-72A7-48DE-AE16-0F965A9538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88" authorId="5129" shapeId="0" xr:uid="{DEB721D3-AB8A-425C-9602-8C5947DD57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88" authorId="5130" shapeId="0" xr:uid="{BAD417C5-79E7-4B4E-80D0-A2978EE9B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88" authorId="5131" shapeId="0" xr:uid="{670184EC-FA17-4B0D-89AD-13008A60D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88" authorId="5132" shapeId="0" xr:uid="{02D60A7C-B7DF-4409-8A4B-8517B742E8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88" authorId="5133" shapeId="0" xr:uid="{1220D8D3-D6F7-49F5-97CC-79530AFCF5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88" authorId="5134" shapeId="0" xr:uid="{CC9D5F14-FE23-4142-9F04-5F12D013A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88" authorId="5135" shapeId="0" xr:uid="{838F5ABA-7257-4D17-9578-0C4D0D25A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88" authorId="5136" shapeId="0" xr:uid="{1E596949-F40C-4963-9707-03C0EB767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88" authorId="5137" shapeId="0" xr:uid="{D229E356-DAFF-4D0D-B892-AFEC9981DD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88" authorId="5138" shapeId="0" xr:uid="{9B056E43-6985-45C4-B9A4-B9768F7CF6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88" authorId="5139" shapeId="0" xr:uid="{75E3EE53-3139-45C2-89FF-A158BA25AF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88" authorId="5140" shapeId="0" xr:uid="{7B63BBA3-1C40-4E56-A68E-5ABE9F4DD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88" authorId="5141" shapeId="0" xr:uid="{787A5A54-3D1E-4D8E-B239-6DA54E4E9C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88" authorId="5142" shapeId="0" xr:uid="{4844F365-A96C-479A-84B3-2800B5B51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88" authorId="5143" shapeId="0" xr:uid="{2B408719-4027-4C7E-A6DD-B2B45549FF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88" authorId="5144" shapeId="0" xr:uid="{0B26EF4C-D81C-4AD4-864D-11F4CEF405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88" authorId="5145" shapeId="0" xr:uid="{C2F9045D-CC44-4699-BD28-3A04AC8A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88" authorId="5146" shapeId="0" xr:uid="{323F1BF4-07BA-489E-AE22-790DE3C83A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88" authorId="5147" shapeId="0" xr:uid="{0CE67574-DE6F-471A-9C88-B6A8D6B0C8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88" authorId="5148" shapeId="0" xr:uid="{FC40620C-FA82-4089-B4C4-C3FD0F605F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88" authorId="5149" shapeId="0" xr:uid="{D0488901-C239-4A22-A01E-DAD6DA90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88" authorId="5150" shapeId="0" xr:uid="{7BB1192A-E406-4CDE-ADE2-AD563141B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88" authorId="5151" shapeId="0" xr:uid="{55062746-BA23-4994-968B-8B9C1AAE26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88" authorId="5152" shapeId="0" xr:uid="{672E5DB6-DCF0-422D-9958-3C82D87B3D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88" authorId="5153" shapeId="0" xr:uid="{F7798AC8-D924-4811-9A61-CB8B9D8550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88" authorId="5154" shapeId="0" xr:uid="{8E84DA90-A552-425D-A32E-4684EA5720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5155" shapeId="0" xr:uid="{5CA51126-E085-4F99-8D63-481DA79BD1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5156" shapeId="0" xr:uid="{37C1ABE9-E69D-452C-9D58-0649819510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5157" shapeId="0" xr:uid="{FA69C043-E56B-4B5E-84FE-3238FD2AFC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5158" shapeId="0" xr:uid="{635D02BB-8AAA-46F5-AFC1-0EC1D3DA7F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5159" shapeId="0" xr:uid="{55D7B563-B429-4307-9B00-C13597B3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5160" shapeId="0" xr:uid="{51825BB6-93EF-4C82-B860-BF3543A17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5161" shapeId="0" xr:uid="{AA801D5A-4B21-4AF4-9CED-B09B0B1BAD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9" authorId="5162" shapeId="0" xr:uid="{0C22E29D-9F1A-42CB-AB8E-C05E45A886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89" authorId="5163" shapeId="0" xr:uid="{04723986-4FAA-4BD8-9D1F-1113E96579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9" authorId="5164" shapeId="0" xr:uid="{772ED78A-9C2F-43BE-A9A3-036B8DBB1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89" authorId="5165" shapeId="0" xr:uid="{FDB8E592-11DC-4EE8-9090-63CE5A4175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89" authorId="5166" shapeId="0" xr:uid="{564C3DBE-D2CF-48E0-8E48-D3B10F5FCE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89" authorId="5167" shapeId="0" xr:uid="{70B8F752-221A-405E-ADB2-B27AFADC3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89" authorId="5168" shapeId="0" xr:uid="{7E685A4F-129F-4C4D-8268-E15C33B2F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89" authorId="5169" shapeId="0" xr:uid="{EA075DE3-E769-4754-90D2-1C89AB8F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89" authorId="5170" shapeId="0" xr:uid="{38BA9402-B562-465F-8329-A429CEEAB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89" authorId="5171" shapeId="0" xr:uid="{CF136D49-3395-47D5-8AF3-D3404DDCC4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89" authorId="5172" shapeId="0" xr:uid="{B8503911-C880-45EF-B3D2-1A6BEF7AFC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89" authorId="5173" shapeId="0" xr:uid="{0019FB5A-9007-4083-9091-B4F7CAE8F0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89" authorId="5174" shapeId="0" xr:uid="{5E272853-6AD1-4220-A276-5FF9386C93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89" authorId="5175" shapeId="0" xr:uid="{30487DCF-D56B-48CB-8E31-9B3ED8B4F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89" authorId="5176" shapeId="0" xr:uid="{905BCE93-E585-44AC-ADE0-3210FA19C3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89" authorId="5177" shapeId="0" xr:uid="{FB20643D-7954-4A4E-8525-2447BCEFFD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89" authorId="5178" shapeId="0" xr:uid="{607FB466-F1A0-47AF-A519-829D71E073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89" authorId="5179" shapeId="0" xr:uid="{55FFA8B0-145B-4576-BA11-EB8078F4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89" authorId="5180" shapeId="0" xr:uid="{E6C23203-3012-463F-A897-133C77FB0B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89" authorId="5181" shapeId="0" xr:uid="{B5C39F49-9AB5-4ECC-8949-949A8163B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89" authorId="5182" shapeId="0" xr:uid="{31D69BBB-46A7-4F68-81D9-247A0BD95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89" authorId="5183" shapeId="0" xr:uid="{92BE7F28-3DD4-445A-9E41-2CAEC25102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89" authorId="5184" shapeId="0" xr:uid="{174116D6-FBBC-4C78-BA49-699C4E2F79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89" authorId="5185" shapeId="0" xr:uid="{056CAD84-5B08-4055-AD40-BDA45D75EA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89" authorId="5186" shapeId="0" xr:uid="{1307F47B-58BF-4A3A-9262-152D28D288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89" authorId="5187" shapeId="0" xr:uid="{53EFF2E0-0191-40A4-8B8D-A3A2F6009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89" authorId="5188" shapeId="0" xr:uid="{642C017F-C310-4335-8F24-9781FA76DC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89" authorId="5189" shapeId="0" xr:uid="{398955D9-62C3-4FCF-869E-A62EAD89B6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89" authorId="5190" shapeId="0" xr:uid="{745623BB-A0A8-466C-B0D6-9850E95FF0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89" authorId="5191" shapeId="0" xr:uid="{5578B92A-B724-4A6B-AEE6-17B62EF723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89" authorId="5192" shapeId="0" xr:uid="{88DAA459-1376-4BDD-B60B-2E9B8B4A97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89" authorId="5193" shapeId="0" xr:uid="{B4CA5B06-C755-4610-9646-1CB5B4C69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89" authorId="5194" shapeId="0" xr:uid="{2A04C584-12F2-43F7-B6F7-8F01D2DDD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89" authorId="5195" shapeId="0" xr:uid="{72D4AB89-3A68-4455-B487-8184E88A7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89" authorId="5196" shapeId="0" xr:uid="{4164DD5D-7C59-4EB4-90FB-1CE0CA2AEB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89" authorId="5197" shapeId="0" xr:uid="{937EF08E-C4B4-482C-B2BB-E23AFB2256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89" authorId="5198" shapeId="0" xr:uid="{7F99FA86-3799-4F21-9C11-53F661EB65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89" authorId="5199" shapeId="0" xr:uid="{7352B3D6-4FB7-4661-A39A-F983BEB1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89" authorId="5200" shapeId="0" xr:uid="{773C01F4-3596-47D1-AEF2-D39A04A875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89" authorId="5201" shapeId="0" xr:uid="{471A71BB-F88E-43ED-B914-6FB3A23D6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89" authorId="5202" shapeId="0" xr:uid="{F84430C0-1BDC-471E-9CEE-0B44FE73D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89" authorId="5203" shapeId="0" xr:uid="{37895808-1EB7-4AFE-8419-9541F7EC6C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5204" shapeId="0" xr:uid="{B254F1B8-158C-4D87-9370-1F0C289CF4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5205" shapeId="0" xr:uid="{5A6D7A16-CA5D-4848-B91E-DD5234D6FA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5206" shapeId="0" xr:uid="{BA4C0E47-39B1-4721-AC87-6753108ED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5207" shapeId="0" xr:uid="{9F345AC7-15F1-4CCE-BBFC-A4558B97E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5208" shapeId="0" xr:uid="{6153D8A9-D056-416C-B91D-0FD87C99A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5209" shapeId="0" xr:uid="{9837F84D-8804-477B-B004-26999305C2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5210" shapeId="0" xr:uid="{A2AC20C1-8480-4BFC-8B0F-9B3A5355A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0" authorId="5211" shapeId="0" xr:uid="{275987FE-CB81-4CBB-9565-63620E76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0" authorId="5212" shapeId="0" xr:uid="{D09ED14E-FFCA-4FE5-97FC-35C9D197A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0" authorId="5213" shapeId="0" xr:uid="{C1183B8E-ABA0-4E04-88BA-DE38B3A79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0" authorId="5214" shapeId="0" xr:uid="{D43F4553-02C3-4E59-8C38-D9482A1E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0" authorId="5215" shapeId="0" xr:uid="{CC6DD210-F708-43ED-8DA0-2DCD4C407F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0" authorId="5216" shapeId="0" xr:uid="{55F39DF3-1E3D-4D5E-8481-F32FA7B215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0" authorId="5217" shapeId="0" xr:uid="{BE4232B2-4542-49E7-B0F6-C4640F1C68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0" authorId="5218" shapeId="0" xr:uid="{B2502AFE-7A76-4D9B-8E25-CA5196A1B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0" authorId="5219" shapeId="0" xr:uid="{A35725E2-4158-4A57-AD66-DA1CB429E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0" authorId="5220" shapeId="0" xr:uid="{AD587208-127B-44D1-B8F3-4A4508EC7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0" authorId="5221" shapeId="0" xr:uid="{36FAC70C-1BA4-4A6D-810D-BB33B7A4D9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0" authorId="5222" shapeId="0" xr:uid="{3E9BBE93-2924-4451-884E-2196F51551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0" authorId="5223" shapeId="0" xr:uid="{D2DB6488-B071-43E1-8830-5511F22529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0" authorId="5224" shapeId="0" xr:uid="{A71003E5-04E6-4B93-9553-67CC18D6D5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0" authorId="5225" shapeId="0" xr:uid="{3C837DFC-83DD-4F5F-B031-6F28FB69A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0" authorId="5226" shapeId="0" xr:uid="{63F707D9-E2A9-4211-B4BD-B09ACD3B47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0" authorId="5227" shapeId="0" xr:uid="{2A8F48A1-735C-43B4-B765-0DF4538701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0" authorId="5228" shapeId="0" xr:uid="{6E810D72-A71E-4E7F-BDF7-6A97B9EA08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0" authorId="5229" shapeId="0" xr:uid="{1A0D51D9-736E-411F-9EE5-D3BC97160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0" authorId="5230" shapeId="0" xr:uid="{4F380CE0-3034-43A0-8DB1-18330EDFBE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0" authorId="5231" shapeId="0" xr:uid="{2CD30CDF-9003-4AEB-9BB9-BCC59B2DA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0" authorId="5232" shapeId="0" xr:uid="{0482235F-078A-48DA-BF68-3D6B5AA6D5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0" authorId="5233" shapeId="0" xr:uid="{07B7555C-75D1-47F5-BBB0-4687FB407A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0" authorId="5234" shapeId="0" xr:uid="{93D4B644-1202-45ED-BAD6-F0D31EA161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0" authorId="5235" shapeId="0" xr:uid="{F6B94607-F736-4E93-81C2-434A90BC3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0" authorId="5236" shapeId="0" xr:uid="{52C12A1F-CF18-4D3F-AAC6-0FA8C57F3E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0" authorId="5237" shapeId="0" xr:uid="{785D4708-6063-44D7-8BFA-9EF291AA17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0" authorId="5238" shapeId="0" xr:uid="{B19DA842-BFAF-4C33-8F10-D765A5C7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0" authorId="5239" shapeId="0" xr:uid="{9B81AE8F-0C06-4699-BD8A-8D3E3C3465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0" authorId="5240" shapeId="0" xr:uid="{9515FE71-031E-4B02-A9A1-DA0E7C834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0" authorId="5241" shapeId="0" xr:uid="{9314D311-F189-47A1-992E-550507E3FA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0" authorId="5242" shapeId="0" xr:uid="{B1FBA51A-0F3A-436C-8B33-DEB890AB40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0" authorId="5243" shapeId="0" xr:uid="{C1CEB1AC-EF75-4693-BF61-0DEC6CF234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0" authorId="5244" shapeId="0" xr:uid="{C055BDE3-39F9-40C6-BFAA-8E415A1A8A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0" authorId="5245" shapeId="0" xr:uid="{7E7309B3-E476-4419-A282-78BABB7569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0" authorId="5246" shapeId="0" xr:uid="{256937CF-CAE2-4CB9-8975-DDFF9B91A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0" authorId="5247" shapeId="0" xr:uid="{4AB6C27A-DC14-4D97-A803-BEF5AE56D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0" authorId="5248" shapeId="0" xr:uid="{C43F9AFF-4935-439A-8ADF-7F0D87A59F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0" authorId="5249" shapeId="0" xr:uid="{C642416F-A782-4A30-B8CD-7280AAE307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0" authorId="5250" shapeId="0" xr:uid="{1CC9CB2B-9E73-46F9-8F63-00071E5D0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0" authorId="5251" shapeId="0" xr:uid="{CD6FC5E7-65BC-490E-B5D5-2816CB2942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0" authorId="5252" shapeId="0" xr:uid="{8246B54F-4A8A-4BC9-9FAF-3853B7CC30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5253" shapeId="0" xr:uid="{FF676091-58A2-41FC-B5F6-4F8A973F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5254" shapeId="0" xr:uid="{26DE6CB7-310C-4C40-B7B8-FF977AC677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5255" shapeId="0" xr:uid="{0AB86EA4-77FA-4DE7-BAAB-38A0083038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5256" shapeId="0" xr:uid="{D29ED67B-D793-4A00-9995-94DF4BA026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5257" shapeId="0" xr:uid="{C8FD8057-332B-4B44-9371-4E98B99476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5258" shapeId="0" xr:uid="{014518FE-9F8A-420D-8E3C-2A7DBDFB1F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5259" shapeId="0" xr:uid="{1FECEA48-AE00-4DCA-A0A9-F5302F8C0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1" authorId="5260" shapeId="0" xr:uid="{378A8F4D-7FCD-4543-AA9A-43B3B893B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1" authorId="5261" shapeId="0" xr:uid="{5DE17068-9285-44DA-9066-9F1E73262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1" authorId="5262" shapeId="0" xr:uid="{86A5A2A9-769E-432D-B542-6A2B8952D4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1" authorId="5263" shapeId="0" xr:uid="{5515E28F-D8D4-40DE-BA2A-48E297B9FB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1" authorId="5264" shapeId="0" xr:uid="{7A963444-1190-4C8B-98B3-23671CAB5E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1" authorId="5265" shapeId="0" xr:uid="{6FA9816E-CBC0-42C9-BBC0-ADCD23D7BD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1" authorId="5266" shapeId="0" xr:uid="{56F8BBB7-0D76-449C-A9CB-50016DCE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1" authorId="5267" shapeId="0" xr:uid="{684E4F46-53DE-4722-9C58-2E0D9A03CA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1" authorId="5268" shapeId="0" xr:uid="{2EB924EE-14BD-45AF-9340-78E5D60A93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1" authorId="5269" shapeId="0" xr:uid="{144A26DA-1BD7-43F4-AC04-E541BB3733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1" authorId="5270" shapeId="0" xr:uid="{B4F4A38F-E738-448A-87E2-EC2CF46050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1" authorId="5271" shapeId="0" xr:uid="{1FD3CA4C-E4D7-498E-ABD3-E2D87151DF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1" authorId="5272" shapeId="0" xr:uid="{D5420438-6B53-4B43-BB17-E53D161D5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1" authorId="5273" shapeId="0" xr:uid="{19146739-FB0C-4BB6-8887-8B48E5FA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1" authorId="5274" shapeId="0" xr:uid="{AF308F9F-40F2-4245-AA21-ECF82AA943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1" authorId="5275" shapeId="0" xr:uid="{2537ED68-FCFC-40F3-8208-169E0B084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1" authorId="5276" shapeId="0" xr:uid="{157EAC24-4DBD-48DB-8DDC-976799AC35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1" authorId="5277" shapeId="0" xr:uid="{927F0888-A202-4DC6-AF56-AFC54145B0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1" authorId="5278" shapeId="0" xr:uid="{5979E7AE-1E8F-44DC-AC95-4732BB534E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1" authorId="5279" shapeId="0" xr:uid="{92EED137-7485-43CC-AEA7-A5A520AF3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1" authorId="5280" shapeId="0" xr:uid="{A15531A1-7AD1-4087-A0C6-24A014BF17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1" authorId="5281" shapeId="0" xr:uid="{935E88FD-3DB5-4EEE-BB0F-3A1063F840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1" authorId="5282" shapeId="0" xr:uid="{B5DAC3FA-10B1-477C-BBCA-77DAF1CF5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1" authorId="5283" shapeId="0" xr:uid="{4512AF50-D920-40CB-8ABD-0361A98C93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1" authorId="5284" shapeId="0" xr:uid="{450A1A85-D916-4202-8F4E-69E221B71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1" authorId="5285" shapeId="0" xr:uid="{65A99C96-F502-4BEE-96FC-4072F3FD2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1" authorId="5286" shapeId="0" xr:uid="{514B7C29-5F2B-4413-AF57-4D8B01A89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1" authorId="5287" shapeId="0" xr:uid="{7D6CC232-9FC6-4958-B051-3DD7EE60ED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1" authorId="5288" shapeId="0" xr:uid="{E4DF470B-59BA-465A-978D-B79FE5A4CE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1" authorId="5289" shapeId="0" xr:uid="{470C5907-4AD5-4ADE-8A40-C41E90E657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1" authorId="5290" shapeId="0" xr:uid="{ED8464DE-BCF6-4741-AEBB-BFF1EF03BC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1" authorId="5291" shapeId="0" xr:uid="{DFA287FB-E995-450C-9F21-66442F264C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1" authorId="5292" shapeId="0" xr:uid="{C0F5B1C0-1DD9-462D-91C7-F1A49416F5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1" authorId="5293" shapeId="0" xr:uid="{43BB17F6-F73A-4955-BCF8-91B5F7E87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1" authorId="5294" shapeId="0" xr:uid="{B94DE549-D9A9-4AEC-B39F-B4EA772BF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1" authorId="5295" shapeId="0" xr:uid="{140AA3F8-E66E-4118-B433-70434DA9BC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1" authorId="5296" shapeId="0" xr:uid="{E25A6C06-7AC5-4DCC-B268-1C0CC6FE3D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1" authorId="5297" shapeId="0" xr:uid="{F2A9E45E-68F7-4F8E-B0A4-30A9D3A95C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1" authorId="5298" shapeId="0" xr:uid="{F4EAE366-B1CB-40A4-A2E4-0DF0896312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1" authorId="5299" shapeId="0" xr:uid="{1E59DA6E-D779-420B-AE28-2BF0ED6A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1" authorId="5300" shapeId="0" xr:uid="{DF6543B3-CAFB-43FC-88EC-E0E7B98BAB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1" authorId="5301" shapeId="0" xr:uid="{425F2372-7CE6-4B43-91B0-F37677D876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5302" shapeId="0" xr:uid="{758B5D7C-268F-451B-85F3-2BA4B258E4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5303" shapeId="0" xr:uid="{5460B92D-E8C2-4486-B0EC-AA69530255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5304" shapeId="0" xr:uid="{6A962A75-A95A-4854-8ACA-AE9C57B238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5305" shapeId="0" xr:uid="{DB1FC11B-BBD4-4B93-A7CE-1B12B9ED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5306" shapeId="0" xr:uid="{9F9EB71E-42A0-4563-8C9A-6484F654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5307" shapeId="0" xr:uid="{F814B825-9976-4F15-9608-808AC2C1C8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5308" shapeId="0" xr:uid="{005B9B50-CBD0-43CE-918F-9038217B80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2" authorId="5309" shapeId="0" xr:uid="{244D5E2B-4DAF-46D2-AF95-8F1BE256F0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2" authorId="5310" shapeId="0" xr:uid="{F59DD878-BA08-42EB-BCC4-0898DCBF2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2" authorId="5311" shapeId="0" xr:uid="{B4C14DDD-DF90-4C5B-90EC-F2951E797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2" authorId="5312" shapeId="0" xr:uid="{847B0229-045C-4BA0-AB22-716C6984C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2" authorId="5313" shapeId="0" xr:uid="{341CD164-FE86-401F-BF8F-93E8F4951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2" authorId="5314" shapeId="0" xr:uid="{01808A2A-D74B-4276-B74F-C87EF6963E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2" authorId="5315" shapeId="0" xr:uid="{346CDBF9-1577-479B-9655-D63D88DAAA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2" authorId="5316" shapeId="0" xr:uid="{6550C285-21B1-45BD-A047-175F77F4C9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2" authorId="5317" shapeId="0" xr:uid="{2622B860-13F8-4141-BBBB-DCE50FF238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2" authorId="5318" shapeId="0" xr:uid="{CCA568D6-453F-4E04-84E3-691B2063A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2" authorId="5319" shapeId="0" xr:uid="{782C2363-D0DE-49E2-AB1E-70496D795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2" authorId="5320" shapeId="0" xr:uid="{FA41AA05-0A50-494E-A945-B0B85A83CF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2" authorId="5321" shapeId="0" xr:uid="{D8DE2E57-67C0-414D-A313-FD424E9487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2" authorId="5322" shapeId="0" xr:uid="{C7F4C1F1-6589-48D6-819D-60D283A8A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2" authorId="5323" shapeId="0" xr:uid="{F06C5249-8B32-4821-A4B5-14BF1FF61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2" authorId="5324" shapeId="0" xr:uid="{ED88339B-35D4-4349-9736-B2069DD8A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2" authorId="5325" shapeId="0" xr:uid="{E883700C-1849-4D45-B8D5-043A09A268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2" authorId="5326" shapeId="0" xr:uid="{D1BDE99D-01DB-4E85-9A4A-4B4D836B6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2" authorId="5327" shapeId="0" xr:uid="{FDDE07FA-A6A3-4E3B-8C5F-E08CF4C50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2" authorId="5328" shapeId="0" xr:uid="{21260B1D-2593-4CBA-9132-E60279246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2" authorId="5329" shapeId="0" xr:uid="{015785AF-10C8-4C10-8628-AB253F94F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2" authorId="5330" shapeId="0" xr:uid="{4E7A2A79-03BA-4901-822D-389E001439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2" authorId="5331" shapeId="0" xr:uid="{83F5F7F8-B45B-4EC4-BF3C-629762A61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2" authorId="5332" shapeId="0" xr:uid="{32C651AF-9B11-42DF-AB74-1F2A6EB30C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2" authorId="5333" shapeId="0" xr:uid="{C83BBD4B-F812-4AFB-BB3B-75DC2D32CB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2" authorId="5334" shapeId="0" xr:uid="{1446F4FA-EE68-47ED-8138-5A7CA6568F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2" authorId="5335" shapeId="0" xr:uid="{DE25B644-1615-40A2-82E1-A6806B7650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2" authorId="5336" shapeId="0" xr:uid="{45E3AA54-0D4D-4E66-AAD7-AA63C98371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2" authorId="5337" shapeId="0" xr:uid="{926709E6-C3CB-4441-89FA-C4E1078EEC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2" authorId="5338" shapeId="0" xr:uid="{16D306F1-17B0-4A12-9076-957F0B3514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2" authorId="5339" shapeId="0" xr:uid="{4A1F61D1-9F12-4FDB-BB9E-F303B7C7A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2" authorId="5340" shapeId="0" xr:uid="{4B1AF133-106E-473C-80C2-B3238D0927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2" authorId="5341" shapeId="0" xr:uid="{5D43C7EC-B4CC-494D-A40F-1BC8DFE0B1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2" authorId="5342" shapeId="0" xr:uid="{EF13BF9E-CB06-412E-BE1E-F3A226915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2" authorId="5343" shapeId="0" xr:uid="{C66698BA-2E24-46BF-802D-78CAD8022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2" authorId="5344" shapeId="0" xr:uid="{784A68C1-11E9-447F-B156-577A895C34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2" authorId="5345" shapeId="0" xr:uid="{22E0A3CD-6889-4638-8747-143105BF7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2" authorId="5346" shapeId="0" xr:uid="{997D4407-687B-487C-A825-B50C6B18AB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2" authorId="5347" shapeId="0" xr:uid="{562F7AAE-1996-44E6-9074-6321B7180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2" authorId="5348" shapeId="0" xr:uid="{68343146-C8EF-4795-AC7C-F06A5C163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2" authorId="5349" shapeId="0" xr:uid="{42E3C441-28F5-4C74-A9D0-5109DA5E7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2" authorId="5350" shapeId="0" xr:uid="{33F7BEA1-D0E7-4826-9272-3F77DD3B7B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5351" shapeId="0" xr:uid="{F80900BA-63EF-43A2-B567-EDDAAA07E5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5352" shapeId="0" xr:uid="{0F4AE5D4-1E56-4128-ACED-408112A3E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5353" shapeId="0" xr:uid="{4258DC1B-1A2F-4B07-B2B0-ACD403029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5354" shapeId="0" xr:uid="{69C61B5F-A334-431D-89AB-9040B6266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5355" shapeId="0" xr:uid="{36A289EA-FA34-43C2-AADC-42BBC05D01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5356" shapeId="0" xr:uid="{49A960CB-73A1-4769-8862-8A341F222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5357" shapeId="0" xr:uid="{86AE1458-63E0-4311-820C-DC5B1D52A9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3" authorId="5358" shapeId="0" xr:uid="{B4C8A02C-A5DF-434B-8D75-93BFBDCEA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3" authorId="5359" shapeId="0" xr:uid="{6E486999-86CF-4FFA-845E-F41ABDB64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3" authorId="5360" shapeId="0" xr:uid="{C782E708-05A0-4BD1-9DC5-9E3529DAD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3" authorId="5361" shapeId="0" xr:uid="{82F80295-053B-4AB0-B076-4834733F5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3" authorId="5362" shapeId="0" xr:uid="{90B490BE-B174-4DC2-A635-B6E5F6F2B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3" authorId="5363" shapeId="0" xr:uid="{2837D21F-8CCC-49B7-A1B3-DA9BBBB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3" authorId="5364" shapeId="0" xr:uid="{1DFCC716-7937-473A-8B57-9669E0589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3" authorId="5365" shapeId="0" xr:uid="{0A6C1B3E-187C-4B9A-9DFE-9F6E5367A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3" authorId="5366" shapeId="0" xr:uid="{6DB5890A-1547-49F3-BC62-386EAEDE90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3" authorId="5367" shapeId="0" xr:uid="{C3BC5F93-1352-4C50-9510-FA681FFF79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3" authorId="5368" shapeId="0" xr:uid="{5C3EE50D-34CA-4F25-936E-23F3DEEB32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3" authorId="5369" shapeId="0" xr:uid="{1AF4E269-980F-4C6A-90FB-43D8462AE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3" authorId="5370" shapeId="0" xr:uid="{ADF9B4EE-DCC5-4B59-A1CE-2937BD20E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3" authorId="5371" shapeId="0" xr:uid="{6A292AEB-28F3-472D-B194-4981C3352D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3" authorId="5372" shapeId="0" xr:uid="{FB9F7528-0990-49B4-8C0E-9CF7307649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3" authorId="5373" shapeId="0" xr:uid="{A7AF63E9-6E96-4CFC-89BF-C001E6A05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3" authorId="5374" shapeId="0" xr:uid="{A4A99BA8-201F-451B-994D-7F634F0F7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3" authorId="5375" shapeId="0" xr:uid="{5A6C0D28-5602-4E7F-BA98-AC7C41FDF8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3" authorId="5376" shapeId="0" xr:uid="{A5F30860-0615-4426-A606-1AA549D38E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3" authorId="5377" shapeId="0" xr:uid="{515C9D30-BE86-452F-9F1E-6E119C9D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3" authorId="5378" shapeId="0" xr:uid="{16BE3B3E-327F-4E4D-8407-24E139B830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3" authorId="5379" shapeId="0" xr:uid="{19D2BC07-0B0B-408C-8529-6884696DD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3" authorId="5380" shapeId="0" xr:uid="{01F5633A-079F-427C-82BE-57BC5F052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3" authorId="5381" shapeId="0" xr:uid="{A7B9B076-7F50-4F8D-B984-70576A889C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3" authorId="5382" shapeId="0" xr:uid="{FB9397D4-EA90-4AE3-90EF-C6AC1D83DD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3" authorId="5383" shapeId="0" xr:uid="{2EAC7139-981E-424E-B45D-AB92B116F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3" authorId="5384" shapeId="0" xr:uid="{9AB92B74-F406-4908-A226-3E78FB3C1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3" authorId="5385" shapeId="0" xr:uid="{7618C660-47BE-4492-9CFE-1D98E9C77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3" authorId="5386" shapeId="0" xr:uid="{93A32846-0DF2-419E-98DC-9D3CFE9C9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3" authorId="5387" shapeId="0" xr:uid="{DA325809-8C80-41AA-B0C7-6612BE821D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3" authorId="5388" shapeId="0" xr:uid="{8B051FF5-9C27-4B92-8413-5BE16060F9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3" authorId="5389" shapeId="0" xr:uid="{BFD62E17-0AFA-4498-AC4D-AB21FD032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3" authorId="5390" shapeId="0" xr:uid="{34B41874-0281-4475-B720-9A958B3D2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3" authorId="5391" shapeId="0" xr:uid="{6ED93E1C-7585-4142-B677-2240A76BB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3" authorId="5392" shapeId="0" xr:uid="{A84FCCB2-87BD-4BC0-B358-7511957DB7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3" authorId="5393" shapeId="0" xr:uid="{AAB7C8FE-7291-4A17-9905-2E9C012031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3" authorId="5394" shapeId="0" xr:uid="{9E8FC360-50BA-43A8-AD24-81A770F6F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3" authorId="5395" shapeId="0" xr:uid="{00EAD9D5-F20F-4E06-AB59-63962CD746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3" authorId="5396" shapeId="0" xr:uid="{E747934B-322D-4549-A382-2728E22C9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3" authorId="5397" shapeId="0" xr:uid="{4270D6CE-031A-4E39-8FA5-4160B84657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3" authorId="5398" shapeId="0" xr:uid="{1AD343B2-65D2-4BF7-A2B8-3E02EEF102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3" authorId="5399" shapeId="0" xr:uid="{E38E2DCB-33A1-4CB3-8348-9C1BA0C4B6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4" authorId="5400" shapeId="0" xr:uid="{88DFE386-E564-4174-8E5C-065B51D22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4" authorId="5401" shapeId="0" xr:uid="{25026402-2DE9-4F13-BCBE-602A0E614E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4" authorId="5402" shapeId="0" xr:uid="{B91A79E9-A7D2-4B57-BD89-341D21A34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4" authorId="5403" shapeId="0" xr:uid="{2083164B-C720-43EA-8FE9-C3A5D1BC0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4" authorId="5404" shapeId="0" xr:uid="{D30EC689-56BC-40D4-B18C-BECA2C4289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4" authorId="5405" shapeId="0" xr:uid="{2FADDDBD-6E00-4A8E-B48B-6AFBEEBFAD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4" authorId="5406" shapeId="0" xr:uid="{556CCBB6-FB8D-4F0F-B36E-05C929A5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4" authorId="5407" shapeId="0" xr:uid="{2C19F16A-7678-4488-A2A8-53ADDCC08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4" authorId="5408" shapeId="0" xr:uid="{9E6B91A7-484C-456A-81A5-F2B040989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4" authorId="5409" shapeId="0" xr:uid="{FD1BBE10-CB13-480C-AE83-C099ED2AAD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4" authorId="5410" shapeId="0" xr:uid="{93B4C396-51F3-4685-B2C4-72640D078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4" authorId="5411" shapeId="0" xr:uid="{51E5C053-5264-4155-AEF2-149FE299C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4" authorId="5412" shapeId="0" xr:uid="{3C6ADE21-89DD-4696-9203-40EC6FB829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4" authorId="5413" shapeId="0" xr:uid="{0942CD74-5D98-4A54-9EA3-875168603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4" authorId="5414" shapeId="0" xr:uid="{1C1FF29B-213F-4671-9D19-F042DE3DD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4" authorId="5415" shapeId="0" xr:uid="{9184EC37-2671-4602-BA8C-86F7AD41AB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4" authorId="5416" shapeId="0" xr:uid="{7D669A0C-9740-4B96-9C56-25FDB49922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4" authorId="5417" shapeId="0" xr:uid="{4257666E-4E68-4F7F-B851-CB6B4741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4" authorId="5418" shapeId="0" xr:uid="{C77F985F-A79B-422E-A855-C3175E32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4" authorId="5419" shapeId="0" xr:uid="{D5E12059-CD41-4229-90C5-3835CB348A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4" authorId="5420" shapeId="0" xr:uid="{3C1F5A46-BA4F-45F7-8B77-1021C2E1CB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4" authorId="5421" shapeId="0" xr:uid="{F890458B-3ECA-4901-9C97-3DB1722C4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4" authorId="5422" shapeId="0" xr:uid="{CD5C03A5-E1A8-4564-9DA5-EE2DD970DC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4" authorId="5423" shapeId="0" xr:uid="{C20F2918-614B-4E6D-A48C-D1DB6FB77F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4" authorId="5424" shapeId="0" xr:uid="{26624EF3-752D-46D7-9FF5-A65CFF01C3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4" authorId="5425" shapeId="0" xr:uid="{FFEBF846-C1A9-41ED-BD6A-BAB64F6F9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4" authorId="5426" shapeId="0" xr:uid="{CDA3E1D4-9582-45B9-B12B-F5F40F0107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4" authorId="5427" shapeId="0" xr:uid="{8D5BF8E3-CEE6-485C-8A73-C78B6CA261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4" authorId="5428" shapeId="0" xr:uid="{4788C8C9-A4A1-4D90-8AF5-FD22C1E2E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4" authorId="5429" shapeId="0" xr:uid="{4E320FA0-DA69-4C0F-98D4-D3CAC4F2B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4" authorId="5430" shapeId="0" xr:uid="{F1D72A8F-C189-461A-9327-01930472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4" authorId="5431" shapeId="0" xr:uid="{DE8D8A91-2704-438E-9D39-3CADFDF77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4" authorId="5432" shapeId="0" xr:uid="{4CD63D0F-7425-4A45-A88E-005CDD3CD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4" authorId="5433" shapeId="0" xr:uid="{ED7A59FE-8C81-4057-8625-48A6E03765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4" authorId="5434" shapeId="0" xr:uid="{21ADEDFA-ECAE-47DB-8713-4156D07B6B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4" authorId="5435" shapeId="0" xr:uid="{7B9634E7-3194-4E69-A48F-E273616D2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4" authorId="5436" shapeId="0" xr:uid="{A6634F74-D8B5-4718-830F-04380327A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4" authorId="5437" shapeId="0" xr:uid="{12A65756-C11E-483A-AB64-23E7A2B4E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4" authorId="5438" shapeId="0" xr:uid="{80FE384B-2CFF-41D5-ACCC-0214B013FC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4" authorId="5439" shapeId="0" xr:uid="{5E00F483-5B41-450D-B3C9-7D77E2DB81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4" authorId="5440" shapeId="0" xr:uid="{0DAFAF98-7611-4D91-BA51-1DC1AC8C4A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4" authorId="5441" shapeId="0" xr:uid="{88C4D6A8-93C5-404E-869A-7DF16F59F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4" authorId="5442" shapeId="0" xr:uid="{1C00FD0D-A3F9-45DC-B961-28BB8C025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4" authorId="5443" shapeId="0" xr:uid="{124DAA9E-6A4E-490D-91ED-DC6DC0A271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4" authorId="5444" shapeId="0" xr:uid="{43C1DA82-8C1A-419A-BE2D-FAB6B256C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4" authorId="5445" shapeId="0" xr:uid="{6B55EB1B-C80E-4CFB-A58E-E2554E892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4" authorId="5446" shapeId="0" xr:uid="{AFF4DF2F-E131-4407-82F8-C0B1245039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4" authorId="5447" shapeId="0" xr:uid="{985C43C6-DA93-4879-8C89-26BC5602EB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4" authorId="5448" shapeId="0" xr:uid="{EB5D0C95-CCCE-4781-A42E-E72F2AC82B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5" authorId="5449" shapeId="0" xr:uid="{3006B414-F6E5-4CE5-AA38-7F2C3CF3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T295" authorId="5450" shapeId="0" xr:uid="{4CD0210D-CE2B-48B4-85DE-D5A9FBE8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Y295" authorId="5451" shapeId="0" xr:uid="{60D4AA8D-3A2A-4F0F-BB7A-475C2C8E02C8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5" authorId="5452" shapeId="0" xr:uid="{848DE4F2-E905-47FB-A55E-80BD45F913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295" authorId="5453" shapeId="0" xr:uid="{587E2351-2AC0-4CB0-9D89-881E9DE291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295" authorId="5454" shapeId="0" xr:uid="{82747092-2AF0-4B73-9176-90D94BB66D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295" authorId="5455" shapeId="0" xr:uid="{FC6B39CF-689F-4679-8A0A-EEA6611620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M295" authorId="5456" shapeId="0" xr:uid="{F95D7558-7CEC-4800-A14A-1AE42D0E3F4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295" authorId="5457" shapeId="0" xr:uid="{1F7EE7CF-D3DB-48E9-963B-9670321F8B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V295" authorId="5458" shapeId="0" xr:uid="{9789E20A-8EF5-4291-80F7-8B2DD5950A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W295" authorId="5459" shapeId="0" xr:uid="{3F9EA596-6877-4745-A6B8-C43CAA06FE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96" authorId="5460" shapeId="0" xr:uid="{B6C62298-2485-4C9A-BFE6-FB17B3D6287D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6" authorId="5461" shapeId="0" xr:uid="{11D3EBEF-E4F1-4603-BE61-47891A4322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296" authorId="5462" shapeId="0" xr:uid="{6FA7EA4B-C9FE-489E-BFC7-07A6580CD8C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296" authorId="5463" shapeId="0" xr:uid="{830C96B8-246F-489A-9180-A3C31F3657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296" authorId="5464" shapeId="0" xr:uid="{43A01233-339D-47AF-B03A-608660AE2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M296" authorId="5465" shapeId="0" xr:uid="{52651651-4529-4913-82FA-67D1D93155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in Jan</t>
      </text>
    </comment>
    <comment ref="AU296" authorId="5466" shapeId="0" xr:uid="{84A910CE-8374-43DB-9501-0B677C5FCE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W296" authorId="5467" shapeId="0" xr:uid="{0715751C-C312-41C5-9E78-34484ADAA2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6" authorId="5468" shapeId="0" xr:uid="{71DE00E0-E152-4DF4-8F52-0DF5F6DCA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Y297" authorId="5469" shapeId="0" xr:uid="{5B9ABE40-FF63-4C3A-8AF8-97382D00BD47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7" authorId="5470" shapeId="0" xr:uid="{1E5D8E98-5E35-454D-A634-775733A2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297" authorId="5471" shapeId="0" xr:uid="{FCE12995-5C38-403C-9CB5-4782E09FD3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297" authorId="5472" shapeId="0" xr:uid="{A743332D-7F4C-4BD6-903C-40D4D4A8A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AW297" authorId="5473" shapeId="0" xr:uid="{0F4B9489-50FD-4515-9D54-3BD8C53F77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7" authorId="5474" shapeId="0" xr:uid="{9EBDCB80-8B89-43D0-B39F-70C3CB55FA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7" authorId="5475" shapeId="0" xr:uid="{D6373DF3-F7FD-4CE3-BEEE-45FC11825D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7" authorId="5476" shapeId="0" xr:uid="{B4F2F86E-E028-4E6A-8CFA-83D6E8D648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Y298" authorId="5477" shapeId="0" xr:uid="{0C3965A0-D201-447F-A601-4D4AD94AF5C2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8" authorId="5478" shapeId="0" xr:uid="{B3E714B3-B347-44B6-A134-9C209C801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298" authorId="5479" shapeId="0" xr:uid="{8FB0BE8A-EDDA-4BA6-B589-3FD4E32884D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298" authorId="5480" shapeId="0" xr:uid="{5B606EC7-EDF7-40EF-9462-8764DAB5F6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8" authorId="5481" shapeId="0" xr:uid="{35A677A3-4FBC-4830-B3B2-EF8E9F8DAC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8" authorId="5482" shapeId="0" xr:uid="{03BD4E91-3492-4E78-8254-DC170FB4FA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99" authorId="5483" shapeId="0" xr:uid="{B6A4ABEA-13CF-4B83-B57D-556384E08889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9" authorId="5484" shapeId="0" xr:uid="{5B4A1EE6-F485-4075-AA5F-C07180BEAF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W299" authorId="5485" shapeId="0" xr:uid="{4CC91C45-BDC3-4263-B698-E38F687A16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9" authorId="5486" shapeId="0" xr:uid="{492F23E1-618A-4785-AE2E-928D70E860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9" authorId="5487" shapeId="0" xr:uid="{32BBC729-13B2-4E46-A044-48CBED1FAE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9" authorId="5488" shapeId="0" xr:uid="{4A9184F3-D299-42E1-B0EA-44EEAB35C3B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Y300" authorId="5489" shapeId="0" xr:uid="{33EDA0A3-0E27-4EDC-B83A-927F4AF004F8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300" authorId="5490" shapeId="0" xr:uid="{FF8A89B6-F636-462B-AA85-64317FA153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300" authorId="5491" shapeId="0" xr:uid="{2D98339A-0843-45D1-907C-0776494FF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300" authorId="5492" shapeId="0" xr:uid="{852B3D42-F15D-4389-B32B-2DB5C2DDEE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300" authorId="5493" shapeId="0" xr:uid="{893F9DA0-181F-431B-8C75-606E2543A4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W300" authorId="5494" shapeId="0" xr:uid="{A9584B54-5427-44B4-8A21-930580DE03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300" authorId="5495" shapeId="0" xr:uid="{5B63BB86-EC8F-48A5-AE87-C3D45803E8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S301" authorId="5496" shapeId="0" xr:uid="{B8522E71-C062-4F40-B5B9-9AD63EFC87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T301" authorId="5497" shapeId="0" xr:uid="{7B652C86-04E7-4925-8402-01DA8C9935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Y301" authorId="5498" shapeId="0" xr:uid="{3570FF78-405C-4B8C-AA79-99EAD0F1114C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301" authorId="5499" shapeId="0" xr:uid="{31EFD4B7-18DB-4F75-B01F-532C67FFBF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M301" authorId="5500" shapeId="0" xr:uid="{49B260F6-1DAE-4AED-8F6B-0EB08B14B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01" authorId="5501" shapeId="0" xr:uid="{75532167-52CB-47BE-8BA9-76AE6C3F2D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301" authorId="5502" shapeId="0" xr:uid="{DE993AAA-4CED-4477-AA26-3D7DD43413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301" authorId="5503" shapeId="0" xr:uid="{8E64706E-433E-4BB9-9BE1-9224549202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W302" authorId="5504" shapeId="0" xr:uid="{EC460147-67FD-4E3B-B375-9D46D09D0B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AX302" authorId="5505" shapeId="0" xr:uid="{C984DC4A-A030-4C4E-8A21-4C4886741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S303" authorId="5506" shapeId="0" xr:uid="{CF4AEA14-E616-4FAE-AADB-E19D59269B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U303" authorId="5507" shapeId="0" xr:uid="{1B0B6932-296B-4DE4-A33A-2E94DF5DD7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W303" authorId="5508" shapeId="0" xr:uid="{77DAC28D-E5D9-446E-ACD1-1AF244EA0A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Y303" authorId="5509" shapeId="0" xr:uid="{6E24AE1A-C0D3-4C8C-BD8F-9D8631C770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3" authorId="5510" shapeId="0" xr:uid="{EDE5181B-7B3F-475D-B21B-43525F99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3" authorId="5511" shapeId="0" xr:uid="{36C5C1C5-CB9C-47CC-9AB4-53248C63006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3" authorId="5512" shapeId="0" xr:uid="{2EDA31FD-66BD-4D4F-857F-71BA50BA796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04" authorId="5513" shapeId="0" xr:uid="{54888756-2C06-4F06-8EC2-F1809240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04" authorId="5514" shapeId="0" xr:uid="{5D85AB26-4E6F-4DD8-B0B5-8097EFBE4432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04" authorId="5515" shapeId="0" xr:uid="{C77B6C26-F2C8-45D6-9DF7-EDE609829218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04" authorId="5516" shapeId="0" xr:uid="{C9B4307A-461F-4486-8DB6-9CB36BC1BB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the measurement starts Band wise</t>
      </text>
    </comment>
    <comment ref="Z304" authorId="5517" shapeId="0" xr:uid="{69CE68F9-BBFC-47CD-B45C-73275A562D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the measurement starts Band wise</t>
      </text>
    </comment>
    <comment ref="AA304" authorId="5518" shapeId="0" xr:uid="{FA39EADF-5B08-456E-AECB-82AD5B0790D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4" authorId="5519" shapeId="0" xr:uid="{78782958-16CE-4654-A96D-22C0D7B026B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4" authorId="5520" shapeId="0" xr:uid="{7DC41509-A6E0-49F0-A31A-0C01C522248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W305" authorId="5521" shapeId="0" xr:uid="{65A4D071-FFC9-4F76-A690-E00C99D7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5" authorId="5522" shapeId="0" xr:uid="{8D8AED49-E452-471C-91BD-78ADDE61DD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5" authorId="5523" shapeId="0" xr:uid="{A5318DDA-0282-4AEB-B733-5E0FF8D6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5" authorId="5524" shapeId="0" xr:uid="{779F28D8-4CA4-4890-A69B-D8E5586F994F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5" authorId="5525" shapeId="0" xr:uid="{807F62ED-4420-4950-AB05-939E57676EC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5" authorId="5526" shapeId="0" xr:uid="{C2E9B947-9B6A-4921-88BF-F6A4EE64A27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5" authorId="5527" shapeId="0" xr:uid="{A5EE084F-6B46-4BA0-BD32-1D1500EDB8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5" authorId="5528" shapeId="0" xr:uid="{48E3C32A-0727-465D-800C-27F99B5A50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5" authorId="5529" shapeId="0" xr:uid="{C849435A-362B-474C-A5CE-044D5D257E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305" authorId="5530" shapeId="0" xr:uid="{9FFE9280-96D0-41AA-8EF0-A7016559D9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W306" authorId="5531" shapeId="0" xr:uid="{23E3AE68-A408-462E-84E8-B4747EB9A7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6" authorId="5532" shapeId="0" xr:uid="{6CDC5A85-C369-4A28-9DAC-3457B3FF39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6" authorId="5533" shapeId="0" xr:uid="{98ACF85A-DA42-41B0-BEA4-020F7F7EE2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6" authorId="5534" shapeId="0" xr:uid="{3213B533-28BC-4DBA-A525-46BC3E4844B6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6" authorId="5535" shapeId="0" xr:uid="{B6C380AF-EF99-4758-A790-5500C52D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6" authorId="5536" shapeId="0" xr:uid="{A10A53C1-0EDD-451F-8154-6BED005E4FE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6" authorId="5537" shapeId="0" xr:uid="{55331B0C-D00F-4E14-9A77-5DBE512BF54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6" authorId="5538" shapeId="0" xr:uid="{D41EF384-3263-49F9-93BB-4B55BDFDCD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6" authorId="5539" shapeId="0" xr:uid="{03F3F54E-A003-4BC1-BDE2-0EB3077D27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07" authorId="5540" shapeId="0" xr:uid="{C099B51D-856B-4DEB-8C47-0C6E30D293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7" authorId="5541" shapeId="0" xr:uid="{00B17062-0CC6-49AF-887B-EE809A1575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7" authorId="5542" shapeId="0" xr:uid="{5167CC58-8CAB-4BA6-89A7-AD73AE86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7" authorId="5543" shapeId="0" xr:uid="{4B1766F0-E61D-4A66-A16B-9FCC06EDF01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7" authorId="5544" shapeId="0" xr:uid="{3A4E1A19-69CA-4F52-AF7C-20448659CC0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7" authorId="5545" shapeId="0" xr:uid="{A8631A65-3A9C-4EAC-8280-B76348F99EF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7" authorId="5546" shapeId="0" xr:uid="{A0B1F3B5-400E-4355-BCA1-8AA719D2E31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7" authorId="5547" shapeId="0" xr:uid="{FF0A844D-0739-4369-9BF9-5D4A19E8B9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7" authorId="5548" shapeId="0" xr:uid="{68C64FFC-CA76-4072-B8E0-BA8392DA1F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08" authorId="5549" shapeId="0" xr:uid="{28BA8480-577F-4C44-8493-EDDC17561A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8" authorId="5550" shapeId="0" xr:uid="{15F5F7F8-8C26-4114-B881-249FF16AAF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8" authorId="5551" shapeId="0" xr:uid="{DA6B6B44-5F53-4E19-B846-9B6A4F21CA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8" authorId="5552" shapeId="0" xr:uid="{2EDD95D0-76AE-403E-839D-437700A93D2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8" authorId="5553" shapeId="0" xr:uid="{0FAB44C2-A2B4-47E1-AF4C-D3C7ECEBA750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8" authorId="5554" shapeId="0" xr:uid="{C4CCA427-5F1D-4512-B72A-4EFE542AFA5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8" authorId="5555" shapeId="0" xr:uid="{648C459D-B4B5-4AAC-84E7-0EB069F0E26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8" authorId="5556" shapeId="0" xr:uid="{7EAF7B9F-BCF9-4471-A524-D11222E140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8" authorId="5557" shapeId="0" xr:uid="{210F503E-D812-49AB-BBA0-4E4C1D5150F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for band 3</t>
      </text>
    </comment>
    <comment ref="BK308" authorId="5558" shapeId="0" xr:uid="{7D16B4CB-6E84-44A2-8A21-5778E26238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BS308" authorId="5559" shapeId="0" xr:uid="{0857B66A-D688-49F0-A4E5-5A9B0B17A5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W309" authorId="5560" shapeId="0" xr:uid="{8942FBB6-BDE6-4DDA-9B1E-FE774F9F98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9" authorId="5561" shapeId="0" xr:uid="{767B9F8C-AB63-403E-91B8-14ACB7E58B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9" authorId="5562" shapeId="0" xr:uid="{6E8595C5-586A-4CE6-85D7-99A93917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9" authorId="5563" shapeId="0" xr:uid="{37B82372-120E-425A-9CEA-04F711270B2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9" authorId="5564" shapeId="0" xr:uid="{4A89608B-1500-4F77-A80F-69CA43C467AF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9" authorId="5565" shapeId="0" xr:uid="{3CD15B24-8579-4733-B37F-35ECE1159967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9" authorId="5566" shapeId="0" xr:uid="{B45CAE87-2A24-4797-83E7-A4BC88A7DF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9" authorId="5567" shapeId="0" xr:uid="{FA02F410-A887-4298-92ED-1D05CBCB43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   accepted for Band 2
</t>
      </text>
    </comment>
    <comment ref="AM309" authorId="5568" shapeId="0" xr:uid="{32167A7F-7B4C-4376-B595-9C38BE9EB5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for band 2</t>
      </text>
    </comment>
    <comment ref="AQ309" authorId="5569" shapeId="0" xr:uid="{314A05C6-2D18-4ECD-AFC0-CDEDA54687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R309" authorId="5570" shapeId="0" xr:uid="{65A9CDEC-970D-4769-995F-62AC2CBF5D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S309" authorId="5571" shapeId="0" xr:uid="{986CDC5A-51DA-4547-BD02-1F4B16DAEF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T309" authorId="5572" shapeId="0" xr:uid="{65A5BEB7-D856-44A6-8619-A5A2A27D51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W309" authorId="5573" shapeId="0" xr:uid="{6E49F3BB-0219-460B-82A1-DEC9FB9EEE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X309" authorId="5574" shapeId="0" xr:uid="{D8407E46-2AEA-433F-B0D7-FC305DB8189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Y309" authorId="5575" shapeId="0" xr:uid="{02A1D596-36AC-4670-92E2-CF488AB554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Z309" authorId="5576" shapeId="0" xr:uid="{377B735B-B2A1-41D3-8171-B2DDCCD367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A309" authorId="5577" shapeId="0" xr:uid="{7695F677-F21A-48A2-B94E-ADC0948B3A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B309" authorId="5578" shapeId="0" xr:uid="{79E6939C-2FD5-4481-B397-34A0426A92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K309" authorId="5579" shapeId="0" xr:uid="{C9ACF3EB-7697-46B5-8223-D66EB6E49E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BS309" authorId="5580" shapeId="0" xr:uid="{B67E660B-5DC7-440B-9A8E-B888A60075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10" authorId="5581" shapeId="0" xr:uid="{EAB70703-0E2A-44C8-B0B7-D5287C2749F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M310" authorId="5582" shapeId="0" xr:uid="{C28EDE3E-1B5C-46AF-918F-FAEC7A1699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S310" authorId="5583" shapeId="0" xr:uid="{E14AD682-D9AF-44E3-91EF-4A729237D93F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0" authorId="5584" shapeId="0" xr:uid="{05B06914-FD78-40CE-832D-BB5FA91E58E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0" authorId="5585" shapeId="0" xr:uid="{9A18350D-43A8-4A1D-8ECB-2428B162FB9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0" authorId="5586" shapeId="0" xr:uid="{5BC261B3-497C-4FFA-A5AB-771A4AF3CD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0" authorId="5587" shapeId="0" xr:uid="{CEF5F2ED-A775-4588-890C-990435092AA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0" authorId="5588" shapeId="0" xr:uid="{9B853D8C-F643-45C7-A0FD-4277FF24322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0" authorId="5589" shapeId="0" xr:uid="{44EC6CE7-5A0B-4AB0-9201-B966EC00332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11" authorId="5590" shapeId="0" xr:uid="{1D75ABBC-3A46-45AD-B018-000C96626B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1" authorId="5591" shapeId="0" xr:uid="{27F12950-F68C-40F7-956C-A61AD12FB731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1" authorId="5592" shapeId="0" xr:uid="{38857F9C-0753-4618-97A4-289491043B3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1" authorId="5593" shapeId="0" xr:uid="{2549BD4B-1F20-418B-957E-816EBD5EC1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1" authorId="5594" shapeId="0" xr:uid="{521A5240-4674-4591-B13C-063E1B1DB002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1" authorId="5595" shapeId="0" xr:uid="{6D8602CA-31BC-4BB6-8E79-F9D3D947F1D0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1" authorId="5596" shapeId="0" xr:uid="{5EA91306-6EBA-4357-AA47-1D60DD154C54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12" authorId="5597" shapeId="0" xr:uid="{B380A4E3-7503-4CB4-B3BA-DB3FCE01F8A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2" authorId="5598" shapeId="0" xr:uid="{A268F6D7-FB69-48F5-8899-1DD65ADF376B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2" authorId="5599" shapeId="0" xr:uid="{A3BE2D16-7390-44C8-A49D-83A61E120E38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2" authorId="5600" shapeId="0" xr:uid="{46BA43C6-C3B1-4024-960B-EE17E8A091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Z312" authorId="5601" shapeId="0" xr:uid="{6CFE9498-B466-4D65-98DE-B6EF18F0A8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A312" authorId="5602" shapeId="0" xr:uid="{3CF41CFC-8C7D-4DB8-81BE-699C93B572C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B312" authorId="5603" shapeId="0" xr:uid="{CD358920-9A22-4167-91F8-FB68B4BDA5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C312" authorId="5604" shapeId="0" xr:uid="{7D4A6554-1714-402A-B476-606772EB99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D312" authorId="5605" shapeId="0" xr:uid="{433C0A48-C7B5-4BAA-A703-FE6C15919A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E312" authorId="5606" shapeId="0" xr:uid="{C31642E7-5FFA-4630-95EB-A5826E2DD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F312" authorId="5607" shapeId="0" xr:uid="{3753FB18-91B1-4901-85EC-D6915DA727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S313" authorId="5608" shapeId="0" xr:uid="{D826DE5F-78C4-4387-ADFA-5F6C63AB0FED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3" authorId="5609" shapeId="0" xr:uid="{4D1D2E95-1A97-4068-B80F-83C7EB3CADBC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3" authorId="5610" shapeId="0" xr:uid="{3FF4A6B2-83FA-4728-8972-FC4286F81A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3" authorId="5611" shapeId="0" xr:uid="{FF3E2A3B-F42F-4501-AD63-6F7FC41A5A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3" authorId="5612" shapeId="0" xr:uid="{6819B385-91DE-4C51-9F1F-385522801DE7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3" authorId="5613" shapeId="0" xr:uid="{79A7AF9C-D093-4AB9-8E8B-630A250A3979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3" authorId="5614" shapeId="0" xr:uid="{EAB3A56C-AF0A-4939-8318-28A046A31CE5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13" authorId="5615" shapeId="0" xr:uid="{7D605F04-3ECF-4CA5-9919-574A36BB72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13" authorId="5616" shapeId="0" xr:uid="{8D7E7D70-39D7-4973-BA4F-09D37E27B8C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314" authorId="5617" shapeId="0" xr:uid="{BB74984B-A080-4C37-9C12-085B1653FC03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4" authorId="5618" shapeId="0" xr:uid="{0101666A-4E48-4370-8538-77FFB44D1C87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4" authorId="5619" shapeId="0" xr:uid="{7DE0DCE4-C2FB-47C5-92D0-9FC8F51E2946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4" authorId="5620" shapeId="0" xr:uid="{71610367-FB17-468F-9A96-F052A4AB139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discussed PH, it will measure Quarterly</t>
      </text>
    </comment>
    <comment ref="Z314" authorId="5621" shapeId="0" xr:uid="{C6FE6023-C416-4759-B825-E812E0FFF47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discussed PH, it will measure Quarterly</t>
      </text>
    </comment>
    <comment ref="AA314" authorId="5622" shapeId="0" xr:uid="{5BE21F6B-5C86-4CCC-B227-5307D2E028FC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4" authorId="5623" shapeId="0" xr:uid="{C311CCE6-86A4-4D8B-8EE0-2F75E1509C6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4" authorId="5624" shapeId="0" xr:uid="{58E67880-F420-4A2C-ABB6-8AB152E9A0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F314" authorId="5625" shapeId="0" xr:uid="{AC7E07B5-F144-4BE5-A5E6-A072446341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G314" authorId="5626" shapeId="0" xr:uid="{AADDE9DB-277C-45E3-B11E-DE643450D502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basis</t>
      </text>
    </comment>
    <comment ref="Q315" authorId="5627" shapeId="0" xr:uid="{9233C0E6-8F8C-4F53-A8FF-2A72221BE2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5" authorId="5628" shapeId="0" xr:uid="{726D3504-09C2-49EA-91F2-1F5B736C86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5" authorId="5629" shapeId="0" xr:uid="{AC5B46B4-FFEF-4F75-8FBE-FE4055B44F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5" authorId="5630" shapeId="0" xr:uid="{E4B9B822-F0D4-4CEC-A1B8-A78EE3FE43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5" authorId="5631" shapeId="0" xr:uid="{5756DFFC-3DDE-44F3-A4EA-D85C634E7F3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5" authorId="5632" shapeId="0" xr:uid="{FE256A06-2981-4400-A073-C0D7DEF1F3D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5" authorId="5633" shapeId="0" xr:uid="{65D5229B-C2F5-4650-8385-5715218CF6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5" authorId="5634" shapeId="0" xr:uid="{8434FCEF-98D9-4C73-B1B7-4F53DF8869C3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BE315" authorId="5635" shapeId="0" xr:uid="{1B065FC3-0012-4999-8404-C891DBF337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6" authorId="5636" shapeId="0" xr:uid="{3454EF1D-3525-4931-A497-BC9C729C76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6" authorId="5637" shapeId="0" xr:uid="{172BDEAB-6F9A-4907-B053-56CDFEED7D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6" authorId="5638" shapeId="0" xr:uid="{4D858974-A308-4157-998B-B5C45B67FF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6" authorId="5639" shapeId="0" xr:uid="{2BBBD5EC-5507-4C1E-895D-8CB5B40A71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6" authorId="5640" shapeId="0" xr:uid="{253D867C-078F-44C1-ACE9-033D36E1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6" authorId="5641" shapeId="0" xr:uid="{6A76A614-7F19-4CEA-997B-EB5D950D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6" authorId="5642" shapeId="0" xr:uid="{12F03D5A-022E-4DED-A78A-5D8ACFE3FD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6" authorId="5643" shapeId="0" xr:uid="{FC16BA56-3FE0-4F5C-A1F4-3845D405C3E1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BE316" authorId="5644" shapeId="0" xr:uid="{DC30819A-F43E-4498-AF04-65A5B1AC86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7" authorId="5645" shapeId="0" xr:uid="{D74820F9-DA9E-4A00-91A8-FD964F17B6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7" authorId="5646" shapeId="0" xr:uid="{7063E8D3-E008-4FCF-86E6-8190237E5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7" authorId="5647" shapeId="0" xr:uid="{7AF863D3-5B08-41E4-915E-29B6ECCC06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7" authorId="5648" shapeId="0" xr:uid="{7485D642-1F83-4B42-A854-BE318F9E92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7" authorId="5649" shapeId="0" xr:uid="{7FFAAFFD-C3CD-4EC3-9CE1-F785D14F0C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7" authorId="5650" shapeId="0" xr:uid="{393C13E5-E261-4D33-B7C3-4EDD115053B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7" authorId="5651" shapeId="0" xr:uid="{104FEE01-11E4-473D-97DF-B5C7143243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Q318" authorId="5652" shapeId="0" xr:uid="{C5A5CD58-7045-4B52-B566-815E18DF8F0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8" authorId="5653" shapeId="0" xr:uid="{8DF1360F-8FE6-4FCD-9062-09F36B38EE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8" authorId="5654" shapeId="0" xr:uid="{E32DD5BE-18B5-4F70-B37A-92A09E6208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8" authorId="5655" shapeId="0" xr:uid="{1A4E9B45-C7F2-4B6F-BBAC-EAB8C671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8" authorId="5656" shapeId="0" xr:uid="{3AEF5B27-D7AE-43E3-AC9C-DF805DE48B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8" authorId="5657" shapeId="0" xr:uid="{27B3F315-38D0-43DF-97DC-78C04ADCAE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8" authorId="5658" shapeId="0" xr:uid="{76827F16-0CE2-460A-B3D4-8CE3B6A121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8" authorId="5659" shapeId="0" xr:uid="{6341A3C6-C973-4D44-AAF7-5AB605815DBF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BE318" authorId="5660" shapeId="0" xr:uid="{B428E9A8-83AD-4999-9799-A26FE17F75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9" authorId="5661" shapeId="0" xr:uid="{DA50457F-29FD-41B1-8042-D974110374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9" authorId="5662" shapeId="0" xr:uid="{C0A25187-B045-4005-AD3B-455031A1769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9" authorId="5663" shapeId="0" xr:uid="{74E9A5DE-898D-429B-8287-817966EC85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9" authorId="5664" shapeId="0" xr:uid="{45239B00-0329-4758-806A-05E448AE53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9" authorId="5665" shapeId="0" xr:uid="{52CDA444-6C0B-422A-ACB7-797DC9795E2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9" authorId="5666" shapeId="0" xr:uid="{B841A872-00D6-42CB-BFC1-70FC3335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9" authorId="5667" shapeId="0" xr:uid="{CA2462A9-A838-4D9E-9FDB-0A61C49F572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9" authorId="5668" shapeId="0" xr:uid="{01A5B35D-A6BD-419C-A508-17183EEE359C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BE319" authorId="5669" shapeId="0" xr:uid="{5A9B8D81-7644-4A26-A997-E0CE1DA9B8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20" authorId="5670" shapeId="0" xr:uid="{555A1E42-8B37-43B2-A8E8-D1630387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20" authorId="5671" shapeId="0" xr:uid="{532D9E38-D74D-402B-9E4D-9EA4CE62AC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20" authorId="5672" shapeId="0" xr:uid="{03D7AB00-DCA8-4A95-B60C-5F5F10726C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20" authorId="5673" shapeId="0" xr:uid="{8391847C-5BC8-4A60-B17F-15B86ADEF2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0" authorId="5674" shapeId="0" xr:uid="{4E9C0006-EAC6-404E-A5B2-75F5A3858EF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0" authorId="5675" shapeId="0" xr:uid="{0A5DCF23-30D3-4AF6-96B1-F2F08D8A969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0" authorId="5676" shapeId="0" xr:uid="{D9BD3902-9110-47DA-80FA-A75D27146A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G320" authorId="5677" shapeId="0" xr:uid="{DD3CA7AE-4E97-4A20-93FA-0F7B06061F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20" authorId="5678" shapeId="0" xr:uid="{5BEC5DB4-0220-4961-A505-2D327114B6E3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BM320" authorId="5679" shapeId="0" xr:uid="{ADDCF0DE-5C81-41E9-8F64-5904758055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1" authorId="5680" shapeId="0" xr:uid="{067CE3C7-36F4-4D62-94C7-602F22EF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M321" authorId="5681" shapeId="0" xr:uid="{F2109830-F467-43D6-A2A6-4342318D467D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Y321" authorId="5682" shapeId="0" xr:uid="{356C0348-5262-433E-8CA9-F81F9A8CF38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1" authorId="5683" shapeId="0" xr:uid="{B5A43A45-4917-483C-947C-FC803DCB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1" authorId="5684" shapeId="0" xr:uid="{8B40ADF8-0EB8-4684-84E1-2FCD804BFC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1" authorId="5685" shapeId="0" xr:uid="{9B63B128-1A69-4C00-B5AB-A26E067E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BM321" authorId="5686" shapeId="0" xr:uid="{D5F5CF33-07C7-4690-BBCA-62477D0B87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Q322" authorId="5687" shapeId="0" xr:uid="{701B8B22-DAC7-4C11-8801-0518688FE4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22" authorId="5688" shapeId="0" xr:uid="{1F80CE13-D851-42E5-8FA1-76F37E65A0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22" authorId="5689" shapeId="0" xr:uid="{AA03C9B9-049D-4305-A3DE-3729A13E32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22" authorId="5690" shapeId="0" xr:uid="{50F9B4A1-3C1A-420C-AAFF-0336794271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2" authorId="5691" shapeId="0" xr:uid="{DAF370D7-9080-4630-A2FC-A0A108F47E6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2" authorId="5692" shapeId="0" xr:uid="{763A8CFC-F7F0-48A7-9ECF-CF2234073D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2" authorId="5693" shapeId="0" xr:uid="{2F788641-1E88-4C02-8D8D-271CB89A18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22" authorId="5694" shapeId="0" xr:uid="{084D3A8F-A1D5-4976-96ED-F8AD01941C7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U323" authorId="5695" shapeId="0" xr:uid="{EF9AEBD9-06A4-496E-A20E-CB3992C792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</t>
      </text>
    </comment>
    <comment ref="V323" authorId="5696" shapeId="0" xr:uid="{1B8841EC-1A4F-491B-AFB3-59A4521E6E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W323" authorId="5697" shapeId="0" xr:uid="{7D90B668-2E10-43AD-B4B3-7A062687DE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3" authorId="5698" shapeId="0" xr:uid="{A322AC9F-B563-4756-AE80-BF0EE06C701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3" authorId="5699" shapeId="0" xr:uid="{10E73E13-68D3-4231-BCA4-4D83D27232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3" authorId="5700" shapeId="0" xr:uid="{97DB5D5C-5BF6-4370-8FE6-1CDC81F6AF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3" authorId="5701" shapeId="0" xr:uid="{6FAE061C-8228-4706-9B59-46D453BB81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3" authorId="5702" shapeId="0" xr:uid="{FBF8679C-5A94-482D-BB1A-28052440C2A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3" authorId="5703" shapeId="0" xr:uid="{56A6E09E-FA0D-4CF1-88F6-411E9929A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3" authorId="5704" shapeId="0" xr:uid="{AA62B438-3DBD-4E59-A079-ED9B847C86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3" authorId="5705" shapeId="0" xr:uid="{409C6FA8-5990-462B-B495-2AF4DA2EEC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3" authorId="5706" shapeId="0" xr:uid="{78B1CCEA-4D8A-492B-B842-178F7F6833B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3" authorId="5707" shapeId="0" xr:uid="{CA5680F7-70E1-4B7A-87C8-C2F97D1DE6A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3" authorId="5708" shapeId="0" xr:uid="{7AFB0486-2ADE-4602-ACE5-FE0D3FDE2C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3" authorId="5709" shapeId="0" xr:uid="{7446D884-EB11-4F26-8CC2-7B99735E96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3" authorId="5710" shapeId="0" xr:uid="{8DE30A49-F666-41AF-870A-91B0BE7492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3" authorId="5711" shapeId="0" xr:uid="{6D0CB4AA-7542-44B0-867F-3408DE52F6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3" authorId="5712" shapeId="0" xr:uid="{852650EE-CCCC-480B-8690-930D3CC19F9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3" authorId="5713" shapeId="0" xr:uid="{F1FE7D41-D3F8-4FC5-AD5F-19E0B0C140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3" authorId="5714" shapeId="0" xr:uid="{0A226B18-ABD3-4DA9-82AF-43824F72D8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3" authorId="5715" shapeId="0" xr:uid="{BD83A7AF-E175-4CC4-A5CC-5BF2344797B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3" authorId="5716" shapeId="0" xr:uid="{D030B906-D1DD-4894-9909-F6F1DCB1B7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3" authorId="5717" shapeId="0" xr:uid="{2AF4B1F9-F2A5-49AC-8146-2CEE9CD7F5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3" authorId="5718" shapeId="0" xr:uid="{9B54865D-E807-42CD-8200-0721B610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3" authorId="5719" shapeId="0" xr:uid="{13AD609C-4534-49BC-8E54-3772DC6177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3" authorId="5720" shapeId="0" xr:uid="{2E5C1FBD-B8E5-4FBD-9AF5-9F4876A3FDC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3" authorId="5721" shapeId="0" xr:uid="{BDB7D31E-DA44-47A2-B452-1C355D1E84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3" authorId="5722" shapeId="0" xr:uid="{B8FB83D5-200D-4FF0-A8B0-0B56D619030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3" authorId="5723" shapeId="0" xr:uid="{69E4DB2F-6BFF-4552-82C5-86E5A7655A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3" authorId="5724" shapeId="0" xr:uid="{F6227AB7-812A-4F9A-BED2-FAC1B3CCF6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3" authorId="5725" shapeId="0" xr:uid="{C6D67498-C41A-4AEA-9DD5-D58E9E00FE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3" authorId="5726" shapeId="0" xr:uid="{D4600799-B586-4592-A7A9-F1F5E1EC65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3" authorId="5727" shapeId="0" xr:uid="{CC7D8BAA-CC39-4EAD-8CA5-9D9C9B1FD5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3" authorId="5728" shapeId="0" xr:uid="{1539150B-F988-4184-A5D6-7851BCE018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3" authorId="5729" shapeId="0" xr:uid="{F7D99709-E949-4C18-9309-42368D23790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3" authorId="5730" shapeId="0" xr:uid="{690E5EC4-E7D4-4ADA-A0FD-32209A85E9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3" authorId="5731" shapeId="0" xr:uid="{CF24BFC0-3DF5-4B42-BCC6-D9EF8D26CA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3" authorId="5732" shapeId="0" xr:uid="{2DF1BB7C-DC03-4F80-B8A0-C68D7DC580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O323" authorId="5733" shapeId="0" xr:uid="{61BF9392-594D-4CD4-B5E3-B1459AC6A5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3" authorId="5734" shapeId="0" xr:uid="{750AE89C-539D-4114-98E6-F911C20C41E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3" authorId="5735" shapeId="0" xr:uid="{6E5AB712-5715-4FF4-B3D7-F88454A761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3" authorId="5736" shapeId="0" xr:uid="{F3632649-4392-465D-A49D-0C973CEC33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3" authorId="5737" shapeId="0" xr:uid="{A1E7F668-9B62-4695-B3BD-148F3AAA84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3" authorId="5738" shapeId="0" xr:uid="{EDF17F19-26F6-44D2-993E-F37F145EA5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24" authorId="5739" shapeId="0" xr:uid="{F9072073-C3E6-4BEC-AD3B-756B6819D5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V324" authorId="5740" shapeId="0" xr:uid="{645A14BA-0093-4F07-A080-BFBF50D660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W324" authorId="5741" shapeId="0" xr:uid="{970B6F39-649B-498A-B8D9-F02B8B2C1D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4" authorId="5742" shapeId="0" xr:uid="{5225A534-DB9F-4A9D-8A0C-57E03F24D9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4" authorId="5743" shapeId="0" xr:uid="{B3EC9F70-D4B9-4B32-A2EC-8CF1F19BDC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4" authorId="5744" shapeId="0" xr:uid="{4CF334C7-D4C0-456C-ACCA-DD24980168F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4" authorId="5745" shapeId="0" xr:uid="{A9A3CE6C-F12B-4BE1-AD5A-C9952D89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4" authorId="5746" shapeId="0" xr:uid="{989C4000-4F18-4E3B-9009-F8021CBE3B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4" authorId="5747" shapeId="0" xr:uid="{5918BA6C-6EF7-4F23-8006-36E5DC70445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4" authorId="5748" shapeId="0" xr:uid="{C423F928-EEAA-4FDA-B65D-1766C80B90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4" authorId="5749" shapeId="0" xr:uid="{29166656-3F02-499C-ACCD-C29E1E1B20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4" authorId="5750" shapeId="0" xr:uid="{DA61F91C-1146-4FBD-A29D-BB32BE8F5D9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4" authorId="5751" shapeId="0" xr:uid="{9F12706C-84BB-423F-94F3-5167D6E59B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4" authorId="5752" shapeId="0" xr:uid="{1307BAAD-08A2-49BF-86A5-132C01A2146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4" authorId="5753" shapeId="0" xr:uid="{1EB9D53D-AA4F-4596-A57C-D31F5464AE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4" authorId="5754" shapeId="0" xr:uid="{6A45A4F7-4B3D-43F5-BB40-2268B2BA0C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4" authorId="5755" shapeId="0" xr:uid="{55A48823-1DCA-4821-930F-018A72B2C3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4" authorId="5756" shapeId="0" xr:uid="{E816C54D-B608-417A-9953-F4BAB8F6D7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4" authorId="5757" shapeId="0" xr:uid="{603EA3A6-72B2-4951-B23B-8A39BC867F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4" authorId="5758" shapeId="0" xr:uid="{EBA5D5D1-ECB5-4593-B156-AE5D4EC43F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4" authorId="5759" shapeId="0" xr:uid="{148748DC-08A9-44E2-8B44-B06B81D128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4" authorId="5760" shapeId="0" xr:uid="{1210DB0A-4036-4DAA-B130-AC56C08D275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4" authorId="5761" shapeId="0" xr:uid="{6E4A491F-CE84-45BB-A7A8-B9DF6E3964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4" authorId="5762" shapeId="0" xr:uid="{1A609E60-F850-460D-AC39-1A8535AA87B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4" authorId="5763" shapeId="0" xr:uid="{0EE4C2FB-F4C8-4CD7-8CA7-131A1ACC72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4" authorId="5764" shapeId="0" xr:uid="{E5A1FB40-2B87-42F3-AD29-8CBB60BB351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4" authorId="5765" shapeId="0" xr:uid="{7A77F1D7-029F-4D9B-9160-A6CA6EE197A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4" authorId="5766" shapeId="0" xr:uid="{4C8DA586-2759-40F2-A03F-97D1A5D6FB9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4" authorId="5767" shapeId="0" xr:uid="{5B892590-8EAB-4F09-A1B8-614D839335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4" authorId="5768" shapeId="0" xr:uid="{72FDD987-AF25-467F-B9B8-CA2349766E3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4" authorId="5769" shapeId="0" xr:uid="{DF2AE9C3-3F18-42DF-AFE9-9EFC5EA8F1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4" authorId="5770" shapeId="0" xr:uid="{08EB959B-DAC7-4016-A832-F36FF4801A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4" authorId="5771" shapeId="0" xr:uid="{DB69A3F4-B714-4F19-A073-E1FD8E8F46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4" authorId="5772" shapeId="0" xr:uid="{E22C1F0F-85FD-4AC1-9B96-EDA7CAA412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4" authorId="5773" shapeId="0" xr:uid="{C25AF161-93D2-4866-AAE6-75D433B0BCE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4" authorId="5774" shapeId="0" xr:uid="{F5D31C10-6480-4873-BAD8-72FFDD67D07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4" authorId="5775" shapeId="0" xr:uid="{2691CACF-9887-4C76-A0AF-A099C753D8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4" authorId="5776" shapeId="0" xr:uid="{79CD0E53-7709-4DD0-AC03-5F9B0FA982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4" authorId="5777" shapeId="0" xr:uid="{476531F1-E032-4751-BD47-3E043F4D52A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4" authorId="5778" shapeId="0" xr:uid="{3E098CA7-F085-4CBA-9B27-9B83851F14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4" authorId="5779" shapeId="0" xr:uid="{2DA61017-BE67-44EF-99F2-4A67DC03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4" authorId="5780" shapeId="0" xr:uid="{4B11DD18-E614-422E-BED5-DA1FCF25E54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4" authorId="5781" shapeId="0" xr:uid="{A9D88144-D225-4AD9-A875-1BACA27BA77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5" authorId="5782" shapeId="0" xr:uid="{151683B9-8D3D-490F-A416-BC91F0AAF3B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5" authorId="5783" shapeId="0" xr:uid="{AD24CEC1-F9EA-4A63-BC36-E602649BE9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5" authorId="5784" shapeId="0" xr:uid="{23B09246-6B63-45AE-B5CD-12F69BA1741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5" authorId="5785" shapeId="0" xr:uid="{EDC71BBF-8C84-4931-87C1-72D5DFE45E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5" authorId="5786" shapeId="0" xr:uid="{8E44FE7D-1C5C-4470-B20D-2EAC333093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5" authorId="5787" shapeId="0" xr:uid="{B1EF6E43-0B30-4C35-8C5C-148C9CBC1D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5" authorId="5788" shapeId="0" xr:uid="{B7731936-F53B-440E-8694-4B59C8C66A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5" authorId="5789" shapeId="0" xr:uid="{3B48195A-DC77-4E3D-BD9B-6B83E9A689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5" authorId="5790" shapeId="0" xr:uid="{82F61E7C-58A8-4105-8641-11E7495578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5" authorId="5791" shapeId="0" xr:uid="{85A1C76F-89D7-4FFB-9DF1-E1EEE61D83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5" authorId="5792" shapeId="0" xr:uid="{C1194FF3-AFB9-4387-BBD4-95128BB1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5" authorId="5793" shapeId="0" xr:uid="{48BBB9D6-02A1-4A43-861D-557A5041CC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5" authorId="5794" shapeId="0" xr:uid="{226785CF-8A28-4C9D-95FD-DACF6CAD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5" authorId="5795" shapeId="0" xr:uid="{32075BE8-6972-4F99-8CBD-CCADE91C72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5" authorId="5796" shapeId="0" xr:uid="{043DD539-972E-41F1-9705-F742D25C72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5" authorId="5797" shapeId="0" xr:uid="{6931CEF6-EC4C-4170-B937-227EB0F632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5" authorId="5798" shapeId="0" xr:uid="{0C3202A7-EAFD-430C-8EF3-C3FB36C03C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5" authorId="5799" shapeId="0" xr:uid="{82911CB5-082B-4F9A-95D9-94C49701D7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5" authorId="5800" shapeId="0" xr:uid="{FE908702-7288-4828-BB46-5F5F561D0A8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5" authorId="5801" shapeId="0" xr:uid="{588A9789-A55C-4FB0-9EC5-173B556300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5" authorId="5802" shapeId="0" xr:uid="{6A83CD8E-23A1-445B-869F-194471BBA1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5" authorId="5803" shapeId="0" xr:uid="{31D0BCE6-B258-419D-812C-8BA5F46DC5E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5" authorId="5804" shapeId="0" xr:uid="{55BD1E1E-66F6-4AE0-AACC-503CAA4ECD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5" authorId="5805" shapeId="0" xr:uid="{BFDA76A7-59B2-4D6A-8ABC-D894FE16BC3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5" authorId="5806" shapeId="0" xr:uid="{AD7EC6C1-0310-4311-BA4E-A14E2E1E1E6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5" authorId="5807" shapeId="0" xr:uid="{62696E07-AADA-4AAC-9F9A-A82DBAEBCB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5" authorId="5808" shapeId="0" xr:uid="{9C8ABC45-2E21-423C-86EB-8EE06283F2E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5" authorId="5809" shapeId="0" xr:uid="{B16D1CCD-184A-4658-B33D-BCF8C05598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5" authorId="5810" shapeId="0" xr:uid="{C6F268F7-47CB-425B-90AD-B2A65EB8056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5" authorId="5811" shapeId="0" xr:uid="{EE00D7B6-C8E1-4B79-8BBC-94F74208F06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5" authorId="5812" shapeId="0" xr:uid="{863CDD2C-AACD-4762-92EE-185082102F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5" authorId="5813" shapeId="0" xr:uid="{DAB62345-B2E9-4AC8-9262-00E7965488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5" authorId="5814" shapeId="0" xr:uid="{FE2C4821-325B-482F-BFDF-918C711F8A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5" authorId="5815" shapeId="0" xr:uid="{048F3C90-FD31-462B-8CF2-22D928C830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5" authorId="5816" shapeId="0" xr:uid="{A46F428D-1BF3-4CBC-8799-65F8EEDC1D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5" authorId="5817" shapeId="0" xr:uid="{EAC1545F-E11D-41BF-9258-030C2D47AE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5" authorId="5818" shapeId="0" xr:uid="{9D53C978-7F6C-4D67-BE95-FDD9049267B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5" authorId="5819" shapeId="0" xr:uid="{D3E92A9A-8033-415A-8D8C-C427568E3C8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5" authorId="5820" shapeId="0" xr:uid="{9DE17E31-DA49-4B8B-9C32-EE7F0F8F86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5" authorId="5821" shapeId="0" xr:uid="{956C9F21-EA65-4950-B7A5-ACEB13BE269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5" authorId="5822" shapeId="0" xr:uid="{A7108223-70DD-4128-B82A-4709FBAA52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26" authorId="5823" shapeId="0" xr:uid="{C7546DD9-09B5-4123-8AD6-A2895382F5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26" authorId="5824" shapeId="0" xr:uid="{D4DB5EA0-FE3E-4CE3-B5CC-E93C0E8037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W326" authorId="5825" shapeId="0" xr:uid="{44B9523C-DFB0-4479-8DBC-295D75B315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6" authorId="5826" shapeId="0" xr:uid="{EBFEB289-00DC-4BC7-ABD3-008A89EE97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6" authorId="5827" shapeId="0" xr:uid="{1209A608-6E33-4262-9580-1F68A12C73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6" authorId="5828" shapeId="0" xr:uid="{CFB5F479-FCCB-42E2-A245-CEEB557C90F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6" authorId="5829" shapeId="0" xr:uid="{490EEAE4-94DB-4B80-8F8A-D7FF0D5CD5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6" authorId="5830" shapeId="0" xr:uid="{C22D358D-AD6A-4278-A3A4-38EF53C97A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6" authorId="5831" shapeId="0" xr:uid="{D59EF526-9C79-4F1E-9F82-0D5DAAD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6" authorId="5832" shapeId="0" xr:uid="{680217A1-C134-4691-920A-AABC8EE1589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6" authorId="5833" shapeId="0" xr:uid="{F5157108-FE4E-4D1A-A9C7-3D771E085C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6" authorId="5834" shapeId="0" xr:uid="{FF32CE4F-70AE-4639-A8AA-9614DFDE0E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6" authorId="5835" shapeId="0" xr:uid="{D113AF16-27FE-4961-A2C6-ABB282C352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6" authorId="5836" shapeId="0" xr:uid="{893CFC8A-5432-4C38-A073-C3F2EAF6568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6" authorId="5837" shapeId="0" xr:uid="{CD7851AA-E731-47E9-8094-0B3A72386D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6" authorId="5838" shapeId="0" xr:uid="{74EA6B93-69D1-4A36-B7CE-F197A5D2F59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6" authorId="5839" shapeId="0" xr:uid="{E8F6993F-CDC3-4CB4-99EB-DD3FC3F4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6" authorId="5840" shapeId="0" xr:uid="{4063A1BD-8EC5-4CFD-9297-FC425E4594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6" authorId="5841" shapeId="0" xr:uid="{D939C71D-894C-43C5-8EE7-5D31FE28D30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6" authorId="5842" shapeId="0" xr:uid="{AFAB2A49-39B3-48B1-8A05-6F7433E483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6" authorId="5843" shapeId="0" xr:uid="{9C197BA0-EB56-42BE-9EE8-C32B7603CC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6" authorId="5844" shapeId="0" xr:uid="{5DECDA3C-C90F-4483-A9E5-E87071AAE90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6" authorId="5845" shapeId="0" xr:uid="{1D7E85DC-4430-4136-BF0C-5267AFFEB4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6" authorId="5846" shapeId="0" xr:uid="{1198B657-189F-4C08-AE83-90AC0B697B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6" authorId="5847" shapeId="0" xr:uid="{193FA874-E15C-444F-B571-1A3DAAFB269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6" authorId="5848" shapeId="0" xr:uid="{B81B734D-F287-475A-92B5-4A29F4B7E1D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6" authorId="5849" shapeId="0" xr:uid="{470097A5-B7FB-411E-8485-B6476AD374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6" authorId="5850" shapeId="0" xr:uid="{A6188013-F0F2-4D94-92B2-39BDD50E68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6" authorId="5851" shapeId="0" xr:uid="{5C7D08EE-E699-44BA-AD99-82CC65A382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6" authorId="5852" shapeId="0" xr:uid="{FE58ABE3-E1E1-4F68-98E6-B29054075E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6" authorId="5853" shapeId="0" xr:uid="{70764A00-5A18-4568-8706-483A04C1FF6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6" authorId="5854" shapeId="0" xr:uid="{7AC32427-0A30-46CE-B1A1-C132F9F20D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6" authorId="5855" shapeId="0" xr:uid="{E88CD142-791C-45F4-862D-9CCC16AF94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6" authorId="5856" shapeId="0" xr:uid="{A4644A5E-E7F2-459A-B43B-3E2B14437C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6" authorId="5857" shapeId="0" xr:uid="{8DD7D9EC-1915-4B47-8B02-E19DBD0BB9F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6" authorId="5858" shapeId="0" xr:uid="{F53EF083-6E06-4212-9FA6-DE47C50E0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6" authorId="5859" shapeId="0" xr:uid="{EE8303C1-3AED-4273-A925-D359F012F63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6" authorId="5860" shapeId="0" xr:uid="{F73231B2-D406-48C6-B595-F951D2244AA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6" authorId="5861" shapeId="0" xr:uid="{36A9238A-4CAD-4A3E-AA92-24E9FD37A3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6" authorId="5862" shapeId="0" xr:uid="{56B7770B-CB44-4E6F-A734-BE13B76441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6" authorId="5863" shapeId="0" xr:uid="{264A4906-350E-4E7F-B920-E429240E8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6" authorId="5864" shapeId="0" xr:uid="{EB7E9518-2679-46E6-827C-39600E2280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6" authorId="5865" shapeId="0" xr:uid="{48F15734-F7F3-4CAA-BAC6-42A3824CCD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7" authorId="5866" shapeId="0" xr:uid="{02009F74-A387-49CC-B414-B91F47DE43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7" authorId="5867" shapeId="0" xr:uid="{EF658464-5CF0-4AAC-B59E-36DAD52CF6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7" authorId="5868" shapeId="0" xr:uid="{C2D282EA-C72D-45E1-8451-AE0BB0F63D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7" authorId="5869" shapeId="0" xr:uid="{0FF37AC9-AC81-4CD7-A042-3CA1CC52E60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7" authorId="5870" shapeId="0" xr:uid="{E7DC3722-9EF9-4AD6-8023-DE4554142E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7" authorId="5871" shapeId="0" xr:uid="{21877B6C-3AD4-42F4-BBFB-F66740812DB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7" authorId="5872" shapeId="0" xr:uid="{7DDB67A0-538F-47E8-BADA-8F7CC3843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7" authorId="5873" shapeId="0" xr:uid="{9384A270-44BC-4FF8-834A-D4BB10EB8AD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7" authorId="5874" shapeId="0" xr:uid="{E84FF78A-C69B-440A-9F53-1E740EB6D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7" authorId="5875" shapeId="0" xr:uid="{CFE8707C-3993-42D9-9098-BDE69799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7" authorId="5876" shapeId="0" xr:uid="{F5E44EB5-7442-4F75-B8DD-AA385F5B02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7" authorId="5877" shapeId="0" xr:uid="{8C984C08-590E-4F99-A7FF-8D7D136336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7" authorId="5878" shapeId="0" xr:uid="{FC9B48A9-A0EF-4C06-8905-B056738BBAD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7" authorId="5879" shapeId="0" xr:uid="{EF2E9444-CE56-47FA-B657-EBDD0240CC3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7" authorId="5880" shapeId="0" xr:uid="{C7DCA92B-03ED-4A3D-80B7-DF9E5851B2C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7" authorId="5881" shapeId="0" xr:uid="{5D54CF30-103B-4253-A047-9E1E6825D8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7" authorId="5882" shapeId="0" xr:uid="{100C50A2-D8D7-4240-9DBE-D743FC50845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7" authorId="5883" shapeId="0" xr:uid="{926AA437-80E9-4304-951B-E315AE7937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7" authorId="5884" shapeId="0" xr:uid="{D92FB227-3C9B-4BB9-876E-5A2AC754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7" authorId="5885" shapeId="0" xr:uid="{461D6491-9A4B-4A68-8AF1-434EEC1B22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7" authorId="5886" shapeId="0" xr:uid="{5964C4E9-80D5-4CAB-AD91-A01FF201A9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7" authorId="5887" shapeId="0" xr:uid="{C80C52F1-19A7-4E24-BC34-E943E6EFC9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7" authorId="5888" shapeId="0" xr:uid="{4ADA8561-CB17-4CAF-8ED8-C96D55A368B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7" authorId="5889" shapeId="0" xr:uid="{B533323F-F306-4AE3-BFC9-5D8343CD58B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7" authorId="5890" shapeId="0" xr:uid="{520977AA-D324-4D55-85DD-CBC30D9E02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7" authorId="5891" shapeId="0" xr:uid="{4F357F13-186C-49C3-B5EC-436DDC8848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7" authorId="5892" shapeId="0" xr:uid="{76E8B330-DC6A-46A8-B572-3FCD2829F9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7" authorId="5893" shapeId="0" xr:uid="{BA3C8EE5-7D86-4088-8896-9D601A553B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7" authorId="5894" shapeId="0" xr:uid="{AF8C9EAB-B35E-4FAB-8F07-B5ABD78BA9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7" authorId="5895" shapeId="0" xr:uid="{8F54B733-D562-417F-8EF2-3E4E4BB569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7" authorId="5896" shapeId="0" xr:uid="{B753E7A4-CCC3-4261-809A-C346448074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7" authorId="5897" shapeId="0" xr:uid="{57718B83-E8C7-4318-B413-8B8B8D9F826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7" authorId="5898" shapeId="0" xr:uid="{B1769C04-111A-4DBA-8D98-2A1652FCE74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7" authorId="5899" shapeId="0" xr:uid="{E390EEB1-666A-4C2F-90C9-84DEA6194A1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7" authorId="5900" shapeId="0" xr:uid="{629A7E8C-4045-4156-990B-7AEE6CD72E0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7" authorId="5901" shapeId="0" xr:uid="{878914A4-F138-498F-912B-5290E71A1C0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8" authorId="5902" shapeId="0" xr:uid="{89324F25-1DCE-49EF-ABED-CA2C3E4DA60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8" authorId="5903" shapeId="0" xr:uid="{37FD269D-DCD8-42E6-8382-10B7890CC1E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8" authorId="5904" shapeId="0" xr:uid="{516E3579-CA14-4AF7-96FE-B91D674874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8" authorId="5905" shapeId="0" xr:uid="{8DBF6F60-8F5A-426C-90AC-7791444693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8" authorId="5906" shapeId="0" xr:uid="{0996690E-BC69-46A7-A199-D2B7F98DD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8" authorId="5907" shapeId="0" xr:uid="{2FECB9A8-0FA6-4749-9363-02CD51948C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8" authorId="5908" shapeId="0" xr:uid="{045F57D4-E7EA-4669-B848-A8FCEE7D759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8" authorId="5909" shapeId="0" xr:uid="{B1BCF05C-5239-4A29-9A2A-82D8C1E964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8" authorId="5910" shapeId="0" xr:uid="{AEFF2BC4-195F-4195-84EB-1D7B735E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8" authorId="5911" shapeId="0" xr:uid="{DD5163FA-3CA6-4F0B-9D56-A047798C13C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G328" authorId="5912" shapeId="0" xr:uid="{F2FE3F9C-A539-47CA-ADD9-081C0FBA3F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328" authorId="5913" shapeId="0" xr:uid="{B9FAFA22-E904-43F9-9695-32C72BFE33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8" authorId="5914" shapeId="0" xr:uid="{D54C9DB8-3D80-43E1-ACC2-D0EF19560E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8" authorId="5915" shapeId="0" xr:uid="{A85946FD-039B-43D8-BC4D-656E9CE79EE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8" authorId="5916" shapeId="0" xr:uid="{D635ACE6-DB8A-4E93-9562-1788764A817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8" authorId="5917" shapeId="0" xr:uid="{6D112F3E-D495-4201-B202-952223190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8" authorId="5918" shapeId="0" xr:uid="{BFEEC916-F2A3-4624-BBA2-7BAD8E8B4B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8" authorId="5919" shapeId="0" xr:uid="{E26CF187-AFE6-4600-BCE4-D79951BCFA7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8" authorId="5920" shapeId="0" xr:uid="{3EF810C3-768C-4794-893E-7A09E15BA3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8" authorId="5921" shapeId="0" xr:uid="{7B97E22E-EDAE-4894-850C-5FF0E22CDE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8" authorId="5922" shapeId="0" xr:uid="{107AE45E-1E0A-4EF6-A49F-7139A71B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8" authorId="5923" shapeId="0" xr:uid="{50AD763B-D597-4E13-892B-7807CD97CD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8" authorId="5924" shapeId="0" xr:uid="{EC742D31-7D15-475E-9CBC-BB82BBE3F4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8" authorId="5925" shapeId="0" xr:uid="{DBCB8C02-7FCB-4128-AC22-9F8E01A858B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8" authorId="5926" shapeId="0" xr:uid="{6D5184DC-16F1-4830-A010-3D705D8CE3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8" authorId="5927" shapeId="0" xr:uid="{4F6CB9A2-05B7-4123-AAA6-64BC50E939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8" authorId="5928" shapeId="0" xr:uid="{54491237-8028-4406-A180-447A1187214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8" authorId="5929" shapeId="0" xr:uid="{EF9D8A7A-50D6-4569-888C-42C8A385AD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8" authorId="5930" shapeId="0" xr:uid="{369464B2-89DA-4A93-A4D9-557B5B4A54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8" authorId="5931" shapeId="0" xr:uid="{2630FAC9-5BA9-489B-BB2F-B00034E8BE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8" authorId="5932" shapeId="0" xr:uid="{160CBEA5-618A-4C71-93AC-8A436B935E0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8" authorId="5933" shapeId="0" xr:uid="{DFA5A006-3140-4ED3-B7BD-8BFC775A91F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8" authorId="5934" shapeId="0" xr:uid="{29FE0CC0-9290-4E20-92DE-6A0E73CAE6E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8" authorId="5935" shapeId="0" xr:uid="{9642FC48-1D73-429A-9947-FA0F91329F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8" authorId="5936" shapeId="0" xr:uid="{E61CB7D9-5CB0-4327-9438-98217518D0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8" authorId="5937" shapeId="0" xr:uid="{27524725-E7E9-40DE-97B7-0AB62995C2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8" authorId="5938" shapeId="0" xr:uid="{676191AD-2B49-451C-B366-A237CE299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8" authorId="5939" shapeId="0" xr:uid="{E98AA30E-6167-435D-A19F-C602F610E0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8" authorId="5940" shapeId="0" xr:uid="{A1D917ED-18BE-4415-8D2C-A0562921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8" authorId="5941" shapeId="0" xr:uid="{07406BB0-F226-464C-878A-EDAE5D7AB1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8" authorId="5942" shapeId="0" xr:uid="{01EB9CCF-8404-49BD-B02F-49C0F49B38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8" authorId="5943" shapeId="0" xr:uid="{4B0EF46E-6CC6-4C4F-9241-8D16769E13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9" authorId="5944" shapeId="0" xr:uid="{1A008CC0-DE47-4F88-A30F-52A6AA0AC6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9" authorId="5945" shapeId="0" xr:uid="{51845073-1BDA-46E5-801C-4CCC3551D9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9" authorId="5946" shapeId="0" xr:uid="{99E4C248-0BAB-43EF-ADE4-FC7E902220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9" authorId="5947" shapeId="0" xr:uid="{DBD120A1-B744-4F6D-9ADA-BF0D322C2F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9" authorId="5948" shapeId="0" xr:uid="{01CB547A-C9D3-48A1-882B-665A2D698A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9" authorId="5949" shapeId="0" xr:uid="{C3B12A4C-6DD1-47C0-BF1B-DBF8C5BFC4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9" authorId="5950" shapeId="0" xr:uid="{CE79870A-D4DB-4AEC-82DC-0E4715FB00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9" authorId="5951" shapeId="0" xr:uid="{09ECCC0A-5BED-4899-B700-0E19C6DF70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9" authorId="5952" shapeId="0" xr:uid="{B0D4E26F-7728-4BA8-BFBD-7F377EBE8D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9" authorId="5953" shapeId="0" xr:uid="{6C543AD5-90A6-4D18-97D9-F218BCEC7D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9" authorId="5954" shapeId="0" xr:uid="{5A7F3E07-0427-4709-A0A8-35181114ED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9" authorId="5955" shapeId="0" xr:uid="{6060A4C6-CDC5-478D-A12A-3B16D79309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9" authorId="5956" shapeId="0" xr:uid="{4D17D2EF-1310-4F6A-90A2-BA66097034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9" authorId="5957" shapeId="0" xr:uid="{AF5269AF-5BCE-4CE5-BD30-F9627DA1F1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9" authorId="5958" shapeId="0" xr:uid="{41EB029E-CC1C-4A95-BE9A-5E562D0A4B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9" authorId="5959" shapeId="0" xr:uid="{42A7A84B-AC4F-4FE2-B32D-C08D9B1A2B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9" authorId="5960" shapeId="0" xr:uid="{9BE9834B-0304-4B11-97F4-85BC752E1EC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9" authorId="5961" shapeId="0" xr:uid="{6D0C5CAD-79DB-4EAD-B03B-07FEBFF385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9" authorId="5962" shapeId="0" xr:uid="{F048EE7B-4032-4864-9EA4-FDBEED6E94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9" authorId="5963" shapeId="0" xr:uid="{50ED43AB-733A-4EA4-A96D-A39B9EABBA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9" authorId="5964" shapeId="0" xr:uid="{8A873F35-ED3A-47BE-BCC7-B74FF3367E5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9" authorId="5965" shapeId="0" xr:uid="{4A46FE15-1128-4FB6-AD35-20A76A4241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9" authorId="5966" shapeId="0" xr:uid="{C44C0CC5-B59B-45ED-873D-7C4B13CF5F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9" authorId="5967" shapeId="0" xr:uid="{DE21505F-C000-446C-908D-5354B414E8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9" authorId="5968" shapeId="0" xr:uid="{18D2CBDC-5962-4996-98D9-092782CFF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9" authorId="5969" shapeId="0" xr:uid="{60CD54F3-F36C-494E-8EC5-B73D3B75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9" authorId="5970" shapeId="0" xr:uid="{40CB4999-AA90-40D3-A7D2-74EB2BD5D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9" authorId="5971" shapeId="0" xr:uid="{7EB980C1-4AF0-4E02-A8DF-A01A5353811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9" authorId="5972" shapeId="0" xr:uid="{8CD6184C-D9A4-4A4C-8D8A-2C9FBC982D1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9" authorId="5973" shapeId="0" xr:uid="{289CEF1A-41FC-4BBE-97B3-BCF81110A1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9" authorId="5974" shapeId="0" xr:uid="{68969976-6B02-49A0-A69D-CE986AAC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9" authorId="5975" shapeId="0" xr:uid="{37D5A841-2126-489B-8DCE-C1BD246603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9" authorId="5976" shapeId="0" xr:uid="{B50AD445-C7A7-4969-B639-B77F0A38F6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9" authorId="5977" shapeId="0" xr:uid="{6BC139D5-1420-4EFB-B2C5-C7732EA2BF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9" authorId="5978" shapeId="0" xr:uid="{09FA314E-59CD-46AD-89DD-9394F7BB32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9" authorId="5979" shapeId="0" xr:uid="{F1766E53-58DB-4348-BF81-72A55EF9F8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9" authorId="5980" shapeId="0" xr:uid="{40DD97E0-2E1A-4EB7-BB4C-EEF5DB5A60F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9" authorId="5981" shapeId="0" xr:uid="{30B9E948-6145-403B-8BAD-A02E27F9C8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9" authorId="5982" shapeId="0" xr:uid="{A046BE2F-FE21-4A9E-8D09-DF8C08714B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9" authorId="5983" shapeId="0" xr:uid="{9F403FB2-A2E6-4D5B-8DBB-0C24E3B3C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9" authorId="5984" shapeId="0" xr:uid="{DD0B8680-5FB2-45F9-8B47-C78267592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0" authorId="5985" shapeId="0" xr:uid="{2AAC7F28-1887-40E8-83D7-F4826A35E0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0" authorId="5986" shapeId="0" xr:uid="{653EC136-8B7A-469D-B726-9495961AD7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U330" authorId="5987" shapeId="0" xr:uid="{CE5570A3-C6D7-4EED-B24F-37E42260BAD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30" authorId="5988" shapeId="0" xr:uid="{06736FF8-877D-4B27-9D7D-6EBD543C8D6A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AY330" authorId="5989" shapeId="0" xr:uid="{1B11B75F-934D-47DE-848B-8EABF530CD06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S331" authorId="5990" shapeId="0" xr:uid="{3E0172DD-61C6-4E3A-9088-5122CCC9F7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1" authorId="5991" shapeId="0" xr:uid="{CA144A9F-F5DF-43C0-AFBF-A73F5B44FD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U331" authorId="5992" shapeId="0" xr:uid="{F544A2F7-EA6B-4F28-9B37-C93E159F83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31" authorId="5993" shapeId="0" xr:uid="{5CBF229C-5C4D-47B7-B803-746E5CF03A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AY331" authorId="5994" shapeId="0" xr:uid="{18CFE909-66F1-4625-8CCF-059947C74CBE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AW333" authorId="5995" shapeId="0" xr:uid="{5A5F9BE7-E719-411F-95F5-DB0B1844E0B2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AY333" authorId="5996" shapeId="0" xr:uid="{6ED39A80-7FB0-43FB-A97C-E85048AB1F20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BC333" authorId="5997" shapeId="0" xr:uid="{870DD19F-1427-424F-8631-03F97ED786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AW334" authorId="5998" shapeId="0" xr:uid="{9C4A57FF-822F-4A5B-8B7E-44F1E12DD163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AY334" authorId="5999" shapeId="0" xr:uid="{DEB9A85B-7881-421D-BD71-45ECF10A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BC334" authorId="6000" shapeId="0" xr:uid="{1BA11079-05FC-4FFB-8419-D6C6A9AC2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S335" authorId="6001" shapeId="0" xr:uid="{1CAF1E68-2F28-4D1A-858E-706737A0C0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5" authorId="6002" shapeId="0" xr:uid="{B67BC097-243D-4C9D-A5F9-8ABF9089F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W335" authorId="6003" shapeId="0" xr:uid="{B22140D6-7817-4060-8C9C-90CF6423557F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AY335" authorId="6004" shapeId="0" xr:uid="{E2E925B3-5723-434A-91E1-64B3AC36CD91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BC335" authorId="6005" shapeId="0" xr:uid="{283A6C53-8D54-4384-939A-EF299F4FB08B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BO335" authorId="6006" shapeId="0" xr:uid="{9D056F48-7A6F-4C19-8EFC-BDFB5D3942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37" authorId="6007" shapeId="0" xr:uid="{4A59A2EC-4CF4-4ACE-BB7A-94DAC51653D0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BA337" authorId="6008" shapeId="0" xr:uid="{BFB7C3E0-EC08-4D17-8E11-B7BDDA64960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BC337" authorId="6009" shapeId="0" xr:uid="{7A21B6CF-6637-4334-862D-D710E685F403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W338" authorId="6010" shapeId="0" xr:uid="{B4281789-D84F-49C2-93E5-F3E8B9CC7D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38" authorId="6011" shapeId="0" xr:uid="{B8C24135-25C9-4CA7-B8D5-20FF7CB0795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39" authorId="6012" shapeId="0" xr:uid="{72B3024F-21C2-43EC-BBA3-8074E98A610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39" authorId="6013" shapeId="0" xr:uid="{CF5714F5-332A-4929-99C3-CF287FACDC3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0" authorId="6014" shapeId="0" xr:uid="{7494DD17-7608-4F86-9755-3BB80333BB6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0" authorId="6015" shapeId="0" xr:uid="{FE5F75AB-063C-4B25-8886-EBCFEC6432A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1" authorId="6016" shapeId="0" xr:uid="{78CCE410-5D3D-4EB7-9AA6-78852EE0A52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1" authorId="6017" shapeId="0" xr:uid="{C48C9726-1702-426D-AF3A-9D0C5B5A29F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2" authorId="6018" shapeId="0" xr:uid="{E330E87D-D8EE-4E47-8E56-C71314D72BB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2" authorId="6019" shapeId="0" xr:uid="{AC3D90F6-8597-4D9C-8FAF-0BE27A2FFA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3" authorId="6020" shapeId="0" xr:uid="{9A0D4DCF-05E4-499F-AB72-B3E5968DE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3" authorId="6021" shapeId="0" xr:uid="{2249D2BA-61B6-440B-A65A-3AC0B23F1AB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4" authorId="6022" shapeId="0" xr:uid="{18DDF235-DC2E-4F6A-96A6-DD245FF129C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4" authorId="6023" shapeId="0" xr:uid="{B117EFEC-8BA5-4D3B-90D8-3A41DBB3910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BK344" authorId="6024" shapeId="0" xr:uid="{7A61B03E-548D-4BDB-928F-60A2FAF6ED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L344" authorId="6025" shapeId="0" xr:uid="{5C09D7C8-BBBB-4C51-BB28-B205180AAF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M344" authorId="6026" shapeId="0" xr:uid="{D45D151F-28CA-468F-9530-FF93208F1D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N344" authorId="6027" shapeId="0" xr:uid="{33568E7A-21E8-45BD-9655-B048B53F76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P344" authorId="6028" shapeId="0" xr:uid="{F6BA011E-FBFB-4909-A43B-804DE7FFC6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R344" authorId="6029" shapeId="0" xr:uid="{4BFB66E3-D2AF-4506-ACB0-A39FF84ED0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W346" authorId="6030" shapeId="0" xr:uid="{5BE0F5D0-A8CC-4ADB-8D74-321EC1CA6E2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6" authorId="6031" shapeId="0" xr:uid="{3AE4145F-7BFD-4CC0-84F0-81B80E309E0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6" authorId="6032" shapeId="0" xr:uid="{B87D70F9-BFA2-40D4-9227-BCA43959AB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6" authorId="6033" shapeId="0" xr:uid="{3BD0925B-8023-4F55-990C-93B6FABE70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6" authorId="6034" shapeId="0" xr:uid="{2E7CE695-4836-4D20-A4CA-FFB09417420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6" authorId="6035" shapeId="0" xr:uid="{F5B9D0BC-901C-4914-AF45-9210A9ED41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6" authorId="6036" shapeId="0" xr:uid="{E885F1C3-C022-4995-BFCE-632DEB601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6" authorId="6037" shapeId="0" xr:uid="{D78CBF54-5ACC-49C8-9D84-1769F73021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6" authorId="6038" shapeId="0" xr:uid="{90AE9824-07D8-4602-BFA8-962EFEFAC632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6" authorId="6039" shapeId="0" xr:uid="{B7920D38-ABB9-4A21-909C-4BE9AE4E690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6" authorId="6040" shapeId="0" xr:uid="{B934182F-4F21-4DB6-B891-F0A8E999F2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6" authorId="6041" shapeId="0" xr:uid="{EF647802-EC6D-41AA-9540-24B09668B2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6" authorId="6042" shapeId="0" xr:uid="{A8A973EA-E3FE-409B-9193-51CC74F9C9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6" authorId="6043" shapeId="0" xr:uid="{DF83E473-E420-4958-8920-92C9109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6" authorId="6044" shapeId="0" xr:uid="{846BD8E3-4FC1-4CF2-9942-FDF82137F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6" authorId="6045" shapeId="0" xr:uid="{19624F33-0741-4519-8CFD-D4E51C79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7" authorId="6046" shapeId="0" xr:uid="{379D16CC-2CB1-4D42-B003-76A16F48519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7" authorId="6047" shapeId="0" xr:uid="{17AA0038-C8EE-4460-96EA-AFE8AACA9A4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7" authorId="6048" shapeId="0" xr:uid="{04CF51E8-1B74-4AB6-880D-6AE2B89FE3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7" authorId="6049" shapeId="0" xr:uid="{1884A18B-1097-4347-A34C-2A4027109A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7" authorId="6050" shapeId="0" xr:uid="{B7FBF92C-F34B-42A4-AD6D-A0B5BA17AD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7" authorId="6051" shapeId="0" xr:uid="{91C03CFB-B325-4CFC-8500-B482674B641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7" authorId="6052" shapeId="0" xr:uid="{47C732E6-28CA-4F41-8AED-F4DF20F5B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7" authorId="6053" shapeId="0" xr:uid="{BF1C43C3-3430-4E37-896B-A7CD5B9484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7" authorId="6054" shapeId="0" xr:uid="{30F15980-B691-4B74-9D9F-45B78AD66B4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7" authorId="6055" shapeId="0" xr:uid="{A35496B2-8FF0-4330-BCBB-90BF8DAE633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7" authorId="6056" shapeId="0" xr:uid="{FF0BB3AE-15FF-4C83-91EC-86288BA303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7" authorId="6057" shapeId="0" xr:uid="{94B5206A-2565-42DA-AE59-36ED0930D6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7" authorId="6058" shapeId="0" xr:uid="{B7CAE51F-6D4E-4289-B344-6972AF5AEE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7" authorId="6059" shapeId="0" xr:uid="{CEA44130-ECED-4C8A-B080-D486CC186A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7" authorId="6060" shapeId="0" xr:uid="{AB906ED4-0F3F-450D-8740-791DB52F3E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7" authorId="6061" shapeId="0" xr:uid="{02FAA5C7-1AAD-42C8-B646-EECC5AE3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8" authorId="6062" shapeId="0" xr:uid="{5E329FAD-5293-4E95-A110-ED76C6B2C21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8" authorId="6063" shapeId="0" xr:uid="{71E26BA9-8AE6-4915-812D-F0768491A80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8" authorId="6064" shapeId="0" xr:uid="{B7C92045-9294-42A8-996B-CA5BD6E847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8" authorId="6065" shapeId="0" xr:uid="{13EE0AA0-EE3A-44B6-98A7-EC816D38D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8" authorId="6066" shapeId="0" xr:uid="{A1C9320E-82BB-4D05-AD54-A75415FA774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8" authorId="6067" shapeId="0" xr:uid="{DC414FD1-ED87-421F-9319-F57EEF604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8" authorId="6068" shapeId="0" xr:uid="{8C51A445-C237-4550-A526-57C03DEF0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8" authorId="6069" shapeId="0" xr:uid="{247C2AB0-523D-4A99-B83B-D6ABF426EC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8" authorId="6070" shapeId="0" xr:uid="{99667648-445F-4A73-BE62-6CAE0882B2C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8" authorId="6071" shapeId="0" xr:uid="{F8A0CDBA-7AF3-4849-83BC-704B5419DA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8" authorId="6072" shapeId="0" xr:uid="{14C425C3-5FC5-4B9C-8381-FD96135E88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8" authorId="6073" shapeId="0" xr:uid="{64F75A3C-3378-4591-B0E2-746B5BC6DA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8" authorId="6074" shapeId="0" xr:uid="{7F746061-0B1D-4139-925B-4E869D464D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8" authorId="6075" shapeId="0" xr:uid="{71910D81-872A-4AB6-8A83-DC24DB4B62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8" authorId="6076" shapeId="0" xr:uid="{52F176AB-6ACA-487C-A287-F55AC9CBB4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8" authorId="6077" shapeId="0" xr:uid="{FA02C3B1-5190-413A-A42D-E73ACEE81E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9" authorId="6078" shapeId="0" xr:uid="{5F687EDD-5B5B-4360-99B5-CD6E84C1133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9" authorId="6079" shapeId="0" xr:uid="{A7352C40-3633-4895-8B86-AEACC5A8C1C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9" authorId="6080" shapeId="0" xr:uid="{23557109-30D8-4528-9720-58D05019D8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9" authorId="6081" shapeId="0" xr:uid="{62D4BCCC-339F-490E-9431-A79F171314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9" authorId="6082" shapeId="0" xr:uid="{22032DB2-1847-4D9F-ABEB-460BEF8F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9" authorId="6083" shapeId="0" xr:uid="{901EFA1C-A559-4B21-B6D3-8E9C98B0598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9" authorId="6084" shapeId="0" xr:uid="{52CAF47E-F78F-4AF1-8897-3CA0A4219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9" authorId="6085" shapeId="0" xr:uid="{9B2DAE41-0DB9-4D05-9F15-C96BF05217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9" authorId="6086" shapeId="0" xr:uid="{BAA6BDEA-430B-4309-A983-7A9F685C302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9" authorId="6087" shapeId="0" xr:uid="{ACCEC4CC-D47A-43DB-ABD7-5603427D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9" authorId="6088" shapeId="0" xr:uid="{2BA6F30F-9F2A-4B91-AA99-0BADEDFA75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9" authorId="6089" shapeId="0" xr:uid="{E1B6F0DB-4225-4887-A149-416F1DCE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9" authorId="6090" shapeId="0" xr:uid="{507C7101-938B-485B-A51F-B3A7FFCE72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9" authorId="6091" shapeId="0" xr:uid="{D4D76390-88EB-48CA-A34A-286508878F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9" authorId="6092" shapeId="0" xr:uid="{B9340F57-BCC3-45B9-9F2D-55F8E7E78E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9" authorId="6093" shapeId="0" xr:uid="{ADF92EBD-D58E-43A3-82F4-195261DF1B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0" authorId="6094" shapeId="0" xr:uid="{8A4CE5C4-DDCC-4444-A949-4B80DC5D6A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0" authorId="6095" shapeId="0" xr:uid="{37320BCF-8240-4F23-95B3-3578C0A8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0" authorId="6096" shapeId="0" xr:uid="{E7D97889-677F-4F30-BEA4-CAC3733A7A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0" authorId="6097" shapeId="0" xr:uid="{EE0BA989-5EDA-4CB9-AF87-2B5DB7DF42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0" authorId="6098" shapeId="0" xr:uid="{C32D2002-91A6-4420-BB35-E5B8DFA67B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0" authorId="6099" shapeId="0" xr:uid="{7B343F45-049B-4EC7-A5DA-E92DC0C357C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0" authorId="6100" shapeId="0" xr:uid="{E0586E23-BF54-4824-913F-7246F9A076B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0" authorId="6101" shapeId="0" xr:uid="{1DFDF25A-82CE-4EDD-9D48-3BCB0407047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0" authorId="6102" shapeId="0" xr:uid="{648F128B-5983-4A1F-97ED-62A458B5D0F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0" authorId="6103" shapeId="0" xr:uid="{3E4E108D-3FEB-45AB-8892-C61C25DE11F5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J350" authorId="6104" shapeId="0" xr:uid="{16DCB1D0-F368-4177-8111-CA3EB87E9B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O350" authorId="6105" shapeId="0" xr:uid="{F39517B4-ED04-4F7A-A133-9D67816D70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0" authorId="6106" shapeId="0" xr:uid="{FA6FBB38-91F5-43BB-B409-4701E5CF38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0" authorId="6107" shapeId="0" xr:uid="{A90A137F-143F-40C4-B965-A48833980B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0" authorId="6108" shapeId="0" xr:uid="{DBA2E7F3-394B-47CB-8E79-A7E077BAD2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0" authorId="6109" shapeId="0" xr:uid="{E2B95D04-8FC3-43D7-AF06-6AD7BD661CE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0" authorId="6110" shapeId="0" xr:uid="{6DFFC640-CC58-4A7B-AEAE-373761861E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1" authorId="6111" shapeId="0" xr:uid="{4C2FE7CC-68A1-428B-997A-FFFFEA7EF78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1" authorId="6112" shapeId="0" xr:uid="{63E918E4-399F-41D2-B0E4-06E1E26F264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1" authorId="6113" shapeId="0" xr:uid="{E85263C2-6D91-4EF0-8AB7-8D2D2B1815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1" authorId="6114" shapeId="0" xr:uid="{C614E182-5254-4FB8-BBE8-2B583261E2C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1" authorId="6115" shapeId="0" xr:uid="{5490602D-CB71-404F-836B-3CC6F41EFA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1" authorId="6116" shapeId="0" xr:uid="{77DE0565-8199-4175-A76A-0AA3B99E1FE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1" authorId="6117" shapeId="0" xr:uid="{03379726-9113-4447-BF55-C7FE0B5630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1" authorId="6118" shapeId="0" xr:uid="{E7E318ED-47DE-41C7-A16E-8E1B01CBD8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1" authorId="6119" shapeId="0" xr:uid="{BE36CF01-9C10-4ED2-B3D7-52AC952E48A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1" authorId="6120" shapeId="0" xr:uid="{4B41DB3D-04BC-4B89-B3E4-F91FBD875AB4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I351" authorId="6121" shapeId="0" xr:uid="{97B61639-182A-4F10-AD2A-57D210C919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O351" authorId="6122" shapeId="0" xr:uid="{E821A9FE-AB54-4DA7-B30F-0E9B33A5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1" authorId="6123" shapeId="0" xr:uid="{B04C5B69-2E27-4143-88BD-0A13204C8C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1" authorId="6124" shapeId="0" xr:uid="{CB1994A7-E4C9-4108-9DA1-A3A76C7846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1" authorId="6125" shapeId="0" xr:uid="{C4262751-618B-4E4C-871B-F692D15F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1" authorId="6126" shapeId="0" xr:uid="{73499401-055C-44EE-870B-AC384FE57C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1" authorId="6127" shapeId="0" xr:uid="{A588FDC2-7CAF-449D-9E04-8B9C4DF575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2" authorId="6128" shapeId="0" xr:uid="{1281962E-8D30-491D-8549-1382577A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2" authorId="6129" shapeId="0" xr:uid="{79F4F38D-56A4-453A-A757-7AD711D6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2" authorId="6130" shapeId="0" xr:uid="{75E97BAA-6F79-4600-A3C6-EB2BEE9DE4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2" authorId="6131" shapeId="0" xr:uid="{694DB4DD-CB61-4B16-BB97-F9538D393C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2" authorId="6132" shapeId="0" xr:uid="{0E200774-F0AC-4607-9754-C54E26E3F5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2" authorId="6133" shapeId="0" xr:uid="{009E2EE4-E2A2-4C4D-A21B-D4606FFF6E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2" authorId="6134" shapeId="0" xr:uid="{81801941-039B-4EA2-8A3E-B8FF1A5437E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2" authorId="6135" shapeId="0" xr:uid="{595674EA-C112-4F90-B5DC-C178D713A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2" authorId="6136" shapeId="0" xr:uid="{3C82C625-B651-4501-A1EC-8F6B14C7AEE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2" authorId="6137" shapeId="0" xr:uid="{DCE603C5-1851-490B-AAAF-119A62E34D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I352" authorId="6138" shapeId="0" xr:uid="{3873DC50-3D08-4CA8-B631-9503BC2342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O352" authorId="6139" shapeId="0" xr:uid="{CC87E5AA-F23A-452B-8B8A-7A3562DCF1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2" authorId="6140" shapeId="0" xr:uid="{00DE6531-E0C1-4838-B94B-059DDCBEE6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2" authorId="6141" shapeId="0" xr:uid="{13C37E1A-79FE-49CF-A1B0-B72101C218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2" authorId="6142" shapeId="0" xr:uid="{B7ED017E-DAC8-4ADB-9766-D1A13DE6614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2" authorId="6143" shapeId="0" xr:uid="{118188F2-1BB3-45B5-8FD3-A5EF33A234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2" authorId="6144" shapeId="0" xr:uid="{24D0543F-4263-44D5-B555-C2EA7453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3" authorId="6145" shapeId="0" xr:uid="{06EBA641-A76D-44F8-B576-D3E4A52E990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3" authorId="6146" shapeId="0" xr:uid="{82BD54BC-00A3-4484-9400-AA3B95DC4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3" authorId="6147" shapeId="0" xr:uid="{DDECFF57-8787-40D7-B339-4FDE2471C9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3" authorId="6148" shapeId="0" xr:uid="{91AC10AF-4E20-4067-82F1-25C63A22019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3" authorId="6149" shapeId="0" xr:uid="{352C20F4-ADCC-4B66-BEA1-D7FEB238B5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3" authorId="6150" shapeId="0" xr:uid="{0AC6B31D-9460-48A5-8A74-3D028BB92FF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AZ353" authorId="6151" shapeId="0" xr:uid="{6BC3C94F-1832-4FAE-BE0F-228D0960F4C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A353" authorId="6152" shapeId="0" xr:uid="{41F8EC18-F01F-4708-92F6-F584EC54CB8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B353" authorId="6153" shapeId="0" xr:uid="{E66155CC-FF43-495F-B1D2-451BDFEF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W354" authorId="6154" shapeId="0" xr:uid="{08645EB7-2DD4-4FE5-8978-240366EB007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4" authorId="6155" shapeId="0" xr:uid="{95D9BFF0-1776-4172-B47A-403E2BBF4F2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4" authorId="6156" shapeId="0" xr:uid="{E5446F6D-0B1A-40A4-818E-B2ACD8D1B4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4" authorId="6157" shapeId="0" xr:uid="{770731C3-4BD3-4204-9EE7-C55588E394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4" authorId="6158" shapeId="0" xr:uid="{A3A93DA3-CD46-426F-B7B0-90B48706AA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4" authorId="6159" shapeId="0" xr:uid="{021BBF00-AB23-47CD-B88D-0177CB44C3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BA354" authorId="6160" shapeId="0" xr:uid="{FA85D0FB-4E1E-4363-8FE7-27F611AF71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W355" authorId="6161" shapeId="0" xr:uid="{981ABAC5-7FD7-4241-BB98-95BE9BD6EDD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5" authorId="6162" shapeId="0" xr:uid="{114FAB0E-106F-4FB6-9486-70CFDC82E23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5" authorId="6163" shapeId="0" xr:uid="{1A106655-EE89-4175-9656-66EFDC310C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5" authorId="6164" shapeId="0" xr:uid="{E3BE415C-1ED5-453D-A6D5-BF2F6C3CA3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5" authorId="6165" shapeId="0" xr:uid="{1A949A5E-2F09-43EC-8CC0-61690D8BCB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5" authorId="6166" shapeId="0" xr:uid="{FB044F12-CE4F-4D96-B1F5-690E0BDACE12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AZ355" authorId="6167" shapeId="0" xr:uid="{18310A16-14E0-42DF-BBA7-BF5A2FBA907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A355" authorId="6168" shapeId="0" xr:uid="{1F7CD3A6-0179-4E80-824D-64636A76EA6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B355" authorId="6169" shapeId="0" xr:uid="{5576DBAF-B3FA-4FBA-A761-9536441D091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W356" authorId="6170" shapeId="0" xr:uid="{921A21B1-4505-40C8-97B3-A65EBCC9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6" authorId="6171" shapeId="0" xr:uid="{210046A5-47C0-4114-94B7-DCE712120ED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6" authorId="6172" shapeId="0" xr:uid="{97952C19-50A6-4A1D-9583-AD1F5F1A0E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6" authorId="6173" shapeId="0" xr:uid="{3ACDAB69-C85C-450B-BE67-61FCF3854B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6" authorId="6174" shapeId="0" xr:uid="{82B65704-B27A-46D1-A7B7-70FBC85076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6" authorId="6175" shapeId="0" xr:uid="{6E9147E2-1281-4B54-9695-14812A4473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BA356" authorId="6176" shapeId="0" xr:uid="{2AA65456-F638-4FE1-A873-5C331D379F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W357" authorId="6177" shapeId="0" xr:uid="{5A177600-03BE-4F3C-8769-879B1D66C88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7" authorId="6178" shapeId="0" xr:uid="{D7C6ED2F-4164-41A7-A38A-0882CCFC108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7" authorId="6179" shapeId="0" xr:uid="{945041C8-CA3B-49C8-B2AD-D7464C5D84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7" authorId="6180" shapeId="0" xr:uid="{46510AFE-6FD5-455B-B401-914607B646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7" authorId="6181" shapeId="0" xr:uid="{2B1413FB-3909-4FE6-AB5D-DD4DD6A570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7" authorId="6182" shapeId="0" xr:uid="{97C7AE3C-BAB6-4F12-AFF4-13468E8B2CA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57" authorId="6183" shapeId="0" xr:uid="{5F67713C-E1E5-47F4-9EFB-CEC70D02B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58" authorId="6184" shapeId="0" xr:uid="{DD13AC8C-246F-4E54-899E-B02BE2422A7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8" authorId="6185" shapeId="0" xr:uid="{8AB848BD-CE74-44D2-9475-B78351A6016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8" authorId="6186" shapeId="0" xr:uid="{3754F1CD-3900-4B2A-92CA-C2265B0545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8" authorId="6187" shapeId="0" xr:uid="{9D55BBF1-D883-4E42-9EF9-FF68056E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8" authorId="6188" shapeId="0" xr:uid="{A863664E-B559-45B7-BF94-E1DA628049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58" authorId="6189" shapeId="0" xr:uid="{A93CF9D3-7094-43A4-8354-1FC8A88A25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358" authorId="6190" shapeId="0" xr:uid="{1160395D-0966-493A-8DA5-37B26795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58" authorId="6191" shapeId="0" xr:uid="{B8847FCA-5597-46E1-8BC7-7EA436F7FF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59" authorId="6192" shapeId="0" xr:uid="{1A557B92-321E-4E3D-B9D7-2D36AEDE72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9" authorId="6193" shapeId="0" xr:uid="{A7CA2A46-855F-4A02-B6FD-D478611FF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9" authorId="6194" shapeId="0" xr:uid="{630BE036-8F42-4817-AA6B-AB68585A19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9" authorId="6195" shapeId="0" xr:uid="{659FB1A7-8C29-48A4-AE4F-7614381149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9" authorId="6196" shapeId="0" xr:uid="{D17350CB-3A78-4517-988B-29409A2ADF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59" authorId="6197" shapeId="0" xr:uid="{C8559448-DA24-409B-AA1F-08A9B965A3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359" authorId="6198" shapeId="0" xr:uid="{051F0C5A-FC30-4F32-989E-70C8AC74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59" authorId="6199" shapeId="0" xr:uid="{13323AC0-4F8B-46C3-8C24-4DBAFDF4C16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60" authorId="6200" shapeId="0" xr:uid="{1DDBA715-EBB8-4EFF-A2E9-135C67BBD4A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60" authorId="6201" shapeId="0" xr:uid="{0FCAF5BD-1F65-4BC6-8A4F-8DD583050CA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60" authorId="6202" shapeId="0" xr:uid="{7B45ED22-40B8-4FC0-B382-2C1DB86BF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0" authorId="6203" shapeId="0" xr:uid="{E9888B66-BBB9-4271-A8B3-030FEC5A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61" authorId="6204" shapeId="0" xr:uid="{EEFA4CBB-B687-44FA-9243-37BD138220B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61" authorId="6205" shapeId="0" xr:uid="{CA7E5E13-DCF9-43A8-8453-B29E9D71496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61" authorId="6206" shapeId="0" xr:uid="{EDFB6ACC-DC5B-4852-93AE-23A77204CBD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1" authorId="6207" shapeId="0" xr:uid="{0148A89F-980C-4C94-AA8B-9F10B4996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61" authorId="6208" shapeId="0" xr:uid="{9299F0FB-CF4D-419E-A6FC-F034DDC7BDC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61" authorId="6209" shapeId="0" xr:uid="{E531C68F-90BD-41D6-B3F9-C1EF450D1B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61" authorId="6210" shapeId="0" xr:uid="{6A2F3370-A49B-453C-AB07-4F45CA7658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61" authorId="6211" shapeId="0" xr:uid="{FBD229E4-E5CE-40C0-AF64-CFE8BCB136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361" authorId="6212" shapeId="0" xr:uid="{1A247EA0-567D-48E0-8541-5F5297D4DB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61" authorId="6213" shapeId="0" xr:uid="{F04CBDD9-2D44-4588-8C77-D11263EB27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362" authorId="6214" shapeId="0" xr:uid="{EE4CD657-69AB-4E81-8B44-440186A6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362" authorId="6215" shapeId="0" xr:uid="{45ECDA01-DF1E-42CC-9953-F01B7AAD61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U362" authorId="6216" shapeId="0" xr:uid="{6B64655B-BCE4-474E-A7BC-0D22345A719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63" authorId="6217" shapeId="0" xr:uid="{F3241C2C-CA4E-4E64-84DC-E8C13F85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Oct’24</t>
      </text>
    </comment>
    <comment ref="AB363" authorId="6218" shapeId="0" xr:uid="{7B680005-2AAF-4A26-9A94-9ABA7A9623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Oct’24</t>
      </text>
    </comment>
    <comment ref="AE363" authorId="6219" shapeId="0" xr:uid="{5E6DFC83-BA43-460B-AD7F-5FCDFC3E1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3" authorId="6220" shapeId="0" xr:uid="{455DD4EF-D359-460E-A429-5264994C872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63" authorId="6221" shapeId="0" xr:uid="{5C286420-86DB-4837-ACB7-52C24800C2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63" authorId="6222" shapeId="0" xr:uid="{A775D73A-0DA1-4AF2-9CF1-AD48F6061FC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63" authorId="6223" shapeId="0" xr:uid="{50D3A6B5-ABB8-43CE-926D-E726B1EBBD7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63" authorId="6224" shapeId="0" xr:uid="{A6899375-E8FA-4D1D-B0BF-75F459D6F1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363" authorId="6225" shapeId="0" xr:uid="{9E357E86-6FE0-4EA7-8B34-7EBE112D6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63" authorId="6226" shapeId="0" xr:uid="{7B7D12AC-30D6-481F-B3C8-8C631CD507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364" authorId="6227" shapeId="0" xr:uid="{A5A1E4D6-410B-4E3A-AE95-16EF113F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4" authorId="6228" shapeId="0" xr:uid="{E2C7073F-4F43-4273-A419-F79CEBA67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65" authorId="6229" shapeId="0" xr:uid="{56625583-E893-47C5-A27F-E2C5E490F1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5" authorId="6230" shapeId="0" xr:uid="{06925E97-56B2-42B7-BD54-5C178D5645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365" authorId="6231" shapeId="0" xr:uid="{FEC0DBE1-7030-4013-BFE8-4FD0869458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N365" authorId="6232" shapeId="0" xr:uid="{EC6104C2-8B6D-410F-909F-68080D35A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65" authorId="6233" shapeId="0" xr:uid="{922E7ADE-28DB-4BF7-A5A8-1F8C94B91B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65" authorId="6234" shapeId="0" xr:uid="{BAD51E03-9DB3-43D6-997A-479469004B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66" authorId="6235" shapeId="0" xr:uid="{3E6C3E98-1422-436C-BABD-E2FA254F19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6" authorId="6236" shapeId="0" xr:uid="{31C8EBF1-831A-4BFB-ACBB-80F8E08D37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67" authorId="6237" shapeId="0" xr:uid="{BEA196B4-1F60-4C25-9490-777426D79C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7" authorId="6238" shapeId="0" xr:uid="{41D873E1-1645-44BA-9774-DB85B9405F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67" authorId="6239" shapeId="0" xr:uid="{22B8B6C5-33BF-4194-A42E-3F7FE561AD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67" authorId="6240" shapeId="0" xr:uid="{42AB6F60-86F1-424B-9074-39178B9C35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67" authorId="6241" shapeId="0" xr:uid="{3D17F4E1-20D7-4B68-B2AB-89F3A7EE59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67" authorId="6242" shapeId="0" xr:uid="{A4736CBF-864E-49C8-9148-1D16288E40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68" authorId="6243" shapeId="0" xr:uid="{0182A9A2-34E8-47B7-926A-15D7C1C2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8" authorId="6244" shapeId="0" xr:uid="{E9F570B1-DBDC-4730-BF76-FEEFF68C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O368" authorId="6245" shapeId="0" xr:uid="{5A58ED54-398A-470B-A020-8C036D0396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68" authorId="6246" shapeId="0" xr:uid="{CD16DD4E-73D5-4DDE-94B1-E716DBC550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BM368" authorId="6247" shapeId="0" xr:uid="{6D75689C-2962-4804-AFCC-C704DF0A34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69" authorId="6248" shapeId="0" xr:uid="{B24D2293-3B65-4FAF-AD64-2B972F09BA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9" authorId="6249" shapeId="0" xr:uid="{E80C08AC-E0C4-47E1-922B-EED00D4F25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69" authorId="6250" shapeId="0" xr:uid="{3536D724-4907-4533-9971-B09169A91E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69" authorId="6251" shapeId="0" xr:uid="{3FEBED46-C97C-4399-AD3B-EFD4F0B432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69" authorId="6252" shapeId="0" xr:uid="{BDED5523-6101-4C87-81A7-D259C732B4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69" authorId="6253" shapeId="0" xr:uid="{794896D4-FB38-457B-9413-AB7455F9A4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0" authorId="6254" shapeId="0" xr:uid="{68DBD32B-94B9-4009-AD20-B7F8B6620A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0" authorId="6255" shapeId="0" xr:uid="{8A091108-ACAA-4CF0-BFAD-E89EB39B3E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0" authorId="6256" shapeId="0" xr:uid="{811243DA-7EAA-4D53-B068-9A9411CD71B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0" authorId="6257" shapeId="0" xr:uid="{9F779255-8E0C-4DAB-AD51-5DB19622A5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0" authorId="6258" shapeId="0" xr:uid="{FC3E4166-F74E-47B3-B6E8-15DEA63E0A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0" authorId="6259" shapeId="0" xr:uid="{4193EA55-359C-47D2-9F83-9299695A4E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0" authorId="6260" shapeId="0" xr:uid="{91CAD7B6-7A8F-4B18-BC70-1963B5927B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0" authorId="6261" shapeId="0" xr:uid="{8E1E3405-13C1-4062-9AEE-EAF79D39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1" authorId="6262" shapeId="0" xr:uid="{70F6E5DA-2D65-4966-B50B-1F2A0EDBB5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1" authorId="6263" shapeId="0" xr:uid="{44029AC8-04B7-46BB-8749-B6C6C19E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2" authorId="6264" shapeId="0" xr:uid="{D1964211-9129-4C79-AE2B-C91928055F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2" authorId="6265" shapeId="0" xr:uid="{98C0C273-D4B5-4DF9-B912-4551F633C8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3" authorId="6266" shapeId="0" xr:uid="{D2CC3162-907C-4705-84DF-5AD48D313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3" authorId="6267" shapeId="0" xr:uid="{28D34086-0B33-4805-A7C8-AA411FD4F5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4" authorId="6268" shapeId="0" xr:uid="{5246E52B-5006-422E-B49F-9AF88EBD35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4" authorId="6269" shapeId="0" xr:uid="{E7D987B0-9344-4B9A-BC1E-9F4FBAFF0C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4" authorId="6270" shapeId="0" xr:uid="{896423D6-9B48-48CD-B57F-004169882D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4" authorId="6271" shapeId="0" xr:uid="{2FA2F7E2-56A7-446F-A607-65794B4823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4" authorId="6272" shapeId="0" xr:uid="{ACF2B27F-662A-4299-9F00-094081BBA7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4" authorId="6273" shapeId="0" xr:uid="{95564E74-2571-4EE3-9821-1A773EEB36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5" authorId="6274" shapeId="0" xr:uid="{37650225-3951-4F10-A720-AB018892BE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5" authorId="6275" shapeId="0" xr:uid="{4BFBEDA4-7106-46F6-A6FA-8AD8B321BF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375" authorId="6276" shapeId="0" xr:uid="{1CA1AAAE-33F4-4BE7-AEF6-AFC541BEFA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N375" authorId="6277" shapeId="0" xr:uid="{D0914087-C050-449B-AF93-A0E2ABDDE8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5" authorId="6278" shapeId="0" xr:uid="{EFE92077-B6E6-491B-9BF5-1813356243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5" authorId="6279" shapeId="0" xr:uid="{F16F296D-C5C4-41C3-93ED-5DFA921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BM375" authorId="6280" shapeId="0" xr:uid="{D1FABFA6-252C-44BA-9934-12C5972087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76" authorId="6281" shapeId="0" xr:uid="{50B85267-84B7-49A7-A7E6-A2318DCD23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6" authorId="6282" shapeId="0" xr:uid="{B099755A-9A15-41AE-BC53-1079737E8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6" authorId="6283" shapeId="0" xr:uid="{10DF1ECD-30F0-45A1-B6A6-6C2952BD6E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6" authorId="6284" shapeId="0" xr:uid="{AF583139-9F9C-448C-809C-B9DF53A031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6" authorId="6285" shapeId="0" xr:uid="{21210687-5940-44F7-8BF7-13A0B08F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6" authorId="6286" shapeId="0" xr:uid="{265F4ACC-09E8-4DEE-AAD8-A258CED2A2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7" authorId="6287" shapeId="0" xr:uid="{0C6015A9-BFF5-40DF-B2A1-7BABAC40EC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7" authorId="6288" shapeId="0" xr:uid="{55275ADD-96AA-42AE-92B3-2A389D37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7" authorId="6289" shapeId="0" xr:uid="{E163FA12-2F8D-404B-9240-C99A8A6911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7" authorId="6290" shapeId="0" xr:uid="{C94039D2-92D1-419C-898A-B9AB7AE2D2C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7" authorId="6291" shapeId="0" xr:uid="{8C5F57ED-1D89-45D3-82C5-6907EEADE0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7" authorId="6292" shapeId="0" xr:uid="{E28916FA-FF64-4AF7-9BE7-FA581EFC9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7" authorId="6293" shapeId="0" xr:uid="{D93D8080-CAAB-4EB7-A0E2-7FD8504A04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7" authorId="6294" shapeId="0" xr:uid="{75953868-E478-450D-B232-1D70FE62CB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8" authorId="6295" shapeId="0" xr:uid="{EF7C3FAC-17BF-4D0E-8506-61A8FAA943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8" authorId="6296" shapeId="0" xr:uid="{3E5E91D2-9FAC-4176-ADD6-269D63E39A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9" authorId="6297" shapeId="0" xr:uid="{7BE0CE66-77B5-43FB-8E80-D0A49DD03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9" authorId="6298" shapeId="0" xr:uid="{733F27FF-4FE8-463F-8500-789B9964B5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0" authorId="6299" shapeId="0" xr:uid="{A99EAF18-2511-4BFB-B5AC-EE23ECE339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0" authorId="6300" shapeId="0" xr:uid="{36443888-7A32-4E39-9B32-9509A91A16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1" authorId="6301" shapeId="0" xr:uid="{5DE2F20E-5107-476E-A62C-49665038EC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1" authorId="6302" shapeId="0" xr:uid="{F8DA7095-1172-4375-A543-98610DFE3C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2" authorId="6303" shapeId="0" xr:uid="{D4BC5E68-3500-4A2E-9A16-E8A687FC8E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2" authorId="6304" shapeId="0" xr:uid="{657B24D5-8B1B-45D1-8EDB-C70CF1AD81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82" authorId="6305" shapeId="0" xr:uid="{9CCB9E92-68AE-4D1E-B826-84A49AB4C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83" authorId="6306" shapeId="0" xr:uid="{7D590DE8-8B05-4F92-B02F-ED15807DF5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3" authorId="6307" shapeId="0" xr:uid="{5C3AE2A6-CF40-4855-B9EA-F01FEA19B4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4" authorId="6308" shapeId="0" xr:uid="{CF3893A4-291F-4E3E-942A-A4FFDCC2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4" authorId="6309" shapeId="0" xr:uid="{0FA52F15-089D-4E13-A554-F91B6FC42B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5" authorId="6310" shapeId="0" xr:uid="{E0FA86FA-C0C2-43CF-8465-8E59C059AF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5" authorId="6311" shapeId="0" xr:uid="{6EE345FD-4F7E-4E6D-B916-232563930F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6" authorId="6312" shapeId="0" xr:uid="{3B54FD9D-05CE-4BFF-81DF-DEDE89C875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6" authorId="6313" shapeId="0" xr:uid="{DEA1A2D0-8A8C-4C25-B482-19A0F56E7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7" authorId="6314" shapeId="0" xr:uid="{A5E00CC0-0876-47D8-B8C3-CC2B9EF0A1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7" authorId="6315" shapeId="0" xr:uid="{4C1F8735-B8DD-4CF1-B8B2-CF3C9A1D0A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8" authorId="6316" shapeId="0" xr:uid="{DD93B49B-CCCB-444C-B2C7-DF48C7F433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8" authorId="6317" shapeId="0" xr:uid="{5AE800EA-F513-49EA-9F86-0522D7D603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9" authorId="6318" shapeId="0" xr:uid="{7E156645-9AAF-42B2-8B53-DE02C25F63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9" authorId="6319" shapeId="0" xr:uid="{B4E784E7-0897-4B13-9CAF-70A845CDF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89" authorId="6320" shapeId="0" xr:uid="{EEF92AED-1344-4127-81E2-318C4E1F40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90" authorId="6321" shapeId="0" xr:uid="{6885AA73-262E-46F5-9793-4182F9E8D4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0" authorId="6322" shapeId="0" xr:uid="{4C0FB669-61E9-4688-B829-FAD83C2287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1" authorId="6323" shapeId="0" xr:uid="{E1D4D5A1-B062-4D7B-A9D6-E277AF8E8B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1" authorId="6324" shapeId="0" xr:uid="{09AA3898-CDB7-4DF4-BD64-F310EAE113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2" authorId="6325" shapeId="0" xr:uid="{03D295F8-A74D-469F-99BB-0273EE5721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2" authorId="6326" shapeId="0" xr:uid="{3EFEB9E3-7BED-4ABD-BCBB-10499338D6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3" authorId="6327" shapeId="0" xr:uid="{0B217E59-5730-4AE5-AD06-D399AF8452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3" authorId="6328" shapeId="0" xr:uid="{CA4F837D-20F5-44D5-A1C8-EEAE754B4F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4" authorId="6329" shapeId="0" xr:uid="{5EAE3B50-DECB-4C1B-90AC-14D28F28A2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4" authorId="6330" shapeId="0" xr:uid="{A1FA9983-BD1B-4722-99A6-495C3D4111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5" authorId="6331" shapeId="0" xr:uid="{4937E2CB-D80E-4263-8C71-D4CBFE10A8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5" authorId="6332" shapeId="0" xr:uid="{BC67A346-BC53-4DBF-9592-2F810CD46C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6" authorId="6333" shapeId="0" xr:uid="{D7C7C0F9-4C44-414A-B529-97BD87DE27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6" authorId="6334" shapeId="0" xr:uid="{F7B4FB82-1D10-4CDE-86D3-BF841B2298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96" authorId="6335" shapeId="0" xr:uid="{2AA9D03D-395B-4BBA-B57C-FE7B59CD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97" authorId="6336" shapeId="0" xr:uid="{8571C04F-DBA5-4024-B1CB-77BA2691F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7" authorId="6337" shapeId="0" xr:uid="{67B771D5-C158-4F79-839E-78C7E9710D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8" authorId="6338" shapeId="0" xr:uid="{2A514BEF-91B0-482D-8B3F-BC3232A4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8" authorId="6339" shapeId="0" xr:uid="{96323C1A-5561-4336-BF1E-F535977012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9" authorId="6340" shapeId="0" xr:uid="{517EA195-A998-4A33-91E2-6928B01E8A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9" authorId="6341" shapeId="0" xr:uid="{B8674468-682D-4A82-B992-98D16066DA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0" authorId="6342" shapeId="0" xr:uid="{C13CB20F-7C24-4C76-A57E-1B1CD6DE98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0" authorId="6343" shapeId="0" xr:uid="{7146C99C-17CF-4DB6-BBDA-44E5EF51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1" authorId="6344" shapeId="0" xr:uid="{29219D50-1407-4B8B-8D20-42E1F37B1B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1" authorId="6345" shapeId="0" xr:uid="{BFECBDC4-29B9-4105-9270-97D49FB7B9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2" authorId="6346" shapeId="0" xr:uid="{7423F379-2F86-4EFA-9E64-C515EA6109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2" authorId="6347" shapeId="0" xr:uid="{6C5FC42E-3B3E-4512-AE08-36B59AB40A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3" authorId="6348" shapeId="0" xr:uid="{9F07A900-37F7-4613-81E7-395618D60E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3" authorId="6349" shapeId="0" xr:uid="{147EDB57-57CD-424F-9072-016D561639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403" authorId="6350" shapeId="0" xr:uid="{080D3163-B8F4-4A8C-898B-C1CB03B468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404" authorId="6351" shapeId="0" xr:uid="{AC1635E8-4563-48A8-AD51-A0FFA46CBE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4" authorId="6352" shapeId="0" xr:uid="{B03147DC-A579-4853-A91C-5E5159DF26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5" authorId="6353" shapeId="0" xr:uid="{BC979582-0502-4E3C-AE8A-E82CFB74FD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5" authorId="6354" shapeId="0" xr:uid="{821C906F-A5E6-4709-8AFC-BBCC18D5F7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Q406" authorId="6355" shapeId="0" xr:uid="{8EC480C3-A7C7-4851-A90E-5BE131CF40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6" authorId="6356" shapeId="0" xr:uid="{4645422B-F281-4945-9AA1-D3DA643BFD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7" authorId="6357" shapeId="0" xr:uid="{957C0FA2-F2B7-467F-9240-DD598213B4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7" authorId="6358" shapeId="0" xr:uid="{62117EC4-835D-45AF-91B5-D5A5478A9D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8" authorId="6359" shapeId="0" xr:uid="{A8C3A3F4-A2CE-4543-95C4-F80D42BECE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8" authorId="6360" shapeId="0" xr:uid="{C2BCF594-5885-4CF5-8994-1483FD37AF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9" authorId="6361" shapeId="0" xr:uid="{B658EA57-25E0-44F0-98B6-297F4F7C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9" authorId="6362" shapeId="0" xr:uid="{C95A5009-2062-4548-AC1C-B1A38DA9FF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10" authorId="6363" shapeId="0" xr:uid="{3E56F368-420E-418E-BA76-5823696C8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0" authorId="6364" shapeId="0" xr:uid="{76822102-9272-4F56-BBAB-B08828D9D9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BM410" authorId="6365" shapeId="0" xr:uid="{67C3153D-A46C-4BBF-8E74-D825C2BA1E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Q411" authorId="6366" shapeId="0" xr:uid="{01530792-7240-4E6A-89C3-B429DEA418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1" authorId="6367" shapeId="0" xr:uid="{419F1E9B-22BD-495B-995A-C99A9AADF6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12" authorId="6368" shapeId="0" xr:uid="{26D13F3C-3C0C-4009-AF38-A399BD9EFF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2" authorId="6369" shapeId="0" xr:uid="{7707FAE9-70FC-43D1-8709-B8ACDB77CC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G413" authorId="6370" shapeId="0" xr:uid="{36B57105-18A8-4879-A245-3659FC12F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3" authorId="6371" shapeId="0" xr:uid="{76671DBA-F3BF-4EAE-A481-210E2AB5A8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3" authorId="6372" shapeId="0" xr:uid="{8DC4AA6D-8545-46D2-8D36-58E2214082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3" authorId="6373" shapeId="0" xr:uid="{5B501F06-B6D0-4610-9F7F-1EB73622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413" authorId="6374" shapeId="0" xr:uid="{2ECD9C42-821F-48DB-BFD9-B902AD562F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Jan’25</t>
      </text>
    </comment>
    <comment ref="AN413" authorId="6375" shapeId="0" xr:uid="{A3FFA5BD-3151-4767-A001-5D04399D6B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Jan’25</t>
      </text>
    </comment>
    <comment ref="AO413" authorId="6376" shapeId="0" xr:uid="{E6215150-07DB-4718-90D8-253F5DBFFB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P413" authorId="6377" shapeId="0" xr:uid="{CB1F6B4F-EFB6-490F-A92F-DC7258EE2C5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G414" authorId="6378" shapeId="0" xr:uid="{39A1AECD-183C-4599-9D0F-7638906735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4" authorId="6379" shapeId="0" xr:uid="{44F0650F-EB5A-42BB-AEC0-344FE1C569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4" authorId="6380" shapeId="0" xr:uid="{0803236E-B7F2-478E-8803-665F70EF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4" authorId="6381" shapeId="0" xr:uid="{8B8D86CD-6D8B-439C-919D-DEC3EF4FB4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W414" authorId="6382" shapeId="0" xr:uid="{4CE61755-33E3-4FC0-A63F-C888C88891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X414" authorId="6383" shapeId="0" xr:uid="{69E2519F-94D0-4E1A-8279-8BCBBFD5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G415" authorId="6384" shapeId="0" xr:uid="{054891D0-AAD7-484B-966D-862555786A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5" authorId="6385" shapeId="0" xr:uid="{FD1D6394-6EC6-498E-962B-9E047203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5" authorId="6386" shapeId="0" xr:uid="{02F96330-1EB5-404E-8383-81F6B2D35C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5" authorId="6387" shapeId="0" xr:uid="{E9CA4061-69A5-448D-A615-6C9AC31AE4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16" authorId="6388" shapeId="0" xr:uid="{A48AF448-3671-401E-A38F-E4C5100751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6" authorId="6389" shapeId="0" xr:uid="{80A9EAE3-A24C-4D67-B10F-D99D035B08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6" authorId="6390" shapeId="0" xr:uid="{BA815B1F-54B0-405C-8A0B-9A38D165A0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6" authorId="6391" shapeId="0" xr:uid="{D71D84DA-0326-4F05-970E-FE3B4368E1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17" authorId="6392" shapeId="0" xr:uid="{65BA72BD-21F8-4DA6-AEED-1456DB2DBA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7" authorId="6393" shapeId="0" xr:uid="{ED34F4CF-0094-419B-AC22-BB50C23A4F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7" authorId="6394" shapeId="0" xr:uid="{47B4C12F-8A02-4C1C-A06F-6C653E9B26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7" authorId="6395" shapeId="0" xr:uid="{5822140C-F6F1-48C1-A4E2-5D725B11E6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18" authorId="6396" shapeId="0" xr:uid="{A851F6BA-EF20-4D73-B1A5-0C55F3E732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8" authorId="6397" shapeId="0" xr:uid="{FC11B3CC-7376-4986-B7EA-7F3033CDA2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8" authorId="6398" shapeId="0" xr:uid="{51242197-6E35-42A7-84DA-560D82D3E0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8" authorId="6399" shapeId="0" xr:uid="{4C7193B2-9EDB-4CC0-86FA-D959004F74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W418" authorId="6400" shapeId="0" xr:uid="{8E135A07-3C75-411D-A71F-D391B6A0F1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X418" authorId="6401" shapeId="0" xr:uid="{329E35FC-2324-44F6-B354-10943FAC40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G419" authorId="6402" shapeId="0" xr:uid="{9954A9D6-54EA-4FFB-A3F6-C8F748195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9" authorId="6403" shapeId="0" xr:uid="{5F23F22A-5677-43A0-A3FE-2FA48DBE49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9" authorId="6404" shapeId="0" xr:uid="{F28BF44C-5B91-4B36-9609-EE4516DA06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9" authorId="6405" shapeId="0" xr:uid="{41FD69EF-06FA-4B13-8E22-5732A65F4C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O420" authorId="6406" shapeId="0" xr:uid="{86C091E7-8DBB-4F15-9F49-BE33CD3C536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0" authorId="6407" shapeId="0" xr:uid="{CCEC19B6-8783-46AA-A201-EB3E2523D9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1" authorId="6408" shapeId="0" xr:uid="{D6F8F383-5622-43FF-9F0C-10132BB9FE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1" authorId="6409" shapeId="0" xr:uid="{FC44BFF9-C7F5-46EC-85C4-E3E200871C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2" authorId="6410" shapeId="0" xr:uid="{E47D55E4-128A-478D-B4F4-E1C85B92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2" authorId="6411" shapeId="0" xr:uid="{69F56C79-7C6A-4C0B-8511-AE3BF4AD8D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3" authorId="6412" shapeId="0" xr:uid="{F9D9C636-15EE-4AD2-9EBD-480FA06B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3" authorId="6413" shapeId="0" xr:uid="{D4F2D404-116B-41FE-A9D3-21D9A37E5C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4" authorId="6414" shapeId="0" xr:uid="{3C832FF4-8259-4FB8-AB92-6D3F65DF15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4" authorId="6415" shapeId="0" xr:uid="{2321FB55-8FF5-411B-A67F-CFC50DA5A7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5" authorId="6416" shapeId="0" xr:uid="{20DAEFB8-E8E3-4390-BB53-3586ED8DF9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5" authorId="6417" shapeId="0" xr:uid="{8C18A04B-9A81-4599-983E-F7BE0B821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6" authorId="6418" shapeId="0" xr:uid="{6CBFE22F-9492-4AE5-ACE6-CC8068870B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6" authorId="6419" shapeId="0" xr:uid="{CFBAC99C-38B2-4F6A-B52A-881E340129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L427" authorId="6420" shapeId="0" xr:uid="{7480F9BC-162D-43E8-9975-86D86250694A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27" authorId="6421" shapeId="0" xr:uid="{1063D96C-1443-4EC5-B155-F96A0B9F2C0F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27" authorId="6422" shapeId="0" xr:uid="{840155F7-CC01-4DE0-8CF5-AFAE9540D70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7" authorId="6423" shapeId="0" xr:uid="{E7BEB049-7E0D-4601-B94E-A98C989594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27" authorId="6424" shapeId="0" xr:uid="{DAD503D6-EC72-4EFE-BFF6-4C00C1F6EC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27" authorId="6425" shapeId="0" xr:uid="{5D1BA713-B06E-4D96-A9F8-DBBAD88AFE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27" authorId="6426" shapeId="0" xr:uid="{6E44A76D-6223-4B54-922F-61B954A2F3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27" authorId="6427" shapeId="0" xr:uid="{8B950513-E47E-4DC6-955E-AD290E3537C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27" authorId="6428" shapeId="0" xr:uid="{EF59CA44-DAE3-41A0-92B5-4174AF60CC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27" authorId="6429" shapeId="0" xr:uid="{9B87349F-B73A-4113-84EF-A7C0F0DDC2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27" authorId="6430" shapeId="0" xr:uid="{4923631A-1CC1-4726-AB23-3684ACE4E0A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27" authorId="6431" shapeId="0" xr:uid="{D70EFA39-05C4-408C-92A0-59B647620A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27" authorId="6432" shapeId="0" xr:uid="{EB686811-DEEF-440A-BC96-6CEAC93C7F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27" authorId="6433" shapeId="0" xr:uid="{9BB1AE32-6F28-4CD2-8B66-C45A99346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27" authorId="6434" shapeId="0" xr:uid="{411E134B-BFB9-4428-95B5-C24AD5C2ED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27" authorId="6435" shapeId="0" xr:uid="{17B803F0-96C0-4F5A-BE01-85426233DB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27" authorId="6436" shapeId="0" xr:uid="{6C2C2D39-BB34-4310-8E21-356563E2084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27" authorId="6437" shapeId="0" xr:uid="{3BB80F19-5BFC-4002-9876-2426AC0018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27" authorId="6438" shapeId="0" xr:uid="{D4DA25B9-A56D-4742-A153-5AFB2918E7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27" authorId="6439" shapeId="0" xr:uid="{93FDD004-C342-4F82-80A5-82A02F486B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28" authorId="6440" shapeId="0" xr:uid="{9E02D9E4-68A8-491B-AAD9-D2413C4A202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28" authorId="6441" shapeId="0" xr:uid="{9705BF17-8586-49E3-BE3F-E296CC3BE403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28" authorId="6442" shapeId="0" xr:uid="{8DB32713-0603-4D70-94CA-3E4A87B5E8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8" authorId="6443" shapeId="0" xr:uid="{EEDEA9AE-3D08-453A-B8F8-9558B5D33B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28" authorId="6444" shapeId="0" xr:uid="{51E9734B-FB3A-4B87-88DF-7081383027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28" authorId="6445" shapeId="0" xr:uid="{90AC997E-A2D0-4A69-83E5-D68583F6EF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28" authorId="6446" shapeId="0" xr:uid="{7298D922-821A-44E3-9DFE-5A9EBFAFC1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28" authorId="6447" shapeId="0" xr:uid="{3A5034C0-EA6F-4D51-BD33-F6A56A7E7F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28" authorId="6448" shapeId="0" xr:uid="{9127B8DB-6192-4BD2-BFD8-527BEB47B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28" authorId="6449" shapeId="0" xr:uid="{B9318196-3816-4667-A952-DC637E3361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28" authorId="6450" shapeId="0" xr:uid="{1132E7CA-AE43-4B85-B95F-CB2BD91B81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28" authorId="6451" shapeId="0" xr:uid="{5E2E4F56-4A62-49E2-BC6C-3B218F6B4A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28" authorId="6452" shapeId="0" xr:uid="{46308E17-695E-427A-9B71-BD3C362696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28" authorId="6453" shapeId="0" xr:uid="{B6764029-E242-496C-988A-8BA8061E23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28" authorId="6454" shapeId="0" xr:uid="{B1C532B3-E2D6-426C-865A-D44E620660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28" authorId="6455" shapeId="0" xr:uid="{57CF2297-D915-4911-AEA4-DD0013AC0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28" authorId="6456" shapeId="0" xr:uid="{EC48BDCA-A109-46EC-A76C-6E8EF457BF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28" authorId="6457" shapeId="0" xr:uid="{CECD8198-2E30-4CA5-B762-4F8E30D1FD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28" authorId="6458" shapeId="0" xr:uid="{13F21EFE-4814-4190-9BF5-2C286A9AC3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28" authorId="6459" shapeId="0" xr:uid="{6EA4F9F4-EECE-46A8-B437-DF5EC5E2FF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29" authorId="6460" shapeId="0" xr:uid="{368DF3A0-1E98-4BE1-ADD8-1B29FFF5ABE5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29" authorId="6461" shapeId="0" xr:uid="{8C3B25B4-B186-465C-A442-F63298D03C5B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29" authorId="6462" shapeId="0" xr:uid="{64853283-C028-4872-9E3A-2510A1C634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9" authorId="6463" shapeId="0" xr:uid="{6419460D-C473-4988-913E-1481D9DDBC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29" authorId="6464" shapeId="0" xr:uid="{1894167E-CB5F-407C-9089-968C50849A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29" authorId="6465" shapeId="0" xr:uid="{50491DCF-3BEF-44A4-8D4E-302982AA23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29" authorId="6466" shapeId="0" xr:uid="{B0256E46-A446-45D0-89D2-DB5C8703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29" authorId="6467" shapeId="0" xr:uid="{D28BEAAF-A9BD-4817-94F7-33CA49BA5D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29" authorId="6468" shapeId="0" xr:uid="{5C9C0716-6F1A-4C58-9DA9-026537CC19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29" authorId="6469" shapeId="0" xr:uid="{96689643-DFD1-4824-B918-394C214D79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29" authorId="6470" shapeId="0" xr:uid="{E785F3D0-A3A3-4D85-A149-7197FB3D6B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29" authorId="6471" shapeId="0" xr:uid="{DDAFFB16-C276-4C14-B904-10339C424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29" authorId="6472" shapeId="0" xr:uid="{3F40117E-63E1-474A-B57C-2094C2E63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29" authorId="6473" shapeId="0" xr:uid="{D6B81460-BB5E-4A08-9C4E-5B738CCEEC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29" authorId="6474" shapeId="0" xr:uid="{75B69BF6-3C1A-4711-B5AD-078AC55528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29" authorId="6475" shapeId="0" xr:uid="{089ECB04-8492-4482-90CE-313A9A5FC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29" authorId="6476" shapeId="0" xr:uid="{0580A1B7-BB26-420A-B057-020B304796D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29" authorId="6477" shapeId="0" xr:uid="{4CC0BE0D-E182-423E-8C28-EA36ADA62A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29" authorId="6478" shapeId="0" xr:uid="{6002DB05-0EEC-43C5-837C-D2DE0BDB98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29" authorId="6479" shapeId="0" xr:uid="{1B4F1B1F-E3D0-4469-B329-7CCDA5B6BF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30" authorId="6480" shapeId="0" xr:uid="{169A157A-7705-44AC-9553-223528146F42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30" authorId="6481" shapeId="0" xr:uid="{AEAB144B-7DD7-4F8D-96FD-3E90B65BB10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30" authorId="6482" shapeId="0" xr:uid="{629F965C-7873-404E-934A-79C9F8C8E9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0" authorId="6483" shapeId="0" xr:uid="{34455306-D0A4-4917-B749-F4D59C6131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0" authorId="6484" shapeId="0" xr:uid="{701BDBC0-E46B-4891-88DC-B02BD051F7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0" authorId="6485" shapeId="0" xr:uid="{EA2F1C79-2465-4163-AD4A-34EC2CDA57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0" authorId="6486" shapeId="0" xr:uid="{7737E3A1-BB25-41E5-88FF-0E971D0E66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0" authorId="6487" shapeId="0" xr:uid="{22E45879-5A29-4081-B1EA-F6FB0F4CB4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0" authorId="6488" shapeId="0" xr:uid="{CCE122AA-4786-420E-B871-3E5BD97ED6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0" authorId="6489" shapeId="0" xr:uid="{067C22EB-4518-41EF-B446-03E7329DB6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0" authorId="6490" shapeId="0" xr:uid="{A54F3BF3-4F4E-463F-BB70-A1BFD1492B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0" authorId="6491" shapeId="0" xr:uid="{AE06D085-806E-4673-8469-4D201FB674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0" authorId="6492" shapeId="0" xr:uid="{472E5838-F3CA-4901-9660-B40DE562447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0" authorId="6493" shapeId="0" xr:uid="{ED6823C4-A63F-448E-9472-A0BA4BC3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0" authorId="6494" shapeId="0" xr:uid="{FC4D03A9-4837-4451-B4DC-5EEE05A35C0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0" authorId="6495" shapeId="0" xr:uid="{66B080BF-8162-4F1C-908A-96293BEF0B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0" authorId="6496" shapeId="0" xr:uid="{94C5817F-2775-46ED-B857-D33E52E18F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0" authorId="6497" shapeId="0" xr:uid="{76D82A73-2D36-4A9C-8613-7AD7E3EE7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0" authorId="6498" shapeId="0" xr:uid="{80215076-A541-4CFD-A15A-D5B16DB004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0" authorId="6499" shapeId="0" xr:uid="{D12AF2A9-D398-4A1B-88D3-9AD8E713C3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1" authorId="6500" shapeId="0" xr:uid="{D7FBB7A7-5DFD-476F-A78C-FC4CA81675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1" authorId="6501" shapeId="0" xr:uid="{E173EE7A-B86E-4665-83B4-1100C3AA13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1" authorId="6502" shapeId="0" xr:uid="{3384FB9C-22D9-42E3-AF30-E3B10AF6A9E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1" authorId="6503" shapeId="0" xr:uid="{9083943E-7ABD-4900-8ADF-E79B36077B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1" authorId="6504" shapeId="0" xr:uid="{75B8E5E0-2C7D-4E19-8EA4-868241EB26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1" authorId="6505" shapeId="0" xr:uid="{F045C50C-AC2B-4C9B-AAF9-F689257731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1" authorId="6506" shapeId="0" xr:uid="{179F5E82-80B3-445C-9B1F-3A28E69D53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1" authorId="6507" shapeId="0" xr:uid="{F297C69A-0B9C-4C5A-9D7F-34F78EB4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1" authorId="6508" shapeId="0" xr:uid="{C85CE6C1-C3BF-4FCD-BA3C-FA35D90964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1" authorId="6509" shapeId="0" xr:uid="{E8F12BEE-6F44-4386-9993-B40D809847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1" authorId="6510" shapeId="0" xr:uid="{5A68D3EF-1E68-404D-B01B-E6E74A56EF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1" authorId="6511" shapeId="0" xr:uid="{80F4E380-E79A-4678-B179-1AFB825F88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1" authorId="6512" shapeId="0" xr:uid="{18FF4FC8-CBF5-43A9-8FDB-6793F11AB0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1" authorId="6513" shapeId="0" xr:uid="{4A33ACB9-976D-426D-A919-622FA386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1" authorId="6514" shapeId="0" xr:uid="{D47C4EE7-E03E-4D9C-8FF6-F237554E50D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1" authorId="6515" shapeId="0" xr:uid="{E8DBEC5B-1BFB-4CB1-8624-45D204A770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1" authorId="6516" shapeId="0" xr:uid="{9A4AA253-1814-41EE-9C84-CDA2A9CFC3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1" authorId="6517" shapeId="0" xr:uid="{6C74C3AE-AE93-439E-8677-6E17725E02E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2" authorId="6518" shapeId="0" xr:uid="{80ADA2D6-664D-4773-A1AD-41611421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2" authorId="6519" shapeId="0" xr:uid="{BFD864F5-639B-4C2C-A8E2-268D0A3DD1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2" authorId="6520" shapeId="0" xr:uid="{03FDE406-3C86-45E5-AFE5-E4DF38D599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2" authorId="6521" shapeId="0" xr:uid="{BFDF8267-1AC0-4827-9356-7687431582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2" authorId="6522" shapeId="0" xr:uid="{2C32E539-A71B-4B64-90EC-5FF0AE08BD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2" authorId="6523" shapeId="0" xr:uid="{1579E880-9D23-48D8-B268-B1BE76EDC6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2" authorId="6524" shapeId="0" xr:uid="{C66DCC61-9525-4BC4-B786-184D681645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2" authorId="6525" shapeId="0" xr:uid="{5326B477-B13F-4BD9-B91D-BCF007692D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2" authorId="6526" shapeId="0" xr:uid="{91964421-AADF-4C5A-AD59-A8328781B1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2" authorId="6527" shapeId="0" xr:uid="{D5869AB8-DC98-46EF-955A-29DD97FF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2" authorId="6528" shapeId="0" xr:uid="{73D79502-3F08-4F29-AD3E-15654521A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2" authorId="6529" shapeId="0" xr:uid="{A4EEA5BD-C8EB-485A-ADE9-050118E4C7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2" authorId="6530" shapeId="0" xr:uid="{22FFC5C8-957D-43D6-865F-95BE70138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2" authorId="6531" shapeId="0" xr:uid="{48958E5E-17D1-4456-90FB-51442E31E5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2" authorId="6532" shapeId="0" xr:uid="{A729D17D-64BD-4B99-9644-F2335E5816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2" authorId="6533" shapeId="0" xr:uid="{D1A9A9D6-8760-4C70-8387-EC1BB0493C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2" authorId="6534" shapeId="0" xr:uid="{8FE54386-E760-40FD-81B3-226290475C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2" authorId="6535" shapeId="0" xr:uid="{DEE917F1-74CA-430C-BADA-3CB359F700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3" authorId="6536" shapeId="0" xr:uid="{8EDF8443-9A3D-47B2-8A27-2EAFC21027B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3" authorId="6537" shapeId="0" xr:uid="{0CF9AB42-0513-43BF-9AB3-768752E6CA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3" authorId="6538" shapeId="0" xr:uid="{BFEADB6D-6816-42A3-88FE-2CB17591EFF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3" authorId="6539" shapeId="0" xr:uid="{FE566827-C807-4391-9177-8E79FC567C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3" authorId="6540" shapeId="0" xr:uid="{EF321EEC-F981-4363-B529-3522E03093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3" authorId="6541" shapeId="0" xr:uid="{50A897FE-7B6C-4561-879B-7739CD884D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3" authorId="6542" shapeId="0" xr:uid="{0D14E5E1-D162-45EC-A2DD-B18B4E245F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3" authorId="6543" shapeId="0" xr:uid="{ADECABCF-F2CC-44FA-8742-18B59EFBBC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3" authorId="6544" shapeId="0" xr:uid="{B7687620-CC19-40A6-A28D-6483633971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3" authorId="6545" shapeId="0" xr:uid="{14ABC117-0CAC-48B1-9CAE-165CB6A5FC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3" authorId="6546" shapeId="0" xr:uid="{089A30C7-D0BD-4A50-9671-05B090A7E2A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3" authorId="6547" shapeId="0" xr:uid="{12C0535D-2917-4922-9847-68A86657C5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3" authorId="6548" shapeId="0" xr:uid="{ADA9871D-37CE-4615-82CA-2627183587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3" authorId="6549" shapeId="0" xr:uid="{8CBACAA1-7043-43F4-85E6-AF1CFBA3D8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3" authorId="6550" shapeId="0" xr:uid="{2524634C-6CD9-45BE-9243-A81DE6159A7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3" authorId="6551" shapeId="0" xr:uid="{E6AD78F4-085C-4764-9102-CB0A502508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3" authorId="6552" shapeId="0" xr:uid="{B38DA55B-E870-492E-873A-1390FC23F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3" authorId="6553" shapeId="0" xr:uid="{D365018D-D674-4582-9859-39F6C17414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4" authorId="6554" shapeId="0" xr:uid="{4BC2BE94-F7D6-4B25-B109-64C6EEDB1F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4" authorId="6555" shapeId="0" xr:uid="{83FA497C-8D4F-4BC4-B3E7-A777C5A350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4" authorId="6556" shapeId="0" xr:uid="{B320EAF3-A8B3-4E40-A58C-54A52E92F0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4" authorId="6557" shapeId="0" xr:uid="{2BEC0334-FE25-4598-AB3A-0B45BDCF5E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4" authorId="6558" shapeId="0" xr:uid="{2E8DA9B4-1232-4313-BE73-A405219553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4" authorId="6559" shapeId="0" xr:uid="{DD9EEDB9-E541-4F86-833E-25006E8719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4" authorId="6560" shapeId="0" xr:uid="{56EF9C3D-9B8A-470A-8D67-134EAE18398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4" authorId="6561" shapeId="0" xr:uid="{51890101-5569-4903-BAAF-9BE96BAAEF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4" authorId="6562" shapeId="0" xr:uid="{48D49265-0982-4A29-AE0A-D1E75E42BB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4" authorId="6563" shapeId="0" xr:uid="{1D8645C3-1B49-4B83-A666-2355D1FB40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4" authorId="6564" shapeId="0" xr:uid="{778E9CF8-CF11-4C5A-9E08-C6BB29CEF6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4" authorId="6565" shapeId="0" xr:uid="{79AD4FA1-8F7C-46E8-8725-8A625D707AC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4" authorId="6566" shapeId="0" xr:uid="{53AB567E-E7E4-4AD1-B92D-1108D3107F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4" authorId="6567" shapeId="0" xr:uid="{4A5CF8E9-24DC-49AE-A9AA-17E44934677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4" authorId="6568" shapeId="0" xr:uid="{C5C62E3C-3980-447E-BF5E-FBD69485DC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4" authorId="6569" shapeId="0" xr:uid="{70CD3967-CA7C-4B8E-9EDE-0053706AE6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4" authorId="6570" shapeId="0" xr:uid="{7514669F-C4F5-417E-B312-2E67004B65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4" authorId="6571" shapeId="0" xr:uid="{89493FE1-AD6C-4BBD-B8E4-833168DA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5" authorId="6572" shapeId="0" xr:uid="{98B402F5-C5A4-4053-941D-B86DF6C7DC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5" authorId="6573" shapeId="0" xr:uid="{03A875C5-4CA2-4AB2-B857-85A024125E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5" authorId="6574" shapeId="0" xr:uid="{62A9F47E-ED88-499A-AFBA-5621E6A18C1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5" authorId="6575" shapeId="0" xr:uid="{27C5B944-2D64-4A95-97C2-B6114097B5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5" authorId="6576" shapeId="0" xr:uid="{2A7512C9-0C51-4B6D-80CC-D7E4D49C25A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5" authorId="6577" shapeId="0" xr:uid="{CB295B09-C151-46ED-8A11-B9C7450439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5" authorId="6578" shapeId="0" xr:uid="{16DC8309-C212-4C33-B512-BDE230FE15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5" authorId="6579" shapeId="0" xr:uid="{4AC76E45-F946-4B53-901D-C38B7B0277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5" authorId="6580" shapeId="0" xr:uid="{D110B7AB-7549-4595-84B2-FF3E306333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5" authorId="6581" shapeId="0" xr:uid="{031AA329-ACEF-407A-9AEC-829320AA24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5" authorId="6582" shapeId="0" xr:uid="{F5875644-EDED-4DAF-8220-E59C7C1B22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5" authorId="6583" shapeId="0" xr:uid="{CD4D4AE5-19E2-4522-BFA1-7AA8496ADF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5" authorId="6584" shapeId="0" xr:uid="{3BE15EFC-A94B-477D-9FAB-DC187FF1BC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5" authorId="6585" shapeId="0" xr:uid="{F782E521-01C0-4156-BD24-CA508CEE10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5" authorId="6586" shapeId="0" xr:uid="{68D741EE-45C3-4EB9-9075-831202969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5" authorId="6587" shapeId="0" xr:uid="{CB1DEB5C-B59E-4563-A631-1D9ADDEC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5" authorId="6588" shapeId="0" xr:uid="{EE4C40E6-01A6-4597-B575-AF15E9AFB0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5" authorId="6589" shapeId="0" xr:uid="{6D0A2F5F-F77A-424A-8730-2DCFB71ED2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U436" authorId="6590" shapeId="0" xr:uid="{85E19C8C-DB4B-44BF-B44B-6D52BB5A3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6" authorId="6591" shapeId="0" xr:uid="{A66C5937-B8BF-499E-958C-58A863A094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6" authorId="6592" shapeId="0" xr:uid="{83F07305-9DEA-4FFE-A6F7-264420C742B7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BO436" authorId="6593" shapeId="0" xr:uid="{0EF4D216-CDEC-43D7-9CBE-412A3168FC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437" authorId="6594" shapeId="0" xr:uid="{1D2984A2-D13A-4D3D-93D8-731C7C0AFC4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7" authorId="6595" shapeId="0" xr:uid="{C341B23B-C962-49D5-91AB-9C9710C4E3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7" authorId="6596" shapeId="0" xr:uid="{0AC0B1C9-F164-4C2F-B159-F02C19D92C46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BO437" authorId="6597" shapeId="0" xr:uid="{EE3DF3DD-87EF-412E-9D8E-99055658F9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AU438" authorId="6598" shapeId="0" xr:uid="{111490EC-D3BB-4163-B159-12E1B94EEC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8" authorId="6599" shapeId="0" xr:uid="{B44BA4ED-DD8E-4E45-A330-B3A1A1BD23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8" authorId="6600" shapeId="0" xr:uid="{8DAE3780-74EB-46D2-887C-95349A267C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BO438" authorId="6601" shapeId="0" xr:uid="{38CFBE17-A7F9-464E-9062-4E953E91C1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439" authorId="6602" shapeId="0" xr:uid="{821EB1D4-F2DE-4382-9137-9498480240E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9" authorId="6603" shapeId="0" xr:uid="{BA5392F2-B990-4F7F-A3A4-65CC6E90B1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9" authorId="6604" shapeId="0" xr:uid="{AAE2934E-B968-49E5-A2D6-CE04A9208E42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BC439" authorId="6605" shapeId="0" xr:uid="{7CF1D6FE-7F10-4865-8362-0C2215275177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BE439" authorId="6606" shapeId="0" xr:uid="{75EB7FA2-3944-4235-B673-77DFF2875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439" authorId="6607" shapeId="0" xr:uid="{AF5A5EE5-71AB-4830-B684-6FA163FF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439" authorId="6608" shapeId="0" xr:uid="{3DC4A0E2-2B9F-40BA-87EA-23FD7B8788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AU440" authorId="6609" shapeId="0" xr:uid="{B8D4FAF7-3727-4631-A008-DA2A12D80E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0" authorId="6610" shapeId="0" xr:uid="{5AA94885-6D13-45DA-B872-245D1AF002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40" authorId="6611" shapeId="0" xr:uid="{47B47FB0-FB16-4554-862A-A9578F639BA0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BC440" authorId="6612" shapeId="0" xr:uid="{2C94F024-875D-4CC5-9263-3FA41C4CD1C9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BE440" authorId="6613" shapeId="0" xr:uid="{296F3339-B498-4FA2-B142-1D22B3DCFB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440" authorId="6614" shapeId="0" xr:uid="{F338E4E1-1A6F-46E1-81D4-CD77641C313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440" authorId="6615" shapeId="0" xr:uid="{1A26520E-DC15-41A6-B1B1-6C37103004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AU441" authorId="6616" shapeId="0" xr:uid="{A5CC20ED-4042-45F4-B61C-1E6DB97192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1" authorId="6617" shapeId="0" xr:uid="{C765D0A5-2C2B-46AB-B40A-09301C8F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41" authorId="6618" shapeId="0" xr:uid="{F5B9635C-BFB8-4524-8642-27262CCFFD4D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BO441" authorId="6619" shapeId="0" xr:uid="{38A0EFDC-E445-42BA-9F1F-F2048742F23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442" authorId="6620" shapeId="0" xr:uid="{BBC5B6D0-8AA4-442E-8A69-7643F336BA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2" authorId="6621" shapeId="0" xr:uid="{14186D22-B33F-4345-BA73-2ED4D89D0A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U443" authorId="6622" shapeId="0" xr:uid="{88C61FE8-225C-4E57-88C0-DEAB9B1B7B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3" authorId="6623" shapeId="0" xr:uid="{4513E58C-9BB9-4520-866F-F94E1C11F2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BK444" authorId="6624" shapeId="0" xr:uid="{54785869-0DC7-4211-AAA4-D407451FFB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4" authorId="6625" shapeId="0" xr:uid="{B5ED8D56-5FDD-4EAC-8E99-1D395E59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4" authorId="6626" shapeId="0" xr:uid="{F1157FD3-24C8-4197-82AA-59D6EFBC69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4" authorId="6627" shapeId="0" xr:uid="{25BC8BED-FEAF-4B45-A759-02BDB2415A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L445" authorId="6628" shapeId="0" xr:uid="{0466D18A-E2B1-4C16-9438-F3B55C2761F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45" authorId="6629" shapeId="0" xr:uid="{3AD450DA-40F1-4069-B6B8-BC31C455D7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K445" authorId="6630" shapeId="0" xr:uid="{F2FCE459-3005-43B6-9A74-7FBF84171B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5" authorId="6631" shapeId="0" xr:uid="{09BF6076-BB44-4E8D-B9FE-F51F20EC6F0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5" authorId="6632" shapeId="0" xr:uid="{CEFD1877-912F-4889-9873-37BAEA749E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5" authorId="6633" shapeId="0" xr:uid="{096808BB-CCCC-483D-A80B-9440F0C6DE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6" authorId="6634" shapeId="0" xr:uid="{0081DFCB-6810-4022-A1F0-429010DF14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6" authorId="6635" shapeId="0" xr:uid="{D15EB8CF-01A4-4841-AB33-14E923BBE1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6" authorId="6636" shapeId="0" xr:uid="{C4437E7E-941F-4F9A-9515-15340E89D5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6" authorId="6637" shapeId="0" xr:uid="{8FFD1D46-E3B2-4257-BB1E-AE4B2A8059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7" authorId="6638" shapeId="0" xr:uid="{12B7D997-72AC-4754-9F00-7E40195180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7" authorId="6639" shapeId="0" xr:uid="{A3CB7B04-E934-4C90-9575-BBBE08F7AB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7" authorId="6640" shapeId="0" xr:uid="{FBF4BC06-1BFD-4F98-9954-658F0F276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7" authorId="6641" shapeId="0" xr:uid="{3A2E665D-3856-4CA8-8963-5EFEECA3DB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8" authorId="6642" shapeId="0" xr:uid="{A19C6EEB-4E2A-42F1-8DBB-B95867EE48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8" authorId="6643" shapeId="0" xr:uid="{1C728472-6724-46AC-B6CD-9E986F7656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8" authorId="6644" shapeId="0" xr:uid="{746093DD-0668-4E62-9011-015FF0C5F3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8" authorId="6645" shapeId="0" xr:uid="{1ECCE300-27D1-4D2F-9F4E-165D1A6C85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9" authorId="6646" shapeId="0" xr:uid="{E9FF9A75-7B49-40BB-AC69-522F4ADD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9" authorId="6647" shapeId="0" xr:uid="{B28D54E3-B702-44E4-ABC1-5560F09B10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9" authorId="6648" shapeId="0" xr:uid="{DC5BF8F1-368D-42F4-858B-149E20E97B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9" authorId="6649" shapeId="0" xr:uid="{6E8E02DE-C54E-484C-B339-8F7DA82EFF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0" authorId="6650" shapeId="0" xr:uid="{8F9FC708-16C4-441E-9F98-D0D3C56B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0" authorId="6651" shapeId="0" xr:uid="{44F89F78-387A-4614-A496-59B3B1B5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0" authorId="6652" shapeId="0" xr:uid="{030BDF62-D2D0-4069-BD83-CD6B92E2B8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0" authorId="6653" shapeId="0" xr:uid="{16022D1D-19BA-4CD4-95DA-32D2886687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Q451" authorId="6654" shapeId="0" xr:uid="{EFCE1200-77DA-4A85-A90B-F59AB60D52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S451" authorId="6655" shapeId="0" xr:uid="{933948E0-385A-4485-A28A-EB7B87507A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451" authorId="6656" shapeId="0" xr:uid="{4A486E3E-7A85-49ED-B5E5-E135B3DD45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1" authorId="6657" shapeId="0" xr:uid="{06A3F7AB-F16F-4674-84A8-6446687233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1" authorId="6658" shapeId="0" xr:uid="{04A6FED3-3EB6-4887-9D63-BA2A5F3F96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1" authorId="6659" shapeId="0" xr:uid="{167A1D7B-B1D6-46B4-8920-60E55E4E6B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2" authorId="6660" shapeId="0" xr:uid="{1BFFF7CF-95B0-4B47-839B-D95675E060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2" authorId="6661" shapeId="0" xr:uid="{4B769C59-C381-4C83-AE83-75B78C01D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2" authorId="6662" shapeId="0" xr:uid="{59FED07C-433B-4AEE-B3CC-EDD708260E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2" authorId="6663" shapeId="0" xr:uid="{7C338198-1939-4F3F-814A-78AE935ADC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3" authorId="6664" shapeId="0" xr:uid="{7A3B0365-3A1A-41A8-AE26-A621AF4BC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3" authorId="6665" shapeId="0" xr:uid="{40D87B81-F928-42E6-A20F-2F0EEFF9AC9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3" authorId="6666" shapeId="0" xr:uid="{F9C3A608-F6F5-4F5C-BC2A-C3618ECF64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3" authorId="6667" shapeId="0" xr:uid="{37476D81-A743-45F9-870E-AE304116EA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4" authorId="6668" shapeId="0" xr:uid="{4F5106CB-B866-4D3B-978F-8E1E44690E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4" authorId="6669" shapeId="0" xr:uid="{FAB39619-50B2-431B-A079-DDE0DE7C8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4" authorId="6670" shapeId="0" xr:uid="{1057235F-1E7C-4036-8B08-E80ABD7737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4" authorId="6671" shapeId="0" xr:uid="{65A2A0B1-477D-47C2-B684-2C584526AE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AI455" authorId="6672" shapeId="0" xr:uid="{AC207CF0-59FF-430A-B287-17E7882C1C9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BK455" authorId="6673" shapeId="0" xr:uid="{6DBC25A8-955A-41A9-AD88-0AC17B70F1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5" authorId="6674" shapeId="0" xr:uid="{34EA0E04-8770-4A16-B48A-2C11E572271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5" authorId="6675" shapeId="0" xr:uid="{92F2E5D8-0467-42A5-9EA8-7C9C064B22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5" authorId="6676" shapeId="0" xr:uid="{573B3950-039D-47EE-97DD-399BCDE10F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6" authorId="6677" shapeId="0" xr:uid="{272EA772-CF28-41B0-826D-F9DF99ED8A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6" authorId="6678" shapeId="0" xr:uid="{76E363AD-95A1-4676-B449-5EA393EA29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6" authorId="6679" shapeId="0" xr:uid="{DA0FBB07-C4E9-4733-BA00-5E05EDAD78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6" authorId="6680" shapeId="0" xr:uid="{DF6C0C86-E2E5-4768-85DC-2CF25E28F5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7" authorId="6681" shapeId="0" xr:uid="{28CE2D66-758C-48E4-8FE6-607B3E6722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7" authorId="6682" shapeId="0" xr:uid="{82A9F9F1-6E02-4CED-AA86-0AA92816272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7" authorId="6683" shapeId="0" xr:uid="{3D26A78A-0495-4370-92C8-D5718B64BB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7" authorId="6684" shapeId="0" xr:uid="{7D276DA0-A307-4F84-80AA-AE639AADE2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G458" authorId="6685" shapeId="0" xr:uid="{5E3FCB08-DAE6-4263-AB63-6A2B4D8293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58" authorId="6686" shapeId="0" xr:uid="{312C17C9-5FD9-4544-9EAE-5B7408F411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58" authorId="6687" shapeId="0" xr:uid="{D16A289E-3282-470D-A794-FD678B3A4E1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58" authorId="6688" shapeId="0" xr:uid="{73BEE8D1-824C-4E80-9A00-B4C12A4EEC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59" authorId="6689" shapeId="0" xr:uid="{83BDFABF-ECF9-4167-8C05-0DF0001AAB4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59" authorId="6690" shapeId="0" xr:uid="{A6BAA476-608F-46A6-AB84-28277AE65CF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G459" authorId="6691" shapeId="0" xr:uid="{710F31B5-0AD8-4387-8726-00362A6B53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59" authorId="6692" shapeId="0" xr:uid="{3B28F653-F56A-482E-A42F-9E0705D6A8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59" authorId="6693" shapeId="0" xr:uid="{EDEF550C-2966-49CF-BAA0-E05B77D6D7C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59" authorId="6694" shapeId="0" xr:uid="{72EACD4D-E94D-469D-85DE-4BEEC3FC0C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0" authorId="6695" shapeId="0" xr:uid="{BEA3D1AC-0AC2-4103-BC99-CE32B5E3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0" authorId="6696" shapeId="0" xr:uid="{C2173BD6-436C-4124-A930-E983910075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0" authorId="6697" shapeId="0" xr:uid="{22340D24-7794-4669-BD1B-B4A7F1601A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0" authorId="6698" shapeId="0" xr:uid="{D876D4C0-BC3E-4E75-B5D1-54B66DDF85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1" authorId="6699" shapeId="0" xr:uid="{07115333-BF2B-4535-A521-3273CEF37C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1" authorId="6700" shapeId="0" xr:uid="{E6FFAFEB-0697-4536-B6CA-807DB1C7FB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1" authorId="6701" shapeId="0" xr:uid="{D7EBB27E-D813-416F-BCFC-8ABC6B3336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1" authorId="6702" shapeId="0" xr:uid="{499B1558-02C2-41D0-9F11-BDF4CAE1562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2" authorId="6703" shapeId="0" xr:uid="{A9C4F6A7-4823-40A4-97E3-210B419AA7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2" authorId="6704" shapeId="0" xr:uid="{DD3F6EC2-AAF4-46A8-9979-8FCE1EE18C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2" authorId="6705" shapeId="0" xr:uid="{4C3B681C-E5DB-4836-98A4-68AB9F88B7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2" authorId="6706" shapeId="0" xr:uid="{DB331C48-F1FC-4C78-858D-DA9A26903B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3" authorId="6707" shapeId="0" xr:uid="{79E415E5-B9BA-4400-AAB9-4953A7EB528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3" authorId="6708" shapeId="0" xr:uid="{00586C90-8FCC-44BE-9490-4741C6C82A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3" authorId="6709" shapeId="0" xr:uid="{E5CC91C2-CD43-448A-AF06-0CF96FFADC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3" authorId="6710" shapeId="0" xr:uid="{CA71C7D0-7360-4F74-AFDA-C1DB4E4851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4" authorId="6711" shapeId="0" xr:uid="{8CE75849-7E9E-4387-A537-2E28BE9986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4" authorId="6712" shapeId="0" xr:uid="{DC71A50A-759B-43CF-8D9A-142EF47487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4" authorId="6713" shapeId="0" xr:uid="{D6C05765-B8C0-49E0-90A8-91A370BB80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4" authorId="6714" shapeId="0" xr:uid="{0598C9E5-5287-4DB4-806D-8AD7D5A133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5" authorId="6715" shapeId="0" xr:uid="{6EB670BF-BCFA-4A61-B667-25088B0CAC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5" authorId="6716" shapeId="0" xr:uid="{59374C37-A751-47B7-9E4C-16E13429A8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5" authorId="6717" shapeId="0" xr:uid="{F79AF497-CE98-47B5-AE4C-F416577EE4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5" authorId="6718" shapeId="0" xr:uid="{5DF56BEC-666B-4E50-A5F7-E45F22EC47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6" authorId="6719" shapeId="0" xr:uid="{57E9A42F-5B04-46CC-A8F7-659D446F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6" authorId="6720" shapeId="0" xr:uid="{986FCC1A-1D3E-4D9B-87E9-D13ED50FD5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6" authorId="6721" shapeId="0" xr:uid="{4E56C58A-61DC-4FA0-A150-643AC989DC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6" authorId="6722" shapeId="0" xr:uid="{1125287B-73E6-4802-9B45-D6E7A69066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7" authorId="6723" shapeId="0" xr:uid="{CB3FA9A6-C222-4AE8-B6B8-6352DDF42F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7" authorId="6724" shapeId="0" xr:uid="{45E92B4D-2A36-4695-A3E4-1C3A883B9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7" authorId="6725" shapeId="0" xr:uid="{5CEA0EF9-2411-43CF-BBCF-58879C026A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7" authorId="6726" shapeId="0" xr:uid="{F0B9916E-9EA3-4AAA-BD08-072ED527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8" authorId="6727" shapeId="0" xr:uid="{D57A0B6A-F197-4F89-9009-3C24E3984CD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8" authorId="6728" shapeId="0" xr:uid="{44D2F51C-C9F4-411A-81B9-4342C80FB2D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8" authorId="6729" shapeId="0" xr:uid="{E866E820-DF05-4E76-9999-05AE0AEC6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8" authorId="6730" shapeId="0" xr:uid="{FE16E3A7-F48F-4B32-91D7-CA2B99C5D1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9" authorId="6731" shapeId="0" xr:uid="{4B921293-4445-4DE3-B10B-F1755CAC417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9" authorId="6732" shapeId="0" xr:uid="{8003DCC5-9923-40C4-82C7-A8C8C25319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9" authorId="6733" shapeId="0" xr:uid="{D1D8C98F-6AE0-44B0-AEDB-CF1B0DDEB3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9" authorId="6734" shapeId="0" xr:uid="{FFA0037B-AB40-4C4F-AA7F-50B723382A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0" authorId="6735" shapeId="0" xr:uid="{EB8AF62E-38D5-4993-8263-9D8EA8CBA4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0" authorId="6736" shapeId="0" xr:uid="{FD9D000F-9F83-48EF-BDDB-777C026538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0" authorId="6737" shapeId="0" xr:uid="{3BCF7E5A-68D6-4C0F-8D01-9867DB46BD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0" authorId="6738" shapeId="0" xr:uid="{5792AE55-9DBD-40D8-982E-6D1B3786B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1" authorId="6739" shapeId="0" xr:uid="{0B93C4D4-ED7D-4A9C-AD29-CD2FEFA930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1" authorId="6740" shapeId="0" xr:uid="{78090FAC-B5B9-4082-838E-5A51624F9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1" authorId="6741" shapeId="0" xr:uid="{38C1F209-40C1-490A-99A8-867093F29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1" authorId="6742" shapeId="0" xr:uid="{F3E1E823-F28C-4DF1-A104-C052C1948D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2" authorId="6743" shapeId="0" xr:uid="{43BBC321-FF67-4DEC-B81B-F17C642882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2" authorId="6744" shapeId="0" xr:uid="{DEE0D99B-A2D4-42BF-9F1F-1E23C47FC5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2" authorId="6745" shapeId="0" xr:uid="{B333115A-0E8A-4A76-8599-540F7FEFC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2" authorId="6746" shapeId="0" xr:uid="{FF398AC7-BD86-4CCD-AE70-E79E2DC40A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73" authorId="6747" shapeId="0" xr:uid="{FD03414D-E339-4F23-988E-0C6725C6591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73" authorId="6748" shapeId="0" xr:uid="{CCBA1618-B87F-409F-B531-A579C4385DB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G473" authorId="6749" shapeId="0" xr:uid="{2189B3F9-E1C3-4DCE-8E10-EE2196ED56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3" authorId="6750" shapeId="0" xr:uid="{EFD6EB5C-C839-4B1E-A284-56739AA5F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3" authorId="6751" shapeId="0" xr:uid="{B6BEDAF9-A971-4583-BE0F-19F0CE21EA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3" authorId="6752" shapeId="0" xr:uid="{ECB80888-FC3C-4CA3-8E9C-FA2F13B1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4" authorId="6753" shapeId="0" xr:uid="{61D6AE29-6AFC-484A-8CCC-4E5D8CB1E2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4" authorId="6754" shapeId="0" xr:uid="{D3C26D69-CA8B-4E12-A92A-E57730D90A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4" authorId="6755" shapeId="0" xr:uid="{016A46B7-D463-4915-BD51-87D7D9A800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4" authorId="6756" shapeId="0" xr:uid="{CA435862-D534-47D8-A47E-9B075DB974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5" authorId="6757" shapeId="0" xr:uid="{61F00538-802A-4E76-9E4B-5752BFBB38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5" authorId="6758" shapeId="0" xr:uid="{0C59A6F8-6583-43E7-9B33-6B5C9B0068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5" authorId="6759" shapeId="0" xr:uid="{F17AC732-B53C-4133-8A86-8A30FEC3BC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5" authorId="6760" shapeId="0" xr:uid="{EC657210-976F-4F47-A8ED-0877A8ED91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6" authorId="6761" shapeId="0" xr:uid="{25844808-D42A-449E-B485-075CEBBC62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6" authorId="6762" shapeId="0" xr:uid="{CB952E41-DEA8-406C-98C6-5ABCC6728B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6" authorId="6763" shapeId="0" xr:uid="{AF7FACA8-E0A7-4151-9463-74068D57698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6" authorId="6764" shapeId="0" xr:uid="{BE372BE0-1866-451C-94C0-C466BA2D44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7" authorId="6765" shapeId="0" xr:uid="{8AC1760F-BCAF-449A-8A50-6236B0ED2D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7" authorId="6766" shapeId="0" xr:uid="{0866D7FA-1A61-45B9-9B03-694626CBCF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7" authorId="6767" shapeId="0" xr:uid="{374720B6-8D9B-4DA2-9098-DB67638C07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7" authorId="6768" shapeId="0" xr:uid="{79AFFD6C-CC44-46BE-BDE1-FC8CFED9E5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8" authorId="6769" shapeId="0" xr:uid="{CD8A711A-3559-4150-8901-E1CE4A860D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8" authorId="6770" shapeId="0" xr:uid="{31CA5316-A5A3-4149-8575-778B83C757C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8" authorId="6771" shapeId="0" xr:uid="{C6558F38-1649-4EE2-8870-5E76B86A2C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8" authorId="6772" shapeId="0" xr:uid="{916BCE3B-D728-4EE8-8D70-705D161413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9" authorId="6773" shapeId="0" xr:uid="{16D68584-6BF3-4ECC-9215-3ED750F432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9" authorId="6774" shapeId="0" xr:uid="{9482FAE2-9C02-49B3-A1AF-E88F5AB1BC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9" authorId="6775" shapeId="0" xr:uid="{018CF9C0-611F-4824-B002-552161209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9" authorId="6776" shapeId="0" xr:uid="{DBAA1137-2858-4AC9-B6FA-36EC04EC8D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0" authorId="6777" shapeId="0" xr:uid="{D4C674EE-C734-482E-B303-072261296F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0" authorId="6778" shapeId="0" xr:uid="{23C3616B-AF62-4F0C-B73C-B32297664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0" authorId="6779" shapeId="0" xr:uid="{2EEEB91E-BD0B-43C9-A6FD-6AED012892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0" authorId="6780" shapeId="0" xr:uid="{793D9389-C454-44B1-993A-36CC8D63EB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1" authorId="6781" shapeId="0" xr:uid="{31F18BBE-F8B2-4FAF-A31D-695C65626A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1" authorId="6782" shapeId="0" xr:uid="{64C6E3D4-4A61-4406-ACE2-98333C9373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1" authorId="6783" shapeId="0" xr:uid="{ED942176-89F8-42E6-AB95-E32762C6D1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1" authorId="6784" shapeId="0" xr:uid="{611C8F2F-629A-40A7-A320-BF476B1B58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2" authorId="6785" shapeId="0" xr:uid="{503A9B53-F0FA-4F93-8614-6A420EA01A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2" authorId="6786" shapeId="0" xr:uid="{48627DD6-CC50-4121-ACCE-C62CACD439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2" authorId="6787" shapeId="0" xr:uid="{D36F66C6-4A0C-4B3C-9AC6-052673C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2" authorId="6788" shapeId="0" xr:uid="{7D575A17-3B60-488B-AF7C-1B3E9231340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3" authorId="6789" shapeId="0" xr:uid="{A737B86F-614E-4AA9-83E4-957BA2D5FA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3" authorId="6790" shapeId="0" xr:uid="{3D4FCB69-0008-4451-AE7E-F0BEDFF9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3" authorId="6791" shapeId="0" xr:uid="{BC429F4B-E07F-425B-8954-4A05EAD0C69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3" authorId="6792" shapeId="0" xr:uid="{52A957B3-997A-47B7-A231-32D1CFB249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4" authorId="6793" shapeId="0" xr:uid="{D2DAA9EC-BF8D-4E90-8DF2-C8C0AAC055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4" authorId="6794" shapeId="0" xr:uid="{F5D60591-AD87-4EA6-BB85-9FC9347D8D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4" authorId="6795" shapeId="0" xr:uid="{FF8DC3A6-1BCA-43FF-ABA2-93F298FBEA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4" authorId="6796" shapeId="0" xr:uid="{C72D27A0-7ECF-41A7-83FA-AD28F69DFBD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5" authorId="6797" shapeId="0" xr:uid="{4AB6BBDA-759C-4104-A3FB-11C85CFDE3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5" authorId="6798" shapeId="0" xr:uid="{5AA5E05C-FBC1-41BF-A79B-113CE54168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5" authorId="6799" shapeId="0" xr:uid="{E876955D-5F51-46B0-B7AA-A9164D7B648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5" authorId="6800" shapeId="0" xr:uid="{DCCC0C34-7D1A-45E1-AD6F-644F044436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<sst xmlns="http://schemas.openxmlformats.org/spreadsheetml/2006/main" count="25989" uniqueCount="963">
  <si>
    <t>Serial #</t>
  </si>
  <si>
    <t xml:space="preserve">Account Name </t>
  </si>
  <si>
    <t>PH Approval Date</t>
  </si>
  <si>
    <t>Reporting Date</t>
  </si>
  <si>
    <t>Honeywell</t>
  </si>
  <si>
    <t>ISUZU (UD Trucks)</t>
  </si>
  <si>
    <t xml:space="preserve">Not Reported </t>
  </si>
  <si>
    <t>Siemens - GBS</t>
  </si>
  <si>
    <t>Not approved</t>
  </si>
  <si>
    <t>Siemens - Advanta</t>
  </si>
  <si>
    <t>Robert Bosch</t>
  </si>
  <si>
    <t>NA</t>
  </si>
  <si>
    <t>Siemens - Energy</t>
  </si>
  <si>
    <t>HPE</t>
  </si>
  <si>
    <t>Ametek</t>
  </si>
  <si>
    <t>Titan</t>
  </si>
  <si>
    <t>BITS</t>
  </si>
  <si>
    <t>P&amp;G</t>
  </si>
  <si>
    <t>DP World</t>
  </si>
  <si>
    <t>TATA Electronics</t>
  </si>
  <si>
    <t>Royal Enfield</t>
  </si>
  <si>
    <t>Ingram Micro</t>
  </si>
  <si>
    <t>Wipro</t>
  </si>
  <si>
    <t>NomiSo</t>
  </si>
  <si>
    <t>NA - Hiring on-hold</t>
  </si>
  <si>
    <t>SBI Card</t>
  </si>
  <si>
    <t>SKF</t>
  </si>
  <si>
    <t>Jindal</t>
  </si>
  <si>
    <t>Tata Motors</t>
  </si>
  <si>
    <t>Inactive Account</t>
  </si>
  <si>
    <t>Vertiv Energy</t>
  </si>
  <si>
    <t>Thyssenkrupp</t>
  </si>
  <si>
    <t>TATA Marco Polo</t>
  </si>
  <si>
    <t>Schaeffler</t>
  </si>
  <si>
    <t>M&amp;M</t>
  </si>
  <si>
    <t>Mahindra Holidays</t>
  </si>
  <si>
    <t>Pidilite</t>
  </si>
  <si>
    <t>TATA Power</t>
  </si>
  <si>
    <t>NA - Project On-hold</t>
  </si>
  <si>
    <t>Birla Paints</t>
  </si>
  <si>
    <t>Fedex</t>
  </si>
  <si>
    <t>AMNS</t>
  </si>
  <si>
    <t>TATA Tele</t>
  </si>
  <si>
    <t>WTW</t>
  </si>
  <si>
    <t>Pfizer</t>
  </si>
  <si>
    <t>Excelacom</t>
  </si>
  <si>
    <t>Moved to Enrichment Platform</t>
  </si>
  <si>
    <t>Hyundai</t>
  </si>
  <si>
    <t>Maruti Suzuki</t>
  </si>
  <si>
    <t>TATA Fiber</t>
  </si>
  <si>
    <t>NA - No Offer &amp; Joiner</t>
  </si>
  <si>
    <t>TATA Consumer</t>
  </si>
  <si>
    <t>Atomberg</t>
  </si>
  <si>
    <t>Subros</t>
  </si>
  <si>
    <t>Mahindra Finance</t>
  </si>
  <si>
    <t>Ashok Leyland</t>
  </si>
  <si>
    <t>Sterling tools</t>
  </si>
  <si>
    <t>RAG</t>
  </si>
  <si>
    <t>Reporting Status</t>
  </si>
  <si>
    <t>Validation Status</t>
  </si>
  <si>
    <t xml:space="preserve">MET % </t>
  </si>
  <si>
    <t>Not Reported</t>
  </si>
  <si>
    <t>Not Validated</t>
  </si>
  <si>
    <t>&lt; 50%</t>
  </si>
  <si>
    <t>Not Applicable</t>
  </si>
  <si>
    <t>Partially Validated</t>
  </si>
  <si>
    <t>&gt; = 50% - &lt; 75%</t>
  </si>
  <si>
    <t>Reported</t>
  </si>
  <si>
    <t>Validated</t>
  </si>
  <si>
    <t>&gt; = 75 %</t>
  </si>
  <si>
    <t>* MET% - %(Total MET Metrics / Total Metrics Reported) (([Excludes - NA &amp; Not Reported]))</t>
  </si>
  <si>
    <t>** Accounts : &lt; = 6months of Go-Live will have no RAG, Only MET % will be reported</t>
  </si>
  <si>
    <t>*** All Metrics will have equal weightages for calculations (SLA or KPI)</t>
  </si>
  <si>
    <t>April 2024</t>
  </si>
  <si>
    <t>May 2024</t>
  </si>
  <si>
    <t>June 2024</t>
  </si>
  <si>
    <t>AMJ 2024</t>
  </si>
  <si>
    <t>July 2024</t>
  </si>
  <si>
    <t>August 2024</t>
  </si>
  <si>
    <t>September 2024</t>
  </si>
  <si>
    <t>JAS 2024</t>
  </si>
  <si>
    <t>Oct 2024</t>
  </si>
  <si>
    <t>Nov 2024</t>
  </si>
  <si>
    <t>Dec 2024</t>
  </si>
  <si>
    <t>OND 2024</t>
  </si>
  <si>
    <t>Jan 2025</t>
  </si>
  <si>
    <t>Feb 2025</t>
  </si>
  <si>
    <t>Mar 2025</t>
  </si>
  <si>
    <t>JFM 2025</t>
  </si>
  <si>
    <t>YTD 2024-2025</t>
  </si>
  <si>
    <t>June 2025</t>
  </si>
  <si>
    <t>AMJ-25</t>
  </si>
  <si>
    <t>July 2025</t>
  </si>
  <si>
    <t>YTD 2025-2026</t>
  </si>
  <si>
    <t xml:space="preserve">Region Name </t>
  </si>
  <si>
    <t>PH</t>
  </si>
  <si>
    <t xml:space="preserve">Audit Status </t>
  </si>
  <si>
    <t>Overall MET%</t>
  </si>
  <si>
    <t>Contractual Non- Penalty MET%</t>
  </si>
  <si>
    <t>Contractual Penalty MET%</t>
  </si>
  <si>
    <t>Internal KPI MET%</t>
  </si>
  <si>
    <t xml:space="preserve">Bangalore </t>
  </si>
  <si>
    <t>Sulabh</t>
  </si>
  <si>
    <t>NR</t>
  </si>
  <si>
    <t>Chennai</t>
  </si>
  <si>
    <t>Krishna</t>
  </si>
  <si>
    <t>North</t>
  </si>
  <si>
    <t>-</t>
  </si>
  <si>
    <t>Pune</t>
  </si>
  <si>
    <t>Shweta</t>
  </si>
  <si>
    <t>Mumbai &amp; Gujrat</t>
  </si>
  <si>
    <t>Elton</t>
  </si>
  <si>
    <t>Alifiya</t>
  </si>
  <si>
    <t>Usha</t>
  </si>
  <si>
    <t>Mahak</t>
  </si>
  <si>
    <t>Megha Joshi</t>
  </si>
  <si>
    <t>Kirti</t>
  </si>
  <si>
    <t>Reddy Bapi</t>
  </si>
  <si>
    <t>Geetu Lalwani</t>
  </si>
  <si>
    <t>April 2025</t>
  </si>
  <si>
    <t>May 2025</t>
  </si>
  <si>
    <t>AMJ 2025</t>
  </si>
  <si>
    <t>Aug 2025</t>
  </si>
  <si>
    <t xml:space="preserve"> </t>
  </si>
  <si>
    <t>Region</t>
  </si>
  <si>
    <t>BE SPOC</t>
  </si>
  <si>
    <t>Go-Live Date</t>
  </si>
  <si>
    <t>Tenure - In Weeks</t>
  </si>
  <si>
    <t xml:space="preserve">Validation Status </t>
  </si>
  <si>
    <t>Contractual NonNA Penalty MET%</t>
  </si>
  <si>
    <t>Contractual Non Penalty MET%</t>
  </si>
  <si>
    <t>Bapi Reddy</t>
  </si>
  <si>
    <t>Mehvish</t>
  </si>
  <si>
    <t>Geetu</t>
  </si>
  <si>
    <t>Usha Shetty</t>
  </si>
  <si>
    <t>FOS &amp; IT</t>
  </si>
  <si>
    <t>Bridgestone</t>
  </si>
  <si>
    <t>SR.</t>
  </si>
  <si>
    <t>Project</t>
  </si>
  <si>
    <t>Practice Head</t>
  </si>
  <si>
    <t>Category</t>
  </si>
  <si>
    <t>Category Sub Type</t>
  </si>
  <si>
    <t>Penalty</t>
  </si>
  <si>
    <t>Metrics to be picked of BE Score (Measure Name as per standard Metrics)</t>
  </si>
  <si>
    <t xml:space="preserve">Metric Type </t>
  </si>
  <si>
    <t xml:space="preserve">Performance Measure </t>
  </si>
  <si>
    <t>Target</t>
  </si>
  <si>
    <t>Metric Definition</t>
  </si>
  <si>
    <t>Calculation Method</t>
  </si>
  <si>
    <t>Measurement System</t>
  </si>
  <si>
    <t>Apr24 Score</t>
  </si>
  <si>
    <t>Apr MET/NOT_MET</t>
  </si>
  <si>
    <t>May24 Score</t>
  </si>
  <si>
    <t>May MET/NOT_MET</t>
  </si>
  <si>
    <t>June24 Score</t>
  </si>
  <si>
    <t>June MET/NOT_MET</t>
  </si>
  <si>
    <t>July24 Score</t>
  </si>
  <si>
    <t>July MET/NOT_MET</t>
  </si>
  <si>
    <t>Aug24 Score</t>
  </si>
  <si>
    <t>Aug MET/NOT_MET</t>
  </si>
  <si>
    <t>Sep24 Score</t>
  </si>
  <si>
    <t>Sep MET/NOT_MET</t>
  </si>
  <si>
    <t>JAS24 Score</t>
  </si>
  <si>
    <t>JAS MET/NOT_MET</t>
  </si>
  <si>
    <t>Oct24 Score</t>
  </si>
  <si>
    <t>Oct MET/NOT_MET</t>
  </si>
  <si>
    <t>Nov24 Score</t>
  </si>
  <si>
    <t>Nov MET/NOT_MET</t>
  </si>
  <si>
    <t>Dec24 Score</t>
  </si>
  <si>
    <t>Dec MET/NOT_MET</t>
  </si>
  <si>
    <t>OND 24 Score</t>
  </si>
  <si>
    <t>OND MET/NOT_MET</t>
  </si>
  <si>
    <t>Jan25 Score</t>
  </si>
  <si>
    <t>Jan MET/NOT_MET</t>
  </si>
  <si>
    <t>Feb25 Score</t>
  </si>
  <si>
    <t>Feb MET/NOT_MET</t>
  </si>
  <si>
    <t>March25 Score</t>
  </si>
  <si>
    <t>March MET/NOT_MET</t>
  </si>
  <si>
    <t>JFM'25 Score</t>
  </si>
  <si>
    <t>JFM MET/NOT_MET</t>
  </si>
  <si>
    <t>April25 Score</t>
  </si>
  <si>
    <t>April MET/NOT_MET</t>
  </si>
  <si>
    <t>May25 Score</t>
  </si>
  <si>
    <t>June25 Score</t>
  </si>
  <si>
    <t>AMJ25 Score</t>
  </si>
  <si>
    <t>AMJ MET/NOT_MET</t>
  </si>
  <si>
    <t>July25 Score</t>
  </si>
  <si>
    <t>Aug25 Score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</si>
  <si>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</si>
  <si>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</si>
  <si>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</si>
  <si>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</si>
  <si>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</si>
  <si>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</si>
  <si>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number of interviews scheduled with BM</t>
  </si>
  <si>
    <t>(Number of interviews scheduled within 0 -2 working days / total interviews)*100</t>
  </si>
  <si>
    <t xml:space="preserve">Manual Tracker - Campus Planner </t>
  </si>
  <si>
    <t>100% </t>
  </si>
  <si>
    <t>Met</t>
  </si>
  <si>
    <t xml:space="preserve">% campus interviews scheduled within timeline </t>
  </si>
  <si>
    <t>number of interviews scheduled with BM at campus</t>
  </si>
  <si>
    <t>(Number of interviews scheduled within 1 week of previous round/ total number of interviews scheduled)*100</t>
  </si>
  <si>
    <t xml:space="preserve">% candidates informed about required documents within timeline for external committee round </t>
  </si>
  <si>
    <t>Candidates informed about required documentation for offer generation</t>
  </si>
  <si>
    <t>(Number of selected candidates informed within 0 - 1 working day/ total candidates selected) *100</t>
  </si>
  <si>
    <t>% candidates informed about required documents within timeline for offer</t>
  </si>
  <si>
    <t>(Number of selected candidates informed within 0 - 2working day/ total candidates selected) *100</t>
  </si>
  <si>
    <t>Manual Tracker</t>
  </si>
  <si>
    <t xml:space="preserve">% resumes parsed and validated within timeline </t>
  </si>
  <si>
    <t xml:space="preserve">Parsing and validating resumes </t>
  </si>
  <si>
    <t>(Number of resumes validated within a day/total resumes received)*100</t>
  </si>
  <si>
    <t>Manual Tracker- Dashboard</t>
  </si>
  <si>
    <t>Yes</t>
  </si>
  <si>
    <t>Time to Fill</t>
  </si>
  <si>
    <t>Speed</t>
  </si>
  <si>
    <t>*TTF of &lt;33 days B3+</t>
  </si>
  <si>
    <t>&lt;33 Days</t>
  </si>
  <si>
    <t>Requisition To Offer released</t>
  </si>
  <si>
    <t>Offer release date - Reqs creation</t>
  </si>
  <si>
    <t>CSOD tool</t>
  </si>
  <si>
    <t>27 Days</t>
  </si>
  <si>
    <t>28 days</t>
  </si>
  <si>
    <t>29 Days</t>
  </si>
  <si>
    <t>25 days</t>
  </si>
  <si>
    <t>29 days</t>
  </si>
  <si>
    <t>27 days</t>
  </si>
  <si>
    <t>29.6 days</t>
  </si>
  <si>
    <t>26 days</t>
  </si>
  <si>
    <t>24 days</t>
  </si>
  <si>
    <t xml:space="preserve">*TTF of &lt;27 days B 0-2 </t>
  </si>
  <si>
    <t>&lt;27 Days</t>
  </si>
  <si>
    <t>10 Days</t>
  </si>
  <si>
    <t>19 days</t>
  </si>
  <si>
    <t>20 Days</t>
  </si>
  <si>
    <t>17 days</t>
  </si>
  <si>
    <t>20 days</t>
  </si>
  <si>
    <t>22 days</t>
  </si>
  <si>
    <t>21 days</t>
  </si>
  <si>
    <t>18 days</t>
  </si>
  <si>
    <t>16 days</t>
  </si>
  <si>
    <t>* TTF of 24 days Internal only</t>
  </si>
  <si>
    <t>14 Days</t>
  </si>
  <si>
    <t>13 days</t>
  </si>
  <si>
    <t>13 Days</t>
  </si>
  <si>
    <t>14 days</t>
  </si>
  <si>
    <t>12 days</t>
  </si>
  <si>
    <t xml:space="preserve">Ageing </t>
  </si>
  <si>
    <t>&lt;15% with 46+ days</t>
  </si>
  <si>
    <t>&lt;15%</t>
  </si>
  <si>
    <t>Open Requisition Aging</t>
  </si>
  <si>
    <t>Greater than 33 days/ total no of open req</t>
  </si>
  <si>
    <t>Not Met</t>
  </si>
  <si>
    <t>new hire leavers in first 3 months / total new hires within same timeframe</t>
  </si>
  <si>
    <t>&lt;5%</t>
  </si>
  <si>
    <t>New Hire Retention</t>
  </si>
  <si>
    <t>Direct number comes from tool</t>
  </si>
  <si>
    <t>Not reported</t>
  </si>
  <si>
    <t>Diversity (Optional)</t>
  </si>
  <si>
    <t>D&amp;I</t>
  </si>
  <si>
    <t>Diversity</t>
  </si>
  <si>
    <t>&gt;85%</t>
  </si>
  <si>
    <t>Candidate Slate</t>
  </si>
  <si>
    <t>Candidate SAT (Optional)</t>
  </si>
  <si>
    <t>Experience</t>
  </si>
  <si>
    <t>CSAT</t>
  </si>
  <si>
    <t>&gt;=4.5</t>
  </si>
  <si>
    <t>Candidate Experience Rating</t>
  </si>
  <si>
    <t>CSAT Score as per the report</t>
  </si>
  <si>
    <t>Hiring Manager SAT (Optional)</t>
  </si>
  <si>
    <t xml:space="preserve">Experience </t>
  </si>
  <si>
    <t>HM SAT Average score of minimum 4.5</t>
  </si>
  <si>
    <t>Hiring Manager Experience Rating</t>
  </si>
  <si>
    <t>HM SAT Score as per the report</t>
  </si>
  <si>
    <t>Internal KPI</t>
  </si>
  <si>
    <t>Time to Hire</t>
  </si>
  <si>
    <t>50 Days</t>
  </si>
  <si>
    <t>Number of Days from (Date of Requisition assigned to till Day1 of Joining)</t>
  </si>
  <si>
    <t xml:space="preserve"> (Month) Number of Days from (Candidate Joining - Date of Requisition assigned)</t>
  </si>
  <si>
    <t>49 days</t>
  </si>
  <si>
    <t>48 days</t>
  </si>
  <si>
    <t>47 days</t>
  </si>
  <si>
    <t>43 days</t>
  </si>
  <si>
    <t>42 days</t>
  </si>
  <si>
    <t>39 days</t>
  </si>
  <si>
    <t>First Time Right Ratio</t>
  </si>
  <si>
    <t>Quality</t>
  </si>
  <si>
    <t>Not Shared</t>
  </si>
  <si>
    <t xml:space="preserve">Screening shortlisted profiles by HM against total profiles shared </t>
  </si>
  <si>
    <t xml:space="preserve"> (Month) Total screening shortlisted by HM / Total CVs shared by recruiter</t>
  </si>
  <si>
    <t>Hit Ratio</t>
  </si>
  <si>
    <t>Final selected profiles by HM against total profiles shared</t>
  </si>
  <si>
    <t xml:space="preserve"> (Month) Final selects by HM / Total CVs shared by recruiter</t>
  </si>
  <si>
    <t>Offer Drop</t>
  </si>
  <si>
    <t>Efficiency</t>
  </si>
  <si>
    <t xml:space="preserve">Offers declined or revoked against total offers released </t>
  </si>
  <si>
    <t>(Month) Number of offers declined + revoked / (Number of offers released (Pending + Rejected/Revoked + Accepted)</t>
  </si>
  <si>
    <t xml:space="preserve">Fulfilment </t>
  </si>
  <si>
    <t>Target Joiners against total open requisitions (monthly/quarterly)</t>
  </si>
  <si>
    <t xml:space="preserve">(Month/Quarter) Number of Joiners / Total Open Requisitions </t>
  </si>
  <si>
    <t>Megha</t>
  </si>
  <si>
    <t>Category (A)</t>
  </si>
  <si>
    <t>Time to Fill (Offer Acceptance) Band - O &amp;M</t>
  </si>
  <si>
    <t>85% of the positions closed in 40 days</t>
  </si>
  <si>
    <t>Blended - O &amp; M 
(Requisition CTQ Approval Date to Final Offer Acceptance Date)</t>
  </si>
  <si>
    <t>%[Month (Number of positions offered under target days / Total positions offered under target days)]</t>
  </si>
  <si>
    <t>Band - O (85% of the positions closed in 35 days)</t>
  </si>
  <si>
    <t>Band O
(Requisition CTQ Approval Date to Final Offer Acceptance Date)</t>
  </si>
  <si>
    <t>Band - M (85% of the positions closed in 45 days)</t>
  </si>
  <si>
    <t>Band M
(Requisition CTQ Approval Date to Final Offer Acceptance Date)</t>
  </si>
  <si>
    <t>Band - DH &amp; Above (85% of the positions closed in 55 days)</t>
  </si>
  <si>
    <t>Band DH &amp; Above
(Requisition CTQ Approval Date to Final Offer Acceptance Date)</t>
  </si>
  <si>
    <t>1:06</t>
  </si>
  <si>
    <t>1:05</t>
  </si>
  <si>
    <t> </t>
  </si>
  <si>
    <t>Source Mix</t>
  </si>
  <si>
    <t>50% Non-Paid</t>
  </si>
  <si>
    <t xml:space="preserve">Non Paid Channels </t>
  </si>
  <si>
    <t>[Month (Number of positions at joined stage through non-paid channels / Total number of positions at joined stage)]</t>
  </si>
  <si>
    <t>Satisfaction Survey</t>
  </si>
  <si>
    <t>75% (3.5 on 5 point scale)
Participation Benchmark: 30%</t>
  </si>
  <si>
    <t>Hiring Manager Satisfaction Score - HR &amp; line managers</t>
  </si>
  <si>
    <t>Quarterly [% Top Two Boxes Score]</t>
  </si>
  <si>
    <t xml:space="preserve">To be initiated </t>
  </si>
  <si>
    <t xml:space="preserve">NA </t>
  </si>
  <si>
    <t>Women Diversity - Lateral</t>
  </si>
  <si>
    <t>[Month (Total Number of Women lateral hires / Total number of overall lateral hires)]</t>
  </si>
  <si>
    <t>Ageing</t>
  </si>
  <si>
    <t>% Positions that are open outside target TTF Days (minus Reqs. at offer stage)</t>
  </si>
  <si>
    <t>[Month (Number of positions open beyond TTF target days / YTD Total positions open)]</t>
  </si>
  <si>
    <t xml:space="preserve">90 Days </t>
  </si>
  <si>
    <t xml:space="preserve">72 Days </t>
  </si>
  <si>
    <t xml:space="preserve">75 Days </t>
  </si>
  <si>
    <t>86 Days</t>
  </si>
  <si>
    <t xml:space="preserve">74 Days </t>
  </si>
  <si>
    <t>69 Days</t>
  </si>
  <si>
    <t>78 Days</t>
  </si>
  <si>
    <t xml:space="preserve">60 Days </t>
  </si>
  <si>
    <t xml:space="preserve">66 Days </t>
  </si>
  <si>
    <t xml:space="preserve">64 Days </t>
  </si>
  <si>
    <t xml:space="preserve">82 Days </t>
  </si>
  <si>
    <t xml:space="preserve">45 Days </t>
  </si>
  <si>
    <t xml:space="preserve">Time taken from requisition assignment until candidate accepts offer </t>
  </si>
  <si>
    <t xml:space="preserve"> (Month) Number of Days from (Offer Acceptance - Date of Requisition assigned)</t>
  </si>
  <si>
    <t xml:space="preserve">31 Days </t>
  </si>
  <si>
    <t xml:space="preserve">29 Days </t>
  </si>
  <si>
    <t xml:space="preserve">28 Days </t>
  </si>
  <si>
    <t>31 Days</t>
  </si>
  <si>
    <t>23 Days</t>
  </si>
  <si>
    <t xml:space="preserve">32 Days </t>
  </si>
  <si>
    <t xml:space="preserve">36 Days </t>
  </si>
  <si>
    <t>Fulfilment Ratio</t>
  </si>
  <si>
    <t>No of positions closed/No of positions to be closed in month</t>
  </si>
  <si>
    <t>No. of positions closed/ No. of Target positions to be closed in a month</t>
  </si>
  <si>
    <t xml:space="preserve">Not met </t>
  </si>
  <si>
    <t>Time to Fill(%)</t>
  </si>
  <si>
    <t>No of positions closed within Time to fill SLA/ Total number of positions closed in a month</t>
  </si>
  <si>
    <t>30 Days</t>
  </si>
  <si>
    <t>11 Days</t>
  </si>
  <si>
    <t xml:space="preserve">37 Days </t>
  </si>
  <si>
    <t xml:space="preserve">38 Days </t>
  </si>
  <si>
    <t>34 Days</t>
  </si>
  <si>
    <t>45 Days</t>
  </si>
  <si>
    <t xml:space="preserve">22 Days </t>
  </si>
  <si>
    <t xml:space="preserve">56 Days </t>
  </si>
  <si>
    <t>72 Days</t>
  </si>
  <si>
    <t>&gt;75%</t>
  </si>
  <si>
    <t xml:space="preserve">Not Met </t>
  </si>
  <si>
    <t xml:space="preserve">Target not shared </t>
  </si>
  <si>
    <t xml:space="preserve">Requisitions that are open beyond target Time to Fill (Offer) </t>
  </si>
  <si>
    <t xml:space="preserve"> (Month) Number of positions open beyond TTF target days / Total positions open</t>
  </si>
  <si>
    <t>90 Days</t>
  </si>
  <si>
    <t>141 Days</t>
  </si>
  <si>
    <t>143 Days</t>
  </si>
  <si>
    <t>123 days</t>
  </si>
  <si>
    <t>91 days</t>
  </si>
  <si>
    <t>121 days</t>
  </si>
  <si>
    <t>74 days</t>
  </si>
  <si>
    <t>41days</t>
  </si>
  <si>
    <t>Adherence to Post Offer Joining Formalities</t>
  </si>
  <si>
    <t>&gt; = 95%</t>
  </si>
  <si>
    <t>Post Offer Joining Formalities completion - include Eform Raising; AMEX Card, IT &amp; ID/Access Card Processing</t>
  </si>
  <si>
    <t>No of People completing post offer joining formalities/Total no joining's on DOJ</t>
  </si>
  <si>
    <t>Building Team's Capability</t>
  </si>
  <si>
    <t>Capability Sessions for Team</t>
  </si>
  <si>
    <t>2 Hrs. Training</t>
  </si>
  <si>
    <t>Logistics Management</t>
  </si>
  <si>
    <t>Within Budget</t>
  </si>
  <si>
    <t>Per travel within Budget</t>
  </si>
  <si>
    <t>Logistics Tracker</t>
  </si>
  <si>
    <t>Process Compliances*</t>
  </si>
  <si>
    <t>&gt; 95%</t>
  </si>
  <si>
    <t xml:space="preserve">Personal File Completion : 
- All docs on DOJ except
- APL in 7 days from DOJ
- Training Certificates in 30 days from DOJ 
</t>
  </si>
  <si>
    <t>No Files completed/Total Files Required</t>
  </si>
  <si>
    <t>Taleo Updated within 5 days of event</t>
  </si>
  <si>
    <t>within 5 days of event</t>
  </si>
  <si>
    <t>Taleo Report( Maintained by Client)</t>
  </si>
  <si>
    <t>Pfizer (FLM/RBM)</t>
  </si>
  <si>
    <t>Sourcing</t>
  </si>
  <si>
    <t>&lt; = 5 Days</t>
  </si>
  <si>
    <t>Requisition to First Set of CVs shared</t>
  </si>
  <si>
    <t>Days(Date of Requisition till First Set of CVs shared)</t>
  </si>
  <si>
    <t xml:space="preserve">3 Days </t>
  </si>
  <si>
    <t xml:space="preserve">2 Days </t>
  </si>
  <si>
    <t>Level 1 Interview</t>
  </si>
  <si>
    <t>CV Shortlisting to Level 1 Interview</t>
  </si>
  <si>
    <t>Days (CV Shortlisting to Level 1 Interview)</t>
  </si>
  <si>
    <t>Level 2 Interview</t>
  </si>
  <si>
    <t>Level 1 Interview to Level 2 Interview</t>
  </si>
  <si>
    <t>Days (Level 1 Interview to Level 2 Interview)</t>
  </si>
  <si>
    <t>Selection to Offer (Offer Roll out, Negotiation &amp; Acceptance )</t>
  </si>
  <si>
    <t>&lt; = 5 days</t>
  </si>
  <si>
    <t>Final Selection  to Offer Rollout</t>
  </si>
  <si>
    <t>Days (Final Selection to Offer Rollout)</t>
  </si>
  <si>
    <t xml:space="preserve">5 Days </t>
  </si>
  <si>
    <t>Prejoining (Medical Test + Reference Checks)</t>
  </si>
  <si>
    <t>&lt; = 9 Days</t>
  </si>
  <si>
    <t>Offer Acceptance To Joining Candidates to Medical Test</t>
  </si>
  <si>
    <t>Days (Offer Acceptance To Joining Candidates to Medical Test)</t>
  </si>
  <si>
    <t xml:space="preserve">9 Days </t>
  </si>
  <si>
    <t xml:space="preserve">6 Days </t>
  </si>
  <si>
    <t>Hiring Cycle (Overall Offer)</t>
  </si>
  <si>
    <t>&lt;= 45 Days</t>
  </si>
  <si>
    <t>Number of days from Requisition to Joining</t>
  </si>
  <si>
    <t>Days (Requisition Date to Joining Date)</t>
  </si>
  <si>
    <t>Pfizer (FS &amp; FLM)</t>
  </si>
  <si>
    <t>Pfizer (FS)</t>
  </si>
  <si>
    <t>&lt; = 3 days</t>
  </si>
  <si>
    <t>2 Days</t>
  </si>
  <si>
    <t>2 days</t>
  </si>
  <si>
    <t>3 Days</t>
  </si>
  <si>
    <t>Prejoining (Medical Test + Reference Checks + Pre joining time)</t>
  </si>
  <si>
    <t>&lt; = 10 days</t>
  </si>
  <si>
    <t xml:space="preserve">8 Days </t>
  </si>
  <si>
    <t>8 Days</t>
  </si>
  <si>
    <t>7 Days</t>
  </si>
  <si>
    <t>Recruitment Cycle (Overall Joining)</t>
  </si>
  <si>
    <t>&lt; = 30 days</t>
  </si>
  <si>
    <t xml:space="preserve">39 Days </t>
  </si>
  <si>
    <t>37 Days</t>
  </si>
  <si>
    <t>24 Days</t>
  </si>
  <si>
    <t>28 Days</t>
  </si>
  <si>
    <t>33 Days</t>
  </si>
  <si>
    <t>18 Days</t>
  </si>
  <si>
    <t>&lt; = 25 Days</t>
  </si>
  <si>
    <t xml:space="preserve">Number of days from req to offer acceptance </t>
  </si>
  <si>
    <t>Days (date of req till offer acceptance)</t>
  </si>
  <si>
    <t xml:space="preserve">21 Days </t>
  </si>
  <si>
    <t>19 Days</t>
  </si>
  <si>
    <t>12 Days</t>
  </si>
  <si>
    <t>17 Days</t>
  </si>
  <si>
    <t>16 Days</t>
  </si>
  <si>
    <t>6 Days</t>
  </si>
  <si>
    <t>Pfizer (FS/FLM/RBM)</t>
  </si>
  <si>
    <t xml:space="preserve">25 Days </t>
  </si>
  <si>
    <t>21 Days</t>
  </si>
  <si>
    <t xml:space="preserve">12 Days </t>
  </si>
  <si>
    <t xml:space="preserve">19 Days </t>
  </si>
  <si>
    <t xml:space="preserve">17 Days </t>
  </si>
  <si>
    <t>Pfizer (FS &amp; FLM) (Chennai)</t>
  </si>
  <si>
    <t xml:space="preserve">105 Days </t>
  </si>
  <si>
    <t xml:space="preserve">86 Days </t>
  </si>
  <si>
    <t xml:space="preserve">79 Days </t>
  </si>
  <si>
    <t xml:space="preserve">99 Days </t>
  </si>
  <si>
    <t xml:space="preserve">84 Days </t>
  </si>
  <si>
    <t>95 Days</t>
  </si>
  <si>
    <t xml:space="preserve">112 Days </t>
  </si>
  <si>
    <t xml:space="preserve">8 days </t>
  </si>
  <si>
    <t xml:space="preserve">35 Days </t>
  </si>
  <si>
    <t xml:space="preserve">34 Days </t>
  </si>
  <si>
    <t xml:space="preserve">27 Days </t>
  </si>
  <si>
    <t xml:space="preserve">30 Days </t>
  </si>
  <si>
    <t xml:space="preserve">33 Days </t>
  </si>
  <si>
    <t xml:space="preserve">10 Days </t>
  </si>
  <si>
    <t>Requisition To Offer Acceptance</t>
  </si>
  <si>
    <t>Days(Date of Requisition till Offer acceptance)</t>
  </si>
  <si>
    <t>Mumbai - 7%</t>
  </si>
  <si>
    <t xml:space="preserve">Women Hires against the total Hires  </t>
  </si>
  <si>
    <t xml:space="preserve">(Month) Total Women Joiners / Total Joiners </t>
  </si>
  <si>
    <t>40 Days</t>
  </si>
  <si>
    <t xml:space="preserve">47 Days </t>
  </si>
  <si>
    <t xml:space="preserve">50 Days </t>
  </si>
  <si>
    <t>61 Days</t>
  </si>
  <si>
    <t xml:space="preserve">57 Days </t>
  </si>
  <si>
    <t>67 Days</t>
  </si>
  <si>
    <t>64 Days</t>
  </si>
  <si>
    <t xml:space="preserve">85 Days </t>
  </si>
  <si>
    <t xml:space="preserve">114 Days </t>
  </si>
  <si>
    <t xml:space="preserve">69 Days </t>
  </si>
  <si>
    <t xml:space="preserve">98 Days </t>
  </si>
  <si>
    <t>87 Days</t>
  </si>
  <si>
    <t>88 Days</t>
  </si>
  <si>
    <t>81 Days</t>
  </si>
  <si>
    <t xml:space="preserve">40 Days </t>
  </si>
  <si>
    <t xml:space="preserve">110 Days </t>
  </si>
  <si>
    <t xml:space="preserve">126 Days </t>
  </si>
  <si>
    <t xml:space="preserve">127 Days </t>
  </si>
  <si>
    <t>139 Days</t>
  </si>
  <si>
    <t xml:space="preserve">18 Days </t>
  </si>
  <si>
    <t xml:space="preserve">15 Days </t>
  </si>
  <si>
    <t>25 Days</t>
  </si>
  <si>
    <t xml:space="preserve">26 Days </t>
  </si>
  <si>
    <t>44 Days</t>
  </si>
  <si>
    <t xml:space="preserve">76 Days </t>
  </si>
  <si>
    <t>73 Days</t>
  </si>
  <si>
    <t>Reqs Assignment date till Offer Acceptance</t>
  </si>
  <si>
    <t>&lt;10%</t>
  </si>
  <si>
    <t xml:space="preserve">52 Days </t>
  </si>
  <si>
    <t xml:space="preserve">67 Days </t>
  </si>
  <si>
    <t xml:space="preserve">48 Days </t>
  </si>
  <si>
    <t xml:space="preserve">55 Days </t>
  </si>
  <si>
    <t xml:space="preserve">63 Days </t>
  </si>
  <si>
    <t xml:space="preserve">41 Days </t>
  </si>
  <si>
    <t>Source Mix (PS)</t>
  </si>
  <si>
    <t>Source Mix (ER &amp; IJP)</t>
  </si>
  <si>
    <t>Employee Referral</t>
  </si>
  <si>
    <t>Profiles sourced through Employee referral</t>
  </si>
  <si>
    <t>HM SAT</t>
  </si>
  <si>
    <t>100 days</t>
  </si>
  <si>
    <t>98 Days</t>
  </si>
  <si>
    <t xml:space="preserve">93 Days </t>
  </si>
  <si>
    <t xml:space="preserve">96 Days </t>
  </si>
  <si>
    <t xml:space="preserve">103 Days </t>
  </si>
  <si>
    <t xml:space="preserve">89 Days </t>
  </si>
  <si>
    <t>93 Days</t>
  </si>
  <si>
    <t xml:space="preserve">81 Days </t>
  </si>
  <si>
    <t>01:06</t>
  </si>
  <si>
    <t>Supply of CVs</t>
  </si>
  <si>
    <t>Early Attrition</t>
  </si>
  <si>
    <t>Number of Days from (Date of Requisition assigned to till Joining)</t>
  </si>
  <si>
    <t>Number of final selections in the month/ Number of resumes presented in the month</t>
  </si>
  <si>
    <t>Turn Around Time (TAT) for Recruitment</t>
  </si>
  <si>
    <t xml:space="preserve">Time from requisition  received by Taggd to Offer Letter release </t>
  </si>
  <si>
    <t>&lt;=15%</t>
  </si>
  <si>
    <t>90% (Within 45days TTO)</t>
  </si>
  <si>
    <t>126 days</t>
  </si>
  <si>
    <t>133 days</t>
  </si>
  <si>
    <t>125 days</t>
  </si>
  <si>
    <t>77 Days</t>
  </si>
  <si>
    <t>157 days</t>
  </si>
  <si>
    <t xml:space="preserve">
Via Calculating Offer Released Route
(Month) Number of offers declined + revoked / (Number of offers released (Other Status + Rejected/Revoked + Accepted)</t>
  </si>
  <si>
    <t>100 Days</t>
  </si>
  <si>
    <t>Total Offers released/Total Joined</t>
  </si>
  <si>
    <t>75 Days</t>
  </si>
  <si>
    <t>76 Days</t>
  </si>
  <si>
    <t>48 Days</t>
  </si>
  <si>
    <t>51 Days</t>
  </si>
  <si>
    <t>56 Days</t>
  </si>
  <si>
    <t>54 Days</t>
  </si>
  <si>
    <t>Time to fill (till selection)
(Requisition to
 Offer
Acceptance)</t>
  </si>
  <si>
    <t>35 Days</t>
  </si>
  <si>
    <t>Offered Within TAT/Total Positions Assigned For The Month</t>
  </si>
  <si>
    <t>66 Days</t>
  </si>
  <si>
    <t>59 Days</t>
  </si>
  <si>
    <t>52 Days</t>
  </si>
  <si>
    <t>22 Days</t>
  </si>
  <si>
    <t>39 Days</t>
  </si>
  <si>
    <t>&lt;25%</t>
  </si>
  <si>
    <t>Women Hires against the total Hires</t>
  </si>
  <si>
    <t>70 Days</t>
  </si>
  <si>
    <t>Time taken to Onboard Candidate from Date of MPR recvd</t>
  </si>
  <si>
    <t>Number of Days from (Date of Requisition assigned till Cand Joined)</t>
  </si>
  <si>
    <t>78 days</t>
  </si>
  <si>
    <t>70 days</t>
  </si>
  <si>
    <t>65 days</t>
  </si>
  <si>
    <t>61 days</t>
  </si>
  <si>
    <t>67 days</t>
  </si>
  <si>
    <t>Time taken for candidate to accept the offer shared</t>
  </si>
  <si>
    <t>Number of Days from (Date of Requisition assigned till Offer Acceptance)</t>
  </si>
  <si>
    <t>40days</t>
  </si>
  <si>
    <t>45 days</t>
  </si>
  <si>
    <t>35 days</t>
  </si>
  <si>
    <t>38 days</t>
  </si>
  <si>
    <t>Offer to Joining %</t>
  </si>
  <si>
    <t>Interview to Offer Ratio</t>
  </si>
  <si>
    <t>ER 15%</t>
  </si>
  <si>
    <t>(Month) Number of offers declined + revoked / (Number of offers released (Other Status + Rejected/Revoked + Accepted)</t>
  </si>
  <si>
    <t>73 days</t>
  </si>
  <si>
    <t>83 days</t>
  </si>
  <si>
    <t>99 days</t>
  </si>
  <si>
    <t>60 Days</t>
  </si>
  <si>
    <t>Time taken to Offer Candidate from Date of MPR recvd</t>
  </si>
  <si>
    <t>54 days</t>
  </si>
  <si>
    <t>32 days</t>
  </si>
  <si>
    <t>53 days</t>
  </si>
  <si>
    <t>52 days</t>
  </si>
  <si>
    <t>Interview To Offer Ratio</t>
  </si>
  <si>
    <t>Total candidates interviewed to close position</t>
  </si>
  <si>
    <t>ER &gt;=15%</t>
  </si>
  <si>
    <t>Positions closed with Employee Referral &amp; IJP</t>
  </si>
  <si>
    <t>Position closed through Employee referral &amp; IJP</t>
  </si>
  <si>
    <t>Reqs assigned date-offer accept date</t>
  </si>
  <si>
    <t>30 days</t>
  </si>
  <si>
    <t>131 days</t>
  </si>
  <si>
    <t>110 days</t>
  </si>
  <si>
    <t>88 days</t>
  </si>
  <si>
    <t>141 days</t>
  </si>
  <si>
    <t>97 days</t>
  </si>
  <si>
    <t>Servify</t>
  </si>
  <si>
    <t>Ashish</t>
  </si>
  <si>
    <t>Source Mix : % Closed through Employee Referral</t>
  </si>
  <si>
    <t>Number of positions closed in the month through employee referral / No. of positions closed in the month</t>
  </si>
  <si>
    <t xml:space="preserve">43 Days </t>
  </si>
  <si>
    <t xml:space="preserve">42 Days </t>
  </si>
  <si>
    <t>36 Days</t>
  </si>
  <si>
    <t>43 Days</t>
  </si>
  <si>
    <t>42 Days</t>
  </si>
  <si>
    <t>65 Days</t>
  </si>
  <si>
    <t>38 Days</t>
  </si>
  <si>
    <t>32 Days</t>
  </si>
  <si>
    <t xml:space="preserve">83 Days </t>
  </si>
  <si>
    <t>79 Days</t>
  </si>
  <si>
    <t>Type 1 : 
Via Calculating Offer Accepts Route 
(Month) Number of offers declined + revoked / (Number of offers released (Pending + Rejected/Revoked + Accepted)</t>
  </si>
  <si>
    <t xml:space="preserve">Requisition to Joining  </t>
  </si>
  <si>
    <t>60 Days from offer acceptance</t>
  </si>
  <si>
    <t>Days(Offer accepted against a requisition till Joining)</t>
  </si>
  <si>
    <t>58 Days</t>
  </si>
  <si>
    <t>49 Days</t>
  </si>
  <si>
    <t>26 Days</t>
  </si>
  <si>
    <t>Fulfilment ratio (Requisition to Joining)</t>
  </si>
  <si>
    <t xml:space="preserve">Compensation framework adherence </t>
  </si>
  <si>
    <t>No. of positions offered within CTC range/ No. of positions offered</t>
  </si>
  <si>
    <t>First time right ratio ( FTR )</t>
  </si>
  <si>
    <t>Number of CV shortlisting by HM in the month/ Number of resumes presented to HM in the month</t>
  </si>
  <si>
    <t>74 Days</t>
  </si>
  <si>
    <t>47 Days</t>
  </si>
  <si>
    <t>63 Days</t>
  </si>
  <si>
    <t>57 Days</t>
  </si>
  <si>
    <t>&lt;=20%</t>
  </si>
  <si>
    <t>23 days</t>
  </si>
  <si>
    <t>41 Days</t>
  </si>
  <si>
    <t>30days</t>
  </si>
  <si>
    <t>34days</t>
  </si>
  <si>
    <t>29days</t>
  </si>
  <si>
    <t>Number Of Joining's / Number of Offers</t>
  </si>
  <si>
    <t>(Number of Joining's / Number of Offers)*100</t>
  </si>
  <si>
    <t>41 days</t>
  </si>
  <si>
    <t>22days</t>
  </si>
  <si>
    <t>17days</t>
  </si>
  <si>
    <t xml:space="preserve">Quarterly (Number of candidates onboarded against the requisitions received) </t>
  </si>
  <si>
    <t>Joiners / Requisitions allotted</t>
  </si>
  <si>
    <t>MG</t>
  </si>
  <si>
    <t>Minimum Guaranteed</t>
  </si>
  <si>
    <t>106 days</t>
  </si>
  <si>
    <t>115 days</t>
  </si>
  <si>
    <t>44 days</t>
  </si>
  <si>
    <t>Source Mix - ER</t>
  </si>
  <si>
    <t>From Intake meeting to time Candidate Accept the written offer</t>
  </si>
  <si>
    <t>manual Tracker</t>
  </si>
  <si>
    <t>58 days</t>
  </si>
  <si>
    <t>57 days</t>
  </si>
  <si>
    <t>63 days</t>
  </si>
  <si>
    <t>59 days</t>
  </si>
  <si>
    <t>66 days</t>
  </si>
  <si>
    <t>% Aged - Technical</t>
  </si>
  <si>
    <t>&lt;=25%</t>
  </si>
  <si>
    <t>% Position that are the open outside target TTOA SLA</t>
  </si>
  <si>
    <t>No. of positions open in &lt;55 Days/Total No. of positions open</t>
  </si>
  <si>
    <t>% Aged - Enterprise</t>
  </si>
  <si>
    <t>Average Reqs Volume per recruiter - Technical</t>
  </si>
  <si>
    <t>Average Number of jobs requisitions assigned to Recruiter/per month</t>
  </si>
  <si>
    <t>Average Reqs Volume per recruiter - Enterprise</t>
  </si>
  <si>
    <t>&lt;=30%</t>
  </si>
  <si>
    <t>Internal Hiring - Technical</t>
  </si>
  <si>
    <t>&gt;=30%</t>
  </si>
  <si>
    <t>Supplier to Support HPE Internal Hiring Goals</t>
  </si>
  <si>
    <t>* Number of Internal Hire in a month /Total Hire in a month</t>
  </si>
  <si>
    <t>Internal Hiring - Enterprise</t>
  </si>
  <si>
    <t>% Agency Utilization - Technical</t>
  </si>
  <si>
    <t>&lt;=10%</t>
  </si>
  <si>
    <t>Number of Requisition sent to Agency/Total Number of Agency</t>
  </si>
  <si>
    <t>Number of Agency Hire in a month/Total Hire in a month</t>
  </si>
  <si>
    <t>% Agency Utilization - Enterprise</t>
  </si>
  <si>
    <t>&lt;=5%</t>
  </si>
  <si>
    <t>Technical - (&gt;80% of filled to include at least one or more diverse candidate)</t>
  </si>
  <si>
    <t>provide pre-scanned diverse Candidate for manager review &amp; Action</t>
  </si>
  <si>
    <t>Enterprise - (&gt;80% of filled to include at least one or more diverse candidate)</t>
  </si>
  <si>
    <t>New Hire Satisfaction - Technical</t>
  </si>
  <si>
    <t>&gt;=90%</t>
  </si>
  <si>
    <t>Supplier to track New Hires satisfaction survey and maintain favourable rate</t>
  </si>
  <si>
    <t>New Hire Satisfaction - Enterprise</t>
  </si>
  <si>
    <t>Supplier to track stakeholder satisfaction survey and maintain favourable rate</t>
  </si>
  <si>
    <t>Supplier to track HPE HR talent Acquisition satisfaction survey and Maintain Favourable rate</t>
  </si>
  <si>
    <t xml:space="preserve">Source Mix </t>
  </si>
  <si>
    <t>A number of positions closed in the month through employee referral / No. of positions closed in the month</t>
  </si>
  <si>
    <t>A number of positions closed in the month through IJP / No. of positions closed in the month</t>
  </si>
  <si>
    <t>Technical - Not Shared</t>
  </si>
  <si>
    <t>Enterprise - Not Shared</t>
  </si>
  <si>
    <t>WTW (Ops)</t>
  </si>
  <si>
    <t>fulfilment Ratio</t>
  </si>
  <si>
    <t>Distribution of candidate joining through Taggd sourcing channel</t>
  </si>
  <si>
    <t>No. of candidates Joined through Taggd Sourcing Channel /Total no. of Joining</t>
  </si>
  <si>
    <t>15 Days</t>
  </si>
  <si>
    <t>Compensation Range Adherence</t>
  </si>
  <si>
    <t xml:space="preserve">% Offers within the agreed compensation ranges for agreed bands/roles </t>
  </si>
  <si>
    <t xml:space="preserve"> Offers made within agreed ranges/Total offers made within calendar month</t>
  </si>
  <si>
    <t xml:space="preserve">Hiring Manager Satisfaction </t>
  </si>
  <si>
    <t>Hiring manager satisfaction rating 7 &amp; above on a rating scale of 1-10</t>
  </si>
  <si>
    <t>WTW (Tech)</t>
  </si>
  <si>
    <t>WTW (Ops &amp; Tech)</t>
  </si>
  <si>
    <t xml:space="preserve">88 Days </t>
  </si>
  <si>
    <t xml:space="preserve">119 Days </t>
  </si>
  <si>
    <t xml:space="preserve">49 Days </t>
  </si>
  <si>
    <t xml:space="preserve">47 days </t>
  </si>
  <si>
    <t>46 Days</t>
  </si>
  <si>
    <t>62 Days</t>
  </si>
  <si>
    <t>60 days</t>
  </si>
  <si>
    <t>Ultratech</t>
  </si>
  <si>
    <t>Attrition within first 90 Days</t>
  </si>
  <si>
    <t>Resource Cost</t>
  </si>
  <si>
    <t xml:space="preserve">Offered CTC within Salary Ranges for 100% population </t>
  </si>
  <si>
    <t>Number of women diversity offers released/Total Offers Released</t>
  </si>
  <si>
    <t>% of Female Candidates (female cdds offered/Total offer)</t>
  </si>
  <si>
    <t>Hiring Manager SAT</t>
  </si>
  <si>
    <t>&gt;=80%</t>
  </si>
  <si>
    <t>Evaluating the level of contentment among hiring managers with the recruitment process and candidate selections."</t>
  </si>
  <si>
    <t xml:space="preserve">Top 3 box SAT Score on overall satisfaction </t>
  </si>
  <si>
    <t>Survey measures the level of contentment and feedback from candidates regarding the recruitment process</t>
  </si>
  <si>
    <t>% of candidates/Hiring Managers in Happy Category vis a vis total survey responses</t>
  </si>
  <si>
    <t>1 Day</t>
  </si>
  <si>
    <t>53 Days</t>
  </si>
  <si>
    <t>FTR (Recruiter Screening to HM Shortlisting Ratio)</t>
  </si>
  <si>
    <t>CV Adequacy : Number of CV's presented against each requisition</t>
  </si>
  <si>
    <t>CV Adequacy is the ratio of CVs presented to the total number of requisitions, expressed as a percentage, assessing the sufficiency of CV submissions for each job opening.</t>
  </si>
  <si>
    <t>Number of CVs Presented / Total Number of Requisitions</t>
  </si>
  <si>
    <t>89 Days</t>
  </si>
  <si>
    <t>119 Days</t>
  </si>
  <si>
    <t>99 Days</t>
  </si>
  <si>
    <t>113 Days</t>
  </si>
  <si>
    <t xml:space="preserve">107 Days </t>
  </si>
  <si>
    <t xml:space="preserve">101 Days </t>
  </si>
  <si>
    <t>107 Days</t>
  </si>
  <si>
    <t>105 Days</t>
  </si>
  <si>
    <t>117 Days</t>
  </si>
  <si>
    <t xml:space="preserve">94 Days </t>
  </si>
  <si>
    <t>125 Days</t>
  </si>
  <si>
    <t xml:space="preserve">140 Days </t>
  </si>
  <si>
    <t>149 Days</t>
  </si>
  <si>
    <t xml:space="preserve">139 Days </t>
  </si>
  <si>
    <t xml:space="preserve">136 Days </t>
  </si>
  <si>
    <t xml:space="preserve">150 Days </t>
  </si>
  <si>
    <t xml:space="preserve">158 Days </t>
  </si>
  <si>
    <t xml:space="preserve">154 Days </t>
  </si>
  <si>
    <t xml:space="preserve">188 Days </t>
  </si>
  <si>
    <t xml:space="preserve">115 Days </t>
  </si>
  <si>
    <t xml:space="preserve">164 Days </t>
  </si>
  <si>
    <t xml:space="preserve">146 Days </t>
  </si>
  <si>
    <t>TITAN</t>
  </si>
  <si>
    <t>Target not shared</t>
  </si>
  <si>
    <t xml:space="preserve">59 Days </t>
  </si>
  <si>
    <t xml:space="preserve">58 Days </t>
  </si>
  <si>
    <t>&gt;=70%</t>
  </si>
  <si>
    <t>&gt;=12%</t>
  </si>
  <si>
    <t>Offers declined or revoked against total offers released</t>
  </si>
  <si>
    <t>Top 2 box SAT Score on overall satisfaction</t>
  </si>
  <si>
    <t>(Month) Top 2 Box Score / Total responses</t>
  </si>
  <si>
    <t xml:space="preserve">Not reported </t>
  </si>
  <si>
    <t xml:space="preserve">68 Days </t>
  </si>
  <si>
    <t>151 Days</t>
  </si>
  <si>
    <t>68 Days</t>
  </si>
  <si>
    <t>71 Days</t>
  </si>
  <si>
    <t>55 Days</t>
  </si>
  <si>
    <t xml:space="preserve">53 Days </t>
  </si>
  <si>
    <t xml:space="preserve">54 Days </t>
  </si>
  <si>
    <t>Time to Fill Overall</t>
  </si>
  <si>
    <t>Time to Fill (Band-6)</t>
  </si>
  <si>
    <t>Time to Fill (Band-5)</t>
  </si>
  <si>
    <t>Time to Fill (Band-4)</t>
  </si>
  <si>
    <t>Time to Fill (Band-3)</t>
  </si>
  <si>
    <t>Time to Fill (Band-2)</t>
  </si>
  <si>
    <t>108 Days</t>
  </si>
  <si>
    <t>101 Days</t>
  </si>
  <si>
    <t>85 Days</t>
  </si>
  <si>
    <t xml:space="preserve"> Type 1 : 
Via Calculating Offer Accepts Route 
(Month) Number of offers declined + revoked / (Number of offers released (Pending + Rejected/Revoked + Accepted)</t>
  </si>
  <si>
    <t xml:space="preserve">Women Joiners/Total Joiners for the month </t>
  </si>
  <si>
    <t>84 Days</t>
  </si>
  <si>
    <t>33 days</t>
  </si>
  <si>
    <t>20 per month</t>
  </si>
  <si>
    <t>243 Days</t>
  </si>
  <si>
    <t xml:space="preserve">144 Days </t>
  </si>
  <si>
    <t>1:10</t>
  </si>
  <si>
    <t>diversity</t>
  </si>
  <si>
    <t>Time to Hire (Sales)</t>
  </si>
  <si>
    <t>42  Days</t>
  </si>
  <si>
    <t>Time to Fill (Sales)</t>
  </si>
  <si>
    <t>Time to Hire (Manuf)</t>
  </si>
  <si>
    <t>80 Days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</si>
  <si>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</si>
  <si>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</si>
  <si>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</si>
  <si>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</si>
  <si>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</si>
  <si>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</si>
  <si>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</si>
  <si>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</si>
  <si>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</si>
  <si>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</si>
  <si>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</si>
  <si>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</si>
  <si>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</si>
  <si>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</si>
  <si>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</si>
  <si>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</si>
  <si>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</si>
  <si>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</si>
  <si>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</si>
  <si>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</si>
  <si>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</si>
  <si>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</si>
  <si>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</si>
  <si>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</si>
  <si>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</si>
  <si>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</si>
  <si>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</si>
  <si>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</si>
  <si>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</si>
  <si>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</si>
  <si>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</si>
  <si>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</si>
  <si>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</si>
  <si>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</si>
  <si>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</si>
  <si>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</si>
  <si>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</si>
  <si>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</si>
  <si>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</si>
  <si>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</si>
  <si>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</si>
  <si>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</si>
  <si>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</si>
  <si>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</si>
  <si>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</si>
  <si>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</si>
  <si>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</si>
  <si>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</si>
  <si>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</si>
  <si>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51 Days </t>
  </si>
  <si>
    <t>TTF</t>
  </si>
  <si>
    <t>Time to Supply</t>
  </si>
  <si>
    <t>5 profile in 7 days</t>
  </si>
  <si>
    <t>Selection to Offer</t>
  </si>
  <si>
    <t>TTH</t>
  </si>
  <si>
    <t>HM-SAT</t>
  </si>
  <si>
    <t>76 days</t>
  </si>
  <si>
    <t>JAS25 Score</t>
  </si>
  <si>
    <t>Sep25 Score</t>
  </si>
  <si>
    <t>Sep 2025</t>
  </si>
  <si>
    <t>JAS 2025</t>
  </si>
  <si>
    <t>25days</t>
  </si>
  <si>
    <t>20days</t>
  </si>
  <si>
    <t>21days</t>
  </si>
  <si>
    <t>JAS-2025</t>
  </si>
  <si>
    <t>Oct25 Score</t>
  </si>
  <si>
    <t>SKF Industrial</t>
  </si>
  <si>
    <t>Oct 2025</t>
  </si>
  <si>
    <t xml:space="preserve">70 </t>
  </si>
  <si>
    <t>45  for TM</t>
  </si>
  <si>
    <t>60  for Process Heads</t>
  </si>
  <si>
    <t>90  for leadership</t>
  </si>
  <si>
    <t>Time to Fill Band - O (85% of the positions closed in 35 days)</t>
  </si>
  <si>
    <t xml:space="preserve">Time to Fill Sales &amp; ICA - 30 </t>
  </si>
  <si>
    <t xml:space="preserve">Time to Fill Manufacturing - 45 </t>
  </si>
  <si>
    <t xml:space="preserve">Time to Fill Corporate - 45 </t>
  </si>
  <si>
    <t xml:space="preserve">Time to Fill Technical - 55 </t>
  </si>
  <si>
    <t>Time to Fill Enterprise - 45</t>
  </si>
  <si>
    <t>Time to Hire Sales &amp; ICA</t>
  </si>
  <si>
    <t>Time to Hire Manufacturing</t>
  </si>
  <si>
    <t>Time to Hire Corporate</t>
  </si>
  <si>
    <t>&lt; = 40 days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</si>
  <si>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</si>
  <si>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</si>
  <si>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</si>
  <si>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</si>
  <si>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</si>
  <si>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</si>
  <si>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135 Days</t>
  </si>
  <si>
    <t xml:space="preserve">135 Days </t>
  </si>
  <si>
    <t>120 Days</t>
  </si>
  <si>
    <t>&gt;=60%</t>
  </si>
  <si>
    <t>Technical - 55 Days</t>
  </si>
  <si>
    <t>Enterprise - 45 Days</t>
  </si>
  <si>
    <t>140 Days</t>
  </si>
  <si>
    <t>45 Days for TM</t>
  </si>
  <si>
    <t>60 Days for Process Heads</t>
  </si>
  <si>
    <t>90 Days for leadership</t>
  </si>
  <si>
    <t>90 days</t>
  </si>
  <si>
    <t xml:space="preserve">&lt;24  - Q1
&lt;19  - Q2
&lt;14  - Q3 onwards
</t>
  </si>
  <si>
    <t>Band - O (85% of the positions closed in 35 )</t>
  </si>
  <si>
    <t>Band - M (85% of the positions closed in 45 )</t>
  </si>
  <si>
    <t>Band - DH &amp; Above (85% of the positions closed in 55 )</t>
  </si>
  <si>
    <t>90% (Within 45 TTO)</t>
  </si>
  <si>
    <t>60  from offer acceptance</t>
  </si>
  <si>
    <t>Nov'25</t>
  </si>
  <si>
    <t>Nov'25 MET/NOT_MET</t>
  </si>
  <si>
    <t>Pernod Ricard</t>
  </si>
  <si>
    <t>Rishab Jha</t>
  </si>
  <si>
    <t>Nov 2025</t>
  </si>
  <si>
    <t>Adani Cement</t>
  </si>
  <si>
    <t>Leap India</t>
  </si>
  <si>
    <t>Oct-2025</t>
  </si>
  <si>
    <t>Sahil, Debashreeta &amp; Mandeep</t>
  </si>
  <si>
    <t>Himanshu Srivastava &amp; Mehvish Naz</t>
  </si>
  <si>
    <t>South 1</t>
  </si>
  <si>
    <t>South 2</t>
  </si>
  <si>
    <t>West 1</t>
  </si>
  <si>
    <t>West 2</t>
  </si>
  <si>
    <t>1:12</t>
  </si>
  <si>
    <t>Time-to-Fill
(Req. Ageing) -Mid Executive/ Grade E</t>
  </si>
  <si>
    <t>Time-to-Fill
(Req. Ageing) - Senior Executive / Grade GM &amp; AVP</t>
  </si>
  <si>
    <t>39 Business Days</t>
  </si>
  <si>
    <t>69 Business Days</t>
  </si>
  <si>
    <t>Time-to-Fill
(Req. Ageing) - Officer/ Grade 0</t>
  </si>
  <si>
    <t>Hiring Cycle Time - Officer/ Grade 0</t>
  </si>
  <si>
    <t>Hiring Cycle Time - Mid Executive/ Grade E</t>
  </si>
  <si>
    <t>Hiring Cycle Time - Senior Executive / Grade GM &amp; AVP</t>
  </si>
  <si>
    <t>129 Days</t>
  </si>
  <si>
    <t>Offer Rollout and Acceptance - &gt; 7 layers of approval</t>
  </si>
  <si>
    <t>7 Business Days</t>
  </si>
  <si>
    <t>15 Business Days</t>
  </si>
  <si>
    <t>SKF Auto</t>
  </si>
  <si>
    <t xml:space="preserve"> NA</t>
  </si>
  <si>
    <t>Archana Trikha</t>
  </si>
  <si>
    <t>Archana</t>
  </si>
  <si>
    <t>Dec'25</t>
  </si>
  <si>
    <t>Dec'25 MET/NOT_MET</t>
  </si>
  <si>
    <t>OND'25 MET/NOT_MET</t>
  </si>
  <si>
    <t>OND'25</t>
  </si>
  <si>
    <t>Ankit Dave</t>
  </si>
  <si>
    <t>Rishab</t>
  </si>
  <si>
    <t xml:space="preserve">44 Days </t>
  </si>
  <si>
    <t xml:space="preserve">95 Days </t>
  </si>
  <si>
    <t xml:space="preserve">102 Days </t>
  </si>
  <si>
    <t xml:space="preserve">91 Days </t>
  </si>
  <si>
    <t>132 Days</t>
  </si>
  <si>
    <t>97 Days</t>
  </si>
  <si>
    <t xml:space="preserve">113 Days </t>
  </si>
  <si>
    <t>01:04</t>
  </si>
  <si>
    <t>01:05</t>
  </si>
  <si>
    <t>01:02</t>
  </si>
  <si>
    <t>Non - Paid Closures</t>
  </si>
  <si>
    <t>No. of positions closed in the month through non-paid channels / No. of positions closed in the month</t>
  </si>
  <si>
    <t>Candidate satisfaction score</t>
  </si>
  <si>
    <t>Hiring Manager satisfaction score</t>
  </si>
  <si>
    <t>Monthly Female joiners</t>
  </si>
  <si>
    <t>Total Female joiners/Total Joiners</t>
  </si>
  <si>
    <t>Ageing position in Red bucket</t>
  </si>
  <si>
    <t>Total Red positions/Total WIP Positions</t>
  </si>
  <si>
    <t>Average Time taken from intake till joining for the month of closures</t>
  </si>
  <si>
    <t>Number of Days from (Date of Requisition assigned till Joining)</t>
  </si>
  <si>
    <t>Total number of shortlisted candidates</t>
  </si>
  <si>
    <t>Number of shortlisted candidates in the month/ Number of resumes presented in the month</t>
  </si>
  <si>
    <t xml:space="preserve">Number of Joiners / Total Open Requisitions </t>
  </si>
  <si>
    <t>01:03</t>
  </si>
  <si>
    <t>&lt;24 Days - Q1
&lt;19 Days - Q2
&lt;14 Days - Q3 onwards</t>
  </si>
  <si>
    <t>Dec 2025</t>
  </si>
  <si>
    <t>OND 2025</t>
  </si>
  <si>
    <t>Partially Reported</t>
  </si>
  <si>
    <t>NA - SLAs/KPIs not finalised with the customer</t>
  </si>
  <si>
    <t>Jan'26</t>
  </si>
  <si>
    <t>Jan'26 MET/NOT_MET</t>
  </si>
  <si>
    <t>Ambuja Cement</t>
  </si>
  <si>
    <t>01:20</t>
  </si>
  <si>
    <t>Jan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</si>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</sst>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9"/>
      <color theme="1" tint="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theme="1" tint="0.249977111117893"/>
      <name val="Calibri"/>
      <family val="2"/>
    </font>
    <font>
      <sz val="9"/>
      <color theme="1" tint="0.1499984740745262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color rgb="FF000000"/>
      <name val="Aptos Narrow"/>
      <family val="2"/>
    </font>
    <font>
      <sz val="9"/>
      <color theme="1"/>
      <name val="Calibri"/>
      <family val="2"/>
    </font>
    <font>
      <sz val="9"/>
      <color rgb="FF0D0D0D"/>
      <name val="Calibri"/>
      <family val="2"/>
      <scheme val="minor"/>
    </font>
    <font>
      <sz val="9"/>
      <color rgb="FF0D0D0D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8"/>
      <color rgb="FF000000"/>
      <name val="Calibri"/>
      <family val="2"/>
    </font>
    <font>
      <sz val="9"/>
      <color rgb="FF404040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0"/>
      <color rgb="FF000000"/>
      <name val="Aptos Narrow"/>
      <family val="2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/>
    <xf numFmtId="9" fontId="6" fillId="0" borderId="3" xfId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6" fillId="0" borderId="0" xfId="0" applyFont="1"/>
    <xf numFmtId="9" fontId="8" fillId="0" borderId="4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9" fontId="0" fillId="0" borderId="0" xfId="0" applyNumberFormat="1" applyAlignment="1">
      <alignment vertical="center"/>
    </xf>
    <xf numFmtId="0" fontId="15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 wrapText="1"/>
    </xf>
    <xf numFmtId="9" fontId="12" fillId="9" borderId="3" xfId="1" applyFont="1" applyFill="1" applyBorder="1" applyAlignment="1">
      <alignment horizontal="center" vertical="center" wrapText="1"/>
    </xf>
    <xf numFmtId="9" fontId="10" fillId="3" borderId="3" xfId="1" applyFont="1" applyFill="1" applyBorder="1" applyAlignment="1">
      <alignment horizontal="center" vertical="center" wrapText="1"/>
    </xf>
    <xf numFmtId="9" fontId="10" fillId="11" borderId="3" xfId="1" applyFont="1" applyFill="1" applyBorder="1" applyAlignment="1">
      <alignment horizontal="center" vertical="center" wrapText="1"/>
    </xf>
    <xf numFmtId="9" fontId="12" fillId="20" borderId="3" xfId="1" applyFont="1" applyFill="1" applyBorder="1" applyAlignment="1">
      <alignment horizontal="center" vertical="center" wrapText="1"/>
    </xf>
    <xf numFmtId="9" fontId="12" fillId="21" borderId="3" xfId="1" applyFont="1" applyFill="1" applyBorder="1" applyAlignment="1">
      <alignment horizontal="center" vertical="center" wrapText="1"/>
    </xf>
    <xf numFmtId="9" fontId="12" fillId="22" borderId="3" xfId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/>
    </xf>
    <xf numFmtId="0" fontId="21" fillId="4" borderId="3" xfId="0" applyFont="1" applyFill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9" fontId="21" fillId="0" borderId="3" xfId="0" applyNumberFormat="1" applyFont="1" applyBorder="1" applyAlignment="1">
      <alignment horizontal="center"/>
    </xf>
    <xf numFmtId="9" fontId="21" fillId="6" borderId="3" xfId="0" applyNumberFormat="1" applyFont="1" applyFill="1" applyBorder="1" applyAlignment="1">
      <alignment horizontal="center"/>
    </xf>
    <xf numFmtId="9" fontId="21" fillId="7" borderId="3" xfId="0" applyNumberFormat="1" applyFont="1" applyFill="1" applyBorder="1" applyAlignment="1">
      <alignment horizontal="center"/>
    </xf>
    <xf numFmtId="9" fontId="13" fillId="6" borderId="3" xfId="0" applyNumberFormat="1" applyFont="1" applyFill="1" applyBorder="1" applyAlignment="1">
      <alignment horizontal="center"/>
    </xf>
    <xf numFmtId="9" fontId="13" fillId="7" borderId="3" xfId="0" applyNumberFormat="1" applyFont="1" applyFill="1" applyBorder="1" applyAlignment="1">
      <alignment horizontal="center"/>
    </xf>
    <xf numFmtId="9" fontId="21" fillId="5" borderId="3" xfId="0" applyNumberFormat="1" applyFont="1" applyFill="1" applyBorder="1" applyAlignment="1">
      <alignment horizontal="center"/>
    </xf>
    <xf numFmtId="9" fontId="21" fillId="19" borderId="3" xfId="1" applyFont="1" applyFill="1" applyBorder="1" applyAlignment="1">
      <alignment horizontal="center"/>
    </xf>
    <xf numFmtId="9" fontId="21" fillId="0" borderId="3" xfId="1" applyFont="1" applyBorder="1" applyAlignment="1">
      <alignment horizontal="center"/>
    </xf>
    <xf numFmtId="9" fontId="21" fillId="0" borderId="3" xfId="1" applyFont="1" applyFill="1" applyBorder="1" applyAlignment="1">
      <alignment horizontal="center"/>
    </xf>
    <xf numFmtId="9" fontId="21" fillId="6" borderId="3" xfId="1" applyFont="1" applyFill="1" applyBorder="1" applyAlignment="1">
      <alignment horizontal="center"/>
    </xf>
    <xf numFmtId="0" fontId="21" fillId="0" borderId="3" xfId="0" applyFont="1" applyBorder="1"/>
    <xf numFmtId="9" fontId="13" fillId="0" borderId="3" xfId="0" applyNumberFormat="1" applyFont="1" applyBorder="1" applyAlignment="1">
      <alignment horizontal="center"/>
    </xf>
    <xf numFmtId="9" fontId="13" fillId="5" borderId="3" xfId="0" applyNumberFormat="1" applyFont="1" applyFill="1" applyBorder="1" applyAlignment="1">
      <alignment horizontal="center"/>
    </xf>
    <xf numFmtId="9" fontId="21" fillId="5" borderId="3" xfId="1" applyFont="1" applyFill="1" applyBorder="1" applyAlignment="1">
      <alignment horizontal="center"/>
    </xf>
    <xf numFmtId="0" fontId="21" fillId="0" borderId="3" xfId="0" quotePrefix="1" applyFont="1" applyBorder="1"/>
    <xf numFmtId="0" fontId="21" fillId="0" borderId="3" xfId="0" quotePrefix="1" applyFont="1" applyBorder="1" applyAlignment="1">
      <alignment horizontal="center"/>
    </xf>
    <xf numFmtId="9" fontId="21" fillId="0" borderId="3" xfId="0" quotePrefix="1" applyNumberFormat="1" applyFont="1" applyBorder="1" applyAlignment="1">
      <alignment horizontal="center"/>
    </xf>
    <xf numFmtId="9" fontId="21" fillId="6" borderId="3" xfId="0" quotePrefix="1" applyNumberFormat="1" applyFont="1" applyFill="1" applyBorder="1" applyAlignment="1">
      <alignment horizontal="center"/>
    </xf>
    <xf numFmtId="9" fontId="8" fillId="6" borderId="3" xfId="0" applyNumberFormat="1" applyFont="1" applyFill="1" applyBorder="1" applyAlignment="1">
      <alignment horizontal="center"/>
    </xf>
    <xf numFmtId="9" fontId="21" fillId="0" borderId="3" xfId="1" quotePrefix="1" applyFont="1" applyFill="1" applyBorder="1" applyAlignment="1">
      <alignment horizontal="center"/>
    </xf>
    <xf numFmtId="0" fontId="22" fillId="0" borderId="3" xfId="0" applyFont="1" applyBorder="1" applyAlignment="1">
      <alignment vertical="center"/>
    </xf>
    <xf numFmtId="9" fontId="8" fillId="5" borderId="3" xfId="0" applyNumberFormat="1" applyFont="1" applyFill="1" applyBorder="1" applyAlignment="1">
      <alignment horizontal="center"/>
    </xf>
    <xf numFmtId="9" fontId="13" fillId="0" borderId="3" xfId="0" quotePrefix="1" applyNumberFormat="1" applyFont="1" applyBorder="1" applyAlignment="1">
      <alignment horizontal="center"/>
    </xf>
    <xf numFmtId="9" fontId="8" fillId="5" borderId="3" xfId="1" applyFont="1" applyFill="1" applyBorder="1" applyAlignment="1">
      <alignment horizontal="center"/>
    </xf>
    <xf numFmtId="9" fontId="8" fillId="6" borderId="3" xfId="1" applyFont="1" applyFill="1" applyBorder="1" applyAlignment="1">
      <alignment horizontal="center"/>
    </xf>
    <xf numFmtId="9" fontId="8" fillId="0" borderId="3" xfId="1" applyFont="1" applyFill="1" applyBorder="1" applyAlignment="1">
      <alignment horizontal="center"/>
    </xf>
    <xf numFmtId="9" fontId="21" fillId="7" borderId="3" xfId="0" quotePrefix="1" applyNumberFormat="1" applyFont="1" applyFill="1" applyBorder="1" applyAlignment="1">
      <alignment horizontal="center"/>
    </xf>
    <xf numFmtId="9" fontId="8" fillId="19" borderId="3" xfId="1" applyFont="1" applyFill="1" applyBorder="1" applyAlignment="1">
      <alignment horizontal="center"/>
    </xf>
    <xf numFmtId="0" fontId="8" fillId="0" borderId="3" xfId="0" applyFont="1" applyBorder="1"/>
    <xf numFmtId="9" fontId="8" fillId="0" borderId="3" xfId="1" applyFont="1" applyBorder="1" applyAlignment="1">
      <alignment horizontal="center"/>
    </xf>
    <xf numFmtId="9" fontId="21" fillId="0" borderId="3" xfId="1" quotePrefix="1" applyFont="1" applyBorder="1" applyAlignment="1">
      <alignment horizontal="center"/>
    </xf>
    <xf numFmtId="9" fontId="21" fillId="7" borderId="3" xfId="1" quotePrefix="1" applyFont="1" applyFill="1" applyBorder="1" applyAlignment="1">
      <alignment horizontal="center"/>
    </xf>
    <xf numFmtId="17" fontId="9" fillId="10" borderId="3" xfId="0" quotePrefix="1" applyNumberFormat="1" applyFont="1" applyFill="1" applyBorder="1" applyAlignment="1">
      <alignment horizontal="center"/>
    </xf>
    <xf numFmtId="17" fontId="8" fillId="21" borderId="3" xfId="0" quotePrefix="1" applyNumberFormat="1" applyFont="1" applyFill="1" applyBorder="1" applyAlignment="1">
      <alignment horizontal="center" vertical="center"/>
    </xf>
    <xf numFmtId="17" fontId="8" fillId="22" borderId="3" xfId="0" quotePrefix="1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0" fontId="0" fillId="21" borderId="0" xfId="0" applyFill="1" applyAlignment="1">
      <alignment vertical="center"/>
    </xf>
    <xf numFmtId="0" fontId="23" fillId="0" borderId="3" xfId="0" applyFont="1" applyBorder="1" applyAlignment="1" applyProtection="1">
      <alignment horizontal="center" vertical="center"/>
      <protection locked="0"/>
    </xf>
    <xf numFmtId="9" fontId="23" fillId="26" borderId="3" xfId="1" applyFont="1" applyFill="1" applyBorder="1" applyAlignment="1" applyProtection="1">
      <alignment horizontal="center" vertical="center"/>
      <protection locked="0"/>
    </xf>
    <xf numFmtId="9" fontId="23" fillId="0" borderId="3" xfId="1" applyFont="1" applyFill="1" applyBorder="1" applyAlignment="1" applyProtection="1">
      <alignment horizontal="center" vertical="center"/>
      <protection locked="0"/>
    </xf>
    <xf numFmtId="9" fontId="23" fillId="4" borderId="3" xfId="1" applyFont="1" applyFill="1" applyBorder="1" applyAlignment="1" applyProtection="1">
      <alignment horizontal="center" vertical="center"/>
      <protection locked="0"/>
    </xf>
    <xf numFmtId="0" fontId="23" fillId="15" borderId="3" xfId="0" applyFont="1" applyFill="1" applyBorder="1" applyAlignment="1" applyProtection="1">
      <alignment horizontal="center" vertical="center"/>
      <protection locked="0"/>
    </xf>
    <xf numFmtId="9" fontId="23" fillId="4" borderId="3" xfId="1" quotePrefix="1" applyFont="1" applyFill="1" applyBorder="1" applyAlignment="1" applyProtection="1">
      <alignment horizontal="center" vertical="center"/>
      <protection locked="0"/>
    </xf>
    <xf numFmtId="17" fontId="8" fillId="12" borderId="3" xfId="0" quotePrefix="1" applyNumberFormat="1" applyFont="1" applyFill="1" applyBorder="1" applyAlignment="1">
      <alignment horizontal="center" vertical="center"/>
    </xf>
    <xf numFmtId="9" fontId="12" fillId="12" borderId="3" xfId="1" applyFont="1" applyFill="1" applyBorder="1" applyAlignment="1">
      <alignment horizontal="center" vertical="center" wrapText="1"/>
    </xf>
    <xf numFmtId="17" fontId="8" fillId="11" borderId="3" xfId="0" quotePrefix="1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9" fontId="12" fillId="9" borderId="3" xfId="1" applyFont="1" applyFill="1" applyBorder="1" applyAlignment="1">
      <alignment horizontal="center" vertical="center"/>
    </xf>
    <xf numFmtId="9" fontId="12" fillId="15" borderId="3" xfId="1" applyFont="1" applyFill="1" applyBorder="1" applyAlignment="1">
      <alignment horizontal="center" vertical="center"/>
    </xf>
    <xf numFmtId="9" fontId="12" fillId="22" borderId="3" xfId="1" applyFont="1" applyFill="1" applyBorder="1" applyAlignment="1">
      <alignment horizontal="center" vertical="center"/>
    </xf>
    <xf numFmtId="9" fontId="12" fillId="25" borderId="3" xfId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9" fontId="13" fillId="7" borderId="3" xfId="0" applyNumberFormat="1" applyFont="1" applyFill="1" applyBorder="1" applyAlignment="1">
      <alignment horizontal="center" vertical="center"/>
    </xf>
    <xf numFmtId="9" fontId="13" fillId="4" borderId="3" xfId="0" applyNumberFormat="1" applyFont="1" applyFill="1" applyBorder="1" applyAlignment="1">
      <alignment horizontal="center" vertical="center"/>
    </xf>
    <xf numFmtId="9" fontId="8" fillId="19" borderId="3" xfId="0" applyNumberFormat="1" applyFont="1" applyFill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9" fontId="8" fillId="0" borderId="3" xfId="0" quotePrefix="1" applyNumberFormat="1" applyFont="1" applyBorder="1" applyAlignment="1">
      <alignment horizontal="center" vertical="center"/>
    </xf>
    <xf numFmtId="9" fontId="8" fillId="4" borderId="3" xfId="0" applyNumberFormat="1" applyFont="1" applyFill="1" applyBorder="1" applyAlignment="1">
      <alignment horizontal="center" vertical="center"/>
    </xf>
    <xf numFmtId="9" fontId="13" fillId="0" borderId="3" xfId="0" quotePrefix="1" applyNumberFormat="1" applyFont="1" applyBorder="1" applyAlignment="1">
      <alignment horizontal="center" vertical="center"/>
    </xf>
    <xf numFmtId="9" fontId="13" fillId="19" borderId="3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 vertical="center"/>
    </xf>
    <xf numFmtId="9" fontId="13" fillId="6" borderId="3" xfId="0" applyNumberFormat="1" applyFont="1" applyFill="1" applyBorder="1" applyAlignment="1">
      <alignment horizontal="center" vertical="center"/>
    </xf>
    <xf numFmtId="9" fontId="13" fillId="5" borderId="3" xfId="0" applyNumberFormat="1" applyFont="1" applyFill="1" applyBorder="1" applyAlignment="1">
      <alignment horizontal="center" vertical="center"/>
    </xf>
    <xf numFmtId="9" fontId="8" fillId="18" borderId="3" xfId="0" applyNumberFormat="1" applyFont="1" applyFill="1" applyBorder="1" applyAlignment="1">
      <alignment horizontal="center" vertical="center"/>
    </xf>
    <xf numFmtId="9" fontId="8" fillId="5" borderId="3" xfId="0" applyNumberFormat="1" applyFont="1" applyFill="1" applyBorder="1" applyAlignment="1">
      <alignment horizontal="center" vertical="center"/>
    </xf>
    <xf numFmtId="9" fontId="13" fillId="4" borderId="3" xfId="0" quotePrefix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left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3" borderId="3" xfId="0" applyFont="1" applyFill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22" fillId="0" borderId="3" xfId="0" applyFont="1" applyBorder="1" applyAlignment="1" applyProtection="1">
      <alignment vertical="center"/>
      <protection locked="0"/>
    </xf>
    <xf numFmtId="0" fontId="22" fillId="0" borderId="3" xfId="0" applyFont="1" applyBorder="1" applyAlignment="1" applyProtection="1">
      <alignment horizontal="left" vertical="center"/>
      <protection locked="0"/>
    </xf>
    <xf numFmtId="0" fontId="22" fillId="0" borderId="3" xfId="0" quotePrefix="1" applyFont="1" applyBorder="1" applyAlignment="1" applyProtection="1">
      <alignment horizontal="left" vertical="center"/>
      <protection locked="0"/>
    </xf>
    <xf numFmtId="9" fontId="22" fillId="0" borderId="3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9" fontId="8" fillId="0" borderId="3" xfId="1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vertical="center"/>
      <protection locked="0"/>
    </xf>
    <xf numFmtId="0" fontId="8" fillId="0" borderId="3" xfId="1" applyNumberFormat="1" applyFont="1" applyFill="1" applyBorder="1" applyAlignment="1" applyProtection="1">
      <alignment horizontal="center" vertical="center"/>
      <protection locked="0"/>
    </xf>
    <xf numFmtId="1" fontId="24" fillId="0" borderId="3" xfId="0" applyNumberFormat="1" applyFont="1" applyBorder="1" applyAlignment="1" applyProtection="1">
      <alignment horizontal="center" vertical="center"/>
      <protection locked="0"/>
    </xf>
    <xf numFmtId="0" fontId="22" fillId="28" borderId="3" xfId="0" applyFont="1" applyFill="1" applyBorder="1" applyAlignment="1" applyProtection="1">
      <alignment vertical="center"/>
      <protection locked="0"/>
    </xf>
    <xf numFmtId="0" fontId="8" fillId="28" borderId="3" xfId="0" applyFont="1" applyFill="1" applyBorder="1" applyAlignment="1" applyProtection="1">
      <alignment vertical="center"/>
      <protection locked="0"/>
    </xf>
    <xf numFmtId="0" fontId="24" fillId="28" borderId="3" xfId="0" applyFont="1" applyFill="1" applyBorder="1" applyAlignment="1" applyProtection="1">
      <alignment vertical="center"/>
      <protection locked="0"/>
    </xf>
    <xf numFmtId="9" fontId="8" fillId="28" borderId="3" xfId="1" applyFont="1" applyFill="1" applyBorder="1" applyAlignment="1" applyProtection="1">
      <alignment horizontal="center" vertical="center" wrapText="1"/>
      <protection locked="0"/>
    </xf>
    <xf numFmtId="1" fontId="24" fillId="28" borderId="3" xfId="0" applyNumberFormat="1" applyFont="1" applyFill="1" applyBorder="1" applyAlignment="1" applyProtection="1">
      <alignment horizontal="center" vertical="center"/>
      <protection locked="0"/>
    </xf>
    <xf numFmtId="0" fontId="22" fillId="28" borderId="3" xfId="0" applyFont="1" applyFill="1" applyBorder="1" applyAlignment="1" applyProtection="1">
      <alignment horizontal="center" vertical="center"/>
      <protection locked="0"/>
    </xf>
    <xf numFmtId="9" fontId="22" fillId="28" borderId="3" xfId="0" applyNumberFormat="1" applyFont="1" applyFill="1" applyBorder="1" applyAlignment="1" applyProtection="1">
      <alignment horizontal="center" vertical="center"/>
      <protection locked="0"/>
    </xf>
    <xf numFmtId="9" fontId="8" fillId="28" borderId="3" xfId="1" applyFont="1" applyFill="1" applyBorder="1" applyAlignment="1" applyProtection="1">
      <alignment horizontal="center" vertical="center"/>
      <protection locked="0"/>
    </xf>
    <xf numFmtId="0" fontId="24" fillId="28" borderId="3" xfId="0" applyFont="1" applyFill="1" applyBorder="1" applyAlignment="1" applyProtection="1">
      <alignment horizontal="center" vertical="center"/>
      <protection locked="0"/>
    </xf>
    <xf numFmtId="9" fontId="24" fillId="0" borderId="3" xfId="1" applyFont="1" applyFill="1" applyBorder="1" applyAlignment="1" applyProtection="1">
      <alignment horizontal="center" vertical="center"/>
      <protection locked="0"/>
    </xf>
    <xf numFmtId="9" fontId="24" fillId="0" borderId="3" xfId="0" applyNumberFormat="1" applyFont="1" applyBorder="1" applyAlignment="1" applyProtection="1">
      <alignment horizontal="center" vertical="center"/>
      <protection locked="0"/>
    </xf>
    <xf numFmtId="9" fontId="22" fillId="0" borderId="3" xfId="1" applyFont="1" applyFill="1" applyBorder="1" applyAlignment="1" applyProtection="1">
      <alignment horizontal="center" vertical="center"/>
      <protection locked="0"/>
    </xf>
    <xf numFmtId="164" fontId="24" fillId="0" borderId="3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vertical="top"/>
      <protection locked="0"/>
    </xf>
    <xf numFmtId="9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9" fontId="8" fillId="0" borderId="3" xfId="0" quotePrefix="1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vertical="top" wrapText="1"/>
      <protection locked="0"/>
    </xf>
    <xf numFmtId="0" fontId="22" fillId="0" borderId="3" xfId="0" quotePrefix="1" applyFont="1" applyBorder="1" applyAlignment="1" applyProtection="1">
      <alignment horizontal="center" vertical="center"/>
      <protection locked="0"/>
    </xf>
    <xf numFmtId="20" fontId="24" fillId="0" borderId="3" xfId="0" applyNumberFormat="1" applyFont="1" applyBorder="1" applyAlignment="1" applyProtection="1">
      <alignment horizontal="center" vertical="center"/>
      <protection locked="0"/>
    </xf>
    <xf numFmtId="20" fontId="8" fillId="0" borderId="3" xfId="0" applyNumberFormat="1" applyFont="1" applyBorder="1" applyAlignment="1" applyProtection="1">
      <alignment horizontal="center" vertical="center"/>
      <protection locked="0"/>
    </xf>
    <xf numFmtId="164" fontId="8" fillId="0" borderId="3" xfId="1" applyNumberFormat="1" applyFont="1" applyFill="1" applyBorder="1" applyAlignment="1" applyProtection="1">
      <alignment horizontal="center" vertical="center"/>
      <protection locked="0"/>
    </xf>
    <xf numFmtId="1" fontId="8" fillId="0" borderId="3" xfId="7" applyNumberFormat="1" applyFont="1" applyFill="1" applyBorder="1" applyAlignment="1" applyProtection="1">
      <alignment horizontal="center" wrapText="1"/>
      <protection locked="0"/>
    </xf>
    <xf numFmtId="44" fontId="8" fillId="0" borderId="3" xfId="7" applyFont="1" applyFill="1" applyBorder="1" applyAlignment="1" applyProtection="1">
      <alignment horizontal="center" wrapText="1"/>
      <protection locked="0"/>
    </xf>
    <xf numFmtId="9" fontId="8" fillId="0" borderId="3" xfId="7" applyNumberFormat="1" applyFont="1" applyFill="1" applyBorder="1" applyAlignment="1" applyProtection="1">
      <alignment horizontal="center" wrapText="1"/>
      <protection locked="0"/>
    </xf>
    <xf numFmtId="10" fontId="8" fillId="0" borderId="3" xfId="7" applyNumberFormat="1" applyFont="1" applyFill="1" applyBorder="1" applyAlignment="1" applyProtection="1">
      <alignment horizontal="center" wrapText="1"/>
      <protection locked="0"/>
    </xf>
    <xf numFmtId="20" fontId="8" fillId="0" borderId="3" xfId="1" applyNumberFormat="1" applyFont="1" applyFill="1" applyBorder="1" applyAlignment="1" applyProtection="1">
      <alignment horizontal="center" vertical="center"/>
      <protection locked="0"/>
    </xf>
    <xf numFmtId="20" fontId="8" fillId="0" borderId="3" xfId="7" applyNumberFormat="1" applyFont="1" applyFill="1" applyBorder="1" applyAlignment="1" applyProtection="1">
      <alignment horizontal="center" wrapText="1"/>
      <protection locked="0"/>
    </xf>
    <xf numFmtId="1" fontId="22" fillId="0" borderId="3" xfId="0" applyNumberFormat="1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15" borderId="3" xfId="0" applyFont="1" applyFill="1" applyBorder="1" applyAlignment="1" applyProtection="1">
      <alignment vertical="center"/>
      <protection locked="0"/>
    </xf>
    <xf numFmtId="0" fontId="22" fillId="15" borderId="3" xfId="0" applyFont="1" applyFill="1" applyBorder="1" applyAlignment="1" applyProtection="1">
      <alignment vertical="center"/>
      <protection locked="0"/>
    </xf>
    <xf numFmtId="0" fontId="22" fillId="15" borderId="3" xfId="0" applyFont="1" applyFill="1" applyBorder="1" applyAlignment="1" applyProtection="1">
      <alignment horizontal="left" vertical="center"/>
      <protection locked="0"/>
    </xf>
    <xf numFmtId="0" fontId="24" fillId="15" borderId="3" xfId="0" applyFont="1" applyFill="1" applyBorder="1" applyAlignment="1" applyProtection="1">
      <alignment vertical="top"/>
      <protection locked="0"/>
    </xf>
    <xf numFmtId="0" fontId="22" fillId="15" borderId="3" xfId="0" applyFont="1" applyFill="1" applyBorder="1" applyAlignment="1" applyProtection="1">
      <alignment horizontal="center" vertical="center"/>
      <protection locked="0"/>
    </xf>
    <xf numFmtId="0" fontId="8" fillId="15" borderId="3" xfId="0" applyFont="1" applyFill="1" applyBorder="1" applyAlignment="1" applyProtection="1">
      <alignment horizontal="center" vertical="center"/>
      <protection locked="0"/>
    </xf>
    <xf numFmtId="9" fontId="8" fillId="15" borderId="3" xfId="1" applyFont="1" applyFill="1" applyBorder="1" applyAlignment="1" applyProtection="1">
      <alignment horizontal="center" vertical="center"/>
      <protection locked="0"/>
    </xf>
    <xf numFmtId="9" fontId="8" fillId="15" borderId="3" xfId="0" applyNumberFormat="1" applyFont="1" applyFill="1" applyBorder="1" applyAlignment="1" applyProtection="1">
      <alignment horizontal="center" vertical="center"/>
      <protection locked="0"/>
    </xf>
    <xf numFmtId="0" fontId="24" fillId="15" borderId="3" xfId="0" applyFont="1" applyFill="1" applyBorder="1" applyAlignment="1" applyProtection="1">
      <alignment horizontal="center" vertical="center"/>
      <protection locked="0"/>
    </xf>
    <xf numFmtId="1" fontId="8" fillId="0" borderId="3" xfId="1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Protection="1">
      <protection locked="0"/>
    </xf>
    <xf numFmtId="1" fontId="8" fillId="4" borderId="3" xfId="0" applyNumberFormat="1" applyFont="1" applyFill="1" applyBorder="1" applyAlignment="1" applyProtection="1">
      <alignment horizontal="center"/>
      <protection locked="0"/>
    </xf>
    <xf numFmtId="2" fontId="22" fillId="0" borderId="3" xfId="0" applyNumberFormat="1" applyFont="1" applyBorder="1" applyAlignment="1" applyProtection="1">
      <alignment horizontal="center" vertical="center"/>
      <protection locked="0"/>
    </xf>
    <xf numFmtId="9" fontId="8" fillId="0" borderId="3" xfId="1" applyFont="1" applyFill="1" applyBorder="1" applyAlignment="1" applyProtection="1">
      <alignment horizontal="center"/>
      <protection locked="0"/>
    </xf>
    <xf numFmtId="9" fontId="8" fillId="0" borderId="3" xfId="0" applyNumberFormat="1" applyFont="1" applyBorder="1" applyAlignment="1" applyProtection="1">
      <alignment horizontal="center"/>
      <protection locked="0"/>
    </xf>
    <xf numFmtId="9" fontId="8" fillId="4" borderId="3" xfId="0" applyNumberFormat="1" applyFont="1" applyFill="1" applyBorder="1" applyAlignment="1" applyProtection="1">
      <alignment horizontal="center"/>
      <protection locked="0"/>
    </xf>
    <xf numFmtId="9" fontId="24" fillId="0" borderId="3" xfId="0" applyNumberFormat="1" applyFont="1" applyBorder="1" applyProtection="1">
      <protection locked="0"/>
    </xf>
    <xf numFmtId="9" fontId="8" fillId="0" borderId="3" xfId="6" applyNumberFormat="1" applyFont="1" applyFill="1" applyBorder="1" applyAlignment="1" applyProtection="1">
      <alignment horizontal="center"/>
      <protection locked="0"/>
    </xf>
    <xf numFmtId="9" fontId="8" fillId="0" borderId="3" xfId="6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8" fillId="28" borderId="3" xfId="0" applyFont="1" applyFill="1" applyBorder="1" applyAlignment="1" applyProtection="1">
      <alignment horizontal="center" vertical="center"/>
      <protection locked="0"/>
    </xf>
    <xf numFmtId="10" fontId="8" fillId="0" borderId="3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wrapText="1"/>
      <protection locked="0"/>
    </xf>
    <xf numFmtId="0" fontId="8" fillId="0" borderId="3" xfId="0" quotePrefix="1" applyFont="1" applyBorder="1" applyAlignment="1" applyProtection="1">
      <alignment horizontal="center" vertical="center"/>
      <protection locked="0"/>
    </xf>
    <xf numFmtId="0" fontId="8" fillId="0" borderId="3" xfId="0" quotePrefix="1" applyFont="1" applyBorder="1" applyAlignment="1" applyProtection="1">
      <alignment vertical="center"/>
      <protection locked="0"/>
    </xf>
    <xf numFmtId="0" fontId="22" fillId="4" borderId="3" xfId="0" applyFont="1" applyFill="1" applyBorder="1" applyAlignment="1" applyProtection="1">
      <alignment horizontal="center" vertical="center"/>
      <protection locked="0"/>
    </xf>
    <xf numFmtId="9" fontId="8" fillId="0" borderId="3" xfId="1" quotePrefix="1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vertical="center" readingOrder="1"/>
      <protection locked="0"/>
    </xf>
    <xf numFmtId="20" fontId="8" fillId="0" borderId="3" xfId="0" applyNumberFormat="1" applyFont="1" applyBorder="1" applyAlignment="1" applyProtection="1">
      <alignment horizontal="center"/>
      <protection locked="0"/>
    </xf>
    <xf numFmtId="20" fontId="8" fillId="0" borderId="3" xfId="1" applyNumberFormat="1" applyFont="1" applyFill="1" applyBorder="1" applyAlignment="1" applyProtection="1">
      <alignment horizontal="center"/>
      <protection locked="0"/>
    </xf>
    <xf numFmtId="20" fontId="22" fillId="0" borderId="3" xfId="0" applyNumberFormat="1" applyFont="1" applyBorder="1" applyAlignment="1" applyProtection="1">
      <alignment horizontal="center" vertical="center"/>
      <protection locked="0"/>
    </xf>
    <xf numFmtId="9" fontId="22" fillId="4" borderId="3" xfId="1" applyFont="1" applyFill="1" applyBorder="1" applyAlignment="1" applyProtection="1">
      <alignment horizontal="center" vertical="center"/>
      <protection locked="0"/>
    </xf>
    <xf numFmtId="1" fontId="22" fillId="0" borderId="3" xfId="1" applyNumberFormat="1" applyFont="1" applyFill="1" applyBorder="1" applyAlignment="1" applyProtection="1">
      <alignment horizontal="center" vertical="center"/>
      <protection locked="0"/>
    </xf>
    <xf numFmtId="20" fontId="8" fillId="0" borderId="3" xfId="1" applyNumberFormat="1" applyFont="1" applyBorder="1" applyAlignment="1" applyProtection="1">
      <alignment horizontal="center" vertical="center"/>
      <protection locked="0"/>
    </xf>
    <xf numFmtId="9" fontId="22" fillId="0" borderId="3" xfId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9" fontId="8" fillId="0" borderId="3" xfId="1" applyFont="1" applyFill="1" applyBorder="1" applyAlignment="1" applyProtection="1">
      <alignment horizontal="center" vertical="center" wrapText="1"/>
      <protection locked="0"/>
    </xf>
    <xf numFmtId="0" fontId="24" fillId="0" borderId="3" xfId="0" applyFont="1" applyBorder="1" applyAlignment="1" applyProtection="1">
      <alignment horizontal="left" vertical="top" wrapText="1"/>
      <protection locked="0"/>
    </xf>
    <xf numFmtId="9" fontId="22" fillId="0" borderId="3" xfId="1" applyFont="1" applyFill="1" applyBorder="1" applyAlignment="1" applyProtection="1">
      <alignment horizontal="center" vertical="center" wrapText="1"/>
      <protection locked="0"/>
    </xf>
    <xf numFmtId="9" fontId="8" fillId="0" borderId="3" xfId="0" applyNumberFormat="1" applyFont="1" applyBorder="1" applyAlignment="1" applyProtection="1">
      <alignment horizontal="center" vertical="center" wrapText="1"/>
      <protection locked="0"/>
    </xf>
    <xf numFmtId="9" fontId="22" fillId="0" borderId="3" xfId="0" applyNumberFormat="1" applyFont="1" applyBorder="1" applyAlignment="1" applyProtection="1">
      <alignment horizontal="center" vertical="center" wrapText="1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9" fontId="25" fillId="0" borderId="3" xfId="0" applyNumberFormat="1" applyFont="1" applyBorder="1" applyAlignment="1" applyProtection="1">
      <alignment horizontal="center" vertical="center"/>
      <protection locked="0"/>
    </xf>
    <xf numFmtId="9" fontId="25" fillId="0" borderId="3" xfId="1" applyFont="1" applyFill="1" applyBorder="1" applyAlignment="1" applyProtection="1">
      <alignment horizontal="center" vertical="center"/>
      <protection locked="0"/>
    </xf>
    <xf numFmtId="9" fontId="26" fillId="0" borderId="3" xfId="1" applyFont="1" applyFill="1" applyBorder="1" applyAlignment="1" applyProtection="1">
      <alignment horizontal="center" vertical="center"/>
      <protection locked="0"/>
    </xf>
    <xf numFmtId="0" fontId="22" fillId="0" borderId="3" xfId="1" applyNumberFormat="1" applyFont="1" applyFill="1" applyBorder="1" applyAlignment="1" applyProtection="1">
      <alignment horizontal="center" vertical="center"/>
      <protection locked="0"/>
    </xf>
    <xf numFmtId="9" fontId="8" fillId="0" borderId="3" xfId="1" applyFont="1" applyBorder="1" applyProtection="1">
      <protection locked="0"/>
    </xf>
    <xf numFmtId="9" fontId="8" fillId="0" borderId="3" xfId="1" applyFont="1" applyBorder="1" applyAlignment="1" applyProtection="1">
      <alignment horizontal="center" vertical="center"/>
      <protection locked="0"/>
    </xf>
    <xf numFmtId="164" fontId="8" fillId="0" borderId="3" xfId="0" applyNumberFormat="1" applyFont="1" applyBorder="1" applyAlignment="1" applyProtection="1">
      <alignment horizontal="center"/>
      <protection locked="0"/>
    </xf>
    <xf numFmtId="164" fontId="22" fillId="0" borderId="3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Protection="1">
      <protection locked="0"/>
    </xf>
    <xf numFmtId="0" fontId="24" fillId="0" borderId="3" xfId="0" applyFont="1" applyBorder="1" applyAlignment="1" applyProtection="1">
      <alignment horizontal="center" vertical="center" wrapText="1"/>
      <protection locked="0"/>
    </xf>
    <xf numFmtId="0" fontId="24" fillId="0" borderId="3" xfId="0" applyFont="1" applyBorder="1" applyAlignment="1" applyProtection="1">
      <alignment horizontal="left" vertical="top"/>
      <protection locked="0"/>
    </xf>
    <xf numFmtId="9" fontId="23" fillId="0" borderId="3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9" fontId="27" fillId="0" borderId="3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top"/>
      <protection locked="0"/>
    </xf>
    <xf numFmtId="9" fontId="24" fillId="0" borderId="3" xfId="0" applyNumberFormat="1" applyFont="1" applyBorder="1" applyAlignment="1" applyProtection="1">
      <alignment horizontal="center" vertical="top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4" fillId="15" borderId="3" xfId="0" applyFont="1" applyFill="1" applyBorder="1" applyAlignment="1" applyProtection="1">
      <alignment vertical="center"/>
      <protection locked="0"/>
    </xf>
    <xf numFmtId="9" fontId="22" fillId="15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top" wrapText="1"/>
      <protection locked="0"/>
    </xf>
    <xf numFmtId="0" fontId="8" fillId="21" borderId="3" xfId="0" applyFont="1" applyFill="1" applyBorder="1" applyAlignment="1" applyProtection="1">
      <alignment vertical="center"/>
      <protection locked="0"/>
    </xf>
    <xf numFmtId="0" fontId="22" fillId="21" borderId="3" xfId="0" applyFont="1" applyFill="1" applyBorder="1" applyAlignment="1" applyProtection="1">
      <alignment vertical="center"/>
      <protection locked="0"/>
    </xf>
    <xf numFmtId="0" fontId="22" fillId="21" borderId="3" xfId="0" applyFont="1" applyFill="1" applyBorder="1" applyAlignment="1" applyProtection="1">
      <alignment horizontal="left" vertical="center"/>
      <protection locked="0"/>
    </xf>
    <xf numFmtId="0" fontId="24" fillId="21" borderId="3" xfId="0" applyFont="1" applyFill="1" applyBorder="1" applyAlignment="1" applyProtection="1">
      <alignment vertical="top"/>
      <protection locked="0"/>
    </xf>
    <xf numFmtId="20" fontId="8" fillId="21" borderId="3" xfId="0" applyNumberFormat="1" applyFont="1" applyFill="1" applyBorder="1" applyAlignment="1" applyProtection="1">
      <alignment horizontal="center" vertical="center"/>
      <protection locked="0"/>
    </xf>
    <xf numFmtId="0" fontId="22" fillId="21" borderId="3" xfId="0" applyFont="1" applyFill="1" applyBorder="1" applyAlignment="1" applyProtection="1">
      <alignment horizontal="center" vertical="center"/>
      <protection locked="0"/>
    </xf>
    <xf numFmtId="0" fontId="8" fillId="21" borderId="3" xfId="0" applyFont="1" applyFill="1" applyBorder="1" applyAlignment="1" applyProtection="1">
      <alignment horizontal="center" vertical="center"/>
      <protection locked="0"/>
    </xf>
    <xf numFmtId="20" fontId="8" fillId="21" borderId="3" xfId="1" applyNumberFormat="1" applyFont="1" applyFill="1" applyBorder="1" applyAlignment="1" applyProtection="1">
      <alignment horizontal="center"/>
      <protection locked="0"/>
    </xf>
    <xf numFmtId="0" fontId="8" fillId="21" borderId="3" xfId="0" applyFont="1" applyFill="1" applyBorder="1" applyAlignment="1" applyProtection="1">
      <alignment horizontal="center"/>
      <protection locked="0"/>
    </xf>
    <xf numFmtId="20" fontId="22" fillId="21" borderId="3" xfId="0" applyNumberFormat="1" applyFont="1" applyFill="1" applyBorder="1" applyAlignment="1" applyProtection="1">
      <alignment horizontal="center" vertical="center"/>
      <protection locked="0"/>
    </xf>
    <xf numFmtId="20" fontId="8" fillId="21" borderId="3" xfId="0" applyNumberFormat="1" applyFont="1" applyFill="1" applyBorder="1" applyAlignment="1" applyProtection="1">
      <alignment horizontal="center"/>
      <protection locked="0"/>
    </xf>
    <xf numFmtId="20" fontId="8" fillId="21" borderId="3" xfId="1" applyNumberFormat="1" applyFont="1" applyFill="1" applyBorder="1" applyAlignment="1" applyProtection="1">
      <alignment horizontal="center" vertical="center"/>
      <protection locked="0"/>
    </xf>
    <xf numFmtId="10" fontId="22" fillId="21" borderId="3" xfId="0" applyNumberFormat="1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vertical="center" wrapText="1"/>
      <protection locked="0"/>
    </xf>
    <xf numFmtId="0" fontId="24" fillId="0" borderId="3" xfId="0" applyFont="1" applyBorder="1" applyAlignment="1" applyProtection="1">
      <alignment horizontal="center" vertical="top" wrapText="1"/>
      <protection locked="0"/>
    </xf>
    <xf numFmtId="9" fontId="8" fillId="0" borderId="3" xfId="0" applyNumberFormat="1" applyFont="1" applyBorder="1" applyAlignment="1" applyProtection="1">
      <alignment horizontal="center" vertical="top" wrapText="1"/>
      <protection locked="0"/>
    </xf>
    <xf numFmtId="9" fontId="24" fillId="0" borderId="3" xfId="0" applyNumberFormat="1" applyFont="1" applyBorder="1" applyAlignment="1" applyProtection="1">
      <alignment horizontal="center" vertical="top" wrapText="1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9" fontId="26" fillId="0" borderId="3" xfId="0" applyNumberFormat="1" applyFont="1" applyBorder="1" applyAlignment="1" applyProtection="1">
      <alignment horizontal="center" vertical="center"/>
      <protection locked="0"/>
    </xf>
    <xf numFmtId="20" fontId="26" fillId="0" borderId="3" xfId="0" applyNumberFormat="1" applyFont="1" applyBorder="1" applyAlignment="1" applyProtection="1">
      <alignment horizontal="center" vertical="center"/>
      <protection locked="0"/>
    </xf>
    <xf numFmtId="9" fontId="8" fillId="0" borderId="3" xfId="1" applyFont="1" applyBorder="1" applyAlignment="1" applyProtection="1">
      <alignment horizont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0" fontId="8" fillId="15" borderId="3" xfId="0" applyFont="1" applyFill="1" applyBorder="1" applyAlignment="1" applyProtection="1">
      <alignment horizontal="left" vertical="center"/>
      <protection locked="0"/>
    </xf>
    <xf numFmtId="1" fontId="8" fillId="15" borderId="3" xfId="0" applyNumberFormat="1" applyFont="1" applyFill="1" applyBorder="1" applyAlignment="1" applyProtection="1">
      <alignment horizontal="center" vertical="center"/>
      <protection locked="0"/>
    </xf>
    <xf numFmtId="9" fontId="30" fillId="0" borderId="3" xfId="1" applyFont="1" applyFill="1" applyBorder="1" applyAlignment="1" applyProtection="1">
      <alignment horizontal="center" vertical="center"/>
      <protection locked="0"/>
    </xf>
    <xf numFmtId="9" fontId="24" fillId="0" borderId="3" xfId="1" quotePrefix="1" applyFont="1" applyFill="1" applyBorder="1" applyAlignment="1" applyProtection="1">
      <alignment horizontal="center" vertical="center"/>
      <protection locked="0"/>
    </xf>
    <xf numFmtId="20" fontId="8" fillId="4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vertical="center"/>
    </xf>
    <xf numFmtId="20" fontId="8" fillId="0" borderId="3" xfId="0" quotePrefix="1" applyNumberFormat="1" applyFont="1" applyBorder="1" applyAlignment="1">
      <alignment horizontal="center" vertical="center"/>
    </xf>
    <xf numFmtId="0" fontId="6" fillId="31" borderId="3" xfId="0" applyFont="1" applyFill="1" applyBorder="1" applyAlignment="1">
      <alignment horizontal="left" vertical="center"/>
    </xf>
    <xf numFmtId="0" fontId="24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9" fontId="8" fillId="0" borderId="3" xfId="1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9" fontId="22" fillId="0" borderId="3" xfId="0" applyNumberFormat="1" applyFont="1" applyBorder="1" applyAlignment="1">
      <alignment horizontal="center" vertical="center"/>
    </xf>
    <xf numFmtId="1" fontId="8" fillId="4" borderId="3" xfId="0" applyNumberFormat="1" applyFont="1" applyFill="1" applyBorder="1" applyAlignment="1">
      <alignment horizontal="center"/>
    </xf>
    <xf numFmtId="9" fontId="8" fillId="4" borderId="3" xfId="0" applyNumberFormat="1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 vertical="center"/>
    </xf>
    <xf numFmtId="9" fontId="23" fillId="4" borderId="3" xfId="1" quotePrefix="1" applyFont="1" applyFill="1" applyBorder="1" applyAlignment="1">
      <alignment horizontal="center" vertical="center"/>
    </xf>
    <xf numFmtId="9" fontId="23" fillId="4" borderId="3" xfId="1" applyFont="1" applyFill="1" applyBorder="1" applyAlignment="1">
      <alignment horizontal="center" vertical="center"/>
    </xf>
    <xf numFmtId="9" fontId="23" fillId="0" borderId="3" xfId="1" applyFont="1" applyFill="1" applyBorder="1" applyAlignment="1">
      <alignment horizontal="center" vertical="center"/>
    </xf>
    <xf numFmtId="20" fontId="22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9" fontId="25" fillId="0" borderId="3" xfId="0" applyNumberFormat="1" applyFont="1" applyBorder="1" applyAlignment="1">
      <alignment horizontal="center" vertical="center"/>
    </xf>
    <xf numFmtId="9" fontId="25" fillId="15" borderId="3" xfId="1" applyFont="1" applyFill="1" applyBorder="1" applyAlignment="1">
      <alignment horizontal="center" vertical="center"/>
    </xf>
    <xf numFmtId="9" fontId="22" fillId="0" borderId="3" xfId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4" fillId="29" borderId="3" xfId="0" applyFont="1" applyFill="1" applyBorder="1" applyAlignment="1">
      <alignment horizontal="center" vertical="center"/>
    </xf>
    <xf numFmtId="9" fontId="24" fillId="29" borderId="3" xfId="0" applyNumberFormat="1" applyFont="1" applyFill="1" applyBorder="1" applyAlignment="1">
      <alignment horizontal="center" vertical="center"/>
    </xf>
    <xf numFmtId="20" fontId="8" fillId="4" borderId="3" xfId="0" applyNumberFormat="1" applyFont="1" applyFill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9" fontId="26" fillId="0" borderId="3" xfId="0" applyNumberFormat="1" applyFont="1" applyBorder="1" applyAlignment="1">
      <alignment horizontal="center" vertical="center"/>
    </xf>
    <xf numFmtId="20" fontId="26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22" fillId="4" borderId="3" xfId="1" applyFont="1" applyFill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/>
    </xf>
    <xf numFmtId="20" fontId="23" fillId="0" borderId="3" xfId="0" applyNumberFormat="1" applyFont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20" fontId="8" fillId="0" borderId="3" xfId="1" applyNumberFormat="1" applyFont="1" applyBorder="1" applyAlignment="1">
      <alignment horizontal="center" vertical="center"/>
    </xf>
    <xf numFmtId="20" fontId="22" fillId="4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31" fillId="30" borderId="3" xfId="0" applyFont="1" applyFill="1" applyBorder="1" applyAlignment="1">
      <alignment horizontal="center" vertical="center" wrapText="1" readingOrder="1"/>
    </xf>
    <xf numFmtId="0" fontId="0" fillId="0" borderId="3" xfId="0" applyBorder="1" applyAlignment="1">
      <alignment vertical="center"/>
    </xf>
    <xf numFmtId="9" fontId="31" fillId="30" borderId="3" xfId="0" applyNumberFormat="1" applyFont="1" applyFill="1" applyBorder="1" applyAlignment="1">
      <alignment horizontal="center" vertical="center" wrapText="1" readingOrder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9" fontId="31" fillId="30" borderId="3" xfId="0" applyNumberFormat="1" applyFont="1" applyFill="1" applyBorder="1" applyAlignment="1">
      <alignment vertical="center" wrapText="1" readingOrder="1"/>
    </xf>
    <xf numFmtId="9" fontId="21" fillId="0" borderId="3" xfId="1" applyFont="1" applyFill="1" applyBorder="1" applyAlignment="1">
      <alignment horizontal="center" vertical="center"/>
    </xf>
    <xf numFmtId="9" fontId="12" fillId="17" borderId="3" xfId="1" applyFont="1" applyFill="1" applyBorder="1" applyAlignment="1">
      <alignment horizontal="center" vertical="center"/>
    </xf>
    <xf numFmtId="9" fontId="12" fillId="32" borderId="3" xfId="1" applyFont="1" applyFill="1" applyBorder="1" applyAlignment="1">
      <alignment horizontal="center" vertical="center" wrapText="1"/>
    </xf>
    <xf numFmtId="17" fontId="8" fillId="0" borderId="3" xfId="0" quotePrefix="1" applyNumberFormat="1" applyFont="1" applyBorder="1" applyAlignment="1">
      <alignment horizontal="center"/>
    </xf>
    <xf numFmtId="17" fontId="8" fillId="9" borderId="3" xfId="0" quotePrefix="1" applyNumberFormat="1" applyFont="1" applyFill="1" applyBorder="1" applyAlignment="1">
      <alignment horizontal="center"/>
    </xf>
    <xf numFmtId="17" fontId="9" fillId="3" borderId="3" xfId="0" quotePrefix="1" applyNumberFormat="1" applyFont="1" applyFill="1" applyBorder="1" applyAlignment="1">
      <alignment horizontal="center"/>
    </xf>
    <xf numFmtId="17" fontId="8" fillId="23" borderId="3" xfId="0" quotePrefix="1" applyNumberFormat="1" applyFont="1" applyFill="1" applyBorder="1" applyAlignment="1">
      <alignment horizontal="center" vertical="center"/>
    </xf>
    <xf numFmtId="17" fontId="8" fillId="9" borderId="3" xfId="0" applyNumberFormat="1" applyFont="1" applyFill="1" applyBorder="1" applyAlignment="1">
      <alignment horizontal="center"/>
    </xf>
    <xf numFmtId="17" fontId="8" fillId="0" borderId="5" xfId="0" quotePrefix="1" applyNumberFormat="1" applyFont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9" fontId="14" fillId="0" borderId="3" xfId="0" applyNumberFormat="1" applyFont="1" applyBorder="1" applyAlignment="1">
      <alignment horizontal="center" vertical="center"/>
    </xf>
    <xf numFmtId="9" fontId="14" fillId="0" borderId="3" xfId="1" applyFont="1" applyFill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14" fillId="0" borderId="3" xfId="0" quotePrefix="1" applyFont="1" applyBorder="1" applyAlignment="1">
      <alignment horizontal="center" vertical="center"/>
    </xf>
    <xf numFmtId="20" fontId="14" fillId="0" borderId="3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9" fontId="6" fillId="0" borderId="1" xfId="1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22" fillId="0" borderId="1" xfId="0" applyFont="1" applyBorder="1" applyAlignment="1" applyProtection="1">
      <alignment horizontal="center" vertical="center"/>
      <protection locked="0"/>
    </xf>
    <xf numFmtId="9" fontId="22" fillId="0" borderId="1" xfId="0" applyNumberFormat="1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horizontal="center" vertical="center"/>
    </xf>
    <xf numFmtId="9" fontId="23" fillId="26" borderId="1" xfId="1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9" fontId="23" fillId="0" borderId="7" xfId="1" applyFont="1" applyFill="1" applyBorder="1" applyAlignment="1">
      <alignment horizontal="center" vertical="center"/>
    </xf>
    <xf numFmtId="9" fontId="23" fillId="4" borderId="7" xfId="1" applyFont="1" applyFill="1" applyBorder="1" applyAlignment="1">
      <alignment horizontal="center" vertical="center"/>
    </xf>
    <xf numFmtId="9" fontId="23" fillId="4" borderId="7" xfId="1" quotePrefix="1" applyFont="1" applyFill="1" applyBorder="1" applyAlignment="1">
      <alignment horizontal="center" vertical="center"/>
    </xf>
    <xf numFmtId="9" fontId="8" fillId="0" borderId="1" xfId="1" applyFont="1" applyFill="1" applyBorder="1" applyAlignment="1" applyProtection="1">
      <alignment horizontal="center" vertical="center"/>
      <protection locked="0"/>
    </xf>
    <xf numFmtId="0" fontId="14" fillId="0" borderId="5" xfId="0" applyFont="1" applyBorder="1" applyAlignment="1">
      <alignment horizontal="center" vertical="center"/>
    </xf>
    <xf numFmtId="9" fontId="14" fillId="0" borderId="8" xfId="0" applyNumberFormat="1" applyFont="1" applyBorder="1" applyAlignment="1">
      <alignment horizontal="center" vertical="center"/>
    </xf>
    <xf numFmtId="9" fontId="14" fillId="0" borderId="5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20" fontId="17" fillId="0" borderId="3" xfId="0" applyNumberFormat="1" applyFont="1" applyBorder="1" applyAlignment="1">
      <alignment horizontal="center" vertical="center"/>
    </xf>
    <xf numFmtId="9" fontId="17" fillId="0" borderId="3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9" fontId="6" fillId="0" borderId="3" xfId="1" applyFont="1" applyBorder="1" applyAlignment="1">
      <alignment horizontal="center"/>
    </xf>
    <xf numFmtId="9" fontId="14" fillId="4" borderId="3" xfId="1" applyFont="1" applyFill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9" fontId="15" fillId="29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9" fontId="6" fillId="0" borderId="3" xfId="1" applyFont="1" applyBorder="1" applyAlignment="1">
      <alignment horizontal="center" vertical="center"/>
    </xf>
    <xf numFmtId="9" fontId="14" fillId="0" borderId="9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9" fontId="6" fillId="0" borderId="3" xfId="0" quotePrefix="1" applyNumberFormat="1" applyFont="1" applyBorder="1" applyAlignment="1">
      <alignment horizontal="center" vertical="center"/>
    </xf>
    <xf numFmtId="9" fontId="6" fillId="4" borderId="3" xfId="1" applyFont="1" applyFill="1" applyBorder="1" applyAlignment="1">
      <alignment horizontal="center" vertical="center"/>
    </xf>
    <xf numFmtId="9" fontId="6" fillId="0" borderId="9" xfId="0" applyNumberFormat="1" applyFont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9" fontId="21" fillId="0" borderId="3" xfId="1" quotePrefix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/>
    </xf>
    <xf numFmtId="17" fontId="8" fillId="15" borderId="3" xfId="0" quotePrefix="1" applyNumberFormat="1" applyFont="1" applyFill="1" applyBorder="1" applyAlignment="1">
      <alignment horizontal="center" vertical="center"/>
    </xf>
    <xf numFmtId="9" fontId="12" fillId="15" borderId="3" xfId="1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/>
    </xf>
    <xf numFmtId="9" fontId="21" fillId="5" borderId="3" xfId="1" applyFont="1" applyFill="1" applyBorder="1" applyAlignment="1">
      <alignment horizontal="center" vertical="center"/>
    </xf>
    <xf numFmtId="9" fontId="8" fillId="5" borderId="3" xfId="1" applyFont="1" applyFill="1" applyBorder="1" applyAlignment="1">
      <alignment horizontal="center" vertical="center"/>
    </xf>
    <xf numFmtId="9" fontId="21" fillId="6" borderId="3" xfId="1" applyFont="1" applyFill="1" applyBorder="1" applyAlignment="1">
      <alignment horizontal="center" vertical="center"/>
    </xf>
    <xf numFmtId="9" fontId="21" fillId="19" borderId="3" xfId="1" applyFont="1" applyFill="1" applyBorder="1" applyAlignment="1">
      <alignment horizontal="center" vertical="center"/>
    </xf>
    <xf numFmtId="9" fontId="21" fillId="0" borderId="5" xfId="1" applyFont="1" applyFill="1" applyBorder="1" applyAlignment="1">
      <alignment horizontal="center" vertical="center"/>
    </xf>
    <xf numFmtId="0" fontId="16" fillId="0" borderId="3" xfId="0" applyFont="1" applyBorder="1"/>
    <xf numFmtId="9" fontId="21" fillId="19" borderId="3" xfId="0" applyNumberFormat="1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7" fontId="8" fillId="9" borderId="10" xfId="0" quotePrefix="1" applyNumberFormat="1" applyFont="1" applyFill="1" applyBorder="1" applyAlignment="1">
      <alignment horizontal="center" vertical="center"/>
    </xf>
    <xf numFmtId="17" fontId="8" fillId="9" borderId="9" xfId="0" quotePrefix="1" applyNumberFormat="1" applyFont="1" applyFill="1" applyBorder="1" applyAlignment="1">
      <alignment horizontal="center" vertical="center"/>
    </xf>
    <xf numFmtId="17" fontId="8" fillId="12" borderId="9" xfId="0" quotePrefix="1" applyNumberFormat="1" applyFont="1" applyFill="1" applyBorder="1" applyAlignment="1">
      <alignment horizontal="center" vertical="center"/>
    </xf>
    <xf numFmtId="17" fontId="9" fillId="3" borderId="9" xfId="0" quotePrefix="1" applyNumberFormat="1" applyFont="1" applyFill="1" applyBorder="1" applyAlignment="1">
      <alignment horizontal="center" vertical="center"/>
    </xf>
    <xf numFmtId="17" fontId="8" fillId="24" borderId="9" xfId="0" quotePrefix="1" applyNumberFormat="1" applyFont="1" applyFill="1" applyBorder="1" applyAlignment="1">
      <alignment horizontal="center" vertical="center"/>
    </xf>
    <xf numFmtId="17" fontId="8" fillId="22" borderId="9" xfId="0" quotePrefix="1" applyNumberFormat="1" applyFont="1" applyFill="1" applyBorder="1" applyAlignment="1">
      <alignment horizontal="center" vertical="center"/>
    </xf>
    <xf numFmtId="17" fontId="8" fillId="13" borderId="9" xfId="0" quotePrefix="1" applyNumberFormat="1" applyFont="1" applyFill="1" applyBorder="1" applyAlignment="1">
      <alignment horizontal="center" vertical="center"/>
    </xf>
    <xf numFmtId="17" fontId="8" fillId="11" borderId="9" xfId="0" quotePrefix="1" applyNumberFormat="1" applyFont="1" applyFill="1" applyBorder="1" applyAlignment="1">
      <alignment horizontal="center" vertical="center"/>
    </xf>
    <xf numFmtId="17" fontId="9" fillId="16" borderId="9" xfId="0" quotePrefix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0" fontId="8" fillId="0" borderId="0" xfId="0" applyFont="1"/>
    <xf numFmtId="0" fontId="0" fillId="0" borderId="6" xfId="0" applyBorder="1" applyAlignment="1">
      <alignment vertical="center"/>
    </xf>
    <xf numFmtId="0" fontId="0" fillId="0" borderId="3" xfId="0" applyBorder="1"/>
    <xf numFmtId="0" fontId="22" fillId="0" borderId="0" xfId="0" applyFont="1" applyAlignment="1" applyProtection="1">
      <alignment horizontal="center" vertical="center"/>
      <protection locked="0"/>
    </xf>
    <xf numFmtId="9" fontId="8" fillId="0" borderId="0" xfId="1" applyFont="1" applyFill="1" applyBorder="1" applyAlignment="1" applyProtection="1">
      <alignment horizontal="center" vertical="center"/>
      <protection locked="0"/>
    </xf>
    <xf numFmtId="9" fontId="14" fillId="0" borderId="6" xfId="0" applyNumberFormat="1" applyFont="1" applyBorder="1" applyAlignment="1">
      <alignment horizontal="center" vertical="center"/>
    </xf>
    <xf numFmtId="9" fontId="33" fillId="0" borderId="1" xfId="0" applyNumberFormat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 vertical="center"/>
    </xf>
    <xf numFmtId="20" fontId="15" fillId="0" borderId="1" xfId="0" applyNumberFormat="1" applyFont="1" applyBorder="1" applyAlignment="1">
      <alignment horizontal="center" wrapText="1" readingOrder="1"/>
    </xf>
    <xf numFmtId="9" fontId="22" fillId="0" borderId="0" xfId="0" applyNumberFormat="1" applyFont="1" applyAlignment="1" applyProtection="1">
      <alignment horizontal="center" vertical="center"/>
      <protection locked="0"/>
    </xf>
    <xf numFmtId="0" fontId="14" fillId="0" borderId="9" xfId="0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/>
    </xf>
    <xf numFmtId="9" fontId="6" fillId="0" borderId="6" xfId="1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9" fontId="14" fillId="4" borderId="3" xfId="0" applyNumberFormat="1" applyFont="1" applyFill="1" applyBorder="1" applyAlignment="1">
      <alignment horizontal="center" vertical="center"/>
    </xf>
    <xf numFmtId="20" fontId="14" fillId="4" borderId="3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0" fillId="0" borderId="3" xfId="1" applyNumberFormat="1" applyFont="1" applyFill="1" applyBorder="1" applyAlignment="1">
      <alignment horizontal="center" vertical="center"/>
    </xf>
    <xf numFmtId="1" fontId="0" fillId="0" borderId="3" xfId="1" applyNumberFormat="1" applyFont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0" fontId="6" fillId="0" borderId="3" xfId="1" applyNumberFormat="1" applyFont="1" applyBorder="1" applyAlignment="1">
      <alignment horizontal="center" vertical="center"/>
    </xf>
    <xf numFmtId="9" fontId="14" fillId="0" borderId="3" xfId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9" fontId="35" fillId="0" borderId="3" xfId="0" applyNumberFormat="1" applyFont="1" applyBorder="1" applyAlignment="1">
      <alignment horizontal="center" vertical="center"/>
    </xf>
    <xf numFmtId="9" fontId="35" fillId="0" borderId="3" xfId="1" applyFont="1" applyFill="1" applyBorder="1" applyAlignment="1">
      <alignment horizontal="center" vertical="center"/>
    </xf>
    <xf numFmtId="9" fontId="17" fillId="0" borderId="3" xfId="1" applyFont="1" applyFill="1" applyBorder="1" applyAlignment="1">
      <alignment horizontal="center"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9" fontId="0" fillId="0" borderId="3" xfId="1" applyFon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9" fontId="18" fillId="0" borderId="3" xfId="1" applyFont="1" applyFill="1" applyBorder="1" applyAlignment="1">
      <alignment horizontal="center" vertical="center"/>
    </xf>
    <xf numFmtId="9" fontId="18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1" applyNumberFormat="1" applyFont="1" applyFill="1" applyBorder="1" applyAlignment="1">
      <alignment horizontal="center" vertical="center"/>
    </xf>
    <xf numFmtId="1" fontId="14" fillId="0" borderId="3" xfId="1" applyNumberFormat="1" applyFont="1" applyFill="1" applyBorder="1" applyAlignment="1">
      <alignment horizontal="center" vertical="center"/>
    </xf>
    <xf numFmtId="0" fontId="14" fillId="27" borderId="3" xfId="1" applyNumberFormat="1" applyFont="1" applyFill="1" applyBorder="1" applyAlignment="1">
      <alignment horizontal="center" vertical="center"/>
    </xf>
    <xf numFmtId="9" fontId="6" fillId="27" borderId="3" xfId="0" applyNumberFormat="1" applyFont="1" applyFill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 vertical="center"/>
    </xf>
    <xf numFmtId="17" fontId="8" fillId="33" borderId="9" xfId="0" quotePrefix="1" applyNumberFormat="1" applyFont="1" applyFill="1" applyBorder="1" applyAlignment="1">
      <alignment horizontal="center" vertical="center"/>
    </xf>
    <xf numFmtId="9" fontId="0" fillId="0" borderId="0" xfId="1" applyFont="1"/>
    <xf numFmtId="9" fontId="0" fillId="0" borderId="0" xfId="1" applyFont="1" applyAlignment="1">
      <alignment horizontal="center" vertical="center"/>
    </xf>
    <xf numFmtId="0" fontId="0" fillId="0" borderId="0" xfId="0" quotePrefix="1"/>
    <xf numFmtId="9" fontId="6" fillId="0" borderId="11" xfId="1" applyFont="1" applyFill="1" applyBorder="1" applyAlignment="1">
      <alignment horizontal="center" vertical="center"/>
    </xf>
    <xf numFmtId="20" fontId="36" fillId="0" borderId="11" xfId="0" applyNumberFormat="1" applyFont="1" applyBorder="1" applyAlignment="1">
      <alignment horizontal="center" vertical="center"/>
    </xf>
    <xf numFmtId="20" fontId="6" fillId="0" borderId="11" xfId="0" applyNumberFormat="1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 vertical="center"/>
    </xf>
    <xf numFmtId="1" fontId="6" fillId="0" borderId="11" xfId="1" applyNumberFormat="1" applyFont="1" applyFill="1" applyBorder="1" applyAlignment="1">
      <alignment horizontal="center" vertical="center"/>
    </xf>
    <xf numFmtId="0" fontId="22" fillId="0" borderId="11" xfId="0" applyFont="1" applyBorder="1" applyAlignment="1" applyProtection="1">
      <alignment horizontal="center" vertical="center"/>
      <protection locked="0"/>
    </xf>
    <xf numFmtId="2" fontId="8" fillId="0" borderId="3" xfId="1" applyNumberFormat="1" applyFont="1" applyFill="1" applyBorder="1" applyAlignment="1" applyProtection="1">
      <alignment horizontal="center" vertical="center"/>
      <protection locked="0"/>
    </xf>
    <xf numFmtId="9" fontId="6" fillId="0" borderId="0" xfId="1" applyFont="1" applyAlignment="1">
      <alignment horizontal="center"/>
    </xf>
    <xf numFmtId="9" fontId="16" fillId="19" borderId="3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6" borderId="3" xfId="1" applyFont="1" applyFill="1" applyBorder="1" applyAlignment="1">
      <alignment horizontal="center" vertical="center"/>
    </xf>
    <xf numFmtId="9" fontId="16" fillId="0" borderId="3" xfId="1" quotePrefix="1" applyFont="1" applyFill="1" applyBorder="1" applyAlignment="1">
      <alignment horizontal="center" vertical="center"/>
    </xf>
    <xf numFmtId="9" fontId="16" fillId="5" borderId="3" xfId="1" applyFont="1" applyFill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13" fillId="3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8">
    <cellStyle name="Comma" xfId="6" builtinId="3"/>
    <cellStyle name="Currency 2" xfId="7" xr:uid="{993844E2-4DDA-4D0A-926F-E7716B8C625A}"/>
    <cellStyle name="Normal" xfId="0" builtinId="0"/>
    <cellStyle name="Normal 2" xfId="2" xr:uid="{46A5AD3A-0461-4687-9532-4F7B61EE2497}"/>
    <cellStyle name="Normal 3" xfId="3" xr:uid="{2F2B0772-3F03-4388-892D-80D59D112D05}"/>
    <cellStyle name="Normal 4" xfId="4" xr:uid="{68345100-B079-430C-9B7F-F2DC78C76F0F}"/>
    <cellStyle name="Percent" xfId="1" builtinId="5"/>
    <cellStyle name="Percent 2" xfId="5" xr:uid="{79613C04-C8F4-4974-B95C-01091497A595}"/>
  </cellStyles>
  <dxfs count="4350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rgb="FF007033"/>
      </font>
      <fill>
        <patternFill>
          <fgColor rgb="FFA8F0B9"/>
          <bgColor rgb="FFAAE4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33"/>
      </font>
      <fill>
        <patternFill>
          <fgColor rgb="FFA8F0B9"/>
          <bgColor rgb="FFAAE4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40FB8562-183C-4783-9D53-10C5EBE93C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.khanna\AppData\Local\Microsoft\Windows\INetCache\Content.Outlook\08S9YYU0\SLA%20KPI%20Performance%20V1.xlsx" TargetMode="External"/><Relationship Id="rId1" Type="http://schemas.openxmlformats.org/officeDocument/2006/relationships/externalLinkPath" Target="https://peoplestronghrservices-my.sharepoint.com/personal/himanshu_srivastava_taggd_in/Documents/Taggd%20Updated/Taggd/2024-25/SLA%20KPI%20Validation/Dec'25/SLA%20KPI%20Performance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s"/>
      <sheetName val="RAG Logics"/>
      <sheetName val="Region Summary"/>
      <sheetName val="Account Summary"/>
      <sheetName val="Base File"/>
      <sheetName val="Sheet1"/>
    </sheetNames>
    <sheetDataSet>
      <sheetData sheetId="0" refreshError="1"/>
      <sheetData sheetId="1" refreshError="1"/>
      <sheetData sheetId="2" refreshError="1"/>
      <sheetData sheetId="3">
        <row r="48">
          <cell r="C48" t="str">
            <v>Pernod Ricard</v>
          </cell>
        </row>
      </sheetData>
      <sheetData sheetId="4">
        <row r="1">
          <cell r="B1" t="str">
            <v>Project</v>
          </cell>
          <cell r="G1" t="str">
            <v>Category Sub Type</v>
          </cell>
          <cell r="H1" t="str">
            <v>Penalty</v>
          </cell>
          <cell r="BP1" t="str">
            <v>YTD MET/NOT_MET</v>
          </cell>
        </row>
        <row r="2">
          <cell r="B2" t="str">
            <v>BITS</v>
          </cell>
          <cell r="G2" t="str">
            <v>Contractual SLA</v>
          </cell>
          <cell r="H2" t="str">
            <v>No</v>
          </cell>
          <cell r="BP2" t="str">
            <v>Met</v>
          </cell>
        </row>
        <row r="3">
          <cell r="B3" t="str">
            <v>BITS</v>
          </cell>
          <cell r="G3" t="str">
            <v>Contractual SLA</v>
          </cell>
          <cell r="H3" t="str">
            <v>No</v>
          </cell>
          <cell r="BP3" t="str">
            <v>Met</v>
          </cell>
        </row>
        <row r="4">
          <cell r="B4" t="str">
            <v>BITS</v>
          </cell>
          <cell r="G4" t="str">
            <v>Contractual SLA</v>
          </cell>
          <cell r="H4" t="str">
            <v>No</v>
          </cell>
          <cell r="BP4" t="str">
            <v>Met</v>
          </cell>
        </row>
        <row r="5">
          <cell r="B5" t="str">
            <v>BITS</v>
          </cell>
          <cell r="G5" t="str">
            <v>Contractual SLA</v>
          </cell>
          <cell r="H5" t="str">
            <v>No</v>
          </cell>
          <cell r="BP5" t="str">
            <v>NA</v>
          </cell>
        </row>
        <row r="6">
          <cell r="B6" t="str">
            <v>BITS</v>
          </cell>
          <cell r="G6" t="str">
            <v>Contractual SLA</v>
          </cell>
          <cell r="H6" t="str">
            <v>No</v>
          </cell>
          <cell r="BP6" t="str">
            <v>Met</v>
          </cell>
        </row>
        <row r="7">
          <cell r="B7" t="str">
            <v>Honeywell</v>
          </cell>
          <cell r="G7" t="str">
            <v>Contractual SLA</v>
          </cell>
          <cell r="H7" t="str">
            <v>Yes</v>
          </cell>
          <cell r="BP7" t="str">
            <v>Met</v>
          </cell>
        </row>
        <row r="8">
          <cell r="B8" t="str">
            <v>Honeywell</v>
          </cell>
          <cell r="G8" t="str">
            <v>Contractual SLA</v>
          </cell>
          <cell r="H8" t="str">
            <v>Yes</v>
          </cell>
          <cell r="BP8" t="str">
            <v>Met</v>
          </cell>
        </row>
        <row r="9">
          <cell r="B9" t="str">
            <v>Honeywell</v>
          </cell>
          <cell r="G9" t="str">
            <v>Contractual SLA</v>
          </cell>
          <cell r="H9" t="str">
            <v>Yes</v>
          </cell>
          <cell r="BP9" t="str">
            <v>Met</v>
          </cell>
        </row>
        <row r="10">
          <cell r="B10" t="str">
            <v>Honeywell</v>
          </cell>
          <cell r="G10" t="str">
            <v>Contractual SLA</v>
          </cell>
          <cell r="H10" t="str">
            <v>Yes</v>
          </cell>
          <cell r="BP10" t="str">
            <v>Met</v>
          </cell>
        </row>
        <row r="11">
          <cell r="B11" t="str">
            <v>Honeywell</v>
          </cell>
          <cell r="G11" t="str">
            <v>Contractual SLA</v>
          </cell>
          <cell r="H11" t="str">
            <v>Yes</v>
          </cell>
          <cell r="BP11" t="str">
            <v>NA</v>
          </cell>
        </row>
        <row r="12">
          <cell r="B12" t="str">
            <v>Honeywell</v>
          </cell>
          <cell r="G12" t="str">
            <v>Contractual SLA</v>
          </cell>
          <cell r="H12" t="str">
            <v>Yes</v>
          </cell>
          <cell r="BP12" t="str">
            <v>Met</v>
          </cell>
        </row>
        <row r="13">
          <cell r="B13" t="str">
            <v>Honeywell</v>
          </cell>
          <cell r="G13" t="str">
            <v>Contractual SLA</v>
          </cell>
          <cell r="H13" t="str">
            <v>Yes</v>
          </cell>
          <cell r="BP13" t="str">
            <v>Met</v>
          </cell>
        </row>
        <row r="14">
          <cell r="B14" t="str">
            <v>Honeywell</v>
          </cell>
          <cell r="G14" t="str">
            <v>Contractual SLA</v>
          </cell>
          <cell r="H14" t="str">
            <v>Yes</v>
          </cell>
          <cell r="BP14" t="str">
            <v>Met</v>
          </cell>
        </row>
        <row r="15">
          <cell r="B15" t="str">
            <v>Honeywell</v>
          </cell>
          <cell r="G15" t="str">
            <v>Internal KPI</v>
          </cell>
          <cell r="H15" t="str">
            <v>No</v>
          </cell>
          <cell r="BP15" t="str">
            <v>NA</v>
          </cell>
        </row>
        <row r="16">
          <cell r="B16" t="str">
            <v>Honeywell</v>
          </cell>
          <cell r="G16" t="str">
            <v>Internal KPI</v>
          </cell>
          <cell r="H16" t="str">
            <v>No</v>
          </cell>
          <cell r="BP16" t="str">
            <v>NA</v>
          </cell>
        </row>
        <row r="17">
          <cell r="B17" t="str">
            <v>Honeywell</v>
          </cell>
          <cell r="G17" t="str">
            <v>Internal KPI</v>
          </cell>
          <cell r="H17" t="str">
            <v>No</v>
          </cell>
          <cell r="BP17" t="str">
            <v>NA</v>
          </cell>
        </row>
        <row r="18">
          <cell r="B18" t="str">
            <v>Honeywell</v>
          </cell>
          <cell r="G18" t="str">
            <v>Internal KPI</v>
          </cell>
          <cell r="H18" t="str">
            <v>No</v>
          </cell>
          <cell r="BP18" t="str">
            <v>NA</v>
          </cell>
        </row>
        <row r="19">
          <cell r="B19" t="str">
            <v>Honeywell</v>
          </cell>
          <cell r="G19" t="str">
            <v>Internal KPI</v>
          </cell>
          <cell r="H19" t="str">
            <v>No</v>
          </cell>
          <cell r="BP19" t="str">
            <v>NA</v>
          </cell>
        </row>
        <row r="20">
          <cell r="B20" t="str">
            <v>M&amp;M</v>
          </cell>
          <cell r="G20" t="str">
            <v>Contractual SLA</v>
          </cell>
          <cell r="H20" t="str">
            <v>No</v>
          </cell>
          <cell r="BP20" t="str">
            <v>Not Reported</v>
          </cell>
        </row>
        <row r="21">
          <cell r="B21" t="str">
            <v>M&amp;M</v>
          </cell>
          <cell r="G21" t="str">
            <v>Internal KPI</v>
          </cell>
          <cell r="H21" t="str">
            <v>No</v>
          </cell>
          <cell r="BP21" t="str">
            <v>Not Reported</v>
          </cell>
        </row>
        <row r="22">
          <cell r="B22" t="str">
            <v>M&amp;M</v>
          </cell>
          <cell r="G22" t="str">
            <v>Internal KPI</v>
          </cell>
          <cell r="H22" t="str">
            <v>No</v>
          </cell>
          <cell r="BP22" t="str">
            <v>Not Reported</v>
          </cell>
        </row>
        <row r="23">
          <cell r="B23" t="str">
            <v>M&amp;M</v>
          </cell>
          <cell r="G23" t="str">
            <v>Contractual SLA</v>
          </cell>
          <cell r="H23" t="str">
            <v>No</v>
          </cell>
          <cell r="BP23" t="str">
            <v>Not Reported</v>
          </cell>
        </row>
        <row r="24">
          <cell r="B24" t="str">
            <v>M&amp;M</v>
          </cell>
          <cell r="G24" t="str">
            <v>Internal KPI</v>
          </cell>
          <cell r="H24" t="str">
            <v>No</v>
          </cell>
          <cell r="BP24" t="str">
            <v>Not Reported</v>
          </cell>
        </row>
        <row r="25">
          <cell r="B25" t="str">
            <v>M&amp;M</v>
          </cell>
          <cell r="G25" t="str">
            <v>Contractual SLA</v>
          </cell>
          <cell r="H25" t="str">
            <v>No</v>
          </cell>
          <cell r="BP25" t="str">
            <v>Not Reported</v>
          </cell>
        </row>
        <row r="26">
          <cell r="B26" t="str">
            <v>M&amp;M</v>
          </cell>
          <cell r="G26" t="str">
            <v>Contractual SLA</v>
          </cell>
          <cell r="H26" t="str">
            <v>No</v>
          </cell>
          <cell r="BP26" t="str">
            <v>Not Reported</v>
          </cell>
        </row>
        <row r="27">
          <cell r="B27" t="str">
            <v>M&amp;M</v>
          </cell>
          <cell r="G27" t="str">
            <v>Contractual SLA</v>
          </cell>
          <cell r="H27" t="str">
            <v>No</v>
          </cell>
          <cell r="BP27" t="str">
            <v>Not Reported</v>
          </cell>
        </row>
        <row r="28">
          <cell r="B28" t="str">
            <v>M&amp;M</v>
          </cell>
          <cell r="G28" t="str">
            <v>Internal KPI</v>
          </cell>
          <cell r="H28" t="str">
            <v>No</v>
          </cell>
          <cell r="BP28" t="str">
            <v>Not Reported</v>
          </cell>
        </row>
        <row r="29">
          <cell r="B29" t="str">
            <v>M&amp;M</v>
          </cell>
          <cell r="G29" t="str">
            <v>Internal KPI</v>
          </cell>
          <cell r="H29" t="str">
            <v>No</v>
          </cell>
          <cell r="BP29" t="str">
            <v>Not Reported</v>
          </cell>
        </row>
        <row r="30">
          <cell r="B30" t="str">
            <v>M&amp;M</v>
          </cell>
          <cell r="G30" t="str">
            <v>Internal KPI</v>
          </cell>
          <cell r="H30" t="str">
            <v>No</v>
          </cell>
          <cell r="BP30" t="str">
            <v>Not Reported</v>
          </cell>
        </row>
        <row r="31">
          <cell r="B31" t="str">
            <v>M&amp;M</v>
          </cell>
          <cell r="G31" t="str">
            <v>Internal KPI</v>
          </cell>
          <cell r="H31" t="str">
            <v>No</v>
          </cell>
          <cell r="BP31" t="str">
            <v>Not Reported</v>
          </cell>
        </row>
        <row r="32">
          <cell r="B32" t="str">
            <v>M&amp;M</v>
          </cell>
          <cell r="G32" t="str">
            <v>Internal KPI</v>
          </cell>
          <cell r="H32" t="str">
            <v>No</v>
          </cell>
          <cell r="BP32" t="str">
            <v>Not Reported</v>
          </cell>
        </row>
        <row r="33">
          <cell r="B33" t="str">
            <v>M&amp;M</v>
          </cell>
          <cell r="G33" t="str">
            <v>Internal KPI</v>
          </cell>
          <cell r="H33" t="str">
            <v>No</v>
          </cell>
          <cell r="BP33" t="str">
            <v>Not Reported</v>
          </cell>
        </row>
        <row r="34">
          <cell r="B34" t="str">
            <v>Mahindra Holidays</v>
          </cell>
          <cell r="G34" t="str">
            <v>Contractual SLA</v>
          </cell>
          <cell r="H34" t="str">
            <v>Yes</v>
          </cell>
          <cell r="BP34" t="str">
            <v>Not Reported</v>
          </cell>
        </row>
        <row r="35">
          <cell r="B35" t="str">
            <v>Mahindra Holidays</v>
          </cell>
          <cell r="G35" t="str">
            <v>Contractual SLA</v>
          </cell>
          <cell r="H35" t="str">
            <v>Yes</v>
          </cell>
          <cell r="BP35" t="str">
            <v>Not Reported</v>
          </cell>
        </row>
        <row r="36">
          <cell r="B36" t="str">
            <v>Mahindra Holidays</v>
          </cell>
          <cell r="G36" t="str">
            <v>Internal KPI</v>
          </cell>
          <cell r="H36" t="str">
            <v>No</v>
          </cell>
          <cell r="BP36" t="str">
            <v>Not Reported</v>
          </cell>
        </row>
        <row r="37">
          <cell r="B37" t="str">
            <v>Mahindra Holidays</v>
          </cell>
          <cell r="G37" t="str">
            <v>Internal KPI</v>
          </cell>
          <cell r="H37" t="str">
            <v>No</v>
          </cell>
          <cell r="BP37" t="str">
            <v>Not Reported</v>
          </cell>
        </row>
        <row r="38">
          <cell r="B38" t="str">
            <v>Mahindra Holidays</v>
          </cell>
          <cell r="G38" t="str">
            <v>Internal KPI</v>
          </cell>
          <cell r="H38" t="str">
            <v>No</v>
          </cell>
          <cell r="BP38" t="str">
            <v>Not Reported</v>
          </cell>
        </row>
        <row r="39">
          <cell r="B39" t="str">
            <v>Mahindra Holidays</v>
          </cell>
          <cell r="G39" t="str">
            <v>Internal KPI</v>
          </cell>
          <cell r="H39" t="str">
            <v>No</v>
          </cell>
          <cell r="BP39" t="str">
            <v>Not Reported</v>
          </cell>
        </row>
        <row r="40">
          <cell r="B40" t="str">
            <v>Mahindra Holidays</v>
          </cell>
          <cell r="G40" t="str">
            <v>Internal KPI</v>
          </cell>
          <cell r="H40" t="str">
            <v>No</v>
          </cell>
          <cell r="BP40" t="str">
            <v>Not Reported</v>
          </cell>
        </row>
        <row r="41">
          <cell r="B41" t="str">
            <v>Mahindra Holidays</v>
          </cell>
          <cell r="G41" t="str">
            <v>Internal KPI</v>
          </cell>
          <cell r="H41" t="str">
            <v>No</v>
          </cell>
          <cell r="BP41" t="str">
            <v>Not Reported</v>
          </cell>
        </row>
        <row r="42">
          <cell r="B42" t="str">
            <v>Mahindra Finance</v>
          </cell>
          <cell r="G42" t="str">
            <v>Internal KPI</v>
          </cell>
          <cell r="H42" t="str">
            <v>No</v>
          </cell>
          <cell r="BP42" t="str">
            <v>NA</v>
          </cell>
        </row>
        <row r="43">
          <cell r="B43" t="str">
            <v>Mahindra Finance</v>
          </cell>
          <cell r="G43" t="str">
            <v>Internal KPI</v>
          </cell>
          <cell r="H43" t="str">
            <v>No</v>
          </cell>
          <cell r="BP43" t="str">
            <v>NA</v>
          </cell>
        </row>
        <row r="44">
          <cell r="B44" t="str">
            <v>Mahindra Finance</v>
          </cell>
          <cell r="G44" t="str">
            <v>Internal KPI</v>
          </cell>
          <cell r="H44" t="str">
            <v>No</v>
          </cell>
          <cell r="BP44" t="str">
            <v>NA</v>
          </cell>
        </row>
        <row r="45">
          <cell r="B45" t="str">
            <v>Mahindra Finance</v>
          </cell>
          <cell r="G45" t="str">
            <v>Internal KPI</v>
          </cell>
          <cell r="H45" t="str">
            <v>No</v>
          </cell>
          <cell r="BP45" t="str">
            <v>NA</v>
          </cell>
        </row>
        <row r="46">
          <cell r="B46" t="str">
            <v>Mahindra Finance</v>
          </cell>
          <cell r="G46" t="str">
            <v>Internal KPI</v>
          </cell>
          <cell r="H46" t="str">
            <v>No</v>
          </cell>
          <cell r="BP46" t="str">
            <v>NA</v>
          </cell>
        </row>
        <row r="47">
          <cell r="B47" t="str">
            <v>Mahindra Finance</v>
          </cell>
          <cell r="G47" t="str">
            <v>Internal KPI</v>
          </cell>
          <cell r="H47" t="str">
            <v>No</v>
          </cell>
          <cell r="BP47" t="str">
            <v>NA</v>
          </cell>
        </row>
        <row r="48">
          <cell r="B48" t="str">
            <v>Mahindra Finance</v>
          </cell>
          <cell r="G48" t="str">
            <v>Internal KPI</v>
          </cell>
          <cell r="H48" t="str">
            <v>No</v>
          </cell>
          <cell r="BP48" t="str">
            <v>NA</v>
          </cell>
        </row>
        <row r="49">
          <cell r="B49" t="str">
            <v>P&amp;G</v>
          </cell>
          <cell r="G49" t="str">
            <v>Contractual SLA</v>
          </cell>
          <cell r="H49" t="str">
            <v>No</v>
          </cell>
          <cell r="BP49" t="str">
            <v>Met</v>
          </cell>
        </row>
        <row r="50">
          <cell r="B50" t="str">
            <v>P&amp;G</v>
          </cell>
          <cell r="G50" t="str">
            <v>Contractual SLA</v>
          </cell>
          <cell r="H50" t="str">
            <v>No</v>
          </cell>
          <cell r="BP50" t="str">
            <v>Met</v>
          </cell>
        </row>
        <row r="51">
          <cell r="B51" t="str">
            <v>P&amp;G</v>
          </cell>
          <cell r="G51" t="str">
            <v>Contractual SLA</v>
          </cell>
          <cell r="H51" t="str">
            <v>No</v>
          </cell>
          <cell r="BP51" t="str">
            <v>NA</v>
          </cell>
        </row>
        <row r="52">
          <cell r="B52" t="str">
            <v>P&amp;G</v>
          </cell>
          <cell r="G52" t="str">
            <v>Contractual SLA</v>
          </cell>
          <cell r="H52" t="str">
            <v>No</v>
          </cell>
          <cell r="BP52" t="str">
            <v>Met</v>
          </cell>
        </row>
        <row r="53">
          <cell r="B53" t="str">
            <v>P&amp;G</v>
          </cell>
          <cell r="G53" t="str">
            <v>Contractual SLA</v>
          </cell>
          <cell r="H53" t="str">
            <v>No</v>
          </cell>
          <cell r="BP53" t="str">
            <v>Met</v>
          </cell>
        </row>
        <row r="54">
          <cell r="B54" t="str">
            <v>Pfizer (FLM/RBM)</v>
          </cell>
          <cell r="G54" t="str">
            <v>Contractual SLA</v>
          </cell>
          <cell r="H54" t="str">
            <v>No</v>
          </cell>
          <cell r="BP54" t="str">
            <v>Not Reported</v>
          </cell>
        </row>
        <row r="55">
          <cell r="B55" t="str">
            <v>Pfizer (FLM/RBM)</v>
          </cell>
          <cell r="G55" t="str">
            <v>Contractual SLA</v>
          </cell>
          <cell r="H55" t="str">
            <v>No</v>
          </cell>
          <cell r="BP55" t="str">
            <v>Not Reported</v>
          </cell>
        </row>
        <row r="56">
          <cell r="B56" t="str">
            <v>Pfizer (FLM/RBM)</v>
          </cell>
          <cell r="G56" t="str">
            <v>Contractual SLA</v>
          </cell>
          <cell r="H56" t="str">
            <v>No</v>
          </cell>
          <cell r="BP56" t="str">
            <v>Not Reported</v>
          </cell>
        </row>
        <row r="57">
          <cell r="B57" t="str">
            <v>Pfizer (FLM/RBM)</v>
          </cell>
          <cell r="G57" t="str">
            <v>Contractual SLA</v>
          </cell>
          <cell r="H57" t="str">
            <v>No</v>
          </cell>
          <cell r="BP57" t="str">
            <v>Not Reported</v>
          </cell>
        </row>
        <row r="58">
          <cell r="B58" t="str">
            <v>Pfizer (FLM/RBM)</v>
          </cell>
          <cell r="G58" t="str">
            <v>Contractual SLA</v>
          </cell>
          <cell r="H58" t="str">
            <v>No</v>
          </cell>
          <cell r="BP58" t="str">
            <v>Not Reported</v>
          </cell>
        </row>
        <row r="59">
          <cell r="B59" t="str">
            <v>Pfizer (FLM/RBM)</v>
          </cell>
          <cell r="G59" t="str">
            <v>Contractual SLA</v>
          </cell>
          <cell r="H59" t="str">
            <v>No</v>
          </cell>
          <cell r="BP59" t="str">
            <v>Not Reported</v>
          </cell>
        </row>
        <row r="60">
          <cell r="B60" t="str">
            <v>Pfizer (FS &amp; FLM)</v>
          </cell>
          <cell r="G60" t="str">
            <v>Internal KPI</v>
          </cell>
          <cell r="H60" t="str">
            <v>No</v>
          </cell>
          <cell r="BP60" t="str">
            <v>Not Reported</v>
          </cell>
        </row>
        <row r="61">
          <cell r="B61" t="str">
            <v>Pfizer (FS &amp; FLM)</v>
          </cell>
          <cell r="G61" t="str">
            <v>Internal KPI</v>
          </cell>
          <cell r="H61" t="str">
            <v>No</v>
          </cell>
          <cell r="BP61" t="str">
            <v>Not Reported</v>
          </cell>
        </row>
        <row r="62">
          <cell r="B62" t="str">
            <v>Pfizer (FS)</v>
          </cell>
          <cell r="G62" t="str">
            <v>Contractual SLA</v>
          </cell>
          <cell r="H62" t="str">
            <v>No</v>
          </cell>
          <cell r="BP62" t="str">
            <v>Not Reported</v>
          </cell>
        </row>
        <row r="63">
          <cell r="B63" t="str">
            <v>Pfizer (FS)</v>
          </cell>
          <cell r="G63" t="str">
            <v>Contractual SLA</v>
          </cell>
          <cell r="H63" t="str">
            <v>No</v>
          </cell>
          <cell r="BP63" t="str">
            <v>Not Reported</v>
          </cell>
        </row>
        <row r="64">
          <cell r="B64" t="str">
            <v>Pfizer (FS)</v>
          </cell>
          <cell r="G64" t="str">
            <v>Contractual SLA</v>
          </cell>
          <cell r="H64" t="str">
            <v>No</v>
          </cell>
          <cell r="BP64" t="str">
            <v>Not Reported</v>
          </cell>
        </row>
        <row r="65">
          <cell r="B65" t="str">
            <v>Pfizer (FS)</v>
          </cell>
          <cell r="G65" t="str">
            <v>Contractual SLA</v>
          </cell>
          <cell r="H65" t="str">
            <v>No</v>
          </cell>
          <cell r="BP65" t="str">
            <v>Not Reported</v>
          </cell>
        </row>
        <row r="66">
          <cell r="B66" t="str">
            <v>Pfizer (FS)</v>
          </cell>
          <cell r="G66" t="str">
            <v>Contractual SLA</v>
          </cell>
          <cell r="H66" t="str">
            <v>No</v>
          </cell>
          <cell r="BP66" t="str">
            <v>Not Reported</v>
          </cell>
        </row>
        <row r="67">
          <cell r="B67" t="str">
            <v>Pfizer (FS)</v>
          </cell>
          <cell r="G67" t="str">
            <v>Contractual SLA</v>
          </cell>
          <cell r="H67" t="str">
            <v>No</v>
          </cell>
          <cell r="BP67" t="str">
            <v>Not Reported</v>
          </cell>
        </row>
        <row r="68">
          <cell r="B68" t="str">
            <v>Pfizer (FS)</v>
          </cell>
          <cell r="G68" t="str">
            <v>Contractual SLA</v>
          </cell>
          <cell r="H68" t="str">
            <v>No</v>
          </cell>
          <cell r="BP68" t="str">
            <v>Not Reported</v>
          </cell>
        </row>
        <row r="69">
          <cell r="B69" t="str">
            <v>Pfizer (FS/FLM/RBM)</v>
          </cell>
          <cell r="G69" t="str">
            <v>Internal KPI</v>
          </cell>
          <cell r="H69" t="str">
            <v>No</v>
          </cell>
          <cell r="BP69" t="str">
            <v>Not Reported</v>
          </cell>
        </row>
        <row r="70">
          <cell r="B70" t="str">
            <v>Pfizer (FS &amp; FLM) (Chennai)</v>
          </cell>
          <cell r="G70" t="str">
            <v>Internal KPI</v>
          </cell>
          <cell r="H70" t="str">
            <v>No</v>
          </cell>
          <cell r="BP70" t="str">
            <v>Not Met</v>
          </cell>
        </row>
        <row r="71">
          <cell r="B71" t="str">
            <v>Pfizer (FS &amp; FLM) (Chennai)</v>
          </cell>
          <cell r="G71" t="str">
            <v>Internal KPI</v>
          </cell>
          <cell r="H71" t="str">
            <v>No</v>
          </cell>
          <cell r="BP71" t="str">
            <v>Met</v>
          </cell>
        </row>
        <row r="72">
          <cell r="B72" t="str">
            <v>Pfizer (FS/FLM/RBM)</v>
          </cell>
          <cell r="G72" t="str">
            <v>Internal KPI</v>
          </cell>
          <cell r="H72" t="str">
            <v>No</v>
          </cell>
          <cell r="BP72" t="str">
            <v>Not Reported</v>
          </cell>
        </row>
        <row r="73">
          <cell r="B73" t="str">
            <v>Pfizer (FS/FLM/RBM)</v>
          </cell>
          <cell r="G73" t="str">
            <v>Contractual SLA</v>
          </cell>
          <cell r="H73" t="str">
            <v>No</v>
          </cell>
          <cell r="BP73" t="str">
            <v>Not Reported</v>
          </cell>
        </row>
        <row r="74">
          <cell r="B74" t="str">
            <v>Pfizer (FS/FLM/RBM)</v>
          </cell>
          <cell r="G74" t="str">
            <v>Internal KPI</v>
          </cell>
          <cell r="H74" t="str">
            <v>No</v>
          </cell>
          <cell r="BP74" t="str">
            <v>Not Reported</v>
          </cell>
        </row>
        <row r="75">
          <cell r="B75" t="str">
            <v>Pfizer (FS/FLM/RBM)</v>
          </cell>
          <cell r="G75" t="str">
            <v>Internal KPI</v>
          </cell>
          <cell r="H75" t="str">
            <v>No</v>
          </cell>
          <cell r="BP75" t="str">
            <v>Not Reported</v>
          </cell>
        </row>
        <row r="76">
          <cell r="B76" t="str">
            <v>Pfizer (FS/FLM/RBM)</v>
          </cell>
          <cell r="G76" t="str">
            <v>Internal KPI</v>
          </cell>
          <cell r="H76" t="str">
            <v>No</v>
          </cell>
          <cell r="BP76" t="str">
            <v>Not Reported</v>
          </cell>
        </row>
        <row r="77">
          <cell r="B77" t="str">
            <v>Pfizer (FS/FLM/RBM)</v>
          </cell>
          <cell r="G77" t="str">
            <v>Internal KPI</v>
          </cell>
          <cell r="H77" t="str">
            <v>No</v>
          </cell>
          <cell r="BP77" t="str">
            <v>Not Reported</v>
          </cell>
        </row>
        <row r="78">
          <cell r="B78" t="str">
            <v>Pidilite</v>
          </cell>
          <cell r="G78" t="str">
            <v>Internal KPI</v>
          </cell>
          <cell r="H78" t="str">
            <v>No</v>
          </cell>
          <cell r="BP78" t="str">
            <v>Not Met</v>
          </cell>
        </row>
        <row r="79">
          <cell r="B79" t="str">
            <v>Pidilite</v>
          </cell>
          <cell r="G79" t="str">
            <v>Internal KPI</v>
          </cell>
          <cell r="H79" t="str">
            <v>No</v>
          </cell>
          <cell r="BP79" t="str">
            <v>Met</v>
          </cell>
        </row>
        <row r="80">
          <cell r="B80" t="str">
            <v>Pidilite</v>
          </cell>
          <cell r="G80" t="str">
            <v>Internal KPI</v>
          </cell>
          <cell r="H80" t="str">
            <v>No</v>
          </cell>
          <cell r="BP80" t="str">
            <v>Not Met</v>
          </cell>
        </row>
        <row r="81">
          <cell r="B81" t="str">
            <v>Pidilite</v>
          </cell>
          <cell r="G81" t="str">
            <v>Internal KPI</v>
          </cell>
          <cell r="H81" t="str">
            <v>No</v>
          </cell>
          <cell r="BP81" t="str">
            <v>Met</v>
          </cell>
        </row>
        <row r="82">
          <cell r="B82" t="str">
            <v>Pidilite</v>
          </cell>
          <cell r="G82" t="str">
            <v>Internal KPI</v>
          </cell>
          <cell r="H82" t="str">
            <v>No</v>
          </cell>
          <cell r="BP82" t="str">
            <v>Met</v>
          </cell>
        </row>
        <row r="83">
          <cell r="B83" t="str">
            <v>Pidilite</v>
          </cell>
          <cell r="G83" t="str">
            <v>Internal KPI</v>
          </cell>
          <cell r="H83" t="str">
            <v>No</v>
          </cell>
          <cell r="BP83" t="str">
            <v>Met</v>
          </cell>
        </row>
        <row r="84">
          <cell r="B84" t="str">
            <v>Pidilite</v>
          </cell>
          <cell r="G84" t="str">
            <v>Contractual SLA</v>
          </cell>
          <cell r="H84" t="str">
            <v>Yes</v>
          </cell>
          <cell r="BP84" t="str">
            <v>Not Met</v>
          </cell>
        </row>
        <row r="85">
          <cell r="B85" t="str">
            <v>Pidilite</v>
          </cell>
          <cell r="G85" t="str">
            <v>Contractual SLA</v>
          </cell>
          <cell r="H85" t="str">
            <v>Yes</v>
          </cell>
          <cell r="BP85" t="str">
            <v>Not Met</v>
          </cell>
        </row>
        <row r="86">
          <cell r="B86" t="str">
            <v>Pidilite</v>
          </cell>
          <cell r="G86" t="str">
            <v>Internal KPI</v>
          </cell>
          <cell r="H86" t="str">
            <v>No</v>
          </cell>
          <cell r="BP86" t="str">
            <v>Not Met</v>
          </cell>
        </row>
        <row r="87">
          <cell r="B87" t="str">
            <v>Pidilite</v>
          </cell>
          <cell r="G87" t="str">
            <v>Internal KPI</v>
          </cell>
          <cell r="H87" t="str">
            <v>No</v>
          </cell>
          <cell r="BP87" t="str">
            <v>Met</v>
          </cell>
        </row>
        <row r="88">
          <cell r="B88" t="str">
            <v>Pidilite</v>
          </cell>
          <cell r="G88" t="str">
            <v>Internal KPI</v>
          </cell>
          <cell r="H88" t="str">
            <v>No</v>
          </cell>
          <cell r="BP88" t="str">
            <v>Met</v>
          </cell>
        </row>
        <row r="89">
          <cell r="B89" t="str">
            <v>Pidilite</v>
          </cell>
          <cell r="G89" t="str">
            <v>Internal KPI</v>
          </cell>
          <cell r="H89" t="str">
            <v>No</v>
          </cell>
          <cell r="BP89" t="str">
            <v>Met</v>
          </cell>
        </row>
        <row r="90">
          <cell r="B90" t="str">
            <v>TATA Power</v>
          </cell>
          <cell r="G90" t="str">
            <v>Internal KPI</v>
          </cell>
          <cell r="H90" t="str">
            <v>No</v>
          </cell>
          <cell r="BP90" t="str">
            <v>NA</v>
          </cell>
        </row>
        <row r="91">
          <cell r="B91" t="str">
            <v>TATA Power</v>
          </cell>
          <cell r="G91" t="str">
            <v>Internal KPI</v>
          </cell>
          <cell r="H91" t="str">
            <v>No</v>
          </cell>
          <cell r="BP91" t="str">
            <v>NA</v>
          </cell>
        </row>
        <row r="92">
          <cell r="B92" t="str">
            <v>TATA Power</v>
          </cell>
          <cell r="G92" t="str">
            <v>Internal KPI</v>
          </cell>
          <cell r="H92" t="str">
            <v>No</v>
          </cell>
          <cell r="BP92" t="str">
            <v>NA</v>
          </cell>
        </row>
        <row r="93">
          <cell r="B93" t="str">
            <v>TATA Power</v>
          </cell>
          <cell r="G93" t="str">
            <v>Contractual SLA</v>
          </cell>
          <cell r="H93" t="str">
            <v>No</v>
          </cell>
          <cell r="BP93" t="str">
            <v>NA</v>
          </cell>
        </row>
        <row r="94">
          <cell r="B94" t="str">
            <v>TATA Power</v>
          </cell>
          <cell r="G94" t="str">
            <v>Internal KPI</v>
          </cell>
          <cell r="H94" t="str">
            <v>No</v>
          </cell>
          <cell r="BP94" t="str">
            <v>NA</v>
          </cell>
        </row>
        <row r="95">
          <cell r="B95" t="str">
            <v>TATA Power</v>
          </cell>
          <cell r="G95" t="str">
            <v>Internal KPI</v>
          </cell>
          <cell r="H95" t="str">
            <v>No</v>
          </cell>
          <cell r="BP95" t="str">
            <v>NA</v>
          </cell>
        </row>
        <row r="96">
          <cell r="B96" t="str">
            <v>TATA Power</v>
          </cell>
          <cell r="G96" t="str">
            <v>Internal KPI</v>
          </cell>
          <cell r="H96" t="str">
            <v>No</v>
          </cell>
          <cell r="BP96" t="str">
            <v>NA</v>
          </cell>
        </row>
        <row r="97">
          <cell r="B97" t="str">
            <v>ISUZU (UD Trucks)</v>
          </cell>
          <cell r="G97" t="str">
            <v>Contractual SLA</v>
          </cell>
          <cell r="H97" t="str">
            <v>Yes</v>
          </cell>
          <cell r="BP97" t="str">
            <v>Not Reported</v>
          </cell>
        </row>
        <row r="98">
          <cell r="B98" t="str">
            <v>ISUZU (UD Trucks)</v>
          </cell>
          <cell r="G98" t="str">
            <v>Contractual SLA</v>
          </cell>
          <cell r="H98" t="str">
            <v>Yes</v>
          </cell>
          <cell r="BP98" t="str">
            <v>Not Reported</v>
          </cell>
        </row>
        <row r="99">
          <cell r="B99" t="str">
            <v>ISUZU (UD Trucks)</v>
          </cell>
          <cell r="G99" t="str">
            <v>Internal KPI</v>
          </cell>
          <cell r="H99" t="str">
            <v>No</v>
          </cell>
          <cell r="BP99" t="str">
            <v>Not Reported</v>
          </cell>
        </row>
        <row r="100">
          <cell r="B100" t="str">
            <v>ISUZU (UD Trucks)</v>
          </cell>
          <cell r="G100" t="str">
            <v>Internal KPI</v>
          </cell>
          <cell r="H100" t="str">
            <v>No</v>
          </cell>
          <cell r="BP100" t="str">
            <v>Not Reported</v>
          </cell>
        </row>
        <row r="101">
          <cell r="B101" t="str">
            <v>ISUZU (UD Trucks)</v>
          </cell>
          <cell r="G101" t="str">
            <v>Internal KPI</v>
          </cell>
          <cell r="H101" t="str">
            <v>No</v>
          </cell>
          <cell r="BP101" t="str">
            <v>Not Reported</v>
          </cell>
        </row>
        <row r="102">
          <cell r="B102" t="str">
            <v>ISUZU (UD Trucks)</v>
          </cell>
          <cell r="G102" t="str">
            <v>Internal KPI</v>
          </cell>
          <cell r="H102" t="str">
            <v>No</v>
          </cell>
          <cell r="BP102" t="str">
            <v>Not Reported</v>
          </cell>
        </row>
        <row r="103">
          <cell r="B103" t="str">
            <v>ISUZU (UD Trucks)</v>
          </cell>
          <cell r="G103" t="str">
            <v>Internal KPI</v>
          </cell>
          <cell r="H103" t="str">
            <v>No</v>
          </cell>
          <cell r="BP103" t="str">
            <v>Not Reported</v>
          </cell>
        </row>
        <row r="104">
          <cell r="B104" t="str">
            <v>ISUZU (UD Trucks)</v>
          </cell>
          <cell r="G104" t="str">
            <v>Internal KPI</v>
          </cell>
          <cell r="H104" t="str">
            <v>No</v>
          </cell>
          <cell r="BP104" t="str">
            <v>Not Reported</v>
          </cell>
        </row>
        <row r="105">
          <cell r="B105" t="str">
            <v>Vertiv Energy</v>
          </cell>
          <cell r="G105" t="str">
            <v>Contractual SLA</v>
          </cell>
          <cell r="H105" t="str">
            <v>Yes</v>
          </cell>
          <cell r="BP105" t="str">
            <v>Met</v>
          </cell>
        </row>
        <row r="106">
          <cell r="B106" t="str">
            <v>Vertiv Energy</v>
          </cell>
          <cell r="G106" t="str">
            <v>Contractual SLA</v>
          </cell>
          <cell r="H106" t="str">
            <v>Yes</v>
          </cell>
          <cell r="BP106" t="str">
            <v>Not Met</v>
          </cell>
        </row>
        <row r="107">
          <cell r="B107" t="str">
            <v>Vertiv Energy</v>
          </cell>
          <cell r="G107" t="str">
            <v>Internal KPI</v>
          </cell>
          <cell r="H107" t="str">
            <v>No</v>
          </cell>
          <cell r="BP107" t="str">
            <v>Not Met</v>
          </cell>
        </row>
        <row r="108">
          <cell r="B108" t="str">
            <v>Vertiv Energy</v>
          </cell>
          <cell r="G108" t="str">
            <v>Internal KPI</v>
          </cell>
          <cell r="H108" t="str">
            <v>No</v>
          </cell>
          <cell r="BP108" t="str">
            <v>Met</v>
          </cell>
        </row>
        <row r="109">
          <cell r="B109" t="str">
            <v>Vertiv Energy</v>
          </cell>
          <cell r="G109" t="str">
            <v>Internal KPI</v>
          </cell>
          <cell r="H109" t="str">
            <v>No</v>
          </cell>
          <cell r="BP109" t="str">
            <v>Met</v>
          </cell>
        </row>
        <row r="110">
          <cell r="B110" t="str">
            <v>Vertiv Energy</v>
          </cell>
          <cell r="G110" t="str">
            <v>Internal KPI</v>
          </cell>
          <cell r="H110" t="str">
            <v>No</v>
          </cell>
          <cell r="BP110" t="str">
            <v>Met</v>
          </cell>
        </row>
        <row r="111">
          <cell r="B111" t="str">
            <v>Vertiv Energy</v>
          </cell>
          <cell r="G111" t="str">
            <v>Internal KPI</v>
          </cell>
          <cell r="H111" t="str">
            <v>No</v>
          </cell>
          <cell r="BP111" t="str">
            <v>Not Met</v>
          </cell>
        </row>
        <row r="112">
          <cell r="B112" t="str">
            <v>Vertiv Energy</v>
          </cell>
          <cell r="G112" t="str">
            <v>Internal KPI</v>
          </cell>
          <cell r="H112" t="str">
            <v>No</v>
          </cell>
          <cell r="BP112" t="str">
            <v>Not Met</v>
          </cell>
        </row>
        <row r="113">
          <cell r="B113" t="str">
            <v>Siemens - GBS</v>
          </cell>
          <cell r="G113" t="str">
            <v>Contractual SLA</v>
          </cell>
          <cell r="H113" t="str">
            <v>No</v>
          </cell>
          <cell r="BP113" t="str">
            <v>Met</v>
          </cell>
        </row>
        <row r="114">
          <cell r="B114" t="str">
            <v>Siemens - GBS</v>
          </cell>
          <cell r="G114" t="str">
            <v>Contractual SLA</v>
          </cell>
          <cell r="H114" t="str">
            <v>No</v>
          </cell>
          <cell r="BP114" t="str">
            <v>Met</v>
          </cell>
        </row>
        <row r="115">
          <cell r="B115" t="str">
            <v>Siemens - GBS</v>
          </cell>
          <cell r="G115" t="str">
            <v>Contractual SLA</v>
          </cell>
          <cell r="H115" t="str">
            <v>No</v>
          </cell>
          <cell r="BP115" t="str">
            <v>Met</v>
          </cell>
        </row>
        <row r="116">
          <cell r="B116" t="str">
            <v>Siemens - GBS</v>
          </cell>
          <cell r="G116" t="str">
            <v>Contractual SLA</v>
          </cell>
          <cell r="H116" t="str">
            <v>No</v>
          </cell>
          <cell r="BP116" t="str">
            <v>Met</v>
          </cell>
        </row>
        <row r="117">
          <cell r="B117" t="str">
            <v>Siemens - GBS</v>
          </cell>
          <cell r="G117" t="str">
            <v>Contractual SLA</v>
          </cell>
          <cell r="H117" t="str">
            <v>No</v>
          </cell>
          <cell r="BP117" t="str">
            <v>Not Met</v>
          </cell>
        </row>
        <row r="118">
          <cell r="B118" t="str">
            <v>Siemens - GBS</v>
          </cell>
          <cell r="G118" t="str">
            <v>Internal KPI</v>
          </cell>
          <cell r="H118" t="str">
            <v>No</v>
          </cell>
          <cell r="BP118" t="str">
            <v>Met</v>
          </cell>
        </row>
        <row r="119">
          <cell r="B119" t="str">
            <v>Siemens - GBS</v>
          </cell>
          <cell r="G119" t="str">
            <v>Internal KPI</v>
          </cell>
          <cell r="H119" t="str">
            <v>No</v>
          </cell>
          <cell r="BP119" t="str">
            <v>Met</v>
          </cell>
        </row>
        <row r="120">
          <cell r="B120" t="str">
            <v>Siemens - GBS</v>
          </cell>
          <cell r="G120" t="str">
            <v>Internal KPI</v>
          </cell>
          <cell r="H120" t="str">
            <v>No</v>
          </cell>
          <cell r="BP120" t="str">
            <v>Not Met</v>
          </cell>
        </row>
        <row r="121">
          <cell r="B121" t="str">
            <v>Siemens - GBS</v>
          </cell>
          <cell r="G121" t="str">
            <v>Internal KPI</v>
          </cell>
          <cell r="H121" t="str">
            <v>No</v>
          </cell>
          <cell r="BP121" t="str">
            <v>Met</v>
          </cell>
        </row>
        <row r="122">
          <cell r="B122" t="str">
            <v>Siemens - GBS</v>
          </cell>
          <cell r="G122" t="str">
            <v>Internal KPI</v>
          </cell>
          <cell r="H122" t="str">
            <v>No</v>
          </cell>
          <cell r="BP122" t="str">
            <v>Met</v>
          </cell>
        </row>
        <row r="123">
          <cell r="B123" t="str">
            <v>Siemens - GBS</v>
          </cell>
          <cell r="G123" t="str">
            <v>Internal KPI</v>
          </cell>
          <cell r="H123" t="str">
            <v>No</v>
          </cell>
          <cell r="BP123" t="str">
            <v>Met</v>
          </cell>
        </row>
        <row r="124">
          <cell r="B124" t="str">
            <v>Siemens - Advanta</v>
          </cell>
          <cell r="G124" t="str">
            <v>Contractual SLA</v>
          </cell>
          <cell r="H124" t="str">
            <v>No</v>
          </cell>
          <cell r="BP124" t="str">
            <v>Met</v>
          </cell>
        </row>
        <row r="125">
          <cell r="B125" t="str">
            <v>Siemens - Advanta</v>
          </cell>
          <cell r="G125" t="str">
            <v>Contractual SLA</v>
          </cell>
          <cell r="H125" t="str">
            <v>No</v>
          </cell>
          <cell r="BP125" t="str">
            <v>Met</v>
          </cell>
        </row>
        <row r="126">
          <cell r="B126" t="str">
            <v>Siemens - Advanta</v>
          </cell>
          <cell r="G126" t="str">
            <v>Contractual SLA</v>
          </cell>
          <cell r="H126" t="str">
            <v>No</v>
          </cell>
          <cell r="BP126" t="str">
            <v>Not Met</v>
          </cell>
        </row>
        <row r="127">
          <cell r="B127" t="str">
            <v>Siemens - Advanta</v>
          </cell>
          <cell r="G127" t="str">
            <v>Contractual SLA</v>
          </cell>
          <cell r="H127" t="str">
            <v>No</v>
          </cell>
          <cell r="BP127" t="str">
            <v>Met</v>
          </cell>
        </row>
        <row r="128">
          <cell r="B128" t="str">
            <v>Siemens - Advanta</v>
          </cell>
          <cell r="G128" t="str">
            <v>Contractual SLA</v>
          </cell>
          <cell r="H128" t="str">
            <v>No</v>
          </cell>
          <cell r="BP128" t="str">
            <v>Met</v>
          </cell>
        </row>
        <row r="129">
          <cell r="B129" t="str">
            <v>Siemens - Advanta</v>
          </cell>
          <cell r="G129" t="str">
            <v>Internal KPI</v>
          </cell>
          <cell r="H129" t="str">
            <v>No</v>
          </cell>
          <cell r="BP129" t="str">
            <v>Met</v>
          </cell>
        </row>
        <row r="130">
          <cell r="B130" t="str">
            <v>Siemens - Advanta</v>
          </cell>
          <cell r="G130" t="str">
            <v>Internal KPI</v>
          </cell>
          <cell r="H130" t="str">
            <v>No</v>
          </cell>
          <cell r="BP130" t="str">
            <v>Met</v>
          </cell>
        </row>
        <row r="131">
          <cell r="B131" t="str">
            <v>Siemens - Advanta</v>
          </cell>
          <cell r="G131" t="str">
            <v>Internal KPI</v>
          </cell>
          <cell r="H131" t="str">
            <v>No</v>
          </cell>
          <cell r="BP131" t="str">
            <v>Not Met</v>
          </cell>
        </row>
        <row r="132">
          <cell r="B132" t="str">
            <v>Siemens - Advanta</v>
          </cell>
          <cell r="G132" t="str">
            <v>Internal KPI</v>
          </cell>
          <cell r="H132" t="str">
            <v>No</v>
          </cell>
          <cell r="BP132" t="str">
            <v>Met</v>
          </cell>
        </row>
        <row r="133">
          <cell r="B133" t="str">
            <v>Siemens - Advanta</v>
          </cell>
          <cell r="G133" t="str">
            <v>Internal KPI</v>
          </cell>
          <cell r="H133" t="str">
            <v>No</v>
          </cell>
          <cell r="BP133" t="str">
            <v>Met</v>
          </cell>
        </row>
        <row r="134">
          <cell r="B134" t="str">
            <v>Siemens - Advanta</v>
          </cell>
          <cell r="G134" t="str">
            <v>Internal KPI</v>
          </cell>
          <cell r="H134" t="str">
            <v>No</v>
          </cell>
          <cell r="BP134" t="str">
            <v>Not Met</v>
          </cell>
        </row>
        <row r="135">
          <cell r="B135" t="str">
            <v>Robert Bosch</v>
          </cell>
          <cell r="G135" t="str">
            <v>Contractual SLA</v>
          </cell>
          <cell r="H135" t="str">
            <v>No</v>
          </cell>
          <cell r="BP135" t="str">
            <v>NA</v>
          </cell>
        </row>
        <row r="136">
          <cell r="B136" t="str">
            <v>Robert Bosch</v>
          </cell>
          <cell r="G136" t="str">
            <v>Contractual SLA</v>
          </cell>
          <cell r="H136" t="str">
            <v>No</v>
          </cell>
          <cell r="BP136" t="str">
            <v>NA</v>
          </cell>
        </row>
        <row r="137">
          <cell r="B137" t="str">
            <v>Robert Bosch</v>
          </cell>
          <cell r="G137" t="str">
            <v>Internal KPI</v>
          </cell>
          <cell r="H137" t="str">
            <v>No</v>
          </cell>
          <cell r="BP137" t="str">
            <v>NA</v>
          </cell>
        </row>
        <row r="138">
          <cell r="B138" t="str">
            <v>Robert Bosch</v>
          </cell>
          <cell r="G138" t="str">
            <v>Internal KPI</v>
          </cell>
          <cell r="H138" t="str">
            <v>No</v>
          </cell>
          <cell r="BP138" t="str">
            <v>NA</v>
          </cell>
        </row>
        <row r="139">
          <cell r="B139" t="str">
            <v>Robert Bosch</v>
          </cell>
          <cell r="G139" t="str">
            <v>Internal KPI</v>
          </cell>
          <cell r="H139" t="str">
            <v>No</v>
          </cell>
          <cell r="BP139" t="str">
            <v>NA</v>
          </cell>
        </row>
        <row r="140">
          <cell r="B140" t="str">
            <v>Robert Bosch</v>
          </cell>
          <cell r="G140" t="str">
            <v>Internal KPI</v>
          </cell>
          <cell r="H140" t="str">
            <v>No</v>
          </cell>
          <cell r="BP140" t="str">
            <v>NA</v>
          </cell>
        </row>
        <row r="141">
          <cell r="B141" t="str">
            <v>Robert Bosch</v>
          </cell>
          <cell r="G141" t="str">
            <v>Internal KPI</v>
          </cell>
          <cell r="H141" t="str">
            <v>No</v>
          </cell>
          <cell r="BP141" t="str">
            <v>NA</v>
          </cell>
        </row>
        <row r="142">
          <cell r="B142" t="str">
            <v>Servify</v>
          </cell>
          <cell r="G142" t="str">
            <v>Internal KPI</v>
          </cell>
          <cell r="H142" t="str">
            <v>No</v>
          </cell>
          <cell r="BP142" t="str">
            <v>NA</v>
          </cell>
        </row>
        <row r="143">
          <cell r="B143" t="str">
            <v>Servify</v>
          </cell>
          <cell r="G143" t="str">
            <v>Internal KPI</v>
          </cell>
          <cell r="H143" t="str">
            <v>No</v>
          </cell>
          <cell r="BP143" t="str">
            <v>NA</v>
          </cell>
        </row>
        <row r="144">
          <cell r="B144" t="str">
            <v>Servify</v>
          </cell>
          <cell r="G144" t="str">
            <v>Internal KPI</v>
          </cell>
          <cell r="H144" t="str">
            <v>No</v>
          </cell>
          <cell r="BP144" t="str">
            <v>NA</v>
          </cell>
        </row>
        <row r="145">
          <cell r="B145" t="str">
            <v>Servify</v>
          </cell>
          <cell r="G145" t="str">
            <v>Internal KPI</v>
          </cell>
          <cell r="H145" t="str">
            <v>No</v>
          </cell>
          <cell r="BP145" t="str">
            <v>NA</v>
          </cell>
        </row>
        <row r="146">
          <cell r="B146" t="str">
            <v>Servify</v>
          </cell>
          <cell r="G146" t="str">
            <v>Internal KPI</v>
          </cell>
          <cell r="H146" t="str">
            <v>No</v>
          </cell>
          <cell r="BP146" t="str">
            <v>NA</v>
          </cell>
        </row>
        <row r="147">
          <cell r="B147" t="str">
            <v>Birla Paints</v>
          </cell>
          <cell r="G147" t="str">
            <v>Contractual SLA</v>
          </cell>
          <cell r="H147" t="str">
            <v>No</v>
          </cell>
          <cell r="BP147" t="str">
            <v>Not Met</v>
          </cell>
        </row>
        <row r="148">
          <cell r="B148" t="str">
            <v>Birla Paints</v>
          </cell>
          <cell r="G148" t="str">
            <v>Contractual SLA</v>
          </cell>
          <cell r="H148" t="str">
            <v>No</v>
          </cell>
          <cell r="BP148" t="str">
            <v>Not Met</v>
          </cell>
        </row>
        <row r="149">
          <cell r="B149" t="str">
            <v>Birla Paints</v>
          </cell>
          <cell r="G149" t="str">
            <v>Internal KPI</v>
          </cell>
          <cell r="H149" t="str">
            <v>No</v>
          </cell>
          <cell r="BP149" t="str">
            <v>Met</v>
          </cell>
        </row>
        <row r="150">
          <cell r="B150" t="str">
            <v>Birla Paints</v>
          </cell>
          <cell r="G150" t="str">
            <v>Internal KPI</v>
          </cell>
          <cell r="H150" t="str">
            <v>No</v>
          </cell>
          <cell r="BP150" t="str">
            <v>Met</v>
          </cell>
        </row>
        <row r="151">
          <cell r="B151" t="str">
            <v>Birla Paints</v>
          </cell>
          <cell r="G151" t="str">
            <v>Internal KPI</v>
          </cell>
          <cell r="H151" t="str">
            <v>No</v>
          </cell>
          <cell r="BP151" t="str">
            <v>Not Met</v>
          </cell>
        </row>
        <row r="152">
          <cell r="B152" t="str">
            <v>Birla Paints</v>
          </cell>
          <cell r="G152" t="str">
            <v>Internal KPI</v>
          </cell>
          <cell r="H152" t="str">
            <v>No</v>
          </cell>
          <cell r="BP152" t="str">
            <v>Met</v>
          </cell>
        </row>
        <row r="153">
          <cell r="B153" t="str">
            <v>Birla Paints</v>
          </cell>
          <cell r="G153" t="str">
            <v>Internal KPI</v>
          </cell>
          <cell r="H153" t="str">
            <v>No</v>
          </cell>
          <cell r="BP153" t="str">
            <v>Met</v>
          </cell>
        </row>
        <row r="154">
          <cell r="B154" t="str">
            <v>Birla Paints</v>
          </cell>
          <cell r="G154" t="str">
            <v>Internal KPI</v>
          </cell>
          <cell r="H154" t="str">
            <v>No</v>
          </cell>
          <cell r="BP154" t="str">
            <v>Not Met</v>
          </cell>
        </row>
        <row r="155">
          <cell r="B155" t="str">
            <v>Ingram Micro</v>
          </cell>
          <cell r="G155" t="str">
            <v>Contractual SLA</v>
          </cell>
          <cell r="H155" t="str">
            <v>No</v>
          </cell>
          <cell r="BP155" t="str">
            <v>Met</v>
          </cell>
        </row>
        <row r="156">
          <cell r="B156" t="str">
            <v>Ingram Micro</v>
          </cell>
          <cell r="G156" t="str">
            <v>Contractual SLA</v>
          </cell>
          <cell r="H156" t="str">
            <v>No</v>
          </cell>
          <cell r="BP156" t="str">
            <v>Met</v>
          </cell>
        </row>
        <row r="157">
          <cell r="B157" t="str">
            <v>Ingram Micro</v>
          </cell>
          <cell r="G157" t="str">
            <v>Contractual SLA</v>
          </cell>
          <cell r="H157" t="str">
            <v>No</v>
          </cell>
          <cell r="BP157" t="str">
            <v>Met</v>
          </cell>
        </row>
        <row r="158">
          <cell r="B158" t="str">
            <v>Ingram Micro</v>
          </cell>
          <cell r="G158" t="str">
            <v>Contractual SLA</v>
          </cell>
          <cell r="H158" t="str">
            <v>No</v>
          </cell>
          <cell r="BP158" t="str">
            <v>Not Met</v>
          </cell>
        </row>
        <row r="159">
          <cell r="B159" t="str">
            <v>Ingram Micro</v>
          </cell>
          <cell r="G159" t="str">
            <v>Internal KPI</v>
          </cell>
          <cell r="H159" t="str">
            <v>No</v>
          </cell>
          <cell r="BP159" t="str">
            <v>Met</v>
          </cell>
        </row>
        <row r="160">
          <cell r="B160" t="str">
            <v>Ingram Micro</v>
          </cell>
          <cell r="G160" t="str">
            <v>Internal KPI</v>
          </cell>
          <cell r="H160" t="str">
            <v>No</v>
          </cell>
          <cell r="BP160" t="str">
            <v>Not Met</v>
          </cell>
        </row>
        <row r="161">
          <cell r="B161" t="str">
            <v>Ingram Micro</v>
          </cell>
          <cell r="G161" t="str">
            <v>Internal KPI</v>
          </cell>
          <cell r="H161" t="str">
            <v>No</v>
          </cell>
          <cell r="BP161" t="str">
            <v>Met</v>
          </cell>
        </row>
        <row r="162">
          <cell r="B162" t="str">
            <v>Ingram Micro</v>
          </cell>
          <cell r="G162" t="str">
            <v>Internal KPI</v>
          </cell>
          <cell r="H162" t="str">
            <v>No</v>
          </cell>
          <cell r="BP162" t="str">
            <v>Met</v>
          </cell>
        </row>
        <row r="163">
          <cell r="B163" t="str">
            <v>Wipro</v>
          </cell>
          <cell r="G163" t="str">
            <v>Internal KPI</v>
          </cell>
          <cell r="H163" t="str">
            <v>No</v>
          </cell>
          <cell r="BP163" t="str">
            <v>Met</v>
          </cell>
        </row>
        <row r="164">
          <cell r="B164" t="str">
            <v>Wipro</v>
          </cell>
          <cell r="G164" t="str">
            <v>Internal KPI</v>
          </cell>
          <cell r="H164" t="str">
            <v>No</v>
          </cell>
          <cell r="BP164" t="str">
            <v>Met</v>
          </cell>
        </row>
        <row r="165">
          <cell r="B165" t="str">
            <v>Wipro</v>
          </cell>
          <cell r="G165" t="str">
            <v>Internal KPI</v>
          </cell>
          <cell r="H165" t="str">
            <v>No</v>
          </cell>
          <cell r="BP165" t="str">
            <v>Met</v>
          </cell>
        </row>
        <row r="166">
          <cell r="B166" t="str">
            <v>Wipro</v>
          </cell>
          <cell r="G166" t="str">
            <v>Internal KPI</v>
          </cell>
          <cell r="H166" t="str">
            <v>No</v>
          </cell>
          <cell r="BP166" t="str">
            <v>Met</v>
          </cell>
        </row>
        <row r="167">
          <cell r="B167" t="str">
            <v>Wipro</v>
          </cell>
          <cell r="G167" t="str">
            <v>Internal KPI</v>
          </cell>
          <cell r="H167" t="str">
            <v>No</v>
          </cell>
          <cell r="BP167" t="str">
            <v>Met</v>
          </cell>
        </row>
        <row r="168">
          <cell r="B168" t="str">
            <v>Wipro</v>
          </cell>
          <cell r="G168" t="str">
            <v>Internal KPI</v>
          </cell>
          <cell r="H168" t="str">
            <v>No</v>
          </cell>
          <cell r="BP168" t="str">
            <v>Met</v>
          </cell>
        </row>
        <row r="169">
          <cell r="B169" t="str">
            <v>Wipro</v>
          </cell>
          <cell r="G169" t="str">
            <v>Internal KPI</v>
          </cell>
          <cell r="H169" t="str">
            <v>No</v>
          </cell>
          <cell r="BP169" t="str">
            <v>Met</v>
          </cell>
        </row>
        <row r="170">
          <cell r="B170" t="str">
            <v>Wipro</v>
          </cell>
          <cell r="G170" t="str">
            <v>Contractual SLA</v>
          </cell>
          <cell r="H170" t="str">
            <v>No</v>
          </cell>
          <cell r="BP170" t="str">
            <v>NA</v>
          </cell>
        </row>
        <row r="171">
          <cell r="B171" t="str">
            <v>Siemens - Energy</v>
          </cell>
          <cell r="G171" t="str">
            <v>Contractual SLA</v>
          </cell>
          <cell r="H171" t="str">
            <v>No</v>
          </cell>
          <cell r="BP171" t="str">
            <v>Met</v>
          </cell>
        </row>
        <row r="172">
          <cell r="B172" t="str">
            <v>Siemens - Energy</v>
          </cell>
          <cell r="G172" t="str">
            <v>Contractual SLA</v>
          </cell>
          <cell r="H172" t="str">
            <v>No</v>
          </cell>
          <cell r="BP172" t="str">
            <v>Met</v>
          </cell>
        </row>
        <row r="173">
          <cell r="B173" t="str">
            <v>Siemens - Energy</v>
          </cell>
          <cell r="G173" t="str">
            <v>Contractual SLA</v>
          </cell>
          <cell r="H173" t="str">
            <v>No</v>
          </cell>
          <cell r="BP173" t="str">
            <v>Met</v>
          </cell>
        </row>
        <row r="174">
          <cell r="B174" t="str">
            <v>Siemens - Energy</v>
          </cell>
          <cell r="G174" t="str">
            <v>Contractual SLA</v>
          </cell>
          <cell r="H174" t="str">
            <v>No</v>
          </cell>
          <cell r="BP174" t="str">
            <v>Met</v>
          </cell>
        </row>
        <row r="175">
          <cell r="B175" t="str">
            <v>Siemens - Energy</v>
          </cell>
          <cell r="G175" t="str">
            <v>Contractual SLA</v>
          </cell>
          <cell r="H175" t="str">
            <v>No</v>
          </cell>
          <cell r="BP175" t="str">
            <v>Met</v>
          </cell>
        </row>
        <row r="176">
          <cell r="B176" t="str">
            <v>Siemens - Energy</v>
          </cell>
          <cell r="G176" t="str">
            <v>Internal KPI</v>
          </cell>
          <cell r="H176" t="str">
            <v>No</v>
          </cell>
          <cell r="BP176" t="str">
            <v>Not Met</v>
          </cell>
        </row>
        <row r="177">
          <cell r="B177" t="str">
            <v>Siemens - Energy</v>
          </cell>
          <cell r="G177" t="str">
            <v>Internal KPI</v>
          </cell>
          <cell r="H177" t="str">
            <v>No</v>
          </cell>
          <cell r="BP177" t="str">
            <v>Not Met</v>
          </cell>
        </row>
        <row r="178">
          <cell r="B178" t="str">
            <v>Siemens - Energy</v>
          </cell>
          <cell r="G178" t="str">
            <v>Internal KPI</v>
          </cell>
          <cell r="H178" t="str">
            <v>No</v>
          </cell>
          <cell r="BP178" t="str">
            <v>Not Met</v>
          </cell>
        </row>
        <row r="179">
          <cell r="B179" t="str">
            <v>Siemens - Energy</v>
          </cell>
          <cell r="G179" t="str">
            <v>Internal KPI</v>
          </cell>
          <cell r="H179" t="str">
            <v>No</v>
          </cell>
          <cell r="BP179" t="str">
            <v>Met</v>
          </cell>
        </row>
        <row r="180">
          <cell r="B180" t="str">
            <v>Siemens - Energy</v>
          </cell>
          <cell r="G180" t="str">
            <v>Internal KPI</v>
          </cell>
          <cell r="H180" t="str">
            <v>No</v>
          </cell>
          <cell r="BP180" t="str">
            <v>Met</v>
          </cell>
        </row>
        <row r="181">
          <cell r="B181" t="str">
            <v>Siemens - Energy</v>
          </cell>
          <cell r="G181" t="str">
            <v>Internal KPI</v>
          </cell>
          <cell r="H181" t="str">
            <v>No</v>
          </cell>
          <cell r="BP181" t="str">
            <v>Not Met</v>
          </cell>
        </row>
        <row r="182">
          <cell r="B182" t="str">
            <v>HPE</v>
          </cell>
          <cell r="G182" t="str">
            <v>Contractual SLA</v>
          </cell>
          <cell r="H182" t="str">
            <v>Yes</v>
          </cell>
          <cell r="BP182" t="str">
            <v>Met</v>
          </cell>
        </row>
        <row r="183">
          <cell r="B183" t="str">
            <v>HPE</v>
          </cell>
          <cell r="G183" t="str">
            <v>Contractual SLA</v>
          </cell>
          <cell r="H183" t="str">
            <v>Yes</v>
          </cell>
          <cell r="BP183" t="str">
            <v>Met</v>
          </cell>
        </row>
        <row r="184">
          <cell r="B184" t="str">
            <v>HPE</v>
          </cell>
          <cell r="G184" t="str">
            <v>Contractual SLA</v>
          </cell>
          <cell r="H184" t="str">
            <v>Yes</v>
          </cell>
          <cell r="BP184" t="str">
            <v>Met</v>
          </cell>
        </row>
        <row r="185">
          <cell r="B185" t="str">
            <v>HPE</v>
          </cell>
          <cell r="G185" t="str">
            <v>Contractual SLA</v>
          </cell>
          <cell r="H185" t="str">
            <v>Yes</v>
          </cell>
          <cell r="BP185" t="str">
            <v>Met</v>
          </cell>
        </row>
        <row r="186">
          <cell r="B186" t="str">
            <v>HPE</v>
          </cell>
          <cell r="G186" t="str">
            <v>Contractual SLA</v>
          </cell>
          <cell r="H186" t="str">
            <v>No</v>
          </cell>
          <cell r="BP186" t="str">
            <v>Met</v>
          </cell>
        </row>
        <row r="187">
          <cell r="B187" t="str">
            <v>HPE</v>
          </cell>
          <cell r="G187" t="str">
            <v>Contractual SLA</v>
          </cell>
          <cell r="H187" t="str">
            <v>No</v>
          </cell>
          <cell r="BP187" t="str">
            <v>Met</v>
          </cell>
        </row>
        <row r="188">
          <cell r="B188" t="str">
            <v>HPE</v>
          </cell>
          <cell r="G188" t="str">
            <v>Contractual SLA</v>
          </cell>
          <cell r="H188" t="str">
            <v>No</v>
          </cell>
          <cell r="BP188" t="str">
            <v>Met</v>
          </cell>
        </row>
        <row r="189">
          <cell r="B189" t="str">
            <v>HPE</v>
          </cell>
          <cell r="G189" t="str">
            <v>Contractual SLA</v>
          </cell>
          <cell r="H189" t="str">
            <v>No</v>
          </cell>
          <cell r="BP189" t="str">
            <v>Met</v>
          </cell>
        </row>
        <row r="190">
          <cell r="B190" t="str">
            <v>HPE</v>
          </cell>
          <cell r="G190" t="str">
            <v>Contractual SLA</v>
          </cell>
          <cell r="H190" t="str">
            <v>No</v>
          </cell>
          <cell r="BP190" t="str">
            <v>Met</v>
          </cell>
        </row>
        <row r="191">
          <cell r="B191" t="str">
            <v>HPE</v>
          </cell>
          <cell r="G191" t="str">
            <v>Contractual SLA</v>
          </cell>
          <cell r="H191" t="str">
            <v>No</v>
          </cell>
          <cell r="BP191" t="str">
            <v>Met</v>
          </cell>
        </row>
        <row r="192">
          <cell r="B192" t="str">
            <v>HPE</v>
          </cell>
          <cell r="G192" t="str">
            <v>Contractual SLA</v>
          </cell>
          <cell r="H192" t="str">
            <v>No</v>
          </cell>
          <cell r="BP192" t="str">
            <v>NA</v>
          </cell>
        </row>
        <row r="193">
          <cell r="B193" t="str">
            <v>HPE</v>
          </cell>
          <cell r="G193" t="str">
            <v>Contractual SLA</v>
          </cell>
          <cell r="H193" t="str">
            <v>No</v>
          </cell>
          <cell r="BP193" t="str">
            <v>NA</v>
          </cell>
        </row>
        <row r="194">
          <cell r="B194" t="str">
            <v>HPE</v>
          </cell>
          <cell r="G194" t="str">
            <v>Contractual SLA</v>
          </cell>
          <cell r="H194" t="str">
            <v>No</v>
          </cell>
          <cell r="BP194" t="str">
            <v>NA</v>
          </cell>
        </row>
        <row r="195">
          <cell r="B195" t="str">
            <v>HPE</v>
          </cell>
          <cell r="G195" t="str">
            <v>Contractual SLA</v>
          </cell>
          <cell r="H195" t="str">
            <v>No</v>
          </cell>
          <cell r="BP195" t="str">
            <v>NA</v>
          </cell>
        </row>
        <row r="196">
          <cell r="B196" t="str">
            <v>HPE</v>
          </cell>
          <cell r="G196" t="str">
            <v>Contractual SLA</v>
          </cell>
          <cell r="H196" t="str">
            <v>No</v>
          </cell>
          <cell r="BP196" t="str">
            <v>NA</v>
          </cell>
        </row>
        <row r="197">
          <cell r="B197" t="str">
            <v>HPE</v>
          </cell>
          <cell r="G197" t="str">
            <v>Contractual SLA</v>
          </cell>
          <cell r="H197" t="str">
            <v>No</v>
          </cell>
          <cell r="BP197" t="str">
            <v>NA</v>
          </cell>
        </row>
        <row r="198">
          <cell r="B198" t="str">
            <v>HPE</v>
          </cell>
          <cell r="G198" t="str">
            <v>Contractual SLA</v>
          </cell>
          <cell r="H198" t="str">
            <v>No</v>
          </cell>
          <cell r="BP198" t="str">
            <v>NA</v>
          </cell>
        </row>
        <row r="199">
          <cell r="B199" t="str">
            <v>HPE</v>
          </cell>
          <cell r="G199" t="str">
            <v>Contractual SLA</v>
          </cell>
          <cell r="H199" t="str">
            <v>No</v>
          </cell>
          <cell r="BP199" t="str">
            <v>NA</v>
          </cell>
        </row>
        <row r="200">
          <cell r="B200" t="str">
            <v>HPE</v>
          </cell>
          <cell r="G200" t="str">
            <v>Contractual SLA</v>
          </cell>
          <cell r="H200" t="str">
            <v>No</v>
          </cell>
          <cell r="BP200" t="str">
            <v>NA</v>
          </cell>
        </row>
        <row r="201">
          <cell r="B201" t="str">
            <v>HPE</v>
          </cell>
          <cell r="G201" t="str">
            <v>Contractual SLA</v>
          </cell>
          <cell r="H201" t="str">
            <v>No</v>
          </cell>
          <cell r="BP201" t="str">
            <v>NA</v>
          </cell>
        </row>
        <row r="202">
          <cell r="B202" t="str">
            <v>HPE</v>
          </cell>
          <cell r="G202" t="str">
            <v>Internal KPI</v>
          </cell>
          <cell r="H202" t="str">
            <v>No</v>
          </cell>
          <cell r="BP202" t="str">
            <v>NA</v>
          </cell>
        </row>
        <row r="203">
          <cell r="B203" t="str">
            <v>HPE</v>
          </cell>
          <cell r="G203" t="str">
            <v>Internal KPI</v>
          </cell>
          <cell r="H203" t="str">
            <v>No</v>
          </cell>
          <cell r="BP203" t="str">
            <v>NA</v>
          </cell>
        </row>
        <row r="204">
          <cell r="B204" t="str">
            <v>HPE</v>
          </cell>
          <cell r="G204" t="str">
            <v>Internal KPI</v>
          </cell>
          <cell r="H204" t="str">
            <v>No</v>
          </cell>
          <cell r="BP204" t="str">
            <v>NA</v>
          </cell>
        </row>
        <row r="205">
          <cell r="B205" t="str">
            <v>HPE</v>
          </cell>
          <cell r="G205" t="str">
            <v>Internal KPI</v>
          </cell>
          <cell r="H205" t="str">
            <v>No</v>
          </cell>
          <cell r="BP205" t="str">
            <v>NA</v>
          </cell>
        </row>
        <row r="206">
          <cell r="B206" t="str">
            <v>HPE</v>
          </cell>
          <cell r="G206" t="str">
            <v>Internal KPI</v>
          </cell>
          <cell r="H206" t="str">
            <v>No</v>
          </cell>
          <cell r="BP206" t="str">
            <v>NA</v>
          </cell>
        </row>
        <row r="207">
          <cell r="B207" t="str">
            <v>HPE</v>
          </cell>
          <cell r="G207" t="str">
            <v>Internal KPI</v>
          </cell>
          <cell r="H207" t="str">
            <v>No</v>
          </cell>
          <cell r="BP207" t="str">
            <v>NA</v>
          </cell>
        </row>
        <row r="208">
          <cell r="B208" t="str">
            <v>HPE</v>
          </cell>
          <cell r="G208" t="str">
            <v>Internal KPI</v>
          </cell>
          <cell r="H208" t="str">
            <v>No</v>
          </cell>
          <cell r="BP208" t="str">
            <v>NA</v>
          </cell>
        </row>
        <row r="209">
          <cell r="B209" t="str">
            <v>HPE</v>
          </cell>
          <cell r="G209" t="str">
            <v>Internal KPI</v>
          </cell>
          <cell r="H209" t="str">
            <v>No</v>
          </cell>
          <cell r="BP209" t="str">
            <v>NA</v>
          </cell>
        </row>
        <row r="210">
          <cell r="B210" t="str">
            <v>HPE</v>
          </cell>
          <cell r="G210" t="str">
            <v>Internal KPI</v>
          </cell>
          <cell r="H210" t="str">
            <v>No</v>
          </cell>
          <cell r="BP210" t="str">
            <v>NA</v>
          </cell>
        </row>
        <row r="211">
          <cell r="B211" t="str">
            <v>HPE</v>
          </cell>
          <cell r="G211" t="str">
            <v>Internal KPI</v>
          </cell>
          <cell r="H211" t="str">
            <v>No</v>
          </cell>
          <cell r="BP211" t="str">
            <v>NA</v>
          </cell>
        </row>
        <row r="212">
          <cell r="B212" t="str">
            <v>WTW (Ops)</v>
          </cell>
          <cell r="G212" t="str">
            <v>Contractual SLA</v>
          </cell>
          <cell r="H212" t="str">
            <v>Yes</v>
          </cell>
          <cell r="BP212" t="str">
            <v>NA</v>
          </cell>
        </row>
        <row r="213">
          <cell r="B213" t="str">
            <v>WTW (Ops)</v>
          </cell>
          <cell r="G213" t="str">
            <v>Contractual SLA</v>
          </cell>
          <cell r="H213" t="str">
            <v>Yes</v>
          </cell>
          <cell r="BP213" t="str">
            <v>NA</v>
          </cell>
        </row>
        <row r="214">
          <cell r="B214" t="str">
            <v>WTW (Ops)</v>
          </cell>
          <cell r="G214" t="str">
            <v>Contractual SLA</v>
          </cell>
          <cell r="H214" t="str">
            <v>Yes</v>
          </cell>
          <cell r="BP214" t="str">
            <v>NA</v>
          </cell>
        </row>
        <row r="215">
          <cell r="B215" t="str">
            <v>WTW (Ops)</v>
          </cell>
          <cell r="G215" t="str">
            <v>Contractual SLA</v>
          </cell>
          <cell r="H215" t="str">
            <v>No</v>
          </cell>
          <cell r="BP215" t="str">
            <v>NA</v>
          </cell>
        </row>
        <row r="216">
          <cell r="B216" t="str">
            <v>WTW (Ops)</v>
          </cell>
          <cell r="G216" t="str">
            <v>Contractual SLA</v>
          </cell>
          <cell r="H216" t="str">
            <v>No</v>
          </cell>
          <cell r="BP216" t="str">
            <v>NA</v>
          </cell>
        </row>
        <row r="217">
          <cell r="B217" t="str">
            <v>WTW (Tech)</v>
          </cell>
          <cell r="G217" t="str">
            <v>Contractual SLA</v>
          </cell>
          <cell r="H217" t="str">
            <v>Yes</v>
          </cell>
          <cell r="BP217" t="str">
            <v>NA</v>
          </cell>
        </row>
        <row r="218">
          <cell r="B218" t="str">
            <v>WTW (Tech)</v>
          </cell>
          <cell r="G218" t="str">
            <v>Contractual SLA</v>
          </cell>
          <cell r="H218" t="str">
            <v>Yes</v>
          </cell>
          <cell r="BP218" t="str">
            <v>NA</v>
          </cell>
        </row>
        <row r="219">
          <cell r="B219" t="str">
            <v>WTW (Tech)</v>
          </cell>
          <cell r="G219" t="str">
            <v>Contractual SLA</v>
          </cell>
          <cell r="H219" t="str">
            <v>Yes</v>
          </cell>
          <cell r="BP219" t="str">
            <v>NA</v>
          </cell>
        </row>
        <row r="220">
          <cell r="B220" t="str">
            <v>WTW (Tech)</v>
          </cell>
          <cell r="G220" t="str">
            <v>Contractual SLA</v>
          </cell>
          <cell r="H220" t="str">
            <v>No</v>
          </cell>
          <cell r="BP220" t="str">
            <v>NA</v>
          </cell>
        </row>
        <row r="221">
          <cell r="B221" t="str">
            <v>WTW (Tech)</v>
          </cell>
          <cell r="G221" t="str">
            <v>Contractual SLA</v>
          </cell>
          <cell r="H221" t="str">
            <v>No</v>
          </cell>
          <cell r="BP221" t="str">
            <v>NA</v>
          </cell>
        </row>
        <row r="222">
          <cell r="B222" t="str">
            <v>WTW (Ops &amp; Tech)</v>
          </cell>
          <cell r="G222" t="str">
            <v>Internal KPI</v>
          </cell>
          <cell r="H222" t="str">
            <v>No</v>
          </cell>
          <cell r="BP222" t="str">
            <v>NA</v>
          </cell>
        </row>
        <row r="223">
          <cell r="B223" t="str">
            <v>WTW (Ops &amp; Tech)</v>
          </cell>
          <cell r="G223" t="str">
            <v>Internal KPI</v>
          </cell>
          <cell r="H223" t="str">
            <v>No</v>
          </cell>
          <cell r="BP223" t="str">
            <v>NA</v>
          </cell>
        </row>
        <row r="224">
          <cell r="B224" t="str">
            <v>WTW (Ops &amp; Tech)</v>
          </cell>
          <cell r="G224" t="str">
            <v>Internal KPI</v>
          </cell>
          <cell r="H224" t="str">
            <v>No</v>
          </cell>
          <cell r="BP224" t="str">
            <v>NA</v>
          </cell>
        </row>
        <row r="225">
          <cell r="B225" t="str">
            <v>WTW (Ops &amp; Tech)</v>
          </cell>
          <cell r="G225" t="str">
            <v>Internal KPI</v>
          </cell>
          <cell r="H225" t="str">
            <v>No</v>
          </cell>
          <cell r="BP225" t="str">
            <v>NA</v>
          </cell>
        </row>
        <row r="226">
          <cell r="B226" t="str">
            <v>WTW (Ops &amp; Tech)</v>
          </cell>
          <cell r="G226" t="str">
            <v>Internal KPI</v>
          </cell>
          <cell r="H226" t="str">
            <v>No</v>
          </cell>
          <cell r="BP226" t="str">
            <v>NA</v>
          </cell>
        </row>
        <row r="227">
          <cell r="B227" t="str">
            <v>WTW (Ops &amp; Tech)</v>
          </cell>
          <cell r="G227" t="str">
            <v>Internal KPI</v>
          </cell>
          <cell r="H227" t="str">
            <v>No</v>
          </cell>
          <cell r="BP227" t="str">
            <v>NA</v>
          </cell>
        </row>
        <row r="228">
          <cell r="B228" t="str">
            <v>WTW (Ops &amp; Tech)</v>
          </cell>
          <cell r="G228" t="str">
            <v>Internal KPI</v>
          </cell>
          <cell r="H228" t="str">
            <v>No</v>
          </cell>
          <cell r="BP228" t="str">
            <v>NA</v>
          </cell>
        </row>
        <row r="229">
          <cell r="B229" t="str">
            <v>DP World</v>
          </cell>
          <cell r="G229" t="str">
            <v>Internal KPI</v>
          </cell>
          <cell r="H229" t="str">
            <v>No</v>
          </cell>
          <cell r="BP229" t="str">
            <v>Met</v>
          </cell>
        </row>
        <row r="230">
          <cell r="B230" t="str">
            <v>DP World</v>
          </cell>
          <cell r="G230" t="str">
            <v>Internal KPI</v>
          </cell>
          <cell r="H230" t="str">
            <v>No</v>
          </cell>
          <cell r="BP230" t="str">
            <v>Met</v>
          </cell>
        </row>
        <row r="231">
          <cell r="B231" t="str">
            <v>DP World</v>
          </cell>
          <cell r="G231" t="str">
            <v>Internal KPI</v>
          </cell>
          <cell r="H231" t="str">
            <v>No</v>
          </cell>
          <cell r="BP231" t="str">
            <v>Not Met</v>
          </cell>
        </row>
        <row r="232">
          <cell r="B232" t="str">
            <v>DP World</v>
          </cell>
          <cell r="G232" t="str">
            <v>Internal KPI</v>
          </cell>
          <cell r="H232" t="str">
            <v>No</v>
          </cell>
          <cell r="BP232" t="str">
            <v>Met</v>
          </cell>
        </row>
        <row r="233">
          <cell r="B233" t="str">
            <v>DP World</v>
          </cell>
          <cell r="G233" t="str">
            <v>Internal KPI</v>
          </cell>
          <cell r="H233" t="str">
            <v>No</v>
          </cell>
          <cell r="BP233" t="str">
            <v>Met</v>
          </cell>
        </row>
        <row r="234">
          <cell r="B234" t="str">
            <v>DP World</v>
          </cell>
          <cell r="G234" t="str">
            <v>Internal KPI</v>
          </cell>
          <cell r="H234" t="str">
            <v>No</v>
          </cell>
          <cell r="BP234" t="str">
            <v>Met</v>
          </cell>
        </row>
        <row r="235">
          <cell r="B235" t="str">
            <v>DP World</v>
          </cell>
          <cell r="G235" t="str">
            <v>Internal KPI</v>
          </cell>
          <cell r="H235" t="str">
            <v>No</v>
          </cell>
          <cell r="BP235" t="str">
            <v>Not Met</v>
          </cell>
        </row>
        <row r="236">
          <cell r="B236" t="str">
            <v>Ametek</v>
          </cell>
          <cell r="G236" t="str">
            <v>Internal KPI</v>
          </cell>
          <cell r="H236" t="str">
            <v>No</v>
          </cell>
          <cell r="BP236" t="str">
            <v>NA</v>
          </cell>
        </row>
        <row r="237">
          <cell r="B237" t="str">
            <v>Ametek</v>
          </cell>
          <cell r="G237" t="str">
            <v>Internal KPI</v>
          </cell>
          <cell r="H237" t="str">
            <v>No</v>
          </cell>
          <cell r="BP237" t="str">
            <v>NA</v>
          </cell>
        </row>
        <row r="238">
          <cell r="B238" t="str">
            <v>Ametek</v>
          </cell>
          <cell r="G238" t="str">
            <v>Internal KPI</v>
          </cell>
          <cell r="H238" t="str">
            <v>No</v>
          </cell>
          <cell r="BP238" t="str">
            <v>NA</v>
          </cell>
        </row>
        <row r="239">
          <cell r="B239" t="str">
            <v>Ametek</v>
          </cell>
          <cell r="G239" t="str">
            <v>Internal KPI</v>
          </cell>
          <cell r="H239" t="str">
            <v>No</v>
          </cell>
          <cell r="BP239" t="str">
            <v>NA</v>
          </cell>
        </row>
        <row r="240">
          <cell r="B240" t="str">
            <v>Ametek</v>
          </cell>
          <cell r="G240" t="str">
            <v>Internal KPI</v>
          </cell>
          <cell r="H240" t="str">
            <v>No</v>
          </cell>
          <cell r="BP240" t="str">
            <v>NA</v>
          </cell>
        </row>
        <row r="241">
          <cell r="B241" t="str">
            <v>Ametek</v>
          </cell>
          <cell r="G241" t="str">
            <v>Internal KPI</v>
          </cell>
          <cell r="H241" t="str">
            <v>No</v>
          </cell>
          <cell r="BP241" t="str">
            <v>NA</v>
          </cell>
        </row>
        <row r="242">
          <cell r="B242" t="str">
            <v>Ametek</v>
          </cell>
          <cell r="G242" t="str">
            <v>Internal KPI</v>
          </cell>
          <cell r="H242" t="str">
            <v>No</v>
          </cell>
          <cell r="BP242" t="str">
            <v>NA</v>
          </cell>
        </row>
        <row r="243">
          <cell r="B243" t="str">
            <v>Ultratech</v>
          </cell>
          <cell r="G243" t="str">
            <v>Contractual SLA</v>
          </cell>
          <cell r="H243" t="str">
            <v>Yes</v>
          </cell>
          <cell r="BP243" t="str">
            <v>NA</v>
          </cell>
        </row>
        <row r="244">
          <cell r="B244" t="str">
            <v>Ultratech</v>
          </cell>
          <cell r="G244" t="str">
            <v>Contractual SLA</v>
          </cell>
          <cell r="H244" t="str">
            <v>Yes</v>
          </cell>
          <cell r="BP244" t="str">
            <v>NA</v>
          </cell>
        </row>
        <row r="245">
          <cell r="B245" t="str">
            <v>Ultratech</v>
          </cell>
          <cell r="G245" t="str">
            <v>Contractual SLA</v>
          </cell>
          <cell r="H245" t="str">
            <v>Yes</v>
          </cell>
          <cell r="BP245" t="str">
            <v>NA</v>
          </cell>
        </row>
        <row r="246">
          <cell r="B246" t="str">
            <v>Ultratech</v>
          </cell>
          <cell r="G246" t="str">
            <v>Contractual SLA</v>
          </cell>
          <cell r="H246" t="str">
            <v>Yes</v>
          </cell>
          <cell r="BP246" t="str">
            <v>NA</v>
          </cell>
        </row>
        <row r="247">
          <cell r="B247" t="str">
            <v>Ultratech</v>
          </cell>
          <cell r="G247" t="str">
            <v>Internal KPI</v>
          </cell>
          <cell r="H247" t="str">
            <v>No</v>
          </cell>
          <cell r="BP247" t="str">
            <v>NA</v>
          </cell>
        </row>
        <row r="248">
          <cell r="B248" t="str">
            <v>Ultratech</v>
          </cell>
          <cell r="G248" t="str">
            <v>Internal KPI</v>
          </cell>
          <cell r="H248" t="str">
            <v>No</v>
          </cell>
          <cell r="BP248" t="str">
            <v>NA</v>
          </cell>
        </row>
        <row r="249">
          <cell r="B249" t="str">
            <v>Ultratech</v>
          </cell>
          <cell r="G249" t="str">
            <v>Contractual SLA</v>
          </cell>
          <cell r="H249" t="str">
            <v>Yes</v>
          </cell>
          <cell r="BP249" t="str">
            <v>NA</v>
          </cell>
        </row>
        <row r="250">
          <cell r="B250" t="str">
            <v>Ultratech</v>
          </cell>
          <cell r="G250" t="str">
            <v>Internal KPI</v>
          </cell>
          <cell r="H250" t="str">
            <v>No</v>
          </cell>
          <cell r="BP250" t="str">
            <v>NA</v>
          </cell>
        </row>
        <row r="251">
          <cell r="B251" t="str">
            <v>Ultratech</v>
          </cell>
          <cell r="G251" t="str">
            <v>Internal KPI</v>
          </cell>
          <cell r="H251" t="str">
            <v>No</v>
          </cell>
          <cell r="BP251" t="str">
            <v>NA</v>
          </cell>
        </row>
        <row r="252">
          <cell r="B252" t="str">
            <v>Ultratech</v>
          </cell>
          <cell r="G252" t="str">
            <v>Internal KPI</v>
          </cell>
          <cell r="H252" t="str">
            <v>No</v>
          </cell>
          <cell r="BP252" t="str">
            <v>NA</v>
          </cell>
        </row>
        <row r="253">
          <cell r="B253" t="str">
            <v>Ultratech</v>
          </cell>
          <cell r="G253" t="str">
            <v>Internal KPI</v>
          </cell>
          <cell r="H253" t="str">
            <v>No</v>
          </cell>
          <cell r="BP253" t="str">
            <v>NA</v>
          </cell>
        </row>
        <row r="254">
          <cell r="B254" t="str">
            <v>Ultratech</v>
          </cell>
          <cell r="G254" t="str">
            <v>Internal KPI</v>
          </cell>
          <cell r="H254" t="str">
            <v>No</v>
          </cell>
          <cell r="BP254" t="str">
            <v>NA</v>
          </cell>
        </row>
        <row r="255">
          <cell r="B255" t="str">
            <v>Ultratech</v>
          </cell>
          <cell r="G255" t="str">
            <v>Internal KPI</v>
          </cell>
          <cell r="H255" t="str">
            <v>No</v>
          </cell>
          <cell r="BP255" t="str">
            <v>NA</v>
          </cell>
        </row>
        <row r="256">
          <cell r="B256" t="str">
            <v>Ultratech</v>
          </cell>
          <cell r="G256" t="str">
            <v>Internal KPI</v>
          </cell>
          <cell r="H256" t="str">
            <v>No</v>
          </cell>
          <cell r="BP256" t="str">
            <v>NA</v>
          </cell>
        </row>
        <row r="257">
          <cell r="B257" t="str">
            <v>TATA Electronics</v>
          </cell>
          <cell r="G257" t="str">
            <v>Contractual SLA</v>
          </cell>
          <cell r="H257" t="str">
            <v>No</v>
          </cell>
          <cell r="BP257" t="str">
            <v>Not Reported</v>
          </cell>
        </row>
        <row r="258">
          <cell r="B258" t="str">
            <v>TATA Electronics</v>
          </cell>
          <cell r="G258" t="str">
            <v>Contractual SLA</v>
          </cell>
          <cell r="H258" t="str">
            <v>No</v>
          </cell>
          <cell r="BP258" t="str">
            <v>Not Reported</v>
          </cell>
        </row>
        <row r="259">
          <cell r="B259" t="str">
            <v>TATA Electronics</v>
          </cell>
          <cell r="G259" t="str">
            <v>Contractual SLA</v>
          </cell>
          <cell r="H259" t="str">
            <v>No</v>
          </cell>
          <cell r="BP259" t="str">
            <v>Not Reported</v>
          </cell>
        </row>
        <row r="260">
          <cell r="B260" t="str">
            <v>TATA Electronics</v>
          </cell>
          <cell r="G260" t="str">
            <v>Contractual SLA</v>
          </cell>
          <cell r="H260" t="str">
            <v>No</v>
          </cell>
          <cell r="BP260" t="str">
            <v>Not Reported</v>
          </cell>
        </row>
        <row r="261">
          <cell r="B261" t="str">
            <v>TATA Electronics</v>
          </cell>
          <cell r="G261" t="str">
            <v>Contractual SLA</v>
          </cell>
          <cell r="H261" t="str">
            <v>No</v>
          </cell>
          <cell r="BP261" t="str">
            <v>Not Reported</v>
          </cell>
        </row>
        <row r="262">
          <cell r="B262" t="str">
            <v>TATA Electronics</v>
          </cell>
          <cell r="G262" t="str">
            <v>Contractual SLA</v>
          </cell>
          <cell r="H262" t="str">
            <v>No</v>
          </cell>
          <cell r="BP262" t="str">
            <v>Not Reported</v>
          </cell>
        </row>
        <row r="263">
          <cell r="B263" t="str">
            <v>TATA Electronics</v>
          </cell>
          <cell r="G263" t="str">
            <v>Contractual SLA</v>
          </cell>
          <cell r="H263" t="str">
            <v>No</v>
          </cell>
          <cell r="BP263" t="str">
            <v>Not Reported</v>
          </cell>
        </row>
        <row r="264">
          <cell r="B264" t="str">
            <v>TATA Electronics</v>
          </cell>
          <cell r="G264" t="str">
            <v>Internal KPI</v>
          </cell>
          <cell r="H264" t="str">
            <v>No</v>
          </cell>
          <cell r="BP264" t="str">
            <v>Not Reported</v>
          </cell>
        </row>
        <row r="265">
          <cell r="B265" t="str">
            <v>TATA Electronics</v>
          </cell>
          <cell r="G265" t="str">
            <v>Internal KPI</v>
          </cell>
          <cell r="H265" t="str">
            <v>No</v>
          </cell>
          <cell r="BP265" t="str">
            <v>Not Reported</v>
          </cell>
        </row>
        <row r="266">
          <cell r="B266" t="str">
            <v>AMNS</v>
          </cell>
          <cell r="G266" t="str">
            <v>Contractual SLA</v>
          </cell>
          <cell r="H266" t="str">
            <v>No</v>
          </cell>
          <cell r="BP266" t="str">
            <v>Not Met</v>
          </cell>
        </row>
        <row r="267">
          <cell r="B267" t="str">
            <v>AMNS</v>
          </cell>
          <cell r="G267" t="str">
            <v>Contractual SLA</v>
          </cell>
          <cell r="H267" t="str">
            <v>No</v>
          </cell>
          <cell r="BP267" t="str">
            <v>Not Met</v>
          </cell>
        </row>
        <row r="268">
          <cell r="B268" t="str">
            <v>AMNS</v>
          </cell>
          <cell r="G268" t="str">
            <v>Contractual SLA</v>
          </cell>
          <cell r="H268" t="str">
            <v>No</v>
          </cell>
          <cell r="BP268" t="str">
            <v>Met</v>
          </cell>
        </row>
        <row r="269">
          <cell r="B269" t="str">
            <v>AMNS</v>
          </cell>
          <cell r="G269" t="str">
            <v>Contractual SLA</v>
          </cell>
          <cell r="H269" t="str">
            <v>No</v>
          </cell>
          <cell r="BP269" t="str">
            <v>Met</v>
          </cell>
        </row>
        <row r="270">
          <cell r="B270" t="str">
            <v>AMNS</v>
          </cell>
          <cell r="G270" t="str">
            <v>Internal KPI</v>
          </cell>
          <cell r="H270" t="str">
            <v>No</v>
          </cell>
          <cell r="BP270" t="str">
            <v>Not Met</v>
          </cell>
        </row>
        <row r="271">
          <cell r="B271" t="str">
            <v>AMNS</v>
          </cell>
          <cell r="G271" t="str">
            <v>Internal KPI</v>
          </cell>
          <cell r="H271" t="str">
            <v>No</v>
          </cell>
          <cell r="BP271" t="str">
            <v>Not Met</v>
          </cell>
        </row>
        <row r="272">
          <cell r="B272" t="str">
            <v>AMNS</v>
          </cell>
          <cell r="G272" t="str">
            <v>Internal KPI</v>
          </cell>
          <cell r="H272" t="str">
            <v>No</v>
          </cell>
          <cell r="BP272" t="str">
            <v>Not Met</v>
          </cell>
        </row>
        <row r="273">
          <cell r="B273" t="str">
            <v>TITAN</v>
          </cell>
          <cell r="G273" t="str">
            <v>Internal KPI</v>
          </cell>
          <cell r="H273" t="str">
            <v>No</v>
          </cell>
          <cell r="BP273" t="str">
            <v>NA</v>
          </cell>
        </row>
        <row r="274">
          <cell r="B274" t="str">
            <v>TITAN</v>
          </cell>
          <cell r="G274" t="str">
            <v>Internal KPI</v>
          </cell>
          <cell r="H274" t="str">
            <v>No</v>
          </cell>
          <cell r="BP274" t="str">
            <v>NA</v>
          </cell>
        </row>
        <row r="275">
          <cell r="B275" t="str">
            <v>TITAN</v>
          </cell>
          <cell r="G275" t="str">
            <v>Internal KPI</v>
          </cell>
          <cell r="H275" t="str">
            <v>No</v>
          </cell>
          <cell r="BP275" t="str">
            <v>NA</v>
          </cell>
        </row>
        <row r="276">
          <cell r="B276" t="str">
            <v>TITAN</v>
          </cell>
          <cell r="G276" t="str">
            <v>Internal KPI</v>
          </cell>
          <cell r="H276" t="str">
            <v>No</v>
          </cell>
          <cell r="BP276" t="str">
            <v>NA</v>
          </cell>
        </row>
        <row r="277">
          <cell r="B277" t="str">
            <v>TITAN</v>
          </cell>
          <cell r="G277" t="str">
            <v>Internal KPI</v>
          </cell>
          <cell r="H277" t="str">
            <v>No</v>
          </cell>
          <cell r="BP277" t="str">
            <v>NA</v>
          </cell>
        </row>
        <row r="278">
          <cell r="B278" t="str">
            <v>TITAN</v>
          </cell>
          <cell r="G278" t="str">
            <v>Internal KPI</v>
          </cell>
          <cell r="H278" t="str">
            <v>No</v>
          </cell>
          <cell r="BP278" t="str">
            <v>NA</v>
          </cell>
        </row>
        <row r="279">
          <cell r="B279" t="str">
            <v>TITAN</v>
          </cell>
          <cell r="G279" t="str">
            <v>Internal KPI</v>
          </cell>
          <cell r="H279" t="str">
            <v>No</v>
          </cell>
          <cell r="BP279" t="str">
            <v>NA</v>
          </cell>
        </row>
        <row r="280">
          <cell r="B280" t="str">
            <v>Jindal</v>
          </cell>
          <cell r="G280" t="str">
            <v>Internal KPI</v>
          </cell>
          <cell r="H280" t="str">
            <v>No</v>
          </cell>
          <cell r="BP280" t="str">
            <v>Met</v>
          </cell>
        </row>
        <row r="281">
          <cell r="B281" t="str">
            <v>Jindal</v>
          </cell>
          <cell r="G281" t="str">
            <v>Internal KPI</v>
          </cell>
          <cell r="H281" t="str">
            <v>No</v>
          </cell>
          <cell r="BP281" t="str">
            <v>Met</v>
          </cell>
        </row>
        <row r="282">
          <cell r="B282" t="str">
            <v>Jindal</v>
          </cell>
          <cell r="G282" t="str">
            <v>Internal KPI</v>
          </cell>
          <cell r="H282" t="str">
            <v>No</v>
          </cell>
          <cell r="BP282" t="str">
            <v>Met</v>
          </cell>
        </row>
        <row r="283">
          <cell r="B283" t="str">
            <v>Jindal</v>
          </cell>
          <cell r="G283" t="str">
            <v>Internal KPI</v>
          </cell>
          <cell r="H283" t="str">
            <v>No</v>
          </cell>
          <cell r="BP283" t="str">
            <v>Met</v>
          </cell>
        </row>
        <row r="284">
          <cell r="B284" t="str">
            <v>Jindal</v>
          </cell>
          <cell r="G284" t="str">
            <v>Internal KPI</v>
          </cell>
          <cell r="H284" t="str">
            <v>No</v>
          </cell>
          <cell r="BP284" t="str">
            <v>Met</v>
          </cell>
        </row>
        <row r="285">
          <cell r="B285" t="str">
            <v>Jindal</v>
          </cell>
          <cell r="G285" t="str">
            <v>Internal KPI</v>
          </cell>
          <cell r="H285" t="str">
            <v>No</v>
          </cell>
          <cell r="BP285" t="str">
            <v>Met</v>
          </cell>
        </row>
        <row r="286">
          <cell r="B286" t="str">
            <v>Jindal</v>
          </cell>
          <cell r="G286" t="str">
            <v>Internal KPI</v>
          </cell>
          <cell r="H286" t="str">
            <v>No</v>
          </cell>
          <cell r="BP286" t="str">
            <v>Not Met</v>
          </cell>
        </row>
        <row r="287">
          <cell r="B287" t="str">
            <v>Jindal</v>
          </cell>
          <cell r="G287" t="str">
            <v>Internal KPI</v>
          </cell>
          <cell r="H287" t="str">
            <v>No</v>
          </cell>
          <cell r="BP287" t="str">
            <v>NA</v>
          </cell>
        </row>
        <row r="288">
          <cell r="B288" t="str">
            <v>TATA Tele</v>
          </cell>
          <cell r="G288" t="str">
            <v>Internal KPI</v>
          </cell>
          <cell r="H288" t="str">
            <v>No</v>
          </cell>
          <cell r="BP288" t="str">
            <v>NA</v>
          </cell>
        </row>
        <row r="289">
          <cell r="B289" t="str">
            <v>TATA Tele</v>
          </cell>
          <cell r="G289" t="str">
            <v>Internal KPI</v>
          </cell>
          <cell r="H289" t="str">
            <v>No</v>
          </cell>
          <cell r="BP289" t="str">
            <v>NA</v>
          </cell>
        </row>
        <row r="290">
          <cell r="B290" t="str">
            <v>TATA Tele</v>
          </cell>
          <cell r="G290" t="str">
            <v>Internal KPI</v>
          </cell>
          <cell r="H290" t="str">
            <v>No</v>
          </cell>
          <cell r="BP290" t="str">
            <v>NA</v>
          </cell>
        </row>
        <row r="291">
          <cell r="B291" t="str">
            <v>TATA Tele</v>
          </cell>
          <cell r="G291" t="str">
            <v>Internal KPI</v>
          </cell>
          <cell r="H291" t="str">
            <v>No</v>
          </cell>
          <cell r="BP291" t="str">
            <v>NA</v>
          </cell>
        </row>
        <row r="292">
          <cell r="B292" t="str">
            <v>TATA Tele</v>
          </cell>
          <cell r="G292" t="str">
            <v>Internal KPI</v>
          </cell>
          <cell r="H292" t="str">
            <v>No</v>
          </cell>
          <cell r="BP292" t="str">
            <v>NA</v>
          </cell>
        </row>
        <row r="293">
          <cell r="B293" t="str">
            <v>TATA Tele</v>
          </cell>
          <cell r="G293" t="str">
            <v>Internal KPI</v>
          </cell>
          <cell r="H293" t="str">
            <v>No</v>
          </cell>
          <cell r="BP293" t="str">
            <v>NA</v>
          </cell>
        </row>
        <row r="294">
          <cell r="B294" t="str">
            <v>TATA Tele</v>
          </cell>
          <cell r="G294" t="str">
            <v>Internal KPI</v>
          </cell>
          <cell r="H294" t="str">
            <v>No</v>
          </cell>
          <cell r="BP294" t="str">
            <v>NA</v>
          </cell>
        </row>
        <row r="295">
          <cell r="B295" t="str">
            <v>Royal Enfield</v>
          </cell>
          <cell r="G295" t="str">
            <v>Internal KPI</v>
          </cell>
          <cell r="H295" t="str">
            <v>No</v>
          </cell>
          <cell r="BP295" t="str">
            <v>Not Reported</v>
          </cell>
        </row>
        <row r="296">
          <cell r="B296" t="str">
            <v>Royal Enfield</v>
          </cell>
          <cell r="G296" t="str">
            <v>Internal KPI</v>
          </cell>
          <cell r="H296" t="str">
            <v>No</v>
          </cell>
          <cell r="BP296" t="str">
            <v>Not Reported</v>
          </cell>
        </row>
        <row r="297">
          <cell r="B297" t="str">
            <v>Royal Enfield</v>
          </cell>
          <cell r="G297" t="str">
            <v>Internal KPI</v>
          </cell>
          <cell r="H297" t="str">
            <v>No</v>
          </cell>
          <cell r="BP297" t="str">
            <v>Not Reported</v>
          </cell>
        </row>
        <row r="298">
          <cell r="B298" t="str">
            <v>Royal Enfield</v>
          </cell>
          <cell r="G298" t="str">
            <v>Internal KPI</v>
          </cell>
          <cell r="H298" t="str">
            <v>No</v>
          </cell>
          <cell r="BP298" t="str">
            <v>Not Reported</v>
          </cell>
        </row>
        <row r="299">
          <cell r="B299" t="str">
            <v>Royal Enfield</v>
          </cell>
          <cell r="G299" t="str">
            <v>Internal KPI</v>
          </cell>
          <cell r="H299" t="str">
            <v>No</v>
          </cell>
          <cell r="BP299" t="str">
            <v>Not Reported</v>
          </cell>
        </row>
        <row r="300">
          <cell r="B300" t="str">
            <v>Royal Enfield</v>
          </cell>
          <cell r="G300" t="str">
            <v>Internal KPI</v>
          </cell>
          <cell r="H300" t="str">
            <v>No</v>
          </cell>
          <cell r="BP300" t="str">
            <v>Not Reported</v>
          </cell>
        </row>
        <row r="301">
          <cell r="B301" t="str">
            <v>Royal Enfield</v>
          </cell>
          <cell r="G301" t="str">
            <v>Internal KPI</v>
          </cell>
          <cell r="H301" t="str">
            <v>No</v>
          </cell>
          <cell r="BP301" t="str">
            <v>Not Reported</v>
          </cell>
        </row>
        <row r="302">
          <cell r="B302" t="str">
            <v>Royal Enfield</v>
          </cell>
          <cell r="G302" t="str">
            <v>Internal KPI</v>
          </cell>
          <cell r="H302" t="str">
            <v>No</v>
          </cell>
          <cell r="BP302" t="str">
            <v>Not Reported</v>
          </cell>
        </row>
        <row r="303">
          <cell r="B303" t="str">
            <v>SBI Card</v>
          </cell>
          <cell r="G303" t="str">
            <v>Internal KPI</v>
          </cell>
          <cell r="H303" t="str">
            <v>No</v>
          </cell>
          <cell r="BP303" t="str">
            <v>Met</v>
          </cell>
        </row>
        <row r="304">
          <cell r="B304" t="str">
            <v>SBI Card</v>
          </cell>
          <cell r="G304" t="str">
            <v>Internal KPI</v>
          </cell>
          <cell r="H304" t="str">
            <v>No</v>
          </cell>
          <cell r="BP304" t="str">
            <v>Met</v>
          </cell>
        </row>
        <row r="305">
          <cell r="B305" t="str">
            <v>SBI Card</v>
          </cell>
          <cell r="G305" t="str">
            <v>Contractual SLA</v>
          </cell>
          <cell r="H305" t="str">
            <v>Yes</v>
          </cell>
          <cell r="BP305" t="str">
            <v>Not Met</v>
          </cell>
        </row>
        <row r="306">
          <cell r="B306" t="str">
            <v>SBI Card</v>
          </cell>
          <cell r="G306" t="str">
            <v>Contractual SLA</v>
          </cell>
          <cell r="H306" t="str">
            <v>Yes</v>
          </cell>
          <cell r="BP306" t="str">
            <v>Met</v>
          </cell>
        </row>
        <row r="307">
          <cell r="B307" t="str">
            <v>SBI Card</v>
          </cell>
          <cell r="G307" t="str">
            <v>Contractual SLA</v>
          </cell>
          <cell r="H307" t="str">
            <v>Yes</v>
          </cell>
          <cell r="BP307" t="str">
            <v>Met</v>
          </cell>
        </row>
        <row r="308">
          <cell r="B308" t="str">
            <v>SBI Card</v>
          </cell>
          <cell r="G308" t="str">
            <v>Contractual SLA</v>
          </cell>
          <cell r="H308" t="str">
            <v>Yes</v>
          </cell>
          <cell r="BP308" t="str">
            <v>Not Met</v>
          </cell>
        </row>
        <row r="309">
          <cell r="B309" t="str">
            <v>SBI Card</v>
          </cell>
          <cell r="G309" t="str">
            <v>Contractual SLA</v>
          </cell>
          <cell r="H309" t="str">
            <v>Yes</v>
          </cell>
          <cell r="BP309" t="str">
            <v>Met</v>
          </cell>
        </row>
        <row r="310">
          <cell r="B310" t="str">
            <v>SBI Card</v>
          </cell>
          <cell r="G310" t="str">
            <v>Internal KPI</v>
          </cell>
          <cell r="H310" t="str">
            <v>No</v>
          </cell>
          <cell r="BP310" t="str">
            <v>Met</v>
          </cell>
        </row>
        <row r="311">
          <cell r="B311" t="str">
            <v>SBI Card</v>
          </cell>
          <cell r="G311" t="str">
            <v>Internal KPI</v>
          </cell>
          <cell r="H311" t="str">
            <v>No</v>
          </cell>
          <cell r="BP311" t="str">
            <v>NA</v>
          </cell>
        </row>
        <row r="312">
          <cell r="B312" t="str">
            <v>SBI Card</v>
          </cell>
          <cell r="G312" t="str">
            <v>Internal KPI</v>
          </cell>
          <cell r="H312" t="str">
            <v>No</v>
          </cell>
          <cell r="BP312" t="str">
            <v>NA</v>
          </cell>
        </row>
        <row r="313">
          <cell r="B313" t="str">
            <v>SBI Card</v>
          </cell>
          <cell r="G313" t="str">
            <v>Internal KPI</v>
          </cell>
          <cell r="H313" t="str">
            <v>No</v>
          </cell>
          <cell r="BP313" t="str">
            <v>Met</v>
          </cell>
        </row>
        <row r="314">
          <cell r="B314" t="str">
            <v>SBI Card</v>
          </cell>
          <cell r="G314" t="str">
            <v>Internal KPI</v>
          </cell>
          <cell r="H314" t="str">
            <v>No</v>
          </cell>
          <cell r="BP314" t="str">
            <v>NA</v>
          </cell>
        </row>
        <row r="315">
          <cell r="B315" t="str">
            <v>Schaeffler</v>
          </cell>
          <cell r="G315" t="str">
            <v>Contractual SLA</v>
          </cell>
          <cell r="H315" t="str">
            <v>Yes</v>
          </cell>
          <cell r="BP315" t="str">
            <v>Met</v>
          </cell>
        </row>
        <row r="316">
          <cell r="B316" t="str">
            <v>Schaeffler</v>
          </cell>
          <cell r="G316" t="str">
            <v>Contractual SLA</v>
          </cell>
          <cell r="H316" t="str">
            <v>Yes</v>
          </cell>
          <cell r="BP316" t="str">
            <v>Not Met</v>
          </cell>
        </row>
        <row r="317">
          <cell r="B317" t="str">
            <v>Schaeffler</v>
          </cell>
          <cell r="G317" t="str">
            <v>Internal KPI</v>
          </cell>
          <cell r="H317" t="str">
            <v>No</v>
          </cell>
          <cell r="BP317" t="str">
            <v>Not Reported</v>
          </cell>
        </row>
        <row r="318">
          <cell r="B318" t="str">
            <v>Schaeffler</v>
          </cell>
          <cell r="G318" t="str">
            <v>Internal KPI</v>
          </cell>
          <cell r="H318" t="str">
            <v>No</v>
          </cell>
          <cell r="BP318" t="str">
            <v>Met</v>
          </cell>
        </row>
        <row r="319">
          <cell r="B319" t="str">
            <v>Schaeffler</v>
          </cell>
          <cell r="G319" t="str">
            <v>Contractual SLA</v>
          </cell>
          <cell r="H319" t="str">
            <v>Yes</v>
          </cell>
          <cell r="BP319" t="str">
            <v>Met</v>
          </cell>
        </row>
        <row r="320">
          <cell r="B320" t="str">
            <v>Schaeffler</v>
          </cell>
          <cell r="G320" t="str">
            <v>Internal KPI</v>
          </cell>
          <cell r="H320" t="str">
            <v>No</v>
          </cell>
          <cell r="BP320" t="str">
            <v>Not Met</v>
          </cell>
        </row>
        <row r="321">
          <cell r="B321" t="str">
            <v>Schaeffler</v>
          </cell>
          <cell r="G321" t="str">
            <v>Internal KPI</v>
          </cell>
          <cell r="H321" t="str">
            <v>No</v>
          </cell>
          <cell r="BP321" t="str">
            <v>Not Met</v>
          </cell>
        </row>
        <row r="322">
          <cell r="B322" t="str">
            <v>Schaeffler</v>
          </cell>
          <cell r="G322" t="str">
            <v>Contractual SLA</v>
          </cell>
          <cell r="H322" t="str">
            <v>Yes</v>
          </cell>
          <cell r="BP322" t="str">
            <v>Not Met</v>
          </cell>
        </row>
        <row r="323">
          <cell r="B323" t="str">
            <v>Excelacom</v>
          </cell>
          <cell r="G323" t="str">
            <v>Internal KPI</v>
          </cell>
          <cell r="H323" t="str">
            <v>No</v>
          </cell>
          <cell r="BP323" t="str">
            <v>NA</v>
          </cell>
        </row>
        <row r="324">
          <cell r="B324" t="str">
            <v>Excelacom</v>
          </cell>
          <cell r="G324" t="str">
            <v>Internal KPI</v>
          </cell>
          <cell r="H324" t="str">
            <v>No</v>
          </cell>
          <cell r="BP324" t="str">
            <v>NA</v>
          </cell>
        </row>
        <row r="325">
          <cell r="B325" t="str">
            <v>Excelacom</v>
          </cell>
          <cell r="G325" t="str">
            <v>Internal KPI</v>
          </cell>
          <cell r="H325" t="str">
            <v>No</v>
          </cell>
          <cell r="BP325" t="str">
            <v>NA</v>
          </cell>
        </row>
        <row r="326">
          <cell r="B326" t="str">
            <v>Excelacom</v>
          </cell>
          <cell r="G326" t="str">
            <v>Internal KPI</v>
          </cell>
          <cell r="H326" t="str">
            <v>No</v>
          </cell>
          <cell r="BP326" t="str">
            <v>NA</v>
          </cell>
        </row>
        <row r="327">
          <cell r="B327" t="str">
            <v>Excelacom</v>
          </cell>
          <cell r="G327" t="str">
            <v>Internal KPI</v>
          </cell>
          <cell r="H327" t="str">
            <v>No</v>
          </cell>
          <cell r="BP327" t="str">
            <v>NA</v>
          </cell>
        </row>
        <row r="328">
          <cell r="B328" t="str">
            <v>Excelacom</v>
          </cell>
          <cell r="G328" t="str">
            <v>Internal KPI</v>
          </cell>
          <cell r="H328" t="str">
            <v>No</v>
          </cell>
          <cell r="BP328" t="str">
            <v>NA</v>
          </cell>
        </row>
        <row r="329">
          <cell r="B329" t="str">
            <v>Excelacom</v>
          </cell>
          <cell r="G329" t="str">
            <v>Internal KPI</v>
          </cell>
          <cell r="H329" t="str">
            <v>No</v>
          </cell>
          <cell r="BP329" t="str">
            <v>NA</v>
          </cell>
        </row>
        <row r="330">
          <cell r="B330" t="str">
            <v>Hyundai</v>
          </cell>
          <cell r="G330" t="str">
            <v>Internal KPI</v>
          </cell>
          <cell r="H330" t="str">
            <v>No</v>
          </cell>
          <cell r="BP330" t="str">
            <v>Not Reported</v>
          </cell>
        </row>
        <row r="331">
          <cell r="B331" t="str">
            <v>Hyundai</v>
          </cell>
          <cell r="G331" t="str">
            <v>Internal KPI</v>
          </cell>
          <cell r="H331" t="str">
            <v>No</v>
          </cell>
          <cell r="BP331" t="str">
            <v>Not Reported</v>
          </cell>
        </row>
        <row r="332">
          <cell r="B332" t="str">
            <v>Hyundai</v>
          </cell>
          <cell r="G332" t="str">
            <v>Internal KPI</v>
          </cell>
          <cell r="H332" t="str">
            <v>No</v>
          </cell>
          <cell r="BP332" t="str">
            <v>Not Reported</v>
          </cell>
        </row>
        <row r="333">
          <cell r="B333" t="str">
            <v>Hyundai</v>
          </cell>
          <cell r="G333" t="str">
            <v>Internal KPI</v>
          </cell>
          <cell r="H333" t="str">
            <v>No</v>
          </cell>
          <cell r="BP333" t="str">
            <v>Not Reported</v>
          </cell>
        </row>
        <row r="334">
          <cell r="B334" t="str">
            <v>Hyundai</v>
          </cell>
          <cell r="G334" t="str">
            <v>Internal KPI</v>
          </cell>
          <cell r="H334" t="str">
            <v>No</v>
          </cell>
          <cell r="BP334" t="str">
            <v>Not Reported</v>
          </cell>
        </row>
        <row r="335">
          <cell r="B335" t="str">
            <v>Hyundai</v>
          </cell>
          <cell r="G335" t="str">
            <v>Internal KPI</v>
          </cell>
          <cell r="H335" t="str">
            <v>No</v>
          </cell>
          <cell r="BP335" t="str">
            <v>Not Reported</v>
          </cell>
        </row>
        <row r="336">
          <cell r="B336" t="str">
            <v>Hyundai</v>
          </cell>
          <cell r="G336" t="str">
            <v>Internal KPI</v>
          </cell>
          <cell r="H336" t="str">
            <v>No</v>
          </cell>
          <cell r="BP336" t="str">
            <v>Not Reported</v>
          </cell>
        </row>
        <row r="337">
          <cell r="B337" t="str">
            <v>Hyundai</v>
          </cell>
          <cell r="G337" t="str">
            <v>Internal KPI</v>
          </cell>
          <cell r="H337" t="str">
            <v>No</v>
          </cell>
          <cell r="BP337" t="str">
            <v>Not Reported</v>
          </cell>
        </row>
        <row r="338">
          <cell r="B338" t="str">
            <v>Maruti Suzuki</v>
          </cell>
          <cell r="G338" t="str">
            <v>Internal KPI</v>
          </cell>
          <cell r="H338" t="str">
            <v>No</v>
          </cell>
          <cell r="BP338" t="str">
            <v>Not Met</v>
          </cell>
        </row>
        <row r="339">
          <cell r="B339" t="str">
            <v>Maruti Suzuki</v>
          </cell>
          <cell r="G339" t="str">
            <v>Internal KPI</v>
          </cell>
          <cell r="H339" t="str">
            <v>No</v>
          </cell>
          <cell r="BP339" t="str">
            <v>Not Met</v>
          </cell>
        </row>
        <row r="340">
          <cell r="B340" t="str">
            <v>Maruti Suzuki</v>
          </cell>
          <cell r="G340" t="str">
            <v>Internal KPI</v>
          </cell>
          <cell r="H340" t="str">
            <v>No</v>
          </cell>
          <cell r="BP340" t="str">
            <v>Not Met</v>
          </cell>
        </row>
        <row r="341">
          <cell r="B341" t="str">
            <v>Maruti Suzuki</v>
          </cell>
          <cell r="G341" t="str">
            <v>Internal KPI</v>
          </cell>
          <cell r="H341" t="str">
            <v>No</v>
          </cell>
          <cell r="BP341" t="str">
            <v>Met</v>
          </cell>
        </row>
        <row r="342">
          <cell r="B342" t="str">
            <v>Maruti Suzuki</v>
          </cell>
          <cell r="G342" t="str">
            <v>Internal KPI</v>
          </cell>
          <cell r="H342" t="str">
            <v>No</v>
          </cell>
          <cell r="BP342" t="str">
            <v>Met</v>
          </cell>
        </row>
        <row r="343">
          <cell r="B343" t="str">
            <v>Maruti Suzuki</v>
          </cell>
          <cell r="G343" t="str">
            <v>Internal KPI</v>
          </cell>
          <cell r="H343" t="str">
            <v>No</v>
          </cell>
          <cell r="BP343" t="str">
            <v>Met</v>
          </cell>
        </row>
        <row r="344">
          <cell r="B344" t="str">
            <v>Maruti Suzuki</v>
          </cell>
          <cell r="G344" t="str">
            <v>Internal KPI</v>
          </cell>
          <cell r="H344" t="str">
            <v>No</v>
          </cell>
          <cell r="BP344" t="str">
            <v>Not Met</v>
          </cell>
        </row>
        <row r="345">
          <cell r="B345" t="str">
            <v>Maruti Suzuki</v>
          </cell>
          <cell r="G345" t="str">
            <v>Internal KPI</v>
          </cell>
          <cell r="H345" t="str">
            <v>No</v>
          </cell>
          <cell r="BP345" t="str">
            <v>Not Met</v>
          </cell>
        </row>
        <row r="346">
          <cell r="B346" t="str">
            <v>TATA Fiber</v>
          </cell>
          <cell r="G346" t="str">
            <v>Internal KPI</v>
          </cell>
          <cell r="H346" t="str">
            <v>No</v>
          </cell>
          <cell r="BP346" t="str">
            <v>Not Reported</v>
          </cell>
        </row>
        <row r="347">
          <cell r="B347" t="str">
            <v>TATA Fiber</v>
          </cell>
          <cell r="G347" t="str">
            <v>Internal KPI</v>
          </cell>
          <cell r="H347" t="str">
            <v>No</v>
          </cell>
          <cell r="BP347" t="str">
            <v>Not Reported</v>
          </cell>
        </row>
        <row r="348">
          <cell r="B348" t="str">
            <v>TATA Fiber</v>
          </cell>
          <cell r="G348" t="str">
            <v>Internal KPI</v>
          </cell>
          <cell r="H348" t="str">
            <v>No</v>
          </cell>
          <cell r="BP348" t="str">
            <v>Not Reported</v>
          </cell>
        </row>
        <row r="349">
          <cell r="B349" t="str">
            <v>TATA Fiber</v>
          </cell>
          <cell r="G349" t="str">
            <v>Internal KPI</v>
          </cell>
          <cell r="H349" t="str">
            <v>No</v>
          </cell>
          <cell r="BP349" t="str">
            <v>Not Reported</v>
          </cell>
        </row>
        <row r="350">
          <cell r="B350" t="str">
            <v>TATA Fiber</v>
          </cell>
          <cell r="G350" t="str">
            <v>Internal KPI</v>
          </cell>
          <cell r="H350" t="str">
            <v>No</v>
          </cell>
          <cell r="BP350" t="str">
            <v>Not Reported</v>
          </cell>
        </row>
        <row r="351">
          <cell r="B351" t="str">
            <v>TATA Fiber</v>
          </cell>
          <cell r="G351" t="str">
            <v>Internal KPI</v>
          </cell>
          <cell r="H351" t="str">
            <v>No</v>
          </cell>
          <cell r="BP351" t="str">
            <v>Not Reported</v>
          </cell>
        </row>
        <row r="352">
          <cell r="B352" t="str">
            <v>TATA Fiber</v>
          </cell>
          <cell r="G352" t="str">
            <v>Internal KPI</v>
          </cell>
          <cell r="H352" t="str">
            <v>No</v>
          </cell>
          <cell r="BP352" t="str">
            <v>Not Reported</v>
          </cell>
        </row>
        <row r="353">
          <cell r="B353" t="str">
            <v>TATA Consumer</v>
          </cell>
          <cell r="G353" t="str">
            <v>Internal KPI</v>
          </cell>
          <cell r="H353" t="str">
            <v>No</v>
          </cell>
          <cell r="BP353" t="str">
            <v>Met</v>
          </cell>
        </row>
        <row r="354">
          <cell r="B354" t="str">
            <v>TATA Consumer</v>
          </cell>
          <cell r="G354" t="str">
            <v>Internal KPI</v>
          </cell>
          <cell r="H354" t="str">
            <v>No</v>
          </cell>
          <cell r="BP354" t="str">
            <v>Met</v>
          </cell>
        </row>
        <row r="355">
          <cell r="B355" t="str">
            <v>TATA Consumer</v>
          </cell>
          <cell r="G355" t="str">
            <v>Internal KPI</v>
          </cell>
          <cell r="H355" t="str">
            <v>No</v>
          </cell>
          <cell r="BP355" t="str">
            <v>Met</v>
          </cell>
        </row>
        <row r="356">
          <cell r="B356" t="str">
            <v>TATA Consumer</v>
          </cell>
          <cell r="G356" t="str">
            <v>Internal KPI</v>
          </cell>
          <cell r="H356" t="str">
            <v>No</v>
          </cell>
          <cell r="BP356" t="str">
            <v>Met</v>
          </cell>
        </row>
        <row r="357">
          <cell r="B357" t="str">
            <v>TATA Consumer</v>
          </cell>
          <cell r="G357" t="str">
            <v>Internal KPI</v>
          </cell>
          <cell r="H357" t="str">
            <v>No</v>
          </cell>
          <cell r="BP357" t="str">
            <v>Met</v>
          </cell>
        </row>
        <row r="358">
          <cell r="B358" t="str">
            <v>TATA Consumer</v>
          </cell>
          <cell r="G358" t="str">
            <v>Internal KPI</v>
          </cell>
          <cell r="H358" t="str">
            <v>No</v>
          </cell>
          <cell r="BP358" t="str">
            <v>Met</v>
          </cell>
        </row>
        <row r="359">
          <cell r="B359" t="str">
            <v>TATA Consumer</v>
          </cell>
          <cell r="G359" t="str">
            <v>Internal KPI</v>
          </cell>
          <cell r="H359" t="str">
            <v>No</v>
          </cell>
          <cell r="BP359" t="str">
            <v>Not Met</v>
          </cell>
        </row>
        <row r="360">
          <cell r="B360" t="str">
            <v>TATA Consumer</v>
          </cell>
          <cell r="G360" t="str">
            <v>Internal KPI</v>
          </cell>
          <cell r="H360" t="str">
            <v>No</v>
          </cell>
          <cell r="BP360" t="str">
            <v>Met</v>
          </cell>
        </row>
        <row r="361">
          <cell r="B361" t="str">
            <v>TATA Consumer</v>
          </cell>
          <cell r="G361" t="str">
            <v>Contractual SLA</v>
          </cell>
          <cell r="H361" t="str">
            <v>Yes</v>
          </cell>
          <cell r="BP361" t="str">
            <v>Not Met</v>
          </cell>
        </row>
        <row r="362">
          <cell r="B362" t="str">
            <v>TATA Consumer</v>
          </cell>
          <cell r="G362" t="str">
            <v>Internal KPI</v>
          </cell>
          <cell r="H362" t="str">
            <v>No</v>
          </cell>
          <cell r="BP362" t="str">
            <v>Met</v>
          </cell>
        </row>
        <row r="363">
          <cell r="B363" t="str">
            <v>TATA Consumer</v>
          </cell>
          <cell r="G363" t="str">
            <v>Contractual SLA</v>
          </cell>
          <cell r="H363" t="str">
            <v>Yes</v>
          </cell>
          <cell r="BP363" t="str">
            <v>Not Met</v>
          </cell>
        </row>
        <row r="364">
          <cell r="B364" t="str">
            <v>Atomberg</v>
          </cell>
          <cell r="G364" t="str">
            <v>Internal KPI</v>
          </cell>
          <cell r="H364" t="str">
            <v>No</v>
          </cell>
          <cell r="BP364" t="str">
            <v>Met</v>
          </cell>
        </row>
        <row r="365">
          <cell r="B365" t="str">
            <v>Atomberg</v>
          </cell>
          <cell r="G365" t="str">
            <v>Internal KPI</v>
          </cell>
          <cell r="H365" t="str">
            <v>No</v>
          </cell>
          <cell r="BP365" t="str">
            <v>Not Met</v>
          </cell>
        </row>
        <row r="366">
          <cell r="B366" t="str">
            <v>Atomberg</v>
          </cell>
          <cell r="G366" t="str">
            <v>Internal KPI</v>
          </cell>
          <cell r="H366" t="str">
            <v>No</v>
          </cell>
          <cell r="BP366" t="str">
            <v>Not Met</v>
          </cell>
        </row>
        <row r="367">
          <cell r="B367" t="str">
            <v>Atomberg</v>
          </cell>
          <cell r="G367" t="str">
            <v>Internal KPI</v>
          </cell>
          <cell r="H367" t="str">
            <v>No</v>
          </cell>
          <cell r="BP367" t="str">
            <v>Met</v>
          </cell>
        </row>
        <row r="368">
          <cell r="B368" t="str">
            <v>Atomberg</v>
          </cell>
          <cell r="G368" t="str">
            <v>Internal KPI</v>
          </cell>
          <cell r="H368" t="str">
            <v>No</v>
          </cell>
          <cell r="BP368" t="str">
            <v>Met</v>
          </cell>
        </row>
        <row r="369">
          <cell r="B369" t="str">
            <v>Atomberg</v>
          </cell>
          <cell r="G369" t="str">
            <v>Internal KPI</v>
          </cell>
          <cell r="H369" t="str">
            <v>No</v>
          </cell>
          <cell r="BP369" t="str">
            <v>Met</v>
          </cell>
        </row>
        <row r="370">
          <cell r="B370" t="str">
            <v>Atomberg</v>
          </cell>
          <cell r="G370" t="str">
            <v>Internal KPI</v>
          </cell>
          <cell r="H370" t="str">
            <v>No</v>
          </cell>
          <cell r="BP370" t="str">
            <v>Not Met</v>
          </cell>
        </row>
        <row r="371">
          <cell r="B371" t="str">
            <v>Atomberg</v>
          </cell>
          <cell r="G371" t="str">
            <v>Internal KPI</v>
          </cell>
          <cell r="H371" t="str">
            <v>No</v>
          </cell>
          <cell r="BP371" t="str">
            <v>Not Met</v>
          </cell>
        </row>
        <row r="372">
          <cell r="B372" t="str">
            <v>Atomberg</v>
          </cell>
          <cell r="G372" t="str">
            <v>Internal KPI</v>
          </cell>
          <cell r="H372" t="str">
            <v>No</v>
          </cell>
          <cell r="BP372" t="str">
            <v>Not Met</v>
          </cell>
        </row>
        <row r="373">
          <cell r="B373" t="str">
            <v>Atomberg</v>
          </cell>
          <cell r="G373" t="str">
            <v>Internal KPI</v>
          </cell>
          <cell r="H373" t="str">
            <v>No</v>
          </cell>
          <cell r="BP373" t="str">
            <v>Not Met</v>
          </cell>
        </row>
        <row r="374">
          <cell r="B374" t="str">
            <v>Atomberg</v>
          </cell>
          <cell r="G374" t="str">
            <v>Internal KPI</v>
          </cell>
          <cell r="H374" t="str">
            <v>No</v>
          </cell>
          <cell r="BP374" t="str">
            <v>Met</v>
          </cell>
        </row>
        <row r="375">
          <cell r="B375" t="str">
            <v>Atomberg</v>
          </cell>
          <cell r="G375" t="str">
            <v>Internal KPI</v>
          </cell>
          <cell r="H375" t="str">
            <v>No</v>
          </cell>
          <cell r="BP375" t="str">
            <v>Not Met</v>
          </cell>
        </row>
        <row r="376">
          <cell r="B376" t="str">
            <v>Atomberg</v>
          </cell>
          <cell r="G376" t="str">
            <v>Internal KPI</v>
          </cell>
          <cell r="H376" t="str">
            <v>No</v>
          </cell>
          <cell r="BP376" t="str">
            <v>Met</v>
          </cell>
        </row>
        <row r="377">
          <cell r="B377" t="str">
            <v>Atomberg</v>
          </cell>
          <cell r="G377" t="str">
            <v>Internal KPI</v>
          </cell>
          <cell r="H377" t="str">
            <v>No</v>
          </cell>
          <cell r="BP377" t="str">
            <v>Not Met</v>
          </cell>
        </row>
        <row r="378">
          <cell r="B378" t="str">
            <v>Atomberg</v>
          </cell>
          <cell r="G378" t="str">
            <v>Internal KPI</v>
          </cell>
          <cell r="H378" t="str">
            <v>No</v>
          </cell>
          <cell r="BP378" t="str">
            <v>Met</v>
          </cell>
        </row>
        <row r="379">
          <cell r="B379" t="str">
            <v>Atomberg</v>
          </cell>
          <cell r="G379" t="str">
            <v>Internal KPI</v>
          </cell>
          <cell r="H379" t="str">
            <v>No</v>
          </cell>
          <cell r="BP379" t="str">
            <v>Met</v>
          </cell>
        </row>
        <row r="380">
          <cell r="B380" t="str">
            <v>Atomberg</v>
          </cell>
          <cell r="G380" t="str">
            <v>Internal KPI</v>
          </cell>
          <cell r="H380" t="str">
            <v>No</v>
          </cell>
          <cell r="BP380" t="str">
            <v>Met</v>
          </cell>
        </row>
        <row r="381">
          <cell r="B381" t="str">
            <v>Atomberg</v>
          </cell>
          <cell r="G381" t="str">
            <v>Internal KPI</v>
          </cell>
          <cell r="H381" t="str">
            <v>No</v>
          </cell>
          <cell r="BP381" t="str">
            <v>Met</v>
          </cell>
        </row>
        <row r="382">
          <cell r="B382" t="str">
            <v>Atomberg</v>
          </cell>
          <cell r="G382" t="str">
            <v>Internal KPI</v>
          </cell>
          <cell r="H382" t="str">
            <v>No</v>
          </cell>
          <cell r="BP382" t="str">
            <v>Met</v>
          </cell>
        </row>
        <row r="383">
          <cell r="B383" t="str">
            <v>Atomberg</v>
          </cell>
          <cell r="G383" t="str">
            <v>Internal KPI</v>
          </cell>
          <cell r="H383" t="str">
            <v>No</v>
          </cell>
          <cell r="BP383" t="str">
            <v>Met</v>
          </cell>
        </row>
        <row r="384">
          <cell r="B384" t="str">
            <v>Atomberg</v>
          </cell>
          <cell r="G384" t="str">
            <v>Internal KPI</v>
          </cell>
          <cell r="H384" t="str">
            <v>No</v>
          </cell>
          <cell r="BP384" t="str">
            <v>Met</v>
          </cell>
        </row>
        <row r="385">
          <cell r="B385" t="str">
            <v>Atomberg</v>
          </cell>
          <cell r="G385" t="str">
            <v>Internal KPI</v>
          </cell>
          <cell r="H385" t="str">
            <v>No</v>
          </cell>
          <cell r="BP385" t="str">
            <v>Met</v>
          </cell>
        </row>
        <row r="386">
          <cell r="B386" t="str">
            <v>Atomberg</v>
          </cell>
          <cell r="G386" t="str">
            <v>Internal KPI</v>
          </cell>
          <cell r="H386" t="str">
            <v>No</v>
          </cell>
          <cell r="BP386" t="str">
            <v>Met</v>
          </cell>
        </row>
        <row r="387">
          <cell r="B387" t="str">
            <v>Atomberg</v>
          </cell>
          <cell r="G387" t="str">
            <v>Internal KPI</v>
          </cell>
          <cell r="H387" t="str">
            <v>No</v>
          </cell>
          <cell r="BP387" t="str">
            <v>Met</v>
          </cell>
        </row>
        <row r="388">
          <cell r="B388" t="str">
            <v>Atomberg</v>
          </cell>
          <cell r="G388" t="str">
            <v>Internal KPI</v>
          </cell>
          <cell r="H388" t="str">
            <v>No</v>
          </cell>
          <cell r="BP388" t="str">
            <v>Not Met</v>
          </cell>
        </row>
        <row r="389">
          <cell r="B389" t="str">
            <v>Atomberg</v>
          </cell>
          <cell r="G389" t="str">
            <v>Internal KPI</v>
          </cell>
          <cell r="H389" t="str">
            <v>No</v>
          </cell>
          <cell r="BP389" t="str">
            <v>Met</v>
          </cell>
        </row>
        <row r="390">
          <cell r="B390" t="str">
            <v>Atomberg</v>
          </cell>
          <cell r="G390" t="str">
            <v>Internal KPI</v>
          </cell>
          <cell r="H390" t="str">
            <v>No</v>
          </cell>
          <cell r="BP390" t="str">
            <v>Met</v>
          </cell>
        </row>
        <row r="391">
          <cell r="B391" t="str">
            <v>Atomberg</v>
          </cell>
          <cell r="G391" t="str">
            <v>Internal KPI</v>
          </cell>
          <cell r="H391" t="str">
            <v>No</v>
          </cell>
          <cell r="BP391" t="str">
            <v>Met</v>
          </cell>
        </row>
        <row r="392">
          <cell r="B392" t="str">
            <v>Atomberg</v>
          </cell>
          <cell r="G392" t="str">
            <v>Internal KPI</v>
          </cell>
          <cell r="H392" t="str">
            <v>No</v>
          </cell>
          <cell r="BP392" t="str">
            <v>Not Met</v>
          </cell>
        </row>
        <row r="393">
          <cell r="B393" t="str">
            <v>Atomberg</v>
          </cell>
          <cell r="G393" t="str">
            <v>Internal KPI</v>
          </cell>
          <cell r="H393" t="str">
            <v>No</v>
          </cell>
          <cell r="BP393" t="str">
            <v>Not Met</v>
          </cell>
        </row>
        <row r="394">
          <cell r="B394" t="str">
            <v>Atomberg</v>
          </cell>
          <cell r="G394" t="str">
            <v>Internal KPI</v>
          </cell>
          <cell r="H394" t="str">
            <v>No</v>
          </cell>
          <cell r="BP394" t="str">
            <v>Not Met</v>
          </cell>
        </row>
        <row r="395">
          <cell r="B395" t="str">
            <v>Atomberg</v>
          </cell>
          <cell r="G395" t="str">
            <v>Internal KPI</v>
          </cell>
          <cell r="H395" t="str">
            <v>No</v>
          </cell>
          <cell r="BP395" t="str">
            <v>Not Met</v>
          </cell>
        </row>
        <row r="396">
          <cell r="B396" t="str">
            <v>Atomberg</v>
          </cell>
          <cell r="G396" t="str">
            <v>Internal KPI</v>
          </cell>
          <cell r="H396" t="str">
            <v>No</v>
          </cell>
          <cell r="BP396" t="str">
            <v>Not Met</v>
          </cell>
        </row>
        <row r="397">
          <cell r="B397" t="str">
            <v>Atomberg</v>
          </cell>
          <cell r="G397" t="str">
            <v>Internal KPI</v>
          </cell>
          <cell r="H397" t="str">
            <v>No</v>
          </cell>
          <cell r="BP397" t="str">
            <v>Not Met</v>
          </cell>
        </row>
        <row r="398">
          <cell r="B398" t="str">
            <v>Atomberg</v>
          </cell>
          <cell r="G398" t="str">
            <v>Internal KPI</v>
          </cell>
          <cell r="H398" t="str">
            <v>No</v>
          </cell>
          <cell r="BP398" t="str">
            <v>Not Met</v>
          </cell>
        </row>
        <row r="399">
          <cell r="B399" t="str">
            <v>Atomberg</v>
          </cell>
          <cell r="G399" t="str">
            <v>Internal KPI</v>
          </cell>
          <cell r="H399" t="str">
            <v>No</v>
          </cell>
          <cell r="BP399" t="str">
            <v>Not Met</v>
          </cell>
        </row>
        <row r="400">
          <cell r="B400" t="str">
            <v>Atomberg</v>
          </cell>
          <cell r="G400" t="str">
            <v>Internal KPI</v>
          </cell>
          <cell r="H400" t="str">
            <v>No</v>
          </cell>
          <cell r="BP400" t="str">
            <v>Not Met</v>
          </cell>
        </row>
        <row r="401">
          <cell r="B401" t="str">
            <v>Atomberg</v>
          </cell>
          <cell r="G401" t="str">
            <v>Internal KPI</v>
          </cell>
          <cell r="H401" t="str">
            <v>No</v>
          </cell>
          <cell r="BP401" t="str">
            <v>Not Met</v>
          </cell>
        </row>
        <row r="402">
          <cell r="B402" t="str">
            <v>Atomberg</v>
          </cell>
          <cell r="G402" t="str">
            <v>Internal KPI</v>
          </cell>
          <cell r="H402" t="str">
            <v>No</v>
          </cell>
          <cell r="BP402" t="str">
            <v>Met</v>
          </cell>
        </row>
        <row r="403">
          <cell r="B403" t="str">
            <v>Atomberg</v>
          </cell>
          <cell r="G403" t="str">
            <v>Internal KPI</v>
          </cell>
          <cell r="H403" t="str">
            <v>No</v>
          </cell>
          <cell r="BP403" t="str">
            <v>Met</v>
          </cell>
        </row>
        <row r="404">
          <cell r="B404" t="str">
            <v>Atomberg</v>
          </cell>
          <cell r="G404" t="str">
            <v>Internal KPI</v>
          </cell>
          <cell r="H404" t="str">
            <v>No</v>
          </cell>
          <cell r="BP404" t="str">
            <v>Not Met</v>
          </cell>
        </row>
        <row r="405">
          <cell r="B405" t="str">
            <v>Atomberg</v>
          </cell>
          <cell r="G405" t="str">
            <v>Internal KPI</v>
          </cell>
          <cell r="H405" t="str">
            <v>No</v>
          </cell>
          <cell r="BP405" t="str">
            <v>Not Met</v>
          </cell>
        </row>
        <row r="406">
          <cell r="B406" t="str">
            <v>Atomberg</v>
          </cell>
          <cell r="G406" t="str">
            <v>Internal KPI</v>
          </cell>
          <cell r="H406" t="str">
            <v>No</v>
          </cell>
          <cell r="BP406" t="str">
            <v>Not Met</v>
          </cell>
        </row>
        <row r="407">
          <cell r="B407" t="str">
            <v>Atomberg</v>
          </cell>
          <cell r="G407" t="str">
            <v>Internal KPI</v>
          </cell>
          <cell r="H407" t="str">
            <v>No</v>
          </cell>
          <cell r="BP407" t="str">
            <v>Not Met</v>
          </cell>
        </row>
        <row r="408">
          <cell r="B408" t="str">
            <v>Atomberg</v>
          </cell>
          <cell r="G408" t="str">
            <v>Internal KPI</v>
          </cell>
          <cell r="H408" t="str">
            <v>No</v>
          </cell>
          <cell r="BP408" t="str">
            <v>Met</v>
          </cell>
        </row>
        <row r="409">
          <cell r="B409" t="str">
            <v>Atomberg</v>
          </cell>
          <cell r="G409" t="str">
            <v>Internal KPI</v>
          </cell>
          <cell r="H409" t="str">
            <v>No</v>
          </cell>
          <cell r="BP409" t="str">
            <v>Met</v>
          </cell>
        </row>
        <row r="410">
          <cell r="B410" t="str">
            <v>Atomberg</v>
          </cell>
          <cell r="G410" t="str">
            <v>Internal KPI</v>
          </cell>
          <cell r="H410" t="str">
            <v>No</v>
          </cell>
          <cell r="BP410" t="str">
            <v>Met</v>
          </cell>
        </row>
        <row r="411">
          <cell r="B411" t="str">
            <v>Atomberg</v>
          </cell>
          <cell r="G411" t="str">
            <v>Internal KPI</v>
          </cell>
          <cell r="H411" t="str">
            <v>No</v>
          </cell>
          <cell r="BP411" t="str">
            <v>Not Met</v>
          </cell>
        </row>
        <row r="412">
          <cell r="B412" t="str">
            <v>Atomberg</v>
          </cell>
          <cell r="G412" t="str">
            <v>Internal KPI</v>
          </cell>
          <cell r="H412" t="str">
            <v>No</v>
          </cell>
          <cell r="BP412" t="str">
            <v>Not Met</v>
          </cell>
        </row>
        <row r="413">
          <cell r="B413" t="str">
            <v>Subros</v>
          </cell>
          <cell r="G413" t="str">
            <v>Internal KPI</v>
          </cell>
          <cell r="H413" t="str">
            <v>No</v>
          </cell>
          <cell r="BP413" t="str">
            <v>Met</v>
          </cell>
        </row>
        <row r="414">
          <cell r="B414" t="str">
            <v>Subros</v>
          </cell>
          <cell r="G414" t="str">
            <v>Internal KPI</v>
          </cell>
          <cell r="H414" t="str">
            <v>No</v>
          </cell>
          <cell r="BP414" t="str">
            <v>Met</v>
          </cell>
        </row>
        <row r="415">
          <cell r="B415" t="str">
            <v>Subros</v>
          </cell>
          <cell r="G415" t="str">
            <v>Internal KPI</v>
          </cell>
          <cell r="H415" t="str">
            <v>No</v>
          </cell>
          <cell r="BP415" t="str">
            <v>Not Met</v>
          </cell>
        </row>
        <row r="416">
          <cell r="B416" t="str">
            <v>Subros</v>
          </cell>
          <cell r="G416" t="str">
            <v>Internal KPI</v>
          </cell>
          <cell r="H416" t="str">
            <v>No</v>
          </cell>
          <cell r="BP416" t="str">
            <v>Not Met</v>
          </cell>
        </row>
        <row r="417">
          <cell r="B417" t="str">
            <v>Subros</v>
          </cell>
          <cell r="G417" t="str">
            <v>Internal KPI</v>
          </cell>
          <cell r="H417" t="str">
            <v>No</v>
          </cell>
          <cell r="BP417" t="str">
            <v>Not Met</v>
          </cell>
        </row>
        <row r="418">
          <cell r="B418" t="str">
            <v>Subros</v>
          </cell>
          <cell r="G418" t="str">
            <v>Internal KPI</v>
          </cell>
          <cell r="H418" t="str">
            <v>No</v>
          </cell>
          <cell r="BP418" t="str">
            <v>Met</v>
          </cell>
        </row>
        <row r="419">
          <cell r="B419" t="str">
            <v>Subros</v>
          </cell>
          <cell r="G419" t="str">
            <v>Internal KPI</v>
          </cell>
          <cell r="H419" t="str">
            <v>No</v>
          </cell>
          <cell r="BP419" t="str">
            <v>Not Met</v>
          </cell>
        </row>
        <row r="420">
          <cell r="B420" t="str">
            <v>Subros</v>
          </cell>
          <cell r="G420" t="str">
            <v>Internal KPI</v>
          </cell>
          <cell r="H420" t="str">
            <v>No</v>
          </cell>
          <cell r="BP420" t="str">
            <v>Not Met</v>
          </cell>
        </row>
        <row r="421">
          <cell r="B421" t="str">
            <v>Sterling tools</v>
          </cell>
          <cell r="G421" t="str">
            <v>Internal KPI</v>
          </cell>
          <cell r="H421" t="str">
            <v>No</v>
          </cell>
          <cell r="BP421" t="str">
            <v>Not Met</v>
          </cell>
        </row>
        <row r="422">
          <cell r="B422" t="str">
            <v>Sterling tools</v>
          </cell>
          <cell r="G422" t="str">
            <v>Internal KPI</v>
          </cell>
          <cell r="H422" t="str">
            <v>No</v>
          </cell>
          <cell r="BP422" t="str">
            <v>Met</v>
          </cell>
        </row>
        <row r="423">
          <cell r="B423" t="str">
            <v>Sterling tools</v>
          </cell>
          <cell r="G423" t="str">
            <v>Internal KPI</v>
          </cell>
          <cell r="H423" t="str">
            <v>No</v>
          </cell>
          <cell r="BP423" t="str">
            <v>Not Met</v>
          </cell>
        </row>
        <row r="424">
          <cell r="B424" t="str">
            <v>Sterling tools</v>
          </cell>
          <cell r="G424" t="str">
            <v>Internal KPI</v>
          </cell>
          <cell r="H424" t="str">
            <v>No</v>
          </cell>
          <cell r="BP424" t="str">
            <v>Met</v>
          </cell>
        </row>
        <row r="425">
          <cell r="B425" t="str">
            <v>Sterling tools</v>
          </cell>
          <cell r="G425" t="str">
            <v>Internal KPI</v>
          </cell>
          <cell r="H425" t="str">
            <v>No</v>
          </cell>
          <cell r="BP425" t="str">
            <v>Met</v>
          </cell>
        </row>
        <row r="426">
          <cell r="B426" t="str">
            <v>Sterling tools</v>
          </cell>
          <cell r="G426" t="str">
            <v>Internal KPI</v>
          </cell>
          <cell r="H426" t="str">
            <v>No</v>
          </cell>
          <cell r="BP426" t="str">
            <v>Not Met</v>
          </cell>
        </row>
        <row r="427">
          <cell r="B427" t="str">
            <v>Ashok Leyland</v>
          </cell>
          <cell r="G427" t="str">
            <v>Contractual SLA</v>
          </cell>
          <cell r="H427" t="str">
            <v>Yes</v>
          </cell>
          <cell r="BP427" t="str">
            <v>Not Reported</v>
          </cell>
        </row>
        <row r="428">
          <cell r="B428" t="str">
            <v>Ashok Leyland</v>
          </cell>
          <cell r="G428" t="str">
            <v>Contractual SLA</v>
          </cell>
          <cell r="H428" t="str">
            <v>Yes</v>
          </cell>
          <cell r="BP428" t="str">
            <v>Not Reported</v>
          </cell>
        </row>
        <row r="429">
          <cell r="B429" t="str">
            <v>Ashok Leyland</v>
          </cell>
          <cell r="G429" t="str">
            <v>Contractual SLA</v>
          </cell>
          <cell r="H429" t="str">
            <v>Yes</v>
          </cell>
          <cell r="BP429" t="str">
            <v>Not Reported</v>
          </cell>
        </row>
        <row r="430">
          <cell r="B430" t="str">
            <v>Ashok Leyland</v>
          </cell>
          <cell r="G430" t="str">
            <v>Contractual SLA</v>
          </cell>
          <cell r="H430" t="str">
            <v>Yes</v>
          </cell>
          <cell r="BP430" t="str">
            <v>Not Reported</v>
          </cell>
        </row>
        <row r="431">
          <cell r="B431" t="str">
            <v>Ashok Leyland</v>
          </cell>
          <cell r="G431" t="str">
            <v>Internal KPI</v>
          </cell>
          <cell r="H431" t="str">
            <v>No</v>
          </cell>
          <cell r="BP431" t="str">
            <v>Not Reported</v>
          </cell>
        </row>
        <row r="432">
          <cell r="B432" t="str">
            <v>Ashok Leyland</v>
          </cell>
          <cell r="G432" t="str">
            <v>Internal KPI</v>
          </cell>
          <cell r="H432" t="str">
            <v>No</v>
          </cell>
          <cell r="BP432" t="str">
            <v>Not Reported</v>
          </cell>
        </row>
        <row r="433">
          <cell r="B433" t="str">
            <v>Ashok Leyland</v>
          </cell>
          <cell r="G433" t="str">
            <v>Internal KPI</v>
          </cell>
          <cell r="H433" t="str">
            <v>No</v>
          </cell>
          <cell r="BP433" t="str">
            <v>Not Reported</v>
          </cell>
        </row>
        <row r="434">
          <cell r="B434" t="str">
            <v>Ashok Leyland</v>
          </cell>
          <cell r="G434" t="str">
            <v>Internal KPI</v>
          </cell>
          <cell r="H434" t="str">
            <v>No</v>
          </cell>
          <cell r="BP434" t="str">
            <v>Not Reported</v>
          </cell>
        </row>
        <row r="435">
          <cell r="B435" t="str">
            <v>Ashok Leyland</v>
          </cell>
          <cell r="G435" t="str">
            <v>Internal KPI</v>
          </cell>
          <cell r="H435" t="str">
            <v>No</v>
          </cell>
          <cell r="BP435" t="str">
            <v>Not Reported</v>
          </cell>
        </row>
        <row r="436">
          <cell r="B436" t="str">
            <v>Bridgestone</v>
          </cell>
          <cell r="G436" t="str">
            <v>Internal KPI</v>
          </cell>
          <cell r="H436" t="str">
            <v>No</v>
          </cell>
          <cell r="BP436" t="str">
            <v>Met</v>
          </cell>
        </row>
        <row r="437">
          <cell r="B437" t="str">
            <v>Bridgestone</v>
          </cell>
          <cell r="G437" t="str">
            <v>Contractual SLA</v>
          </cell>
          <cell r="H437" t="str">
            <v>No</v>
          </cell>
          <cell r="BP437" t="str">
            <v>Met</v>
          </cell>
        </row>
        <row r="438">
          <cell r="B438" t="str">
            <v>Bridgestone</v>
          </cell>
          <cell r="G438" t="str">
            <v>Contractual SLA</v>
          </cell>
          <cell r="H438" t="str">
            <v>No</v>
          </cell>
          <cell r="BP438" t="str">
            <v>Met</v>
          </cell>
        </row>
        <row r="439">
          <cell r="B439" t="str">
            <v>Bridgestone</v>
          </cell>
          <cell r="G439" t="str">
            <v>Contractual SLA</v>
          </cell>
          <cell r="H439" t="str">
            <v>No</v>
          </cell>
          <cell r="BP439" t="str">
            <v>Met</v>
          </cell>
        </row>
        <row r="440">
          <cell r="B440" t="str">
            <v>Bridgestone</v>
          </cell>
          <cell r="G440" t="str">
            <v>Internal KPI</v>
          </cell>
          <cell r="H440" t="str">
            <v>No</v>
          </cell>
          <cell r="BP440" t="str">
            <v>Met</v>
          </cell>
        </row>
        <row r="441">
          <cell r="B441" t="str">
            <v>Bridgestone</v>
          </cell>
          <cell r="G441" t="str">
            <v>Contractual SLA</v>
          </cell>
          <cell r="H441" t="str">
            <v>No</v>
          </cell>
          <cell r="BP441" t="str">
            <v>Not Met</v>
          </cell>
        </row>
        <row r="442">
          <cell r="B442" t="str">
            <v>Bridgestone</v>
          </cell>
          <cell r="G442" t="str">
            <v>Contractual SLA</v>
          </cell>
          <cell r="H442" t="str">
            <v>No</v>
          </cell>
          <cell r="BP442" t="str">
            <v>Not Reported</v>
          </cell>
        </row>
        <row r="443">
          <cell r="B443" t="str">
            <v>Bridgestone</v>
          </cell>
          <cell r="G443" t="str">
            <v>Contractual SLA</v>
          </cell>
          <cell r="H443" t="str">
            <v>No</v>
          </cell>
          <cell r="BP443" t="str">
            <v>Not Reported</v>
          </cell>
        </row>
        <row r="444">
          <cell r="B444" t="str">
            <v>SKF Auto</v>
          </cell>
          <cell r="G444" t="str">
            <v>Contractual SLA</v>
          </cell>
          <cell r="H444" t="str">
            <v>Yes</v>
          </cell>
          <cell r="BP444" t="str">
            <v>Met</v>
          </cell>
        </row>
        <row r="445">
          <cell r="B445" t="str">
            <v>SKF Auto</v>
          </cell>
          <cell r="G445" t="str">
            <v>Contractual SLA</v>
          </cell>
          <cell r="H445" t="str">
            <v>Yes</v>
          </cell>
          <cell r="BP445" t="str">
            <v>Not Met</v>
          </cell>
        </row>
        <row r="446">
          <cell r="B446" t="str">
            <v>SKF Auto</v>
          </cell>
          <cell r="G446" t="str">
            <v>Contractual SLA</v>
          </cell>
          <cell r="H446" t="str">
            <v>Yes</v>
          </cell>
          <cell r="BP446" t="str">
            <v>Met</v>
          </cell>
        </row>
        <row r="447">
          <cell r="B447" t="str">
            <v>SKF Auto</v>
          </cell>
          <cell r="G447" t="str">
            <v>Contractual SLA</v>
          </cell>
          <cell r="H447" t="str">
            <v>Yes</v>
          </cell>
          <cell r="BP447" t="str">
            <v>Met</v>
          </cell>
        </row>
        <row r="448">
          <cell r="B448" t="str">
            <v>SKF Auto</v>
          </cell>
          <cell r="G448" t="str">
            <v>Contractual SLA</v>
          </cell>
          <cell r="H448" t="str">
            <v>Yes</v>
          </cell>
          <cell r="BP448" t="str">
            <v>Met</v>
          </cell>
        </row>
        <row r="449">
          <cell r="B449" t="str">
            <v>SKF Auto</v>
          </cell>
          <cell r="G449" t="str">
            <v>Contractual SLA</v>
          </cell>
          <cell r="H449" t="str">
            <v>Yes</v>
          </cell>
          <cell r="BP449" t="str">
            <v>Met</v>
          </cell>
        </row>
        <row r="450">
          <cell r="B450" t="str">
            <v>SKF Auto</v>
          </cell>
          <cell r="G450" t="str">
            <v>Contractual SLA</v>
          </cell>
          <cell r="H450" t="str">
            <v>Yes</v>
          </cell>
          <cell r="BP450" t="str">
            <v>Met</v>
          </cell>
        </row>
        <row r="451">
          <cell r="B451" t="str">
            <v>SKF Auto</v>
          </cell>
          <cell r="G451" t="str">
            <v>Contractual SLA</v>
          </cell>
          <cell r="H451" t="str">
            <v>Yes</v>
          </cell>
          <cell r="BP451" t="str">
            <v>Met</v>
          </cell>
        </row>
        <row r="452">
          <cell r="B452" t="str">
            <v>SKF Auto</v>
          </cell>
          <cell r="G452" t="str">
            <v>Internal KPI</v>
          </cell>
          <cell r="H452" t="str">
            <v>No</v>
          </cell>
          <cell r="BP452" t="str">
            <v>Met</v>
          </cell>
        </row>
        <row r="453">
          <cell r="B453" t="str">
            <v>SKF Auto</v>
          </cell>
          <cell r="G453" t="str">
            <v>Internal KPI</v>
          </cell>
          <cell r="H453" t="str">
            <v>No</v>
          </cell>
          <cell r="BP453" t="str">
            <v>Met</v>
          </cell>
        </row>
        <row r="454">
          <cell r="B454" t="str">
            <v>SKF Auto</v>
          </cell>
          <cell r="G454" t="str">
            <v>Internal KPI</v>
          </cell>
          <cell r="H454" t="str">
            <v>No</v>
          </cell>
          <cell r="BP454" t="str">
            <v>Not Met</v>
          </cell>
        </row>
        <row r="455">
          <cell r="B455" t="str">
            <v>SKF Auto</v>
          </cell>
          <cell r="G455" t="str">
            <v>Internal KPI</v>
          </cell>
          <cell r="H455" t="str">
            <v>No</v>
          </cell>
          <cell r="BP455" t="str">
            <v>Met</v>
          </cell>
        </row>
        <row r="456">
          <cell r="B456" t="str">
            <v>SKF Auto</v>
          </cell>
          <cell r="G456" t="str">
            <v>Contractual SLA</v>
          </cell>
          <cell r="H456" t="str">
            <v>Yes</v>
          </cell>
          <cell r="BP456" t="str">
            <v>Met</v>
          </cell>
        </row>
        <row r="457">
          <cell r="B457" t="str">
            <v>SKF Auto</v>
          </cell>
          <cell r="G457" t="str">
            <v>Contractual SLA</v>
          </cell>
          <cell r="H457" t="str">
            <v>Yes</v>
          </cell>
          <cell r="BP457" t="str">
            <v>Met</v>
          </cell>
        </row>
        <row r="458">
          <cell r="B458" t="str">
            <v>SKF Industrial</v>
          </cell>
          <cell r="G458" t="str">
            <v>Contractual SLA</v>
          </cell>
          <cell r="H458" t="str">
            <v>Yes</v>
          </cell>
          <cell r="BP458" t="str">
            <v>Not Met</v>
          </cell>
        </row>
        <row r="459">
          <cell r="B459" t="str">
            <v>SKF Industrial</v>
          </cell>
          <cell r="G459" t="str">
            <v>Contractual SLA</v>
          </cell>
          <cell r="H459" t="str">
            <v>Yes</v>
          </cell>
          <cell r="BP459" t="str">
            <v>Not Met</v>
          </cell>
        </row>
        <row r="460">
          <cell r="B460" t="str">
            <v>SKF Industrial</v>
          </cell>
          <cell r="G460" t="str">
            <v>Contractual SLA</v>
          </cell>
          <cell r="H460" t="str">
            <v>Yes</v>
          </cell>
          <cell r="BP460" t="str">
            <v>Met</v>
          </cell>
        </row>
        <row r="461">
          <cell r="B461" t="str">
            <v>SKF Industrial</v>
          </cell>
          <cell r="G461" t="str">
            <v>Contractual SLA</v>
          </cell>
          <cell r="H461" t="str">
            <v>Yes</v>
          </cell>
          <cell r="BP461" t="str">
            <v>Met</v>
          </cell>
        </row>
        <row r="462">
          <cell r="B462" t="str">
            <v>SKF Industrial</v>
          </cell>
          <cell r="G462" t="str">
            <v>Contractual SLA</v>
          </cell>
          <cell r="H462" t="str">
            <v>Yes</v>
          </cell>
          <cell r="BP462" t="str">
            <v>Met</v>
          </cell>
        </row>
        <row r="463">
          <cell r="B463" t="str">
            <v>SKF Industrial</v>
          </cell>
          <cell r="G463" t="str">
            <v>Contractual SLA</v>
          </cell>
          <cell r="H463" t="str">
            <v>Yes</v>
          </cell>
          <cell r="BP463" t="str">
            <v>Not Met</v>
          </cell>
        </row>
        <row r="464">
          <cell r="B464" t="str">
            <v>SKF Industrial</v>
          </cell>
          <cell r="G464" t="str">
            <v>Contractual SLA</v>
          </cell>
          <cell r="H464" t="str">
            <v>Yes</v>
          </cell>
          <cell r="BP464" t="str">
            <v>Met</v>
          </cell>
        </row>
        <row r="465">
          <cell r="B465" t="str">
            <v>SKF Industrial</v>
          </cell>
          <cell r="G465" t="str">
            <v>Contractual SLA</v>
          </cell>
          <cell r="H465" t="str">
            <v>Yes</v>
          </cell>
          <cell r="BP465" t="str">
            <v>Not Met</v>
          </cell>
        </row>
        <row r="466">
          <cell r="B466" t="str">
            <v>SKF Industrial</v>
          </cell>
          <cell r="G466" t="str">
            <v>Internal KPI</v>
          </cell>
          <cell r="H466" t="str">
            <v>No</v>
          </cell>
          <cell r="BP466" t="str">
            <v>Met</v>
          </cell>
        </row>
        <row r="467">
          <cell r="B467" t="str">
            <v>SKF Industrial</v>
          </cell>
          <cell r="G467" t="str">
            <v>Internal KPI</v>
          </cell>
          <cell r="H467" t="str">
            <v>No</v>
          </cell>
          <cell r="BP467" t="str">
            <v>Met</v>
          </cell>
        </row>
        <row r="468">
          <cell r="B468" t="str">
            <v>SKF Industrial</v>
          </cell>
          <cell r="G468" t="str">
            <v>Internal KPI</v>
          </cell>
          <cell r="H468" t="str">
            <v>No</v>
          </cell>
          <cell r="BP468" t="str">
            <v>Not Met</v>
          </cell>
        </row>
        <row r="469">
          <cell r="B469" t="str">
            <v>SKF Industrial</v>
          </cell>
          <cell r="G469" t="str">
            <v>Internal KPI</v>
          </cell>
          <cell r="H469" t="str">
            <v>No</v>
          </cell>
          <cell r="BP469" t="str">
            <v>Met</v>
          </cell>
        </row>
        <row r="470">
          <cell r="B470" t="str">
            <v>SKF Industrial</v>
          </cell>
          <cell r="G470" t="str">
            <v>Contractual SLA</v>
          </cell>
          <cell r="H470" t="str">
            <v>Yes</v>
          </cell>
          <cell r="BP470" t="str">
            <v>Met</v>
          </cell>
        </row>
        <row r="471">
          <cell r="B471" t="str">
            <v>SKF Industrial</v>
          </cell>
          <cell r="G471" t="str">
            <v>Contractual SLA</v>
          </cell>
          <cell r="H471" t="str">
            <v>Yes</v>
          </cell>
          <cell r="BP471" t="str">
            <v>Met</v>
          </cell>
        </row>
        <row r="472">
          <cell r="B472" t="str">
            <v>Pernod Ricard</v>
          </cell>
          <cell r="G472" t="str">
            <v>Internal KPI</v>
          </cell>
          <cell r="H472" t="str">
            <v>No</v>
          </cell>
          <cell r="BP472" t="str">
            <v>Met</v>
          </cell>
        </row>
        <row r="473">
          <cell r="B473" t="str">
            <v>Pernod Ricard</v>
          </cell>
          <cell r="G473" t="str">
            <v>Internal KPI</v>
          </cell>
          <cell r="H473" t="str">
            <v>No</v>
          </cell>
          <cell r="BP473" t="str">
            <v>Met</v>
          </cell>
        </row>
        <row r="474">
          <cell r="B474" t="str">
            <v>Pernod Ricard</v>
          </cell>
          <cell r="G474" t="str">
            <v>Internal KPI</v>
          </cell>
          <cell r="H474" t="str">
            <v>No</v>
          </cell>
          <cell r="BP474" t="str">
            <v>Met</v>
          </cell>
        </row>
        <row r="475">
          <cell r="B475" t="str">
            <v>Pernod Ricard</v>
          </cell>
          <cell r="G475" t="str">
            <v>Internal KPI</v>
          </cell>
          <cell r="H475" t="str">
            <v>No</v>
          </cell>
          <cell r="BP475" t="str">
            <v>Met</v>
          </cell>
        </row>
        <row r="476">
          <cell r="B476" t="str">
            <v>Pernod Ricard</v>
          </cell>
          <cell r="G476" t="str">
            <v>Internal KPI</v>
          </cell>
          <cell r="H476" t="str">
            <v>No</v>
          </cell>
          <cell r="BP476" t="str">
            <v>Met</v>
          </cell>
        </row>
        <row r="477">
          <cell r="B477" t="str">
            <v>Pernod Ricard</v>
          </cell>
          <cell r="G477" t="str">
            <v>Internal KPI</v>
          </cell>
          <cell r="H477" t="str">
            <v>No</v>
          </cell>
          <cell r="BP477" t="str">
            <v>Met</v>
          </cell>
        </row>
        <row r="478">
          <cell r="B478" t="str">
            <v>Pernod Ricard</v>
          </cell>
          <cell r="G478" t="str">
            <v>Internal KPI</v>
          </cell>
          <cell r="H478" t="str">
            <v>No</v>
          </cell>
          <cell r="BP478" t="str">
            <v>Not Met</v>
          </cell>
        </row>
        <row r="479">
          <cell r="B479" t="str">
            <v>Pernod Ricard</v>
          </cell>
          <cell r="G479" t="str">
            <v>Internal KPI</v>
          </cell>
          <cell r="H479" t="str">
            <v>No</v>
          </cell>
          <cell r="BP479" t="str">
            <v>NA</v>
          </cell>
        </row>
        <row r="480">
          <cell r="B480" t="str">
            <v>Leap India</v>
          </cell>
          <cell r="G480" t="str">
            <v>Internal KPI</v>
          </cell>
          <cell r="H480" t="str">
            <v>No</v>
          </cell>
          <cell r="BP480" t="str">
            <v>Not Reported</v>
          </cell>
        </row>
        <row r="481">
          <cell r="B481" t="str">
            <v>Leap India</v>
          </cell>
          <cell r="G481" t="str">
            <v>Internal KPI</v>
          </cell>
          <cell r="H481" t="str">
            <v>No</v>
          </cell>
          <cell r="BP481" t="str">
            <v>Not Reported</v>
          </cell>
        </row>
        <row r="482">
          <cell r="B482" t="str">
            <v>Leap India</v>
          </cell>
          <cell r="G482" t="str">
            <v>Internal KPI</v>
          </cell>
          <cell r="H482" t="str">
            <v>No</v>
          </cell>
          <cell r="BP482" t="str">
            <v>Not Reported</v>
          </cell>
        </row>
        <row r="483">
          <cell r="B483" t="str">
            <v>Leap India</v>
          </cell>
          <cell r="G483" t="str">
            <v>Internal KPI</v>
          </cell>
          <cell r="H483" t="str">
            <v>No</v>
          </cell>
          <cell r="BP483" t="str">
            <v>Not Reported</v>
          </cell>
        </row>
        <row r="484">
          <cell r="B484" t="str">
            <v>Leap India</v>
          </cell>
          <cell r="G484" t="str">
            <v>Internal KPI</v>
          </cell>
          <cell r="H484" t="str">
            <v>No</v>
          </cell>
          <cell r="BP484" t="str">
            <v>Not Reported</v>
          </cell>
        </row>
        <row r="485">
          <cell r="B485" t="str">
            <v>Leap India</v>
          </cell>
          <cell r="G485" t="str">
            <v>Internal KPI</v>
          </cell>
          <cell r="H485" t="str">
            <v>No</v>
          </cell>
          <cell r="BP485" t="str">
            <v>Not Reported</v>
          </cell>
        </row>
        <row r="486">
          <cell r="B486" t="str">
            <v>Adani Cement</v>
          </cell>
          <cell r="G486" t="str">
            <v>Internal KPI</v>
          </cell>
          <cell r="H486" t="str">
            <v>No</v>
          </cell>
          <cell r="BP486" t="str">
            <v>Not Reported</v>
          </cell>
        </row>
        <row r="487">
          <cell r="B487" t="str">
            <v>Adani Cement</v>
          </cell>
          <cell r="G487" t="str">
            <v>Internal KPI</v>
          </cell>
          <cell r="H487" t="str">
            <v>No</v>
          </cell>
          <cell r="BP487" t="str">
            <v>Not Reported</v>
          </cell>
        </row>
        <row r="488">
          <cell r="B488" t="str">
            <v>Adani Cement</v>
          </cell>
          <cell r="G488" t="str">
            <v>Internal KPI</v>
          </cell>
          <cell r="H488" t="str">
            <v>No</v>
          </cell>
          <cell r="BP488" t="str">
            <v>Not Reported</v>
          </cell>
        </row>
        <row r="489">
          <cell r="B489" t="str">
            <v>Adani Cement</v>
          </cell>
          <cell r="G489" t="str">
            <v>Internal KPI</v>
          </cell>
          <cell r="H489" t="str">
            <v>No</v>
          </cell>
          <cell r="BP489" t="str">
            <v>Not Reported</v>
          </cell>
        </row>
        <row r="490">
          <cell r="B490" t="str">
            <v>Adani Cement</v>
          </cell>
          <cell r="G490" t="str">
            <v>Internal KPI</v>
          </cell>
          <cell r="H490" t="str">
            <v>No</v>
          </cell>
          <cell r="BP490" t="str">
            <v>Not Reported</v>
          </cell>
        </row>
        <row r="491">
          <cell r="B491" t="str">
            <v>Adani Cement</v>
          </cell>
          <cell r="G491" t="str">
            <v>Internal KPI</v>
          </cell>
          <cell r="H491" t="str">
            <v>No</v>
          </cell>
          <cell r="BP491" t="str">
            <v>Not Reported</v>
          </cell>
        </row>
        <row r="492">
          <cell r="B492" t="str">
            <v>Adani Cement</v>
          </cell>
          <cell r="G492" t="str">
            <v>Internal KPI</v>
          </cell>
          <cell r="H492" t="str">
            <v>No</v>
          </cell>
          <cell r="BP492" t="str">
            <v>Not Reported</v>
          </cell>
        </row>
        <row r="493">
          <cell r="B493" t="str">
            <v>Adani Cement</v>
          </cell>
          <cell r="G493" t="str">
            <v>Internal KPI</v>
          </cell>
          <cell r="H493" t="str">
            <v>No</v>
          </cell>
          <cell r="BP493" t="str">
            <v>Not Reported</v>
          </cell>
        </row>
      </sheetData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728803BD-3A25-4F6F-BA7C-1EDF8A148B73}" userId="S::rishab.jha@taggd.in::d7553854-80f4-4959-96a9-1e6a1b5d084d" providerId="AD"/>
  <person displayName="Mehvish Naz" id="{7A84A2D1-0B72-4118-92E2-DA71D4FDA6B6}" userId="S::mehvish.naz@taggd.in::3b4bc241-8306-4f19-bf67-4ba186ef9b32" providerId="AD"/>
  <person displayName="Sahil Khanna" id="{6777EDD4-E46F-4979-A7E7-6FC0A82E0C8E}" userId="S::sahil.khanna@taggd.in::4ad12fca-0ea9-4210-9977-4525c55c71b2" providerId="AD"/>
  <person displayName="Yashika Singh" id="{81349F11-00FE-4654-AB80-28AAFDB5B552}" userId="S::yashika.singh@taggd.in::ca6ff606-8fc1-4197-a5d7-4efb730075a2" providerId="AD"/>
  <person displayName="Debashreeta Das" id="{1798D1B1-3098-46B1-91A2-D4C92B7E122A}" userId="S::debashreeta.das@taggd.in::ef9b6275-fb77-4b6e-939b-c43bcd6db763" providerId="AD"/>
  <person displayName="Shalini Chopra" id="{3CBDC542-C80F-4A61-9608-E3E79BC253F6}" userId="S::shalini.chopra1@taggd.in::c65041a8-72e5-482b-bb27-53b0fc206742" providerId="AD"/>
  <person displayName="Vikramjeet Singh" id="{E64216F0-4450-479D-85DE-7DC73CB6BF16}" userId="S::vikramjeet.singh@taggd.in::53490bd7-47b4-4e61-bbbf-71aaaf240cc5" providerId="AD"/>
  <person displayName="Himanshu Srivastava" id="{32192656-80C8-4310-B142-9CF98FC9C0EF}" userId="S::himanshu.srivastava@taggd.in::1cd2d5ec-0216-4c39-9c3d-3e318a20fbc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L2" dT="2024-09-13T07:20:59.17" personId="{1798D1B1-3098-46B1-91A2-D4C92B7E122A}" id="{728FF8CD-F915-4403-A6FB-5A8C5D7F955C}">
    <text>NA - No report available</text>
  </threadedComment>
  <threadedComment ref="BN2" dT="2024-09-13T07:20:59.17" personId="{1798D1B1-3098-46B1-91A2-D4C92B7E122A}" id="{D34867BF-D675-4E13-9B3E-D936DE09050F}">
    <text>NA - No report available</text>
  </threadedComment>
  <threadedComment ref="BP2" dT="2024-09-13T07:20:59.17" personId="{1798D1B1-3098-46B1-91A2-D4C92B7E122A}" id="{83729E02-7835-4262-A26E-903368B4C356}">
    <text>NA - No report available</text>
  </threadedComment>
  <threadedComment ref="BR2" dT="2024-09-13T07:20:59.17" personId="{1798D1B1-3098-46B1-91A2-D4C92B7E122A}" id="{A1198896-A518-4F0C-AAA7-9C7A6FE4AA11}">
    <text>NA - No report available</text>
  </threadedComment>
  <threadedComment ref="BL3" dT="2024-09-13T07:20:59.17" personId="{1798D1B1-3098-46B1-91A2-D4C92B7E122A}" id="{87C22E63-EC9E-4D7E-ABC4-21FC4147788A}">
    <text>NA - No report available</text>
  </threadedComment>
  <threadedComment ref="BN3" dT="2024-09-13T07:20:59.17" personId="{1798D1B1-3098-46B1-91A2-D4C92B7E122A}" id="{3E2D9F48-5F6D-45B4-89F7-7C75C0151BA5}">
    <text>NA - No report available</text>
  </threadedComment>
  <threadedComment ref="BP3" dT="2024-09-13T07:20:59.17" personId="{1798D1B1-3098-46B1-91A2-D4C92B7E122A}" id="{E1D342A6-5CAF-480E-96D3-97B10C2F43CE}">
    <text>NA - No report available</text>
  </threadedComment>
  <threadedComment ref="BR3" dT="2024-09-13T07:20:59.17" personId="{1798D1B1-3098-46B1-91A2-D4C92B7E122A}" id="{D6C1B6B7-92A4-486F-9FD8-7EC8AF8ADD4C}">
    <text>NA - No report available</text>
  </threadedComment>
  <threadedComment ref="BL4" dT="2024-09-13T07:20:59.17" personId="{1798D1B1-3098-46B1-91A2-D4C92B7E122A}" id="{335DE465-8E04-4932-BB41-92DF5850C5A1}">
    <text>NA - No report available</text>
  </threadedComment>
  <threadedComment ref="BN4" dT="2024-09-13T07:20:59.17" personId="{1798D1B1-3098-46B1-91A2-D4C92B7E122A}" id="{A433000F-6985-43F4-9F8B-8721FDAA0F10}">
    <text>NA - No report available</text>
  </threadedComment>
  <threadedComment ref="BP4" dT="2024-09-13T07:20:59.17" personId="{1798D1B1-3098-46B1-91A2-D4C92B7E122A}" id="{C2D74FD6-80B2-4B74-ACA3-4F45B7B5CE71}">
    <text>NA - No report available</text>
  </threadedComment>
  <threadedComment ref="BR4" dT="2024-09-13T07:20:59.17" personId="{1798D1B1-3098-46B1-91A2-D4C92B7E122A}" id="{A2EC15B3-8C09-4C89-87DA-F2F6E06781DE}">
    <text>NA - No report available</text>
  </threadedComment>
  <threadedComment ref="BL5" dT="2024-09-13T07:20:59.17" personId="{1798D1B1-3098-46B1-91A2-D4C92B7E122A}" id="{2CCFB55E-4B41-4CCF-AD5C-195E7C74F926}">
    <text>NA - No report available</text>
  </threadedComment>
  <threadedComment ref="BN5" dT="2024-09-13T07:20:59.17" personId="{1798D1B1-3098-46B1-91A2-D4C92B7E122A}" id="{71EFC853-AAA6-4C6F-879D-9076571C3B4F}">
    <text>NA - No report available</text>
  </threadedComment>
  <threadedComment ref="BP5" dT="2024-09-13T07:20:59.17" personId="{1798D1B1-3098-46B1-91A2-D4C92B7E122A}" id="{585A5D43-8D24-42B5-90C6-148218D6C0AB}">
    <text>NA - No report available</text>
  </threadedComment>
  <threadedComment ref="BR5" dT="2024-09-13T07:20:59.17" personId="{1798D1B1-3098-46B1-91A2-D4C92B7E122A}" id="{D242532B-EDF1-48B4-8F11-28E10C0AF4F3}">
    <text>NA - No report available</text>
  </threadedComment>
  <threadedComment ref="BL6" dT="2024-09-13T07:20:59.17" personId="{1798D1B1-3098-46B1-91A2-D4C92B7E122A}" id="{F8C9B300-7270-4840-AB2F-ACE0FC9DE6B0}">
    <text>NA - No report available</text>
  </threadedComment>
  <threadedComment ref="BN6" dT="2024-09-13T07:20:59.17" personId="{1798D1B1-3098-46B1-91A2-D4C92B7E122A}" id="{48DAF0F4-92A7-4867-96CB-F875794EA48F}">
    <text>NA - No report available</text>
  </threadedComment>
  <threadedComment ref="BP6" dT="2024-09-13T07:20:59.17" personId="{1798D1B1-3098-46B1-91A2-D4C92B7E122A}" id="{38485DCE-AE76-4FDF-9234-4A34DE9B70D9}">
    <text>NA - No report available</text>
  </threadedComment>
  <threadedComment ref="BR6" dT="2024-09-13T07:20:59.17" personId="{1798D1B1-3098-46B1-91A2-D4C92B7E122A}" id="{6E8B324E-DD6A-4453-9242-6A4601FD3D6E}">
    <text>NA - No report available</text>
  </threadedComment>
  <threadedComment ref="S7" dT="2024-06-11T11:07:37.34" personId="{1798D1B1-3098-46B1-91A2-D4C92B7E122A}" id="{6A6F0A9F-43EE-4F8E-9111-A8A669CA89E1}">
    <text>No base file</text>
  </threadedComment>
  <threadedComment ref="AE7" dT="2024-11-21T10:27:54.14" personId="{6777EDD4-E46F-4979-A7E7-6FC0A82E0C8E}" id="{62953EF1-C4DD-4456-B2B4-0DAE58C7B340}">
    <text>Not Validated because not have base file</text>
  </threadedComment>
  <threadedComment ref="AW7" dT="2025-06-19T07:50:53.89" personId="{1798D1B1-3098-46B1-91A2-D4C92B7E122A}" id="{16E5C5A4-14BF-4A6D-A9D5-C6BF81B9ADD0}">
    <text xml:space="preserve">Due to issue in TADR report </text>
  </threadedComment>
  <threadedComment ref="AX7" dT="2025-06-19T07:50:53.89" personId="{1798D1B1-3098-46B1-91A2-D4C92B7E122A}" id="{32DC7B38-92FB-440D-8638-3FEC23BF2EEB}">
    <text xml:space="preserve">Due to issue in TADR report </text>
  </threadedComment>
  <threadedComment ref="AY7" dT="2025-06-19T07:50:53.89" personId="{1798D1B1-3098-46B1-91A2-D4C92B7E122A}" id="{35E4C537-A3D0-4DA3-B16E-5EBDF6C15E92}">
    <text xml:space="preserve">Due to issue in TADR report </text>
  </threadedComment>
  <threadedComment ref="AZ7" dT="2025-06-19T07:50:53.89" personId="{1798D1B1-3098-46B1-91A2-D4C92B7E122A}" id="{E6CC36A6-890B-473A-8B1B-3288E7858203}">
    <text xml:space="preserve">Due to issue in TADR report </text>
  </threadedComment>
  <threadedComment ref="BA7" dT="2025-06-19T07:50:53.89" personId="{1798D1B1-3098-46B1-91A2-D4C92B7E122A}" id="{362E4223-AD8F-4777-9828-27815EACD1F9}">
    <text xml:space="preserve">Due to issue in TADR report </text>
  </threadedComment>
  <threadedComment ref="BB7" dT="2025-06-19T07:50:53.89" personId="{1798D1B1-3098-46B1-91A2-D4C92B7E122A}" id="{D72E18FC-45A8-4DFF-B92B-D2F0AD82CA92}">
    <text xml:space="preserve">Due to issue in TADR report </text>
  </threadedComment>
  <threadedComment ref="BC7" dT="2025-06-19T07:50:53.89" personId="{1798D1B1-3098-46B1-91A2-D4C92B7E122A}" id="{2A2BDCE2-F0CD-4617-ADDB-503ACCC4C362}">
    <text xml:space="preserve">Due to issue in TADR report </text>
  </threadedComment>
  <threadedComment ref="BD7" dT="2025-06-19T07:50:53.89" personId="{1798D1B1-3098-46B1-91A2-D4C92B7E122A}" id="{45AF7AC2-D7CE-4E6A-AE05-55F7C7B96A94}">
    <text xml:space="preserve">Due to issue in TADR report </text>
  </threadedComment>
  <threadedComment ref="BL7" dT="2024-09-13T07:20:59.17" personId="{1798D1B1-3098-46B1-91A2-D4C92B7E122A}" id="{1695C9A5-6E56-4D34-95AD-F622B746CEA8}">
    <text>NA - No report available</text>
  </threadedComment>
  <threadedComment ref="BN7" dT="2024-09-13T07:20:59.17" personId="{1798D1B1-3098-46B1-91A2-D4C92B7E122A}" id="{C5FF2620-4CDB-4E15-AF34-BDC5F854D656}">
    <text>NA - No report available</text>
  </threadedComment>
  <threadedComment ref="BP7" dT="2024-09-13T07:20:59.17" personId="{1798D1B1-3098-46B1-91A2-D4C92B7E122A}" id="{A1E92B72-3893-4866-AB4B-04F95D4FDB7B}">
    <text>NA - No report available</text>
  </threadedComment>
  <threadedComment ref="BR7" dT="2024-09-13T07:20:59.17" personId="{1798D1B1-3098-46B1-91A2-D4C92B7E122A}" id="{4D4F1FC5-365B-48CD-BCBD-A10E7DD3771A}">
    <text>NA - No report available</text>
  </threadedComment>
  <threadedComment ref="S8" dT="2024-06-11T11:07:41.59" personId="{1798D1B1-3098-46B1-91A2-D4C92B7E122A}" id="{51579FE2-6731-4DC7-9657-339BF9CD6B70}">
    <text>No base file</text>
  </threadedComment>
  <threadedComment ref="AE8" dT="2024-11-21T10:27:59.93" personId="{6777EDD4-E46F-4979-A7E7-6FC0A82E0C8E}" id="{907FE6F1-8EE6-4696-AF98-5EFDDAB2559E}">
    <text>Not Validated because not having base file</text>
  </threadedComment>
  <threadedComment ref="AW8" dT="2025-06-19T07:50:53.89" personId="{1798D1B1-3098-46B1-91A2-D4C92B7E122A}" id="{02B15607-D032-4297-B766-2D8719B5648A}">
    <text xml:space="preserve">Due to issue in TADR report </text>
  </threadedComment>
  <threadedComment ref="AX8" dT="2025-06-19T07:50:53.89" personId="{1798D1B1-3098-46B1-91A2-D4C92B7E122A}" id="{A3BB05A6-3840-4C64-B3B3-2607ED05F612}">
    <text xml:space="preserve">Due to issue in TADR report </text>
  </threadedComment>
  <threadedComment ref="AY8" dT="2025-06-19T07:50:53.89" personId="{1798D1B1-3098-46B1-91A2-D4C92B7E122A}" id="{E8937F1B-477D-4F9C-B304-651FF96EDFB8}">
    <text xml:space="preserve">Due to issue in TADR report </text>
  </threadedComment>
  <threadedComment ref="AZ8" dT="2025-06-19T07:50:53.89" personId="{1798D1B1-3098-46B1-91A2-D4C92B7E122A}" id="{2CAC6C16-D511-4A02-B1E2-BA198C1B4C51}">
    <text xml:space="preserve">Due to issue in TADR report </text>
  </threadedComment>
  <threadedComment ref="BA8" dT="2025-06-19T07:50:53.89" personId="{1798D1B1-3098-46B1-91A2-D4C92B7E122A}" id="{159F8DCC-C110-4151-A5DB-8D850EDC3977}">
    <text xml:space="preserve">Due to issue in TADR report </text>
  </threadedComment>
  <threadedComment ref="BB8" dT="2025-06-19T07:50:53.89" personId="{1798D1B1-3098-46B1-91A2-D4C92B7E122A}" id="{BD61AE46-E0DF-425A-8971-23E20350FEFB}">
    <text xml:space="preserve">Due to issue in TADR report </text>
  </threadedComment>
  <threadedComment ref="BC8" dT="2025-06-19T07:50:53.89" personId="{1798D1B1-3098-46B1-91A2-D4C92B7E122A}" id="{6E442A28-D30F-4697-AEE8-FFBE49A95669}">
    <text xml:space="preserve">Due to issue in TADR report </text>
  </threadedComment>
  <threadedComment ref="BD8" dT="2025-06-19T07:50:53.89" personId="{1798D1B1-3098-46B1-91A2-D4C92B7E122A}" id="{B4AD8942-8A11-48C5-BE09-F2CFD77CDCDD}">
    <text xml:space="preserve">Due to issue in TADR report </text>
  </threadedComment>
  <threadedComment ref="BL8" dT="2024-09-13T07:20:59.17" personId="{1798D1B1-3098-46B1-91A2-D4C92B7E122A}" id="{078F302D-5745-410C-B5BC-74840FD7B040}">
    <text>NA - No report available</text>
  </threadedComment>
  <threadedComment ref="BN8" dT="2024-09-13T07:20:59.17" personId="{1798D1B1-3098-46B1-91A2-D4C92B7E122A}" id="{4302B92B-0884-4255-90ED-234E92D8CC78}">
    <text>NA - No report available</text>
  </threadedComment>
  <threadedComment ref="BP8" dT="2024-09-13T07:20:59.17" personId="{1798D1B1-3098-46B1-91A2-D4C92B7E122A}" id="{8F8F26EE-E8BA-4D5D-8875-B0960FB9EB7F}">
    <text>NA - No report available</text>
  </threadedComment>
  <threadedComment ref="BR8" dT="2024-09-13T07:20:59.17" personId="{1798D1B1-3098-46B1-91A2-D4C92B7E122A}" id="{776371D0-20A8-4106-8EC0-336A23084EC5}">
    <text>NA - No report available</text>
  </threadedComment>
  <threadedComment ref="S9" dT="2024-06-11T11:07:44.90" personId="{1798D1B1-3098-46B1-91A2-D4C92B7E122A}" id="{66463166-1DAD-4380-ACBB-94DCD6A585D3}">
    <text>No base file</text>
  </threadedComment>
  <threadedComment ref="AE9" dT="2024-11-21T10:28:04.39" personId="{6777EDD4-E46F-4979-A7E7-6FC0A82E0C8E}" id="{437C55CF-DB8B-4A08-9E2B-FD578EF4619B}">
    <text>Not Validated because not having base file</text>
  </threadedComment>
  <threadedComment ref="AW9" dT="2025-06-19T07:50:53.89" personId="{1798D1B1-3098-46B1-91A2-D4C92B7E122A}" id="{728A890F-DAE7-47F5-9F2E-186BB225872F}">
    <text xml:space="preserve">Due to issue in TADR report </text>
  </threadedComment>
  <threadedComment ref="AX9" dT="2025-06-19T07:50:53.89" personId="{1798D1B1-3098-46B1-91A2-D4C92B7E122A}" id="{508D5DC2-B30B-4AD5-8EA1-5C98F7C0BE1A}">
    <text xml:space="preserve">Due to issue in TADR report </text>
  </threadedComment>
  <threadedComment ref="AY9" dT="2025-06-19T07:50:53.89" personId="{1798D1B1-3098-46B1-91A2-D4C92B7E122A}" id="{E3F79FA9-86E5-444F-9A34-5B940B4A73C7}">
    <text xml:space="preserve">Due to issue in TADR report </text>
  </threadedComment>
  <threadedComment ref="AZ9" dT="2025-06-19T07:50:53.89" personId="{1798D1B1-3098-46B1-91A2-D4C92B7E122A}" id="{C041CEE8-2306-4AEA-A98E-4586AF5A5699}">
    <text xml:space="preserve">Due to issue in TADR report </text>
  </threadedComment>
  <threadedComment ref="BA9" dT="2025-06-19T07:50:53.89" personId="{1798D1B1-3098-46B1-91A2-D4C92B7E122A}" id="{37294196-6C17-4B24-9B4B-415A54694FCB}">
    <text xml:space="preserve">Due to issue in TADR report </text>
  </threadedComment>
  <threadedComment ref="BB9" dT="2025-06-19T07:50:53.89" personId="{1798D1B1-3098-46B1-91A2-D4C92B7E122A}" id="{31BF7D21-F178-41EA-BEE9-C7C434A8475F}">
    <text xml:space="preserve">Due to issue in TADR report </text>
  </threadedComment>
  <threadedComment ref="BC9" dT="2025-06-19T07:50:53.89" personId="{1798D1B1-3098-46B1-91A2-D4C92B7E122A}" id="{3E608BC9-61BB-4B6B-A318-3FA62BF66D4B}">
    <text xml:space="preserve">Due to issue in TADR report </text>
  </threadedComment>
  <threadedComment ref="BD9" dT="2025-06-19T07:50:53.89" personId="{1798D1B1-3098-46B1-91A2-D4C92B7E122A}" id="{E7809863-12FA-4336-8E3A-BC963AF5B9DF}">
    <text xml:space="preserve">Due to issue in TADR report </text>
  </threadedComment>
  <threadedComment ref="S10" dT="2024-06-11T11:07:50.99" personId="{1798D1B1-3098-46B1-91A2-D4C92B7E122A}" id="{0CD8DB4C-43E8-4ED1-A6E0-A74615FF0CEF}">
    <text>No base file</text>
  </threadedComment>
  <threadedComment ref="AE10" dT="2024-11-21T10:28:08.99" personId="{6777EDD4-E46F-4979-A7E7-6FC0A82E0C8E}" id="{25EF1751-ABB6-48DB-8C0B-A8933E508862}">
    <text>Not Validated because not having base file</text>
  </threadedComment>
  <threadedComment ref="AW10" dT="2025-06-19T07:50:53.89" personId="{1798D1B1-3098-46B1-91A2-D4C92B7E122A}" id="{607E44D3-BF1B-4D70-9653-A444D66C4792}">
    <text xml:space="preserve">Due to issue in TADR report </text>
  </threadedComment>
  <threadedComment ref="AX10" dT="2025-06-19T07:50:53.89" personId="{1798D1B1-3098-46B1-91A2-D4C92B7E122A}" id="{755A7B3C-E697-445B-8C10-D59576A6244A}">
    <text xml:space="preserve">Due to issue in TADR report </text>
  </threadedComment>
  <threadedComment ref="AY10" dT="2025-06-19T07:50:53.89" personId="{1798D1B1-3098-46B1-91A2-D4C92B7E122A}" id="{35320501-E984-4402-B13C-DE801F42897A}">
    <text xml:space="preserve">Due to issue in TADR report </text>
  </threadedComment>
  <threadedComment ref="AZ10" dT="2025-06-19T07:50:53.89" personId="{1798D1B1-3098-46B1-91A2-D4C92B7E122A}" id="{E7A2DD17-5941-4C63-B83D-A380904601BB}">
    <text xml:space="preserve">Due to issue in TADR report </text>
  </threadedComment>
  <threadedComment ref="BA10" dT="2025-06-19T07:50:53.89" personId="{1798D1B1-3098-46B1-91A2-D4C92B7E122A}" id="{7565D783-40D9-4BEB-8F0A-ED05B9AE0A49}">
    <text xml:space="preserve">Due to issue in TADR report </text>
  </threadedComment>
  <threadedComment ref="BB10" dT="2025-06-19T07:50:53.89" personId="{1798D1B1-3098-46B1-91A2-D4C92B7E122A}" id="{D0EBE475-7FCA-4FF3-A9F1-2366FE138AF6}">
    <text xml:space="preserve">Due to issue in TADR report </text>
  </threadedComment>
  <threadedComment ref="BC10" dT="2025-06-19T07:50:53.89" personId="{1798D1B1-3098-46B1-91A2-D4C92B7E122A}" id="{12A00D87-5880-4D3A-AFD8-3ACB73C37ABB}">
    <text xml:space="preserve">Due to issue in TADR report </text>
  </threadedComment>
  <threadedComment ref="BD10" dT="2025-06-19T07:50:53.89" personId="{1798D1B1-3098-46B1-91A2-D4C92B7E122A}" id="{3CC73AFC-5680-4865-92C1-7B89F0D98F0B}">
    <text xml:space="preserve">Due to issue in TADR report </text>
  </threadedComment>
  <threadedComment ref="BL10" dT="2024-09-13T07:20:59.17" personId="{1798D1B1-3098-46B1-91A2-D4C92B7E122A}" id="{72066D3E-CEAE-49B3-8400-A454D3FBB3A6}">
    <text>NA - No report available</text>
  </threadedComment>
  <threadedComment ref="BN10" dT="2024-09-13T07:20:59.17" personId="{1798D1B1-3098-46B1-91A2-D4C92B7E122A}" id="{307F08C2-83A2-4147-AAC1-5F554C0C0287}">
    <text>NA - No report available</text>
  </threadedComment>
  <threadedComment ref="BP10" dT="2024-09-13T07:20:59.17" personId="{1798D1B1-3098-46B1-91A2-D4C92B7E122A}" id="{13E8911A-9CB8-441C-BE52-13691E94AE8A}">
    <text>NA - No report available</text>
  </threadedComment>
  <threadedComment ref="BR10" dT="2024-09-13T07:20:59.17" personId="{1798D1B1-3098-46B1-91A2-D4C92B7E122A}" id="{EE2EF782-8796-4228-8465-C282F4D74A43}">
    <text>NA - No report available</text>
  </threadedComment>
  <threadedComment ref="AA11" dT="2024-09-13T07:20:59.17" personId="{1798D1B1-3098-46B1-91A2-D4C92B7E122A}" id="{EA8199A7-F4A5-4746-99C9-63A73586563B}">
    <text>NA - No report available</text>
  </threadedComment>
  <threadedComment ref="AB11" dT="2024-09-13T07:20:59.17" personId="{1798D1B1-3098-46B1-91A2-D4C92B7E122A}" id="{8490AB39-C904-4659-AAE9-CE9D58D7C53E}">
    <text>NA - No report available</text>
  </threadedComment>
  <threadedComment ref="AC11" dT="2024-09-13T07:20:59.17" personId="{1798D1B1-3098-46B1-91A2-D4C92B7E122A}" id="{F39C92D1-BCDF-434E-A1D7-8C5995A19047}">
    <text>NA - No report available</text>
  </threadedComment>
  <threadedComment ref="AD11" dT="2024-09-13T07:20:59.17" personId="{1798D1B1-3098-46B1-91A2-D4C92B7E122A}" id="{D157CB2B-65C5-435F-84B8-8AB1FBE5B023}">
    <text>NA - No report available</text>
  </threadedComment>
  <threadedComment ref="AE11" dT="2024-09-13T07:20:59.17" personId="{1798D1B1-3098-46B1-91A2-D4C92B7E122A}" id="{C2FB18D7-6F53-456D-8452-ABCBEFACAB83}">
    <text>NA - No report available</text>
  </threadedComment>
  <threadedComment ref="AF11" dT="2024-09-13T07:20:59.17" personId="{1798D1B1-3098-46B1-91A2-D4C92B7E122A}" id="{BD022B3A-477A-4AD1-B21B-D95626780F57}">
    <text>NA - No report available</text>
  </threadedComment>
  <threadedComment ref="AG11" dT="2024-09-13T07:20:59.17" personId="{1798D1B1-3098-46B1-91A2-D4C92B7E122A}" id="{2DFCD65D-E453-471B-A533-527E4AD319A5}">
    <text>NA - No report available</text>
  </threadedComment>
  <threadedComment ref="AH11" dT="2024-09-13T07:20:59.17" personId="{1798D1B1-3098-46B1-91A2-D4C92B7E122A}" id="{B2E24325-5E32-49AE-9D4E-B067CB9B0B42}">
    <text>NA - No report available</text>
  </threadedComment>
  <threadedComment ref="AI11" dT="2024-09-13T07:20:59.17" personId="{1798D1B1-3098-46B1-91A2-D4C92B7E122A}" id="{3DD41DCE-F98A-4488-ABF6-585A42675E6F}">
    <text>NA - No report available</text>
  </threadedComment>
  <threadedComment ref="AJ11" dT="2024-09-13T07:20:59.17" personId="{1798D1B1-3098-46B1-91A2-D4C92B7E122A}" id="{E36AB52C-773E-40E1-A1EF-5B714D57582C}">
    <text>NA - No report available</text>
  </threadedComment>
  <threadedComment ref="AK11" dT="2024-09-13T07:20:59.17" personId="{1798D1B1-3098-46B1-91A2-D4C92B7E122A}" id="{63B08168-F787-4CFE-8AE2-224A96ED6FE9}">
    <text>NA - No report available</text>
  </threadedComment>
  <threadedComment ref="AL11" dT="2024-09-13T07:20:59.17" personId="{1798D1B1-3098-46B1-91A2-D4C92B7E122A}" id="{F1B5027B-4FEB-4292-9D24-7A5FA65F7E05}">
    <text>NA - No report available</text>
  </threadedComment>
  <threadedComment ref="AM11" dT="2024-09-13T07:20:59.17" personId="{1798D1B1-3098-46B1-91A2-D4C92B7E122A}" id="{006D8B6F-2D31-4259-833C-3A7A87C7937B}">
    <text>NA - No report available</text>
  </threadedComment>
  <threadedComment ref="AN11" dT="2024-09-13T07:20:59.17" personId="{1798D1B1-3098-46B1-91A2-D4C92B7E122A}" id="{5037E54F-A138-4FD0-A0A0-8AB70AE9905D}">
    <text>NA - No report available</text>
  </threadedComment>
  <threadedComment ref="AO11" dT="2024-09-13T07:20:59.17" personId="{1798D1B1-3098-46B1-91A2-D4C92B7E122A}" id="{9A78F6E9-4C8D-4D2D-AA94-418085FA7A32}">
    <text>NA - No report available</text>
  </threadedComment>
  <threadedComment ref="AP11" dT="2024-09-13T07:20:59.17" personId="{1798D1B1-3098-46B1-91A2-D4C92B7E122A}" id="{8C2F715A-17CA-4E90-A72A-9EA7B0A3E232}">
    <text>NA - No report available</text>
  </threadedComment>
  <threadedComment ref="AQ11" dT="2024-09-13T07:20:59.17" personId="{1798D1B1-3098-46B1-91A2-D4C92B7E122A}" id="{1585CD10-D997-40A0-8993-ED6D81F96F44}">
    <text>NA - No report available</text>
  </threadedComment>
  <threadedComment ref="AR11" dT="2024-09-13T07:20:59.17" personId="{1798D1B1-3098-46B1-91A2-D4C92B7E122A}" id="{8114E6F5-A9E4-480E-B45C-D86BA4418DF5}">
    <text>NA - No report available</text>
  </threadedComment>
  <threadedComment ref="AS11" dT="2024-09-13T07:20:59.17" personId="{1798D1B1-3098-46B1-91A2-D4C92B7E122A}" id="{6C85F5F4-A996-4079-AE96-363878102749}">
    <text>NA - No report available</text>
  </threadedComment>
  <threadedComment ref="AT11" dT="2024-09-13T07:20:59.17" personId="{1798D1B1-3098-46B1-91A2-D4C92B7E122A}" id="{6ED539D7-4D2F-47D5-92BC-58B30BE5DD7B}">
    <text>NA - No report available</text>
  </threadedComment>
  <threadedComment ref="AU11" dT="2024-09-13T07:20:59.17" personId="{1798D1B1-3098-46B1-91A2-D4C92B7E122A}" id="{84FC7CBE-B2F2-4850-882B-B35760988FC0}">
    <text>NA - No report available</text>
  </threadedComment>
  <threadedComment ref="AV11" dT="2024-09-13T07:20:59.17" personId="{1798D1B1-3098-46B1-91A2-D4C92B7E122A}" id="{6040BA16-9889-49E1-85D6-1671C98F946F}">
    <text>NA - No report available</text>
  </threadedComment>
  <threadedComment ref="AW11" dT="2025-06-19T07:50:53.89" personId="{1798D1B1-3098-46B1-91A2-D4C92B7E122A}" id="{15E16CCE-AA17-4E0C-9E22-D9A69D58208A}">
    <text xml:space="preserve">Due to issue in TADR report </text>
  </threadedComment>
  <threadedComment ref="AX11" dT="2025-06-19T07:50:53.89" personId="{1798D1B1-3098-46B1-91A2-D4C92B7E122A}" id="{ABF23064-D18D-4669-8608-4EB35A7AD2BA}">
    <text xml:space="preserve">Due to issue in TADR report </text>
  </threadedComment>
  <threadedComment ref="AY11" dT="2025-06-19T07:50:53.89" personId="{1798D1B1-3098-46B1-91A2-D4C92B7E122A}" id="{1C812892-AC22-498F-9693-80B9717B0273}">
    <text xml:space="preserve">Due to issue in TADR report </text>
  </threadedComment>
  <threadedComment ref="AZ11" dT="2025-06-19T07:50:53.89" personId="{1798D1B1-3098-46B1-91A2-D4C92B7E122A}" id="{B62FB42B-DE02-4A7F-BBDF-6DD0834B5A5E}">
    <text xml:space="preserve">Due to issue in TADR report </text>
  </threadedComment>
  <threadedComment ref="BA11" dT="2025-06-19T07:50:53.89" personId="{1798D1B1-3098-46B1-91A2-D4C92B7E122A}" id="{20E5B585-E780-403E-8D92-24813FAEC364}">
    <text xml:space="preserve">Due to issue in TADR report </text>
  </threadedComment>
  <threadedComment ref="BB11" dT="2025-06-19T07:50:53.89" personId="{1798D1B1-3098-46B1-91A2-D4C92B7E122A}" id="{38BE9686-233D-492C-AA63-FD7B36A86B41}">
    <text xml:space="preserve">Due to issue in TADR report </text>
  </threadedComment>
  <threadedComment ref="BC11" dT="2025-06-19T07:50:53.89" personId="{1798D1B1-3098-46B1-91A2-D4C92B7E122A}" id="{8A370507-E9CA-40C5-B58E-881BD7D50013}">
    <text xml:space="preserve">Due to issue in TADR report </text>
  </threadedComment>
  <threadedComment ref="BD11" dT="2025-06-19T07:50:53.89" personId="{1798D1B1-3098-46B1-91A2-D4C92B7E122A}" id="{C0428AE8-15FF-40BC-AAFD-C595E64640DF}">
    <text xml:space="preserve">Due to issue in TADR report </text>
  </threadedComment>
  <threadedComment ref="BE11" dT="2024-09-13T07:20:59.17" personId="{1798D1B1-3098-46B1-91A2-D4C92B7E122A}" id="{651BD91A-34B6-465B-A991-70DC161E0664}">
    <text>NA - No report available</text>
  </threadedComment>
  <threadedComment ref="BF11" dT="2024-09-13T07:20:59.17" personId="{1798D1B1-3098-46B1-91A2-D4C92B7E122A}" id="{4015A71C-D4CC-44BF-B438-7B6FA91AEE34}">
    <text>NA - No report available</text>
  </threadedComment>
  <threadedComment ref="BG11" dT="2024-09-13T07:20:59.17" personId="{1798D1B1-3098-46B1-91A2-D4C92B7E122A}" id="{292CA11D-E456-468C-BD31-69FD4666589F}">
    <text>NA - No report available</text>
  </threadedComment>
  <threadedComment ref="BH11" dT="2024-09-13T07:20:59.17" personId="{1798D1B1-3098-46B1-91A2-D4C92B7E122A}" id="{EC90EF1A-6F45-4C5B-B5DB-AB22455EFCA4}">
    <text>NA - No report available</text>
  </threadedComment>
  <threadedComment ref="BI11" dT="2024-09-13T07:20:59.17" personId="{1798D1B1-3098-46B1-91A2-D4C92B7E122A}" id="{741B44C0-9588-40AB-9236-42FB68819861}">
    <text>NA - No report available</text>
  </threadedComment>
  <threadedComment ref="BJ11" dT="2024-09-13T07:20:59.17" personId="{1798D1B1-3098-46B1-91A2-D4C92B7E122A}" id="{3F0E8ADB-7C46-4CEC-8F6E-4D8AC639AF96}">
    <text>NA - No report available</text>
  </threadedComment>
  <threadedComment ref="BK11" dT="2024-09-13T07:20:59.17" personId="{1798D1B1-3098-46B1-91A2-D4C92B7E122A}" id="{BBFEC3E5-E701-419C-B34B-46EE938D4376}">
    <text>NA - No report available</text>
  </threadedComment>
  <threadedComment ref="BL11" dT="2024-09-13T07:20:59.17" personId="{1798D1B1-3098-46B1-91A2-D4C92B7E122A}" id="{3CF97304-890C-4A0A-81E5-49123B9966A2}">
    <text>NA - No report available</text>
  </threadedComment>
  <threadedComment ref="BM11" dT="2024-09-13T07:20:59.17" personId="{1798D1B1-3098-46B1-91A2-D4C92B7E122A}" id="{E9A5E176-A634-4991-A5AF-8E29C4442DEB}">
    <text>NA - No report available</text>
  </threadedComment>
  <threadedComment ref="BN11" dT="2024-09-13T07:20:59.17" personId="{1798D1B1-3098-46B1-91A2-D4C92B7E122A}" id="{7916AC94-F0B4-4126-AB53-76FC1BC7C322}">
    <text>NA - No report available</text>
  </threadedComment>
  <threadedComment ref="BP11" dT="2024-09-13T07:20:59.17" personId="{1798D1B1-3098-46B1-91A2-D4C92B7E122A}" id="{2B7A2763-5BA0-460F-97E0-1765CB601122}">
    <text>NA - No report available</text>
  </threadedComment>
  <threadedComment ref="BR11" dT="2024-09-13T07:20:59.17" personId="{1798D1B1-3098-46B1-91A2-D4C92B7E122A}" id="{3822DC14-C633-437C-A1E6-F164FBAA19BF}">
    <text>NA - No report available</text>
  </threadedComment>
  <threadedComment ref="BU11" dT="2024-09-13T07:20:59.17" personId="{1798D1B1-3098-46B1-91A2-D4C92B7E122A}" id="{C9065B8D-F54C-4F5A-9FA1-9C8DA5F49AA5}">
    <text>NA - No report available</text>
  </threadedComment>
  <threadedComment ref="S12" dT="2024-06-11T11:07:55.29" personId="{1798D1B1-3098-46B1-91A2-D4C92B7E122A}" id="{7FF228BC-149A-4326-B98A-EF6C9E0FED28}">
    <text>No base file</text>
  </threadedComment>
  <threadedComment ref="AE12" dT="2024-11-21T10:28:13.87" personId="{6777EDD4-E46F-4979-A7E7-6FC0A82E0C8E}" id="{2FFD7CAA-B3FA-48A3-91B8-0D3EF9B20AD6}">
    <text>Not Validated because not having base file</text>
  </threadedComment>
  <threadedComment ref="AW12" dT="2025-06-19T07:50:53.89" personId="{1798D1B1-3098-46B1-91A2-D4C92B7E122A}" id="{A5CFB84D-5DDC-4A54-98AD-D602E6A04E09}">
    <text xml:space="preserve">Due to issue in TADR report </text>
  </threadedComment>
  <threadedComment ref="AX12" dT="2025-06-19T07:50:53.89" personId="{1798D1B1-3098-46B1-91A2-D4C92B7E122A}" id="{508FD11A-1C86-4085-9CE2-480A2B091266}">
    <text xml:space="preserve">Due to issue in TADR report </text>
  </threadedComment>
  <threadedComment ref="AY12" dT="2025-06-19T07:50:53.89" personId="{1798D1B1-3098-46B1-91A2-D4C92B7E122A}" id="{2BCA1D6A-2FC7-495D-B50F-2B786B46AB87}">
    <text xml:space="preserve">Due to issue in TADR report </text>
  </threadedComment>
  <threadedComment ref="AZ12" dT="2025-06-19T07:50:53.89" personId="{1798D1B1-3098-46B1-91A2-D4C92B7E122A}" id="{62885675-365A-4D9D-A779-E07EB21CDB71}">
    <text xml:space="preserve">Due to issue in TADR report </text>
  </threadedComment>
  <threadedComment ref="BA12" dT="2025-06-19T07:50:53.89" personId="{1798D1B1-3098-46B1-91A2-D4C92B7E122A}" id="{1893ABB8-8643-4968-9A00-EEFEFAC8177E}">
    <text xml:space="preserve">Due to issue in TADR report </text>
  </threadedComment>
  <threadedComment ref="BB12" dT="2025-06-19T07:50:53.89" personId="{1798D1B1-3098-46B1-91A2-D4C92B7E122A}" id="{1FE33FA8-D49F-4E63-9E9B-62E2EC9F8617}">
    <text xml:space="preserve">Due to issue in TADR report </text>
  </threadedComment>
  <threadedComment ref="BC12" dT="2025-06-19T07:50:53.89" personId="{1798D1B1-3098-46B1-91A2-D4C92B7E122A}" id="{D4401A5F-57BF-407D-8F50-B0451F1D6941}">
    <text xml:space="preserve">Due to issue in TADR report </text>
  </threadedComment>
  <threadedComment ref="BD12" dT="2025-06-19T07:50:53.89" personId="{1798D1B1-3098-46B1-91A2-D4C92B7E122A}" id="{3B6E9CAA-052C-443C-9F4F-7EA4AC6304E9}">
    <text xml:space="preserve">Due to issue in TADR report </text>
  </threadedComment>
  <threadedComment ref="S13" dT="2024-06-11T11:07:59.14" personId="{1798D1B1-3098-46B1-91A2-D4C92B7E122A}" id="{B9FC13F8-B3F9-4E1B-8940-0248A31B9140}">
    <text>No base file</text>
  </threadedComment>
  <threadedComment ref="AE13" dT="2024-11-21T10:28:33.66" personId="{6777EDD4-E46F-4979-A7E7-6FC0A82E0C8E}" id="{02B4A0B3-11B7-4E06-8E5C-0C892921C077}">
    <text>Not Validated because not having base file</text>
  </threadedComment>
  <threadedComment ref="AW13" dT="2025-06-19T07:50:53.89" personId="{1798D1B1-3098-46B1-91A2-D4C92B7E122A}" id="{EED1A65E-29F5-40F6-8075-B48DEE9ABB85}">
    <text xml:space="preserve">Due to issue in TADR report </text>
  </threadedComment>
  <threadedComment ref="AX13" dT="2025-06-19T07:50:53.89" personId="{1798D1B1-3098-46B1-91A2-D4C92B7E122A}" id="{DC8FE3AF-0860-4E8C-86FD-C065D4593B24}">
    <text xml:space="preserve">Due to issue in TADR report </text>
  </threadedComment>
  <threadedComment ref="AY13" dT="2025-06-19T07:50:53.89" personId="{1798D1B1-3098-46B1-91A2-D4C92B7E122A}" id="{D024E6D1-2695-4FA9-8918-021EF9CA4AD0}">
    <text xml:space="preserve">Due to issue in TADR report </text>
  </threadedComment>
  <threadedComment ref="AZ13" dT="2025-06-19T07:50:53.89" personId="{1798D1B1-3098-46B1-91A2-D4C92B7E122A}" id="{8B481A06-4924-465F-94E5-4DC85628AA6C}">
    <text xml:space="preserve">Due to issue in TADR report </text>
  </threadedComment>
  <threadedComment ref="BA13" dT="2025-06-19T07:50:53.89" personId="{1798D1B1-3098-46B1-91A2-D4C92B7E122A}" id="{59DB25BF-1B6D-44DB-8E19-F6066C374602}">
    <text xml:space="preserve">Due to issue in TADR report </text>
  </threadedComment>
  <threadedComment ref="BB13" dT="2025-06-19T07:50:53.89" personId="{1798D1B1-3098-46B1-91A2-D4C92B7E122A}" id="{3D7F20DE-DB9B-4E66-9DF4-C60CFA37AD37}">
    <text xml:space="preserve">Due to issue in TADR report </text>
  </threadedComment>
  <threadedComment ref="BC13" dT="2025-06-19T07:50:53.89" personId="{1798D1B1-3098-46B1-91A2-D4C92B7E122A}" id="{FD518AD9-DAEB-43A7-B96F-8B7F8D6D9128}">
    <text xml:space="preserve">Due to issue in TADR report </text>
  </threadedComment>
  <threadedComment ref="BD13" dT="2025-06-19T07:50:53.89" personId="{1798D1B1-3098-46B1-91A2-D4C92B7E122A}" id="{6589A9C8-9EF6-4A62-98E9-EBB1AA779DCD}">
    <text xml:space="preserve">Due to issue in TADR report </text>
  </threadedComment>
  <threadedComment ref="S14" dT="2024-06-11T11:08:02.39" personId="{1798D1B1-3098-46B1-91A2-D4C92B7E122A}" id="{EE38A7EE-2577-4C8B-8BD6-4F3C1EBD03B7}">
    <text>No base file</text>
  </threadedComment>
  <threadedComment ref="AE14" dT="2024-11-21T10:28:39.93" personId="{6777EDD4-E46F-4979-A7E7-6FC0A82E0C8E}" id="{69E5A5B7-D2DF-4DB9-BAF6-702C7B280E4B}">
    <text>Not Validated because not having base file</text>
  </threadedComment>
  <threadedComment ref="AW14" dT="2025-06-19T07:50:53.89" personId="{1798D1B1-3098-46B1-91A2-D4C92B7E122A}" id="{671F3E26-5D55-40DA-A2CC-60A92F9A01BA}">
    <text xml:space="preserve">Due to issue in TADR report </text>
  </threadedComment>
  <threadedComment ref="AX14" dT="2025-06-19T07:50:53.89" personId="{1798D1B1-3098-46B1-91A2-D4C92B7E122A}" id="{B75A93B7-D168-41D9-B9B8-77534B7A5426}">
    <text xml:space="preserve">Due to issue in TADR report </text>
  </threadedComment>
  <threadedComment ref="AY14" dT="2025-06-19T07:50:53.89" personId="{1798D1B1-3098-46B1-91A2-D4C92B7E122A}" id="{7826EB00-9C10-42F7-A40B-ACBABFC793BC}">
    <text xml:space="preserve">Due to issue in TADR report </text>
  </threadedComment>
  <threadedComment ref="AZ14" dT="2025-06-19T07:50:53.89" personId="{1798D1B1-3098-46B1-91A2-D4C92B7E122A}" id="{F9D84004-9ABA-45CF-831F-EF17421995A4}">
    <text xml:space="preserve">Due to issue in TADR report </text>
  </threadedComment>
  <threadedComment ref="BA14" dT="2025-06-19T07:50:53.89" personId="{1798D1B1-3098-46B1-91A2-D4C92B7E122A}" id="{00FCACD7-96F8-4C35-8F83-793DFD20EAED}">
    <text xml:space="preserve">Due to issue in TADR report </text>
  </threadedComment>
  <threadedComment ref="BB14" dT="2025-06-19T07:50:53.89" personId="{1798D1B1-3098-46B1-91A2-D4C92B7E122A}" id="{1A3FB1C1-8A82-436A-9147-238773D4A2F4}">
    <text xml:space="preserve">Due to issue in TADR report </text>
  </threadedComment>
  <threadedComment ref="BC14" dT="2025-06-19T07:50:53.89" personId="{1798D1B1-3098-46B1-91A2-D4C92B7E122A}" id="{5A3BD565-A574-4EE6-9839-116F5B931C86}">
    <text xml:space="preserve">Due to issue in TADR report </text>
  </threadedComment>
  <threadedComment ref="BD14" dT="2025-06-19T07:50:53.89" personId="{1798D1B1-3098-46B1-91A2-D4C92B7E122A}" id="{C400E96E-42AA-40BF-9B02-542DCD71B2EF}">
    <text xml:space="preserve">Due to issue in TADR report </text>
  </threadedComment>
  <threadedComment ref="BL14" dT="2024-09-13T07:20:59.17" personId="{1798D1B1-3098-46B1-91A2-D4C92B7E122A}" id="{B93446CB-31E9-4F19-B4B3-9DEA1C09F140}">
    <text>NA - No report available</text>
  </threadedComment>
  <threadedComment ref="BN14" dT="2024-09-13T07:20:59.17" personId="{1798D1B1-3098-46B1-91A2-D4C92B7E122A}" id="{76A8B26C-5D73-4595-860F-0D74076578D0}">
    <text>NA - No report available</text>
  </threadedComment>
  <threadedComment ref="BP14" dT="2024-09-13T07:20:59.17" personId="{1798D1B1-3098-46B1-91A2-D4C92B7E122A}" id="{97504F51-D46F-4ECC-A483-FCC44AC59427}">
    <text>NA - No report available</text>
  </threadedComment>
  <threadedComment ref="BR14" dT="2024-09-13T07:20:59.17" personId="{1798D1B1-3098-46B1-91A2-D4C92B7E122A}" id="{F5379786-4B9E-4C12-9EDB-AD3025305E27}">
    <text>NA - No report available</text>
  </threadedComment>
  <threadedComment ref="S15" dT="2024-06-11T11:10:05.79" personId="{1798D1B1-3098-46B1-91A2-D4C92B7E122A}" id="{2FE63D0E-D3AC-4AA8-9D74-50A73E5B2E85}">
    <text>No base file</text>
  </threadedComment>
  <threadedComment ref="AE15" dT="2024-09-13T07:20:59.17" personId="{1798D1B1-3098-46B1-91A2-D4C92B7E122A}" id="{571D6028-4C7E-4EAE-85E1-C78FF5CBFB85}">
    <text>NA - No report available</text>
  </threadedComment>
  <threadedComment ref="AF15" dT="2024-09-13T07:20:59.17" personId="{1798D1B1-3098-46B1-91A2-D4C92B7E122A}" id="{27C1A532-04B9-4281-B4A8-746808D02A45}">
    <text>NA - No report available</text>
  </threadedComment>
  <threadedComment ref="AW15" dT="2025-06-19T07:50:53.89" personId="{1798D1B1-3098-46B1-91A2-D4C92B7E122A}" id="{B1632568-8287-413B-8616-B6B4DC7D7363}">
    <text xml:space="preserve">Due to issue in TADR report </text>
  </threadedComment>
  <threadedComment ref="AX15" dT="2025-06-19T07:50:53.89" personId="{1798D1B1-3098-46B1-91A2-D4C92B7E122A}" id="{9796C27F-0256-4BA0-BC92-A685D0448957}">
    <text xml:space="preserve">Due to issue in TADR report </text>
  </threadedComment>
  <threadedComment ref="AY15" dT="2025-06-19T07:50:53.89" personId="{1798D1B1-3098-46B1-91A2-D4C92B7E122A}" id="{4B74ABE8-1711-47BE-B68C-1734567889AA}">
    <text xml:space="preserve">Due to issue in TADR report </text>
  </threadedComment>
  <threadedComment ref="AZ15" dT="2025-06-19T07:50:53.89" personId="{1798D1B1-3098-46B1-91A2-D4C92B7E122A}" id="{93C71D00-0FFE-4A61-BB54-8CFAA9D65DB2}">
    <text xml:space="preserve">Due to issue in TADR report </text>
  </threadedComment>
  <threadedComment ref="BA15" dT="2025-06-19T07:50:53.89" personId="{1798D1B1-3098-46B1-91A2-D4C92B7E122A}" id="{71A23716-37C6-4CC1-A76F-5D1426FBE6E1}">
    <text xml:space="preserve">Due to issue in TADR report </text>
  </threadedComment>
  <threadedComment ref="BB15" dT="2025-06-19T07:50:53.89" personId="{1798D1B1-3098-46B1-91A2-D4C92B7E122A}" id="{C6AC2590-BD80-4B12-BF1F-CECE56B86605}">
    <text xml:space="preserve">Due to issue in TADR report </text>
  </threadedComment>
  <threadedComment ref="BC15" dT="2025-06-19T07:50:53.89" personId="{1798D1B1-3098-46B1-91A2-D4C92B7E122A}" id="{F9E4E5F3-7493-48E8-BF9F-D3522C27375C}">
    <text xml:space="preserve">Due to issue in TADR report </text>
  </threadedComment>
  <threadedComment ref="BD15" dT="2025-06-19T07:50:53.89" personId="{1798D1B1-3098-46B1-91A2-D4C92B7E122A}" id="{9AE3E049-4C4E-44EB-9FC1-6826F63AEAFD}">
    <text xml:space="preserve">Due to issue in TADR report </text>
  </threadedComment>
  <threadedComment ref="BM15" dT="2024-09-13T07:20:59.17" personId="{1798D1B1-3098-46B1-91A2-D4C92B7E122A}" id="{266C356F-8920-47FE-8970-A058B9ED9BF2}">
    <text>NA - No report available</text>
  </threadedComment>
  <threadedComment ref="BN15" dT="2024-09-13T07:20:59.17" personId="{1798D1B1-3098-46B1-91A2-D4C92B7E122A}" id="{E6C28D09-A447-4191-935B-255A23499EC2}">
    <text>NA - No report available</text>
  </threadedComment>
  <threadedComment ref="BO15" dT="2024-09-13T07:20:59.17" personId="{1798D1B1-3098-46B1-91A2-D4C92B7E122A}" id="{B3433432-6C0D-4247-B5FB-AD61405001D3}">
    <text>NA - No report available</text>
  </threadedComment>
  <threadedComment ref="BP15" dT="2024-09-13T07:20:59.17" personId="{1798D1B1-3098-46B1-91A2-D4C92B7E122A}" id="{C9DDB3E1-8AFB-43D3-82B9-3C9ADABCC309}">
    <text>NA - No report available</text>
  </threadedComment>
  <threadedComment ref="BQ15" dT="2024-09-13T07:20:59.17" personId="{1798D1B1-3098-46B1-91A2-D4C92B7E122A}" id="{14FEFD66-E4BB-4C92-BABC-0D06FC818728}">
    <text>NA - No report available</text>
  </threadedComment>
  <threadedComment ref="BR15" dT="2024-09-13T07:20:59.17" personId="{1798D1B1-3098-46B1-91A2-D4C92B7E122A}" id="{1ABB81B9-6214-44F2-AE70-F26005FD1C94}">
    <text>NA - No report available</text>
  </threadedComment>
  <threadedComment ref="Y16" dT="2024-09-13T07:20:59.17" personId="{1798D1B1-3098-46B1-91A2-D4C92B7E122A}" id="{5A581D63-D124-454B-A29F-6AF59409D7D4}">
    <text>NA - No report available</text>
  </threadedComment>
  <threadedComment ref="Z16" dT="2024-09-13T07:20:59.17" personId="{1798D1B1-3098-46B1-91A2-D4C92B7E122A}" id="{DB62E119-D330-4ED5-97B7-67BC53576705}">
    <text>NA - No report available</text>
  </threadedComment>
  <threadedComment ref="AA16" dT="2024-09-13T07:20:59.17" personId="{1798D1B1-3098-46B1-91A2-D4C92B7E122A}" id="{983C5EDE-6E1D-4D3C-8E4F-ECFB4CF26B35}">
    <text>NA - No report available</text>
  </threadedComment>
  <threadedComment ref="AB16" dT="2024-09-13T07:20:59.17" personId="{1798D1B1-3098-46B1-91A2-D4C92B7E122A}" id="{E27FFBC7-5701-4D5D-9090-0242A25D71B4}">
    <text>NA - No report available</text>
  </threadedComment>
  <threadedComment ref="AC16" dT="2024-09-13T07:20:59.17" personId="{1798D1B1-3098-46B1-91A2-D4C92B7E122A}" id="{9FCF7B74-A282-4FCF-84D5-F6F1BE7741C8}">
    <text>NA - No report available</text>
  </threadedComment>
  <threadedComment ref="AD16" dT="2024-09-13T07:20:59.17" personId="{1798D1B1-3098-46B1-91A2-D4C92B7E122A}" id="{FA26EF4E-6D68-4842-A7EC-396F9863636B}">
    <text>NA - No report available</text>
  </threadedComment>
  <threadedComment ref="AE16" dT="2024-09-13T07:20:59.17" personId="{1798D1B1-3098-46B1-91A2-D4C92B7E122A}" id="{EA7FF2BB-E053-4FE0-A444-83ADDBE0935C}">
    <text>NA - No report available</text>
  </threadedComment>
  <threadedComment ref="AF16" dT="2024-09-13T07:20:59.17" personId="{1798D1B1-3098-46B1-91A2-D4C92B7E122A}" id="{C5270A84-1375-49E9-8DCF-1E61A8C83BD7}">
    <text>NA - No report available</text>
  </threadedComment>
  <threadedComment ref="AG16" dT="2024-09-13T07:20:59.17" personId="{1798D1B1-3098-46B1-91A2-D4C92B7E122A}" id="{43B0540D-0042-4BC1-9EE1-8B14CDC96199}">
    <text>NA - No report available</text>
  </threadedComment>
  <threadedComment ref="AH16" dT="2024-09-13T07:20:59.17" personId="{1798D1B1-3098-46B1-91A2-D4C92B7E122A}" id="{8A34371C-2714-480D-B547-2616D3B5B47A}">
    <text>NA - No report available</text>
  </threadedComment>
  <threadedComment ref="AI16" dT="2024-09-13T07:20:59.17" personId="{1798D1B1-3098-46B1-91A2-D4C92B7E122A}" id="{901A8943-E919-4C2C-8C3E-02BAD8A6ACD3}">
    <text>NA - No report available</text>
  </threadedComment>
  <threadedComment ref="AJ16" dT="2024-09-13T07:20:59.17" personId="{1798D1B1-3098-46B1-91A2-D4C92B7E122A}" id="{3CE54775-E6DA-426D-A466-0DEB88A5A513}">
    <text>NA - No report available</text>
  </threadedComment>
  <threadedComment ref="AK16" dT="2024-09-13T07:20:59.17" personId="{1798D1B1-3098-46B1-91A2-D4C92B7E122A}" id="{DB62DD1F-D1A9-47E6-B601-62793CC868A4}">
    <text>NA - No report available</text>
  </threadedComment>
  <threadedComment ref="AL16" dT="2024-09-13T07:20:59.17" personId="{1798D1B1-3098-46B1-91A2-D4C92B7E122A}" id="{606C0891-8909-45E7-A5D9-8E3330B414CC}">
    <text>NA - No report available</text>
  </threadedComment>
  <threadedComment ref="AM16" dT="2024-09-13T07:20:59.17" personId="{1798D1B1-3098-46B1-91A2-D4C92B7E122A}" id="{B8414CF5-87AA-4469-AA0B-6E0524B77F5F}">
    <text>NA - No report available</text>
  </threadedComment>
  <threadedComment ref="AN16" dT="2024-09-13T07:20:59.17" personId="{1798D1B1-3098-46B1-91A2-D4C92B7E122A}" id="{E8ED5EBE-5184-4692-BB14-AC3A667ECEA2}">
    <text>NA - No report available</text>
  </threadedComment>
  <threadedComment ref="AO16" dT="2024-09-13T07:20:59.17" personId="{1798D1B1-3098-46B1-91A2-D4C92B7E122A}" id="{27D1D995-9200-448F-A88A-431BB8837E3A}">
    <text>NA - No report available</text>
  </threadedComment>
  <threadedComment ref="AP16" dT="2024-09-13T07:20:59.17" personId="{1798D1B1-3098-46B1-91A2-D4C92B7E122A}" id="{A6C221DA-20A3-408A-AE64-E80B047A6807}">
    <text>NA - No report available</text>
  </threadedComment>
  <threadedComment ref="AQ16" dT="2024-09-13T07:20:59.17" personId="{1798D1B1-3098-46B1-91A2-D4C92B7E122A}" id="{A7C14DC8-6DF9-47E0-954D-5A2F4D8C0CAC}">
    <text>NA - No report available</text>
  </threadedComment>
  <threadedComment ref="AR16" dT="2024-09-13T07:20:59.17" personId="{1798D1B1-3098-46B1-91A2-D4C92B7E122A}" id="{6EC425A4-887A-4856-9E01-9561F90F1993}">
    <text>NA - No report available</text>
  </threadedComment>
  <threadedComment ref="AS16" dT="2024-09-13T07:20:59.17" personId="{1798D1B1-3098-46B1-91A2-D4C92B7E122A}" id="{60E28708-B977-4479-9A72-C04126B55533}">
    <text>NA - No report available</text>
  </threadedComment>
  <threadedComment ref="AT16" dT="2024-09-13T07:20:59.17" personId="{1798D1B1-3098-46B1-91A2-D4C92B7E122A}" id="{795914F1-0E6B-4B82-82DD-328745F36EE2}">
    <text>NA - No report available</text>
  </threadedComment>
  <threadedComment ref="AU16" dT="2024-09-13T07:20:59.17" personId="{1798D1B1-3098-46B1-91A2-D4C92B7E122A}" id="{9ED86829-0CBE-4B91-A53B-37572497E87B}">
    <text>NA - No report available</text>
  </threadedComment>
  <threadedComment ref="AV16" dT="2024-09-13T07:20:59.17" personId="{1798D1B1-3098-46B1-91A2-D4C92B7E122A}" id="{DF51388D-73CB-427C-8DA1-DE5EDFDD8480}">
    <text>NA - No report available</text>
  </threadedComment>
  <threadedComment ref="AW16" dT="2025-06-19T07:50:53.89" personId="{1798D1B1-3098-46B1-91A2-D4C92B7E122A}" id="{8236D3EA-061C-451C-B4C7-4C4F0DF804F5}">
    <text xml:space="preserve">Due to issue in TADR report </text>
  </threadedComment>
  <threadedComment ref="AX16" dT="2025-06-19T07:50:53.89" personId="{1798D1B1-3098-46B1-91A2-D4C92B7E122A}" id="{03F97A4D-56B2-4C15-AF6E-321C7B8CAD81}">
    <text xml:space="preserve">Due to issue in TADR report </text>
  </threadedComment>
  <threadedComment ref="AY16" dT="2025-06-19T07:50:53.89" personId="{1798D1B1-3098-46B1-91A2-D4C92B7E122A}" id="{8EAB6211-FAEB-4261-9376-DC3B4B7B6A43}">
    <text xml:space="preserve">Due to issue in TADR report </text>
  </threadedComment>
  <threadedComment ref="AZ16" dT="2025-06-19T07:50:53.89" personId="{1798D1B1-3098-46B1-91A2-D4C92B7E122A}" id="{3DA837BA-4C18-46BC-B23B-B04AD74FF1C4}">
    <text xml:space="preserve">Due to issue in TADR report </text>
  </threadedComment>
  <threadedComment ref="BA16" dT="2025-06-19T07:50:53.89" personId="{1798D1B1-3098-46B1-91A2-D4C92B7E122A}" id="{B4E11EE0-A5CD-41B0-AAEF-3470AF828675}">
    <text xml:space="preserve">Due to issue in TADR report </text>
  </threadedComment>
  <threadedComment ref="BB16" dT="2025-06-19T07:50:53.89" personId="{1798D1B1-3098-46B1-91A2-D4C92B7E122A}" id="{836BD344-5776-4ACF-BFFA-8490A81E3B7D}">
    <text xml:space="preserve">Due to issue in TADR report </text>
  </threadedComment>
  <threadedComment ref="BC16" dT="2025-06-19T07:50:53.89" personId="{1798D1B1-3098-46B1-91A2-D4C92B7E122A}" id="{28858F72-A0E8-4522-BDB1-B99200FC9458}">
    <text xml:space="preserve">Due to issue in TADR report </text>
  </threadedComment>
  <threadedComment ref="BD16" dT="2025-06-19T07:50:53.89" personId="{1798D1B1-3098-46B1-91A2-D4C92B7E122A}" id="{21F3FA08-647A-4796-84B1-5C8C5695FADE}">
    <text xml:space="preserve">Due to issue in TADR report </text>
  </threadedComment>
  <threadedComment ref="BE16" dT="2024-09-13T07:20:59.17" personId="{1798D1B1-3098-46B1-91A2-D4C92B7E122A}" id="{9A818B7D-C60E-4991-881E-2391A476DA0D}">
    <text>NA - No report available</text>
  </threadedComment>
  <threadedComment ref="BF16" dT="2024-09-13T07:20:59.17" personId="{1798D1B1-3098-46B1-91A2-D4C92B7E122A}" id="{08BA22E2-656D-4893-825D-844E6414F3AF}">
    <text>NA - No report available</text>
  </threadedComment>
  <threadedComment ref="BG16" dT="2024-09-13T07:20:59.17" personId="{1798D1B1-3098-46B1-91A2-D4C92B7E122A}" id="{B73DE373-ED53-4108-B258-EBF8AC6DC7B9}">
    <text>NA - No report available</text>
  </threadedComment>
  <threadedComment ref="BH16" dT="2024-09-13T07:20:59.17" personId="{1798D1B1-3098-46B1-91A2-D4C92B7E122A}" id="{9F91F19B-C119-4C48-9632-EE1F96B09E1A}">
    <text>NA - No report available</text>
  </threadedComment>
  <threadedComment ref="BI16" dT="2024-09-13T07:20:59.17" personId="{1798D1B1-3098-46B1-91A2-D4C92B7E122A}" id="{308F656C-64EE-4C6A-A6B1-2FB6E94A81BF}">
    <text>NA - No report available</text>
  </threadedComment>
  <threadedComment ref="BJ16" dT="2024-09-13T07:20:59.17" personId="{1798D1B1-3098-46B1-91A2-D4C92B7E122A}" id="{6D55632C-84A4-4445-8FE2-7E9B49EE640E}">
    <text>NA - No report available</text>
  </threadedComment>
  <threadedComment ref="BK16" dT="2024-09-13T07:20:59.17" personId="{1798D1B1-3098-46B1-91A2-D4C92B7E122A}" id="{F2365EB7-E1A5-4708-A864-9173B2A11DAD}">
    <text>NA - No report available</text>
  </threadedComment>
  <threadedComment ref="BL16" dT="2024-09-13T07:20:59.17" personId="{1798D1B1-3098-46B1-91A2-D4C92B7E122A}" id="{7801DAB9-5FF0-4455-9423-1490E92C2EDF}">
    <text>NA - No report available</text>
  </threadedComment>
  <threadedComment ref="BM16" dT="2024-09-13T07:20:59.17" personId="{1798D1B1-3098-46B1-91A2-D4C92B7E122A}" id="{BF4A4E0A-BD60-436E-9990-44E35D13E1BA}">
    <text>NA - No report available</text>
  </threadedComment>
  <threadedComment ref="BN16" dT="2024-09-13T07:20:59.17" personId="{1798D1B1-3098-46B1-91A2-D4C92B7E122A}" id="{015E298D-E4C1-4F7D-8FB5-039895CDF616}">
    <text>NA - No report available</text>
  </threadedComment>
  <threadedComment ref="BO16" dT="2024-09-13T07:20:59.17" personId="{1798D1B1-3098-46B1-91A2-D4C92B7E122A}" id="{59B85A81-51F1-4C38-B045-AE7B7078A153}">
    <text>NA - No report available</text>
  </threadedComment>
  <threadedComment ref="BP16" dT="2024-09-13T07:20:59.17" personId="{1798D1B1-3098-46B1-91A2-D4C92B7E122A}" id="{9EE4B1AD-57F7-4AEC-AA4E-7E4BCF68550F}">
    <text>NA - No report available</text>
  </threadedComment>
  <threadedComment ref="BQ16" dT="2024-09-13T07:20:59.17" personId="{1798D1B1-3098-46B1-91A2-D4C92B7E122A}" id="{833EF313-DCF9-46AE-8890-FBBF9114DA21}">
    <text>NA - No report available</text>
  </threadedComment>
  <threadedComment ref="BR16" dT="2024-09-13T07:20:59.17" personId="{1798D1B1-3098-46B1-91A2-D4C92B7E122A}" id="{D03BFB48-0596-4670-8383-DCF6DCE78471}">
    <text>NA - No report available</text>
  </threadedComment>
  <threadedComment ref="BS16" dT="2024-09-13T07:20:59.17" personId="{1798D1B1-3098-46B1-91A2-D4C92B7E122A}" id="{477D6C4F-5E5B-4AF8-A3B2-8D91D7546702}">
    <text>NA - No report available</text>
  </threadedComment>
  <threadedComment ref="BU16" dT="2024-09-13T07:20:59.17" personId="{1798D1B1-3098-46B1-91A2-D4C92B7E122A}" id="{7F1545DF-73DB-4F23-800E-28DD2718FE30}">
    <text>NA - No report available</text>
  </threadedComment>
  <threadedComment ref="Y17" dT="2024-09-13T07:20:59.17" personId="{1798D1B1-3098-46B1-91A2-D4C92B7E122A}" id="{C7806B33-61BC-48A2-8752-AF7265CF91C9}">
    <text>NA - No report available</text>
  </threadedComment>
  <threadedComment ref="Z17" dT="2024-09-13T07:20:59.17" personId="{1798D1B1-3098-46B1-91A2-D4C92B7E122A}" id="{51449E9E-80B5-4FB9-8983-C898AD8DAFE3}">
    <text>NA - No report available</text>
  </threadedComment>
  <threadedComment ref="AA17" dT="2024-09-13T07:20:59.17" personId="{1798D1B1-3098-46B1-91A2-D4C92B7E122A}" id="{B9702F89-0526-4DB4-983A-D62A416F02BF}">
    <text>NA - No report available</text>
  </threadedComment>
  <threadedComment ref="AB17" dT="2024-09-13T07:20:59.17" personId="{1798D1B1-3098-46B1-91A2-D4C92B7E122A}" id="{BAE25B3F-C647-4106-BFB1-6B355D5811E4}">
    <text>NA - No report available</text>
  </threadedComment>
  <threadedComment ref="AC17" dT="2024-09-13T07:20:59.17" personId="{1798D1B1-3098-46B1-91A2-D4C92B7E122A}" id="{E9DA1B67-BBF6-40EE-BE27-D370E64346F8}">
    <text>NA - No report available</text>
  </threadedComment>
  <threadedComment ref="AD17" dT="2024-09-13T07:20:59.17" personId="{1798D1B1-3098-46B1-91A2-D4C92B7E122A}" id="{9F090C1A-7EB5-42A8-A714-F8713AA0BDCB}">
    <text>NA - No report available</text>
  </threadedComment>
  <threadedComment ref="AE17" dT="2024-09-13T07:20:59.17" personId="{1798D1B1-3098-46B1-91A2-D4C92B7E122A}" id="{A5DE7F60-57BE-4C54-B9B8-AFFE70C8DCC7}">
    <text>NA - No report available</text>
  </threadedComment>
  <threadedComment ref="AF17" dT="2024-09-13T07:20:59.17" personId="{1798D1B1-3098-46B1-91A2-D4C92B7E122A}" id="{36BEAB5D-13AB-493E-8988-E4F402C8DD41}">
    <text>NA - No report available</text>
  </threadedComment>
  <threadedComment ref="AG17" dT="2024-09-13T07:20:59.17" personId="{1798D1B1-3098-46B1-91A2-D4C92B7E122A}" id="{463C96C9-A663-41B6-8575-2419212AC0B5}">
    <text>NA - No report available</text>
  </threadedComment>
  <threadedComment ref="AH17" dT="2024-09-13T07:20:59.17" personId="{1798D1B1-3098-46B1-91A2-D4C92B7E122A}" id="{40C89661-AF6D-4FB0-ACE7-023600A95319}">
    <text>NA - No report available</text>
  </threadedComment>
  <threadedComment ref="AI17" dT="2024-09-13T07:20:59.17" personId="{1798D1B1-3098-46B1-91A2-D4C92B7E122A}" id="{EE33ABE1-81A5-4DE0-8171-86DAF4D415FC}">
    <text>NA - No report available</text>
  </threadedComment>
  <threadedComment ref="AJ17" dT="2024-09-13T07:20:59.17" personId="{1798D1B1-3098-46B1-91A2-D4C92B7E122A}" id="{0A638A62-D56C-42E0-B944-753134A4EE98}">
    <text>NA - No report available</text>
  </threadedComment>
  <threadedComment ref="AK17" dT="2024-09-13T07:20:59.17" personId="{1798D1B1-3098-46B1-91A2-D4C92B7E122A}" id="{B2AC783C-EC4F-4DF6-B9BE-4560041EFF95}">
    <text>NA - No report available</text>
  </threadedComment>
  <threadedComment ref="AL17" dT="2024-09-13T07:20:59.17" personId="{1798D1B1-3098-46B1-91A2-D4C92B7E122A}" id="{5172F45B-4DAD-4F82-9FA5-BE4548A247A4}">
    <text>NA - No report available</text>
  </threadedComment>
  <threadedComment ref="AM17" dT="2024-09-13T07:20:59.17" personId="{1798D1B1-3098-46B1-91A2-D4C92B7E122A}" id="{0D9BF2A2-481A-4C3B-9D21-0F6AAA664CF1}">
    <text>NA - No report available</text>
  </threadedComment>
  <threadedComment ref="AN17" dT="2024-09-13T07:20:59.17" personId="{1798D1B1-3098-46B1-91A2-D4C92B7E122A}" id="{BFB75539-0A8F-45AE-9C0C-70C5E5FE0FDA}">
    <text>NA - No report available</text>
  </threadedComment>
  <threadedComment ref="AO17" dT="2024-09-13T07:20:59.17" personId="{1798D1B1-3098-46B1-91A2-D4C92B7E122A}" id="{C7E8D3A7-4757-4932-A462-303CFC6E3408}">
    <text>NA - No report available</text>
  </threadedComment>
  <threadedComment ref="AP17" dT="2024-09-13T07:20:59.17" personId="{1798D1B1-3098-46B1-91A2-D4C92B7E122A}" id="{C00052F7-2C5B-4177-8AEB-9CF197EC08A0}">
    <text>NA - No report available</text>
  </threadedComment>
  <threadedComment ref="AQ17" dT="2024-09-13T07:20:59.17" personId="{1798D1B1-3098-46B1-91A2-D4C92B7E122A}" id="{5A5C5156-32A2-4262-BD70-21694038AD57}">
    <text>NA - No report available</text>
  </threadedComment>
  <threadedComment ref="AR17" dT="2024-09-13T07:20:59.17" personId="{1798D1B1-3098-46B1-91A2-D4C92B7E122A}" id="{FD7D627C-46AE-4427-AC32-1B477904D5A8}">
    <text>NA - No report available</text>
  </threadedComment>
  <threadedComment ref="AS17" dT="2024-09-13T07:20:59.17" personId="{1798D1B1-3098-46B1-91A2-D4C92B7E122A}" id="{52207837-6863-4983-B10F-5A27BCDD1B8B}">
    <text>NA - No report available</text>
  </threadedComment>
  <threadedComment ref="AT17" dT="2024-09-13T07:20:59.17" personId="{1798D1B1-3098-46B1-91A2-D4C92B7E122A}" id="{60CF6933-D266-442C-861A-31FD72791421}">
    <text>NA - No report available</text>
  </threadedComment>
  <threadedComment ref="AU17" dT="2024-09-13T07:20:59.17" personId="{1798D1B1-3098-46B1-91A2-D4C92B7E122A}" id="{30E19989-97E7-4F5D-A864-ACD2A21D2F02}">
    <text>NA - No report available</text>
  </threadedComment>
  <threadedComment ref="AV17" dT="2024-09-13T07:20:59.17" personId="{1798D1B1-3098-46B1-91A2-D4C92B7E122A}" id="{2C7BECFB-9C87-4FFC-945F-22BD04665904}">
    <text>NA - No report available</text>
  </threadedComment>
  <threadedComment ref="AW17" dT="2025-06-19T07:50:53.89" personId="{1798D1B1-3098-46B1-91A2-D4C92B7E122A}" id="{A86FB622-A06B-4BCA-BA9E-F491B4124BC0}">
    <text xml:space="preserve">Due to issue in TADR report </text>
  </threadedComment>
  <threadedComment ref="AX17" dT="2025-06-19T07:50:53.89" personId="{1798D1B1-3098-46B1-91A2-D4C92B7E122A}" id="{DAB093F1-C385-405E-A6E2-01377954D26A}">
    <text xml:space="preserve">Due to issue in TADR report </text>
  </threadedComment>
  <threadedComment ref="AY17" dT="2025-06-19T07:50:53.89" personId="{1798D1B1-3098-46B1-91A2-D4C92B7E122A}" id="{993FA933-3FA9-4783-9B77-2628BBF32CC8}">
    <text xml:space="preserve">Due to issue in TADR report </text>
  </threadedComment>
  <threadedComment ref="AZ17" dT="2025-06-19T07:50:53.89" personId="{1798D1B1-3098-46B1-91A2-D4C92B7E122A}" id="{B0666B93-6E41-41F5-9F4C-4E63B81F6EFF}">
    <text xml:space="preserve">Due to issue in TADR report </text>
  </threadedComment>
  <threadedComment ref="BA17" dT="2025-06-19T07:50:53.89" personId="{1798D1B1-3098-46B1-91A2-D4C92B7E122A}" id="{9EB9A69C-E39F-4A74-AE10-5D88FB678E7F}">
    <text xml:space="preserve">Due to issue in TADR report </text>
  </threadedComment>
  <threadedComment ref="BB17" dT="2025-06-19T07:50:53.89" personId="{1798D1B1-3098-46B1-91A2-D4C92B7E122A}" id="{C5E2AADB-57B4-48A8-B759-2CFBA7BE4515}">
    <text xml:space="preserve">Due to issue in TADR report </text>
  </threadedComment>
  <threadedComment ref="BC17" dT="2025-06-19T07:50:53.89" personId="{1798D1B1-3098-46B1-91A2-D4C92B7E122A}" id="{0DA89A23-02DA-4616-963C-F3A09087E71A}">
    <text xml:space="preserve">Due to issue in TADR report </text>
  </threadedComment>
  <threadedComment ref="BD17" dT="2025-06-19T07:50:53.89" personId="{1798D1B1-3098-46B1-91A2-D4C92B7E122A}" id="{43AC4182-FC7B-4A4A-8461-3DF287AE84DF}">
    <text xml:space="preserve">Due to issue in TADR report </text>
  </threadedComment>
  <threadedComment ref="BE17" dT="2024-09-13T07:20:59.17" personId="{1798D1B1-3098-46B1-91A2-D4C92B7E122A}" id="{96770C6E-B711-43AD-9054-401AD590BEC5}">
    <text>NA - No report available</text>
  </threadedComment>
  <threadedComment ref="BF17" dT="2024-09-13T07:20:59.17" personId="{1798D1B1-3098-46B1-91A2-D4C92B7E122A}" id="{696F2F5C-E639-42EB-9B3A-F57796BE9C5A}">
    <text>NA - No report available</text>
  </threadedComment>
  <threadedComment ref="BG17" dT="2024-09-13T07:20:59.17" personId="{1798D1B1-3098-46B1-91A2-D4C92B7E122A}" id="{579C7213-E92B-4A8F-A434-3E26C9298DEF}">
    <text>NA - No report available</text>
  </threadedComment>
  <threadedComment ref="BH17" dT="2024-09-13T07:20:59.17" personId="{1798D1B1-3098-46B1-91A2-D4C92B7E122A}" id="{24C7991F-78BC-4F8E-823C-6A61E471232C}">
    <text>NA - No report available</text>
  </threadedComment>
  <threadedComment ref="BI17" dT="2024-09-13T07:20:59.17" personId="{1798D1B1-3098-46B1-91A2-D4C92B7E122A}" id="{919179A2-33C4-48E6-BD54-A91D60A47499}">
    <text>NA - No report available</text>
  </threadedComment>
  <threadedComment ref="BJ17" dT="2024-09-13T07:20:59.17" personId="{1798D1B1-3098-46B1-91A2-D4C92B7E122A}" id="{A96D818A-C7FF-4BE5-9141-BF35FF8C2FEF}">
    <text>NA - No report available</text>
  </threadedComment>
  <threadedComment ref="BK17" dT="2024-09-13T07:20:59.17" personId="{1798D1B1-3098-46B1-91A2-D4C92B7E122A}" id="{B16323CB-ED90-42D9-8624-49E9B62A382B}">
    <text>NA - No report available</text>
  </threadedComment>
  <threadedComment ref="BL17" dT="2024-09-13T07:20:59.17" personId="{1798D1B1-3098-46B1-91A2-D4C92B7E122A}" id="{54B9782E-E500-45A3-9327-F4A1DE1DC2D3}">
    <text>NA - No report available</text>
  </threadedComment>
  <threadedComment ref="BM17" dT="2024-09-13T07:20:59.17" personId="{1798D1B1-3098-46B1-91A2-D4C92B7E122A}" id="{E1120771-F199-4A18-838D-65D83F72EE05}">
    <text>NA - No report available</text>
  </threadedComment>
  <threadedComment ref="BN17" dT="2024-09-13T07:20:59.17" personId="{1798D1B1-3098-46B1-91A2-D4C92B7E122A}" id="{8B679011-09FE-4803-B419-4C9C138A7440}">
    <text>NA - No report available</text>
  </threadedComment>
  <threadedComment ref="BO17" dT="2024-09-13T07:20:59.17" personId="{1798D1B1-3098-46B1-91A2-D4C92B7E122A}" id="{ED348E27-49E8-4330-BFE5-555968CD624B}">
    <text>NA - No report available</text>
  </threadedComment>
  <threadedComment ref="BP17" dT="2024-09-13T07:20:59.17" personId="{1798D1B1-3098-46B1-91A2-D4C92B7E122A}" id="{C3B4292E-5B17-402C-91B5-73F975A72FEE}">
    <text>NA - No report available</text>
  </threadedComment>
  <threadedComment ref="BQ17" dT="2024-09-13T07:20:59.17" personId="{1798D1B1-3098-46B1-91A2-D4C92B7E122A}" id="{84C9C48B-5853-4F27-9ABB-1653AEF505F8}">
    <text>NA - No report available</text>
  </threadedComment>
  <threadedComment ref="BR17" dT="2024-09-13T07:20:59.17" personId="{1798D1B1-3098-46B1-91A2-D4C92B7E122A}" id="{CAD61F11-968A-4225-8C4A-E4E2FEC2F25C}">
    <text>NA - No report available</text>
  </threadedComment>
  <threadedComment ref="BS17" dT="2024-09-13T07:20:59.17" personId="{1798D1B1-3098-46B1-91A2-D4C92B7E122A}" id="{A8F6FDE7-AC98-4F6F-BB82-F1D760DCB133}">
    <text>NA - No report available</text>
  </threadedComment>
  <threadedComment ref="BU17" dT="2024-09-13T07:20:59.17" personId="{1798D1B1-3098-46B1-91A2-D4C92B7E122A}" id="{EC3789E5-0B53-4886-880D-C3279740D955}">
    <text>NA - No report available</text>
  </threadedComment>
  <threadedComment ref="Y18" dT="2024-09-13T07:20:59.17" personId="{1798D1B1-3098-46B1-91A2-D4C92B7E122A}" id="{0E02C8F5-7E10-44B2-B85F-443D60D90D7B}">
    <text>NA - No report available</text>
  </threadedComment>
  <threadedComment ref="Z18" dT="2024-09-13T07:20:59.17" personId="{1798D1B1-3098-46B1-91A2-D4C92B7E122A}" id="{49123D3C-D20B-47D9-80F9-994E6302CA76}">
    <text>NA - No report available</text>
  </threadedComment>
  <threadedComment ref="AA18" dT="2024-09-13T07:20:59.17" personId="{1798D1B1-3098-46B1-91A2-D4C92B7E122A}" id="{751F1824-F1E0-4334-AE69-3FFDC1510C77}">
    <text>NA - No report available</text>
  </threadedComment>
  <threadedComment ref="AB18" dT="2024-09-13T07:20:59.17" personId="{1798D1B1-3098-46B1-91A2-D4C92B7E122A}" id="{9BFB8B41-30BE-478A-8DE6-54B3246A03F3}">
    <text>NA - No report available</text>
  </threadedComment>
  <threadedComment ref="AC18" dT="2024-09-13T07:20:59.17" personId="{1798D1B1-3098-46B1-91A2-D4C92B7E122A}" id="{92A44BFB-E785-44E1-9E22-0F73E225A498}">
    <text>NA - No report available</text>
  </threadedComment>
  <threadedComment ref="AD18" dT="2024-09-13T07:20:59.17" personId="{1798D1B1-3098-46B1-91A2-D4C92B7E122A}" id="{823DD842-7F2C-4FD5-8172-D8B64989DA94}">
    <text>NA - No report available</text>
  </threadedComment>
  <threadedComment ref="AE18" dT="2024-09-13T07:20:59.17" personId="{1798D1B1-3098-46B1-91A2-D4C92B7E122A}" id="{A544EF1F-78C6-4CB7-A36E-24EFA32A3929}">
    <text>NA - No report available</text>
  </threadedComment>
  <threadedComment ref="AF18" dT="2024-09-13T07:20:59.17" personId="{1798D1B1-3098-46B1-91A2-D4C92B7E122A}" id="{69E430A3-E4E8-403C-8B0F-DF849EE99038}">
    <text>NA - No report available</text>
  </threadedComment>
  <threadedComment ref="AG18" dT="2024-09-13T07:20:59.17" personId="{1798D1B1-3098-46B1-91A2-D4C92B7E122A}" id="{B27E8B48-8A59-4213-B879-07FA92CE91B8}">
    <text>NA - No report available</text>
  </threadedComment>
  <threadedComment ref="AH18" dT="2024-09-13T07:20:59.17" personId="{1798D1B1-3098-46B1-91A2-D4C92B7E122A}" id="{331B88C7-9B21-4FC8-8209-82F009254B0E}">
    <text>NA - No report available</text>
  </threadedComment>
  <threadedComment ref="AI18" dT="2024-09-13T07:20:59.17" personId="{1798D1B1-3098-46B1-91A2-D4C92B7E122A}" id="{B0DC23DA-C0EA-4077-9D95-EDA39BDA3BE5}">
    <text>NA - No report available</text>
  </threadedComment>
  <threadedComment ref="AJ18" dT="2024-09-13T07:20:59.17" personId="{1798D1B1-3098-46B1-91A2-D4C92B7E122A}" id="{FEC3E377-8936-477F-947A-4EA20499C77A}">
    <text>NA - No report available</text>
  </threadedComment>
  <threadedComment ref="AK18" dT="2024-09-13T07:20:59.17" personId="{1798D1B1-3098-46B1-91A2-D4C92B7E122A}" id="{77B6D944-4708-485C-AAD3-EB8F9C753ECD}">
    <text>NA - No report available</text>
  </threadedComment>
  <threadedComment ref="AL18" dT="2024-09-13T07:20:59.17" personId="{1798D1B1-3098-46B1-91A2-D4C92B7E122A}" id="{BAB133DB-7BBE-4501-A815-C723537BF8F3}">
    <text>NA - No report available</text>
  </threadedComment>
  <threadedComment ref="AM18" dT="2024-09-13T07:20:59.17" personId="{1798D1B1-3098-46B1-91A2-D4C92B7E122A}" id="{7F6FD3F5-55DD-47A9-9443-D58D64886A3E}">
    <text>NA - No report available</text>
  </threadedComment>
  <threadedComment ref="AN18" dT="2024-09-13T07:20:59.17" personId="{1798D1B1-3098-46B1-91A2-D4C92B7E122A}" id="{0422FB92-74FC-4705-9DB0-A8D2840FE6FA}">
    <text>NA - No report available</text>
  </threadedComment>
  <threadedComment ref="AO18" dT="2024-09-13T07:20:59.17" personId="{1798D1B1-3098-46B1-91A2-D4C92B7E122A}" id="{D55D2B9F-A6B1-4595-992E-DAA7629D6647}">
    <text>NA - No report available</text>
  </threadedComment>
  <threadedComment ref="AP18" dT="2024-09-13T07:20:59.17" personId="{1798D1B1-3098-46B1-91A2-D4C92B7E122A}" id="{21144813-C09A-45FF-8B72-53201C58C2AA}">
    <text>NA - No report available</text>
  </threadedComment>
  <threadedComment ref="AQ18" dT="2024-09-13T07:20:59.17" personId="{1798D1B1-3098-46B1-91A2-D4C92B7E122A}" id="{EA9997DC-1B8E-4C3D-910E-F0BD0F14F437}">
    <text>NA - No report available</text>
  </threadedComment>
  <threadedComment ref="AR18" dT="2024-09-13T07:20:59.17" personId="{1798D1B1-3098-46B1-91A2-D4C92B7E122A}" id="{33583E54-D288-4CD6-AF19-23FBD912AFCE}">
    <text>NA - No report available</text>
  </threadedComment>
  <threadedComment ref="AS18" dT="2024-09-13T07:20:59.17" personId="{1798D1B1-3098-46B1-91A2-D4C92B7E122A}" id="{601ECC0D-546F-4177-B051-33DB7FFF8DEE}">
    <text>NA - No report available</text>
  </threadedComment>
  <threadedComment ref="AT18" dT="2024-09-13T07:20:59.17" personId="{1798D1B1-3098-46B1-91A2-D4C92B7E122A}" id="{B4AFAF78-3D2E-42D3-B3F4-0F2B729E4153}">
    <text>NA - No report available</text>
  </threadedComment>
  <threadedComment ref="AU18" dT="2024-09-13T07:20:59.17" personId="{1798D1B1-3098-46B1-91A2-D4C92B7E122A}" id="{0D690555-5742-4BE1-8594-70CF38ACC1D5}">
    <text>NA - No report available</text>
  </threadedComment>
  <threadedComment ref="AV18" dT="2024-09-13T07:20:59.17" personId="{1798D1B1-3098-46B1-91A2-D4C92B7E122A}" id="{14979E67-1AB3-4ECC-B95D-05B8CB5D81DD}">
    <text>NA - No report available</text>
  </threadedComment>
  <threadedComment ref="AW18" dT="2025-06-19T07:50:53.89" personId="{1798D1B1-3098-46B1-91A2-D4C92B7E122A}" id="{6BE4873C-E60F-4D57-B9E9-4231B47C12D7}">
    <text xml:space="preserve">Due to issue in TADR report </text>
  </threadedComment>
  <threadedComment ref="AX18" dT="2025-06-19T07:50:53.89" personId="{1798D1B1-3098-46B1-91A2-D4C92B7E122A}" id="{3ABA4B84-9744-4697-9FA9-97C787BA30A3}">
    <text xml:space="preserve">Due to issue in TADR report </text>
  </threadedComment>
  <threadedComment ref="AY18" dT="2025-06-19T07:50:53.89" personId="{1798D1B1-3098-46B1-91A2-D4C92B7E122A}" id="{B3437CA1-B03A-46B3-BE7E-84B2D4E92AAE}">
    <text xml:space="preserve">Due to issue in TADR report </text>
  </threadedComment>
  <threadedComment ref="AZ18" dT="2025-06-19T07:50:53.89" personId="{1798D1B1-3098-46B1-91A2-D4C92B7E122A}" id="{A11C2041-AEAB-42FC-B84F-5EC84C75DA5A}">
    <text xml:space="preserve">Due to issue in TADR report </text>
  </threadedComment>
  <threadedComment ref="BA18" dT="2025-06-19T07:50:53.89" personId="{1798D1B1-3098-46B1-91A2-D4C92B7E122A}" id="{B513E25B-661A-4053-BFD1-DAA4E6968A15}">
    <text xml:space="preserve">Due to issue in TADR report </text>
  </threadedComment>
  <threadedComment ref="BB18" dT="2025-06-19T07:50:53.89" personId="{1798D1B1-3098-46B1-91A2-D4C92B7E122A}" id="{DB56A04E-F6B0-4E64-BF49-31E7E6453306}">
    <text xml:space="preserve">Due to issue in TADR report </text>
  </threadedComment>
  <threadedComment ref="BC18" dT="2025-06-19T07:50:53.89" personId="{1798D1B1-3098-46B1-91A2-D4C92B7E122A}" id="{13BD98CE-1626-4270-9899-ED1BF96BADA4}">
    <text xml:space="preserve">Due to issue in TADR report </text>
  </threadedComment>
  <threadedComment ref="BD18" dT="2025-06-19T07:50:53.89" personId="{1798D1B1-3098-46B1-91A2-D4C92B7E122A}" id="{70FD3EF6-C85E-4009-B294-7BEA620DBF10}">
    <text xml:space="preserve">Due to issue in TADR report </text>
  </threadedComment>
  <threadedComment ref="BE18" dT="2024-09-13T07:20:59.17" personId="{1798D1B1-3098-46B1-91A2-D4C92B7E122A}" id="{8CA7D6A6-1918-4DB0-99AC-E2D589621770}">
    <text>NA - No report available</text>
  </threadedComment>
  <threadedComment ref="BF18" dT="2024-09-13T07:20:59.17" personId="{1798D1B1-3098-46B1-91A2-D4C92B7E122A}" id="{FD187F37-9C4C-4D23-AC95-E5F6FF4D1813}">
    <text>NA - No report available</text>
  </threadedComment>
  <threadedComment ref="BG18" dT="2024-09-13T07:20:59.17" personId="{1798D1B1-3098-46B1-91A2-D4C92B7E122A}" id="{1A4544EC-4E14-46A6-B216-FB04257350CE}">
    <text>NA - No report available</text>
  </threadedComment>
  <threadedComment ref="BH18" dT="2024-09-13T07:20:59.17" personId="{1798D1B1-3098-46B1-91A2-D4C92B7E122A}" id="{9B342513-C16C-4F7A-A2E6-F5B31AEBA622}">
    <text>NA - No report available</text>
  </threadedComment>
  <threadedComment ref="BI18" dT="2024-09-13T07:20:59.17" personId="{1798D1B1-3098-46B1-91A2-D4C92B7E122A}" id="{A5D4C943-58CB-4458-88B0-38E046276564}">
    <text>NA - No report available</text>
  </threadedComment>
  <threadedComment ref="BJ18" dT="2024-09-13T07:20:59.17" personId="{1798D1B1-3098-46B1-91A2-D4C92B7E122A}" id="{B122D2F6-62A1-48D7-ABFF-B199B67B7562}">
    <text>NA - No report available</text>
  </threadedComment>
  <threadedComment ref="BK18" dT="2024-09-13T07:20:59.17" personId="{1798D1B1-3098-46B1-91A2-D4C92B7E122A}" id="{DB22A015-9E17-4ED7-872D-52DDA0FC05C8}">
    <text>NA - No report available</text>
  </threadedComment>
  <threadedComment ref="BL18" dT="2024-09-13T07:20:59.17" personId="{1798D1B1-3098-46B1-91A2-D4C92B7E122A}" id="{B61C3BDF-1E40-47CF-A126-038E5F4BD028}">
    <text>NA - No report available</text>
  </threadedComment>
  <threadedComment ref="BM18" dT="2024-09-13T07:20:59.17" personId="{1798D1B1-3098-46B1-91A2-D4C92B7E122A}" id="{D695BFFC-4C5C-4B12-9DCB-9ACAC9D317C5}">
    <text>NA - No report available</text>
  </threadedComment>
  <threadedComment ref="BN18" dT="2024-09-13T07:20:59.17" personId="{1798D1B1-3098-46B1-91A2-D4C92B7E122A}" id="{7E605AF9-991D-4660-8E29-F9D0F9F7DC3F}">
    <text>NA - No report available</text>
  </threadedComment>
  <threadedComment ref="BO18" dT="2024-09-13T07:20:59.17" personId="{1798D1B1-3098-46B1-91A2-D4C92B7E122A}" id="{FB21F4D4-E0AD-4FCE-9984-63C1FD65EF17}">
    <text>NA - No report available</text>
  </threadedComment>
  <threadedComment ref="BP18" dT="2024-09-13T07:20:59.17" personId="{1798D1B1-3098-46B1-91A2-D4C92B7E122A}" id="{576694CA-CDDA-4EAE-97F1-0CF01A48D5E5}">
    <text>NA - No report available</text>
  </threadedComment>
  <threadedComment ref="BQ18" dT="2024-09-13T07:20:59.17" personId="{1798D1B1-3098-46B1-91A2-D4C92B7E122A}" id="{899DA500-1CB2-45E7-97B3-AC908111749A}">
    <text>NA - No report available</text>
  </threadedComment>
  <threadedComment ref="BR18" dT="2024-09-13T07:20:59.17" personId="{1798D1B1-3098-46B1-91A2-D4C92B7E122A}" id="{320C9495-7D12-484D-B515-BD22F4DE8D62}">
    <text>NA - No report available</text>
  </threadedComment>
  <threadedComment ref="BS18" dT="2024-09-13T07:20:59.17" personId="{1798D1B1-3098-46B1-91A2-D4C92B7E122A}" id="{E93435D3-4598-4FBF-AC8D-615FD40FC6F2}">
    <text>NA - No report available</text>
  </threadedComment>
  <threadedComment ref="BU18" dT="2024-09-13T07:20:59.17" personId="{1798D1B1-3098-46B1-91A2-D4C92B7E122A}" id="{8ECBF84C-6192-42DD-88D2-B017CC0399E6}">
    <text>NA - No report available</text>
  </threadedComment>
  <threadedComment ref="Y19" dT="2024-09-13T07:20:59.17" personId="{1798D1B1-3098-46B1-91A2-D4C92B7E122A}" id="{8B43F653-279C-44C4-98D6-6FEADB63F7F6}">
    <text>NA - No report available</text>
  </threadedComment>
  <threadedComment ref="Z19" dT="2024-09-13T07:20:59.17" personId="{1798D1B1-3098-46B1-91A2-D4C92B7E122A}" id="{0F8C5DF7-C224-41CC-90DF-AEE6F29889F1}">
    <text>NA - No report available</text>
  </threadedComment>
  <threadedComment ref="AA19" dT="2024-09-13T07:20:59.17" personId="{1798D1B1-3098-46B1-91A2-D4C92B7E122A}" id="{D6A9810C-2240-4D43-8BCC-FA75C2ECBCE5}">
    <text>NA - No report available</text>
  </threadedComment>
  <threadedComment ref="AB19" dT="2024-09-13T07:20:59.17" personId="{1798D1B1-3098-46B1-91A2-D4C92B7E122A}" id="{9B13C9C2-6B08-42C9-816F-212463A87A98}">
    <text>NA - No report available</text>
  </threadedComment>
  <threadedComment ref="AC19" dT="2024-09-13T07:20:59.17" personId="{1798D1B1-3098-46B1-91A2-D4C92B7E122A}" id="{26F83763-5FC2-43D1-A14A-F273AAF43B94}">
    <text>NA - No report available</text>
  </threadedComment>
  <threadedComment ref="AD19" dT="2024-09-13T07:20:59.17" personId="{1798D1B1-3098-46B1-91A2-D4C92B7E122A}" id="{799DFA7E-4F50-4CE0-B2CC-B66C35BE63A3}">
    <text>NA - No report available</text>
  </threadedComment>
  <threadedComment ref="AE19" dT="2024-09-13T07:20:59.17" personId="{1798D1B1-3098-46B1-91A2-D4C92B7E122A}" id="{A6DA8EF8-9591-4F24-AC01-344B943907B1}">
    <text>NA - No report available</text>
  </threadedComment>
  <threadedComment ref="AF19" dT="2024-09-13T07:20:59.17" personId="{1798D1B1-3098-46B1-91A2-D4C92B7E122A}" id="{3C46732D-05A6-4358-9F20-06852A0C859E}">
    <text>NA - No report available</text>
  </threadedComment>
  <threadedComment ref="AG19" dT="2024-09-13T07:20:59.17" personId="{1798D1B1-3098-46B1-91A2-D4C92B7E122A}" id="{30B607E2-9EE9-4757-AC8D-C0620A3FD689}">
    <text>NA - No report available</text>
  </threadedComment>
  <threadedComment ref="AH19" dT="2024-09-13T07:20:59.17" personId="{1798D1B1-3098-46B1-91A2-D4C92B7E122A}" id="{575BAD1D-5ADB-4241-940F-B44CBFCAB33F}">
    <text>NA - No report available</text>
  </threadedComment>
  <threadedComment ref="AI19" dT="2024-09-13T07:20:59.17" personId="{1798D1B1-3098-46B1-91A2-D4C92B7E122A}" id="{96C7D092-63FB-4280-B2D9-C72733777772}">
    <text>NA - No report available</text>
  </threadedComment>
  <threadedComment ref="AJ19" dT="2024-09-13T07:20:59.17" personId="{1798D1B1-3098-46B1-91A2-D4C92B7E122A}" id="{564FE72E-9B30-4705-92F8-6388CB4B6F87}">
    <text>NA - No report available</text>
  </threadedComment>
  <threadedComment ref="AK19" dT="2024-09-13T07:20:59.17" personId="{1798D1B1-3098-46B1-91A2-D4C92B7E122A}" id="{3A27B26D-CFEA-47BC-91C8-1331BEEC1CAF}">
    <text>NA - No report available</text>
  </threadedComment>
  <threadedComment ref="AL19" dT="2024-09-13T07:20:59.17" personId="{1798D1B1-3098-46B1-91A2-D4C92B7E122A}" id="{B61C2EE8-1143-4634-9C35-50FC156E966D}">
    <text>NA - No report available</text>
  </threadedComment>
  <threadedComment ref="AM19" dT="2024-09-13T07:20:59.17" personId="{1798D1B1-3098-46B1-91A2-D4C92B7E122A}" id="{035FAEE2-F52A-465E-85E4-B98F208B04EC}">
    <text>NA - No report available</text>
  </threadedComment>
  <threadedComment ref="AN19" dT="2024-09-13T07:20:59.17" personId="{1798D1B1-3098-46B1-91A2-D4C92B7E122A}" id="{32298263-1E15-420B-8D19-2C8FBD7D1BA6}">
    <text>NA - No report available</text>
  </threadedComment>
  <threadedComment ref="AO19" dT="2024-09-13T07:20:59.17" personId="{1798D1B1-3098-46B1-91A2-D4C92B7E122A}" id="{A52C396B-13EC-4F7E-B3D3-EB1FC8703715}">
    <text>NA - No report available</text>
  </threadedComment>
  <threadedComment ref="AP19" dT="2024-09-13T07:20:59.17" personId="{1798D1B1-3098-46B1-91A2-D4C92B7E122A}" id="{CB4A3DE0-68D1-4B90-A66E-5E2A76060BD1}">
    <text>NA - No report available</text>
  </threadedComment>
  <threadedComment ref="AQ19" dT="2024-09-13T07:20:59.17" personId="{1798D1B1-3098-46B1-91A2-D4C92B7E122A}" id="{C79EF3CC-2797-4FB2-AAE7-347614712ABC}">
    <text>NA - No report available</text>
  </threadedComment>
  <threadedComment ref="AR19" dT="2024-09-13T07:20:59.17" personId="{1798D1B1-3098-46B1-91A2-D4C92B7E122A}" id="{86ADB691-CF9E-420D-9C22-A901E515A1D6}">
    <text>NA - No report available</text>
  </threadedComment>
  <threadedComment ref="AS19" dT="2024-09-13T07:20:59.17" personId="{1798D1B1-3098-46B1-91A2-D4C92B7E122A}" id="{1F8A45CA-F69B-4BEA-9604-7BB6FAB6C643}">
    <text>NA - No report available</text>
  </threadedComment>
  <threadedComment ref="AT19" dT="2024-09-13T07:20:59.17" personId="{1798D1B1-3098-46B1-91A2-D4C92B7E122A}" id="{18BA7D0B-8039-459B-AF8D-4CE02E4230C5}">
    <text>NA - No report available</text>
  </threadedComment>
  <threadedComment ref="AU19" dT="2024-09-13T07:20:59.17" personId="{1798D1B1-3098-46B1-91A2-D4C92B7E122A}" id="{9DC77874-DBF9-4CCB-B50B-25E537833252}">
    <text>NA - No report available</text>
  </threadedComment>
  <threadedComment ref="AV19" dT="2024-09-13T07:20:59.17" personId="{1798D1B1-3098-46B1-91A2-D4C92B7E122A}" id="{273EBA93-9666-4AD9-96EB-714F2B21CFEF}">
    <text>NA - No report available</text>
  </threadedComment>
  <threadedComment ref="AW19" dT="2025-06-19T07:50:53.89" personId="{1798D1B1-3098-46B1-91A2-D4C92B7E122A}" id="{FA2F29C9-4069-4767-9D0F-56D6012B21F9}">
    <text xml:space="preserve">Due to issue in TADR report </text>
  </threadedComment>
  <threadedComment ref="AX19" dT="2025-06-19T07:50:53.89" personId="{1798D1B1-3098-46B1-91A2-D4C92B7E122A}" id="{52BE41A5-E7A5-4C3F-AD79-3C3B4E7AA971}">
    <text xml:space="preserve">Due to issue in TADR report </text>
  </threadedComment>
  <threadedComment ref="AY19" dT="2025-06-19T07:50:53.89" personId="{1798D1B1-3098-46B1-91A2-D4C92B7E122A}" id="{47AC499D-8FF1-474F-9F62-3DC7C8B4F93E}">
    <text xml:space="preserve">Due to issue in TADR report </text>
  </threadedComment>
  <threadedComment ref="AZ19" dT="2025-06-19T07:50:53.89" personId="{1798D1B1-3098-46B1-91A2-D4C92B7E122A}" id="{78BE6C39-A377-4E45-B04C-2226894D450E}">
    <text xml:space="preserve">Due to issue in TADR report </text>
  </threadedComment>
  <threadedComment ref="BA19" dT="2025-06-19T07:50:53.89" personId="{1798D1B1-3098-46B1-91A2-D4C92B7E122A}" id="{36DFE272-62AA-4D72-A7A6-29DE08109A5C}">
    <text xml:space="preserve">Due to issue in TADR report </text>
  </threadedComment>
  <threadedComment ref="BB19" dT="2025-06-19T07:50:53.89" personId="{1798D1B1-3098-46B1-91A2-D4C92B7E122A}" id="{A96BE8EC-8385-41A8-8F70-96BC91C786B3}">
    <text xml:space="preserve">Due to issue in TADR report </text>
  </threadedComment>
  <threadedComment ref="BC19" dT="2025-06-19T07:50:53.89" personId="{1798D1B1-3098-46B1-91A2-D4C92B7E122A}" id="{6DE60992-C8D8-4CE1-AC93-95C6643CC28B}">
    <text xml:space="preserve">Due to issue in TADR report </text>
  </threadedComment>
  <threadedComment ref="BD19" dT="2025-06-19T07:50:53.89" personId="{1798D1B1-3098-46B1-91A2-D4C92B7E122A}" id="{7FB53AE9-BD1A-435F-9AF0-FFFF6D6D153F}">
    <text xml:space="preserve">Due to issue in TADR report </text>
  </threadedComment>
  <threadedComment ref="BE19" dT="2024-09-13T07:20:59.17" personId="{1798D1B1-3098-46B1-91A2-D4C92B7E122A}" id="{90F4BC1A-0E9C-4F10-B6DE-AE5C5E215FDD}">
    <text>NA - No report available</text>
  </threadedComment>
  <threadedComment ref="BF19" dT="2024-09-13T07:20:59.17" personId="{1798D1B1-3098-46B1-91A2-D4C92B7E122A}" id="{F11508FB-936A-48D7-ADE2-D18DC1797E2E}">
    <text>NA - No report available</text>
  </threadedComment>
  <threadedComment ref="BG19" dT="2024-09-13T07:20:59.17" personId="{1798D1B1-3098-46B1-91A2-D4C92B7E122A}" id="{38238134-ED4C-4C12-9A3C-9344AD52861D}">
    <text>NA - No report available</text>
  </threadedComment>
  <threadedComment ref="BH19" dT="2024-09-13T07:20:59.17" personId="{1798D1B1-3098-46B1-91A2-D4C92B7E122A}" id="{666438BC-670A-4E5B-8659-9C00584D5AF3}">
    <text>NA - No report available</text>
  </threadedComment>
  <threadedComment ref="BI19" dT="2024-09-13T07:20:59.17" personId="{1798D1B1-3098-46B1-91A2-D4C92B7E122A}" id="{78BC3C29-1A9A-4E04-906F-A53463CF202E}">
    <text>NA - No report available</text>
  </threadedComment>
  <threadedComment ref="BJ19" dT="2024-09-13T07:20:59.17" personId="{1798D1B1-3098-46B1-91A2-D4C92B7E122A}" id="{32941F03-C513-48A8-A34A-8299EFB57D53}">
    <text>NA - No report available</text>
  </threadedComment>
  <threadedComment ref="BK19" dT="2024-09-13T07:20:59.17" personId="{1798D1B1-3098-46B1-91A2-D4C92B7E122A}" id="{409AA300-0B5D-4DBC-A23E-640512E48B2F}">
    <text>NA - No report available</text>
  </threadedComment>
  <threadedComment ref="BL19" dT="2024-09-13T07:20:59.17" personId="{1798D1B1-3098-46B1-91A2-D4C92B7E122A}" id="{B79BF90F-BD43-44D9-B6AF-D85002801BD0}">
    <text>NA - No report available</text>
  </threadedComment>
  <threadedComment ref="BM19" dT="2024-09-13T07:20:59.17" personId="{1798D1B1-3098-46B1-91A2-D4C92B7E122A}" id="{6B271E39-2336-44C8-83BE-C1CD1A4D19BE}">
    <text>NA - No report available</text>
  </threadedComment>
  <threadedComment ref="BN19" dT="2024-09-13T07:20:59.17" personId="{1798D1B1-3098-46B1-91A2-D4C92B7E122A}" id="{864FB27C-E8D6-4318-B7B3-DB9288A3C525}">
    <text>NA - No report available</text>
  </threadedComment>
  <threadedComment ref="BO19" dT="2024-09-13T07:20:59.17" personId="{1798D1B1-3098-46B1-91A2-D4C92B7E122A}" id="{BC22C5BA-5A44-4653-A3EE-0E0AE1234076}">
    <text>NA - No report available</text>
  </threadedComment>
  <threadedComment ref="BP19" dT="2024-09-13T07:20:59.17" personId="{1798D1B1-3098-46B1-91A2-D4C92B7E122A}" id="{E852682C-572D-4FBC-82ED-C326797C800C}">
    <text>NA - No report available</text>
  </threadedComment>
  <threadedComment ref="BQ19" dT="2024-09-13T07:20:59.17" personId="{1798D1B1-3098-46B1-91A2-D4C92B7E122A}" id="{09FDA162-E204-4EC6-901C-4D7366C8AC61}">
    <text>NA - No report available</text>
  </threadedComment>
  <threadedComment ref="BR19" dT="2024-09-13T07:20:59.17" personId="{1798D1B1-3098-46B1-91A2-D4C92B7E122A}" id="{2DDA935E-F09B-4114-9DE0-30C183863A7C}">
    <text>NA - No report available</text>
  </threadedComment>
  <threadedComment ref="BS19" dT="2024-09-13T07:20:59.17" personId="{1798D1B1-3098-46B1-91A2-D4C92B7E122A}" id="{03A5CF2C-B6AA-4857-BA72-57740DAB8E5E}">
    <text>NA - No report available</text>
  </threadedComment>
  <threadedComment ref="BU19" dT="2024-09-13T07:20:59.17" personId="{1798D1B1-3098-46B1-91A2-D4C92B7E122A}" id="{540F1C93-5612-470A-BBC6-4E75BFA98243}">
    <text>NA - No report available</text>
  </threadedComment>
  <threadedComment ref="L20" dT="2023-05-11T07:53:02.07" personId="{728803BD-3A25-4F6F-BA7C-1EDF8A148B73}" id="{3158C0FF-B41D-4EDA-9C1B-73DD47697D83}">
    <text xml:space="preserve">42 Days </text>
  </threadedComment>
  <threadedComment ref="L20" dT="2023-12-13T12:06:30.13" personId="{6777EDD4-E46F-4979-A7E7-6FC0A82E0C8E}" id="{7B5D2E14-0849-4E10-9324-1292BF6A0764}" parentId="{3158C0FF-B41D-4EDA-9C1B-73DD47697D83}">
    <text xml:space="preserve">Target changed in Oct'23 from 80% to 85% </text>
  </threadedComment>
  <threadedComment ref="M20" dT="2023-05-11T07:53:02.07" personId="{728803BD-3A25-4F6F-BA7C-1EDF8A148B73}" id="{7345758D-0B01-475F-B07A-C5DDDA754BC1}">
    <text xml:space="preserve">42 Days </text>
  </threadedComment>
  <threadedComment ref="M20" dT="2023-12-13T12:06:30.13" personId="{6777EDD4-E46F-4979-A7E7-6FC0A82E0C8E}" id="{AA0FC12D-5045-4B97-A4BD-C662795318F9}" parentId="{7345758D-0B01-475F-B07A-C5DDDA754BC1}">
    <text xml:space="preserve">Target changed in Oct'23 from 80% to 85% </text>
  </threadedComment>
  <threadedComment ref="L21" dT="2023-12-13T12:06:42.55" personId="{6777EDD4-E46F-4979-A7E7-6FC0A82E0C8E}" id="{23FF4E54-C625-4A3A-BC01-90F06FB65B1A}">
    <text xml:space="preserve">Target changed in Oct'23 from 80% to 85% </text>
  </threadedComment>
  <threadedComment ref="M21" dT="2023-12-13T12:06:42.55" personId="{6777EDD4-E46F-4979-A7E7-6FC0A82E0C8E}" id="{77E9F56C-9925-4CCF-B5D3-E28D7204481A}">
    <text xml:space="preserve">Target changed in Oct'23 from 80% to 85% </text>
  </threadedComment>
  <threadedComment ref="L22" dT="2023-12-13T12:06:49.52" personId="{6777EDD4-E46F-4979-A7E7-6FC0A82E0C8E}" id="{C56374C9-DBAD-4C29-92AF-F88D4E6CD742}">
    <text xml:space="preserve">Target changed in Oct'23 from 80% to 85% </text>
  </threadedComment>
  <threadedComment ref="M22" dT="2023-12-13T12:06:49.52" personId="{6777EDD4-E46F-4979-A7E7-6FC0A82E0C8E}" id="{5CFECFB6-C374-4C15-85A6-A3C374F7EABD}">
    <text xml:space="preserve">Target changed in Oct'23 from 80% to 85% </text>
  </threadedComment>
  <threadedComment ref="L23" dT="2023-05-11T07:57:13.60" personId="{728803BD-3A25-4F6F-BA7C-1EDF8A148B73}" id="{74BFEE12-B4D2-4925-BC34-C3BC7306E745}">
    <text xml:space="preserve">60 days </text>
  </threadedComment>
  <threadedComment ref="L23" dT="2023-12-13T12:06:54.38" personId="{6777EDD4-E46F-4979-A7E7-6FC0A82E0C8E}" id="{C77E4EC8-889B-4D86-A62C-6FB69FFB06BC}" parentId="{74BFEE12-B4D2-4925-BC34-C3BC7306E745}">
    <text xml:space="preserve">Target changed in Oct'23 from 80% to 85% </text>
  </threadedComment>
  <threadedComment ref="M23" dT="2023-05-11T07:57:13.60" personId="{728803BD-3A25-4F6F-BA7C-1EDF8A148B73}" id="{111BADCB-8C6F-43B4-ACBA-5458A6F0AA85}">
    <text xml:space="preserve">60 days </text>
  </threadedComment>
  <threadedComment ref="M23" dT="2023-12-13T12:06:54.38" personId="{6777EDD4-E46F-4979-A7E7-6FC0A82E0C8E}" id="{C9FCE077-84E8-4F2D-BE04-C9839CEA989D}" parentId="{111BADCB-8C6F-43B4-ACBA-5458A6F0AA85}">
    <text xml:space="preserve">Target changed in Oct'23 from 80% to 85% </text>
  </threadedComment>
  <threadedComment ref="Q26" dT="2024-05-12T06:03:35.21" personId="{6777EDD4-E46F-4979-A7E7-6FC0A82E0C8E}" id="{4C54E1CB-032A-4AFD-9329-E55587023340}">
    <text>TBR (Quarterly)</text>
  </threadedComment>
  <threadedComment ref="R26" dT="2024-05-12T06:03:35.21" personId="{6777EDD4-E46F-4979-A7E7-6FC0A82E0C8E}" id="{EF2AAE51-6BF8-4C6C-838C-3198B29242F0}">
    <text>TBR (Quarterly)</text>
  </threadedComment>
  <threadedComment ref="S26" dT="2024-05-12T06:03:35.21" personId="{6777EDD4-E46F-4979-A7E7-6FC0A82E0C8E}" id="{CE84E1A6-AC7C-4422-820B-0E1875B2264C}">
    <text>TBR (Quarterly)</text>
  </threadedComment>
  <threadedComment ref="T26" dT="2024-05-12T06:03:35.21" personId="{6777EDD4-E46F-4979-A7E7-6FC0A82E0C8E}" id="{88BD7EA5-5974-4619-A3E7-CA9B4B2A1331}">
    <text>TBR (Quarterly)</text>
  </threadedComment>
  <threadedComment ref="Y26" dT="2024-05-12T06:03:35.21" personId="{6777EDD4-E46F-4979-A7E7-6FC0A82E0C8E}" id="{27FE92C0-36A7-48C0-9F21-481E27D7C332}">
    <text>TBR (Quarterly)</text>
  </threadedComment>
  <threadedComment ref="Z26" dT="2024-05-12T06:03:35.21" personId="{6777EDD4-E46F-4979-A7E7-6FC0A82E0C8E}" id="{B771A542-CEA8-4C2E-99B9-F0155DC55E92}">
    <text>TBR (Quarterly)</text>
  </threadedComment>
  <threadedComment ref="AA26" dT="2024-05-12T06:03:35.21" personId="{6777EDD4-E46F-4979-A7E7-6FC0A82E0C8E}" id="{8420ED24-4CAC-4009-A14D-916DC42F6272}">
    <text>TBR (Quarterly)</text>
  </threadedComment>
  <threadedComment ref="AB26" dT="2024-05-12T06:03:35.21" personId="{6777EDD4-E46F-4979-A7E7-6FC0A82E0C8E}" id="{F7907C59-E418-468B-BE2B-F3AC0CEE77DA}">
    <text>TBR (Quarterly)</text>
  </threadedComment>
  <threadedComment ref="AC26" dT="2024-05-12T06:03:35.21" personId="{6777EDD4-E46F-4979-A7E7-6FC0A82E0C8E}" id="{38EA4A20-8123-4AEF-A153-589DDA473DA5}">
    <text>TBR (Quarterly)</text>
  </threadedComment>
  <threadedComment ref="AD26" dT="2024-05-12T06:03:35.21" personId="{6777EDD4-E46F-4979-A7E7-6FC0A82E0C8E}" id="{A265648A-A004-44DA-BFDA-49DCFFE927BC}">
    <text>TBR (Quarterly)</text>
  </threadedComment>
  <threadedComment ref="AU26" dT="2025-05-20T19:14:47.27" personId="{728803BD-3A25-4F6F-BA7C-1EDF8A148B73}" id="{5181D6EF-E395-46D6-BF79-F00CB51DE4C5}">
    <text xml:space="preserve">To be Reported Quarterly </text>
  </threadedComment>
  <threadedComment ref="AV26" dT="2025-05-20T19:14:47.27" personId="{728803BD-3A25-4F6F-BA7C-1EDF8A148B73}" id="{AB240FB4-37EA-47CB-B266-3987C6F3C1E3}">
    <text xml:space="preserve">To be Reported Quarterly </text>
  </threadedComment>
  <threadedComment ref="AW26" dT="2025-05-20T19:14:47.27" personId="{728803BD-3A25-4F6F-BA7C-1EDF8A148B73}" id="{8EAAF70C-82F7-44CC-A40B-1260CC38E964}">
    <text xml:space="preserve">To be Reported Quarterly </text>
  </threadedComment>
  <threadedComment ref="AX26" dT="2025-05-20T19:14:47.27" personId="{728803BD-3A25-4F6F-BA7C-1EDF8A148B73}" id="{63C669A0-69E7-4C68-AF3A-D9E95DD5A613}">
    <text xml:space="preserve">To be Reported Quarterly </text>
  </threadedComment>
  <threadedComment ref="BS26" dT="2025-05-20T19:14:47.27" personId="{728803BD-3A25-4F6F-BA7C-1EDF8A148B73}" id="{0AE74740-8294-4E64-A13F-BA9B06E48051}">
    <text xml:space="preserve">To be Reported Quarterly </text>
  </threadedComment>
  <threadedComment ref="BU26" dT="2025-05-20T19:14:47.27" personId="{728803BD-3A25-4F6F-BA7C-1EDF8A148B73}" id="{A21F1771-0FC6-4E67-8594-002BACAEB5BF}">
    <text xml:space="preserve">To be Reported Quarterly </text>
  </threadedComment>
  <threadedComment ref="L27" dT="2023-03-31T08:59:40.08" personId="{3CBDC542-C80F-4A61-9608-E3E79BC253F6}" id="{C8D3388D-2930-4B24-9D89-46B3CC2961B3}">
    <text>Target to 15%</text>
  </threadedComment>
  <threadedComment ref="M27" dT="2023-03-31T08:59:40.08" personId="{3CBDC542-C80F-4A61-9608-E3E79BC253F6}" id="{7DFACFF9-0634-476B-8421-371AEF9638DD}">
    <text>Target to 15%</text>
  </threadedComment>
  <threadedComment ref="AE27" dT="2024-11-20T09:19:31.15" personId="{E64216F0-4450-479D-85DE-7DC73CB6BF16}" id="{AD9AC9E9-6543-40A1-95F2-BFD454DD0933}">
    <text>Validated</text>
  </threadedComment>
  <threadedComment ref="AG27" dT="2024-12-17T08:11:52.92" personId="{E64216F0-4450-479D-85DE-7DC73CB6BF16}" id="{8EA486D2-5E32-4F95-8127-E7635A1B6BB5}">
    <text>Validated</text>
  </threadedComment>
  <threadedComment ref="AI27" dT="2025-01-15T09:13:50.54" personId="{E64216F0-4450-479D-85DE-7DC73CB6BF16}" id="{171EAEB6-A51A-419E-9A50-20EC6F33F7D5}">
    <text>Validated</text>
  </threadedComment>
  <threadedComment ref="AE28" dT="2024-11-20T09:19:38.00" personId="{E64216F0-4450-479D-85DE-7DC73CB6BF16}" id="{7857A846-18A9-43CA-9706-D7360890154F}">
    <text>Validated</text>
  </threadedComment>
  <threadedComment ref="AG28" dT="2024-12-17T08:08:20.40" personId="{E64216F0-4450-479D-85DE-7DC73CB6BF16}" id="{3A7E8A58-7274-47BA-9CF1-91A6C3823FB3}">
    <text>Validated</text>
  </threadedComment>
  <threadedComment ref="AI28" dT="2025-01-15T09:13:40.39" personId="{E64216F0-4450-479D-85DE-7DC73CB6BF16}" id="{9B591124-7EC2-4382-89EA-8A01B075287D}">
    <text>Validated</text>
  </threadedComment>
  <threadedComment ref="BL32" dT="2024-09-13T07:20:59.17" personId="{1798D1B1-3098-46B1-91A2-D4C92B7E122A}" id="{6E5F1845-D55F-4FE6-B112-DE0A3AAAE1A9}">
    <text>NA - No report available</text>
  </threadedComment>
  <threadedComment ref="BN32" dT="2024-09-13T07:20:59.17" personId="{1798D1B1-3098-46B1-91A2-D4C92B7E122A}" id="{54DF7936-2FB2-45F8-92A3-E339C18F88AA}">
    <text>NA - No report available</text>
  </threadedComment>
  <threadedComment ref="BP32" dT="2024-09-13T07:20:59.17" personId="{1798D1B1-3098-46B1-91A2-D4C92B7E122A}" id="{15B63D70-5C21-40B8-B1F9-F835F1F823F4}">
    <text>NA - No report available</text>
  </threadedComment>
  <threadedComment ref="BR32" dT="2024-09-13T07:20:59.17" personId="{1798D1B1-3098-46B1-91A2-D4C92B7E122A}" id="{ABAC7230-C2F3-4AAA-BDA6-203C0833CA9E}">
    <text>NA - No report available</text>
  </threadedComment>
  <threadedComment ref="Q33" dT="2024-05-12T06:03:35.21" personId="{6777EDD4-E46F-4979-A7E7-6FC0A82E0C8E}" id="{6D9F5F13-9CF1-4B62-A68A-3B608C62B6CE}">
    <text>TBR (Quarterly)</text>
  </threadedComment>
  <threadedComment ref="R33" dT="2024-05-12T06:03:35.21" personId="{6777EDD4-E46F-4979-A7E7-6FC0A82E0C8E}" id="{E20EA067-5D6E-47C4-81C6-67EFADFD42AC}">
    <text>TBR (Quarterly)</text>
  </threadedComment>
  <threadedComment ref="S33" dT="2024-05-12T06:03:35.21" personId="{6777EDD4-E46F-4979-A7E7-6FC0A82E0C8E}" id="{16F89861-8573-4B0F-9AD5-F230A5FF49C6}">
    <text>TBR (Quarterly)</text>
  </threadedComment>
  <threadedComment ref="T33" dT="2024-05-12T06:03:35.21" personId="{6777EDD4-E46F-4979-A7E7-6FC0A82E0C8E}" id="{C4ED188D-4523-4D38-8523-A27DE133AD8E}">
    <text>TBR (Quarterly)</text>
  </threadedComment>
  <threadedComment ref="W33" dT="2024-08-16T07:15:42.49" personId="{6777EDD4-E46F-4979-A7E7-6FC0A82E0C8E}" id="{CD7C6145-FF4F-47E5-8471-4AFD61E8544F}">
    <text>Reported Quarterly</text>
  </threadedComment>
  <threadedComment ref="X33" dT="2024-08-16T07:15:42.49" personId="{6777EDD4-E46F-4979-A7E7-6FC0A82E0C8E}" id="{0D5BAF48-34B9-4DF9-8C36-8689948730CF}">
    <text>Reported Quarterly</text>
  </threadedComment>
  <threadedComment ref="Y33" dT="2024-08-16T07:15:42.49" personId="{6777EDD4-E46F-4979-A7E7-6FC0A82E0C8E}" id="{AFE5F23E-C836-445B-99C3-784DE4A95835}">
    <text>Reported Quarterly</text>
  </threadedComment>
  <threadedComment ref="Z33" dT="2024-08-16T07:15:42.49" personId="{6777EDD4-E46F-4979-A7E7-6FC0A82E0C8E}" id="{9F01020E-0CCB-401B-9118-3639CFAD0075}">
    <text>Reported Quarterly</text>
  </threadedComment>
  <threadedComment ref="AE33" dT="2024-11-19T06:57:10.95" personId="{E64216F0-4450-479D-85DE-7DC73CB6BF16}" id="{FC6F3168-8177-4602-A8BE-D0508D46A231}">
    <text>To be reported quarterly.</text>
  </threadedComment>
  <threadedComment ref="AF33" dT="2024-11-19T06:57:10.95" personId="{E64216F0-4450-479D-85DE-7DC73CB6BF16}" id="{6495BE48-5095-4128-972E-9DDC7ECAC5F5}">
    <text>To be reported quarterly.</text>
  </threadedComment>
  <threadedComment ref="Q34" dT="2024-05-11T05:05:41.13" personId="{728803BD-3A25-4F6F-BA7C-1EDF8A148B73}" id="{1A7FAEDB-9968-4283-8F6F-E381C9DB4FFC}">
    <text xml:space="preserve">Not Validated Data incomplete </text>
  </threadedComment>
  <threadedComment ref="S34" dT="2024-06-13T04:44:15.17" personId="{728803BD-3A25-4F6F-BA7C-1EDF8A148B73}" id="{B0290A7F-C85B-48F5-B17A-569748681AE8}">
    <text>Not Validated ( Supporting data not shared )</text>
  </threadedComment>
  <threadedComment ref="T36" dT="2024-06-13T04:40:23.39" personId="{728803BD-3A25-4F6F-BA7C-1EDF8A148B73}" id="{040CC106-E0B9-4918-A429-2E3DEA99D312}">
    <text xml:space="preserve">Not validated because supporting data not available </text>
  </threadedComment>
  <threadedComment ref="AE36" dT="2024-11-21T10:58:52.09" personId="{6777EDD4-E46F-4979-A7E7-6FC0A82E0C8E}" id="{A048FE41-23B4-49AA-886C-C7DC433A5EC5}">
    <text>Not Validated</text>
  </threadedComment>
  <threadedComment ref="T37" dT="2024-06-13T04:40:23.39" personId="{728803BD-3A25-4F6F-BA7C-1EDF8A148B73}" id="{CA7A0FA1-1D7D-43B9-9EC7-F627E1E7FD5A}">
    <text xml:space="preserve">Not validated because supporting data not available </text>
  </threadedComment>
  <threadedComment ref="AE37" dT="2024-11-21T10:58:57.38" personId="{6777EDD4-E46F-4979-A7E7-6FC0A82E0C8E}" id="{DF76EF2A-A766-4599-91D2-39375C3EA062}">
    <text>Not Validated</text>
  </threadedComment>
  <threadedComment ref="AE38" dT="2024-11-21T10:59:02.45" personId="{6777EDD4-E46F-4979-A7E7-6FC0A82E0C8E}" id="{8F7EC0D6-4143-429F-A091-14316AEE0A7A}">
    <text>Not Validated</text>
  </threadedComment>
  <threadedComment ref="AE39" dT="2024-11-21T10:59:06.67" personId="{6777EDD4-E46F-4979-A7E7-6FC0A82E0C8E}" id="{DDA1C611-7DB5-4D89-B470-29BBA4DD437A}">
    <text>Not Validated</text>
  </threadedComment>
  <threadedComment ref="AE40" dT="2024-11-21T10:59:10.82" personId="{6777EDD4-E46F-4979-A7E7-6FC0A82E0C8E}" id="{52A22EDE-EBA4-4DE5-8766-FE18A93F5E20}">
    <text>Not Validated</text>
  </threadedComment>
  <threadedComment ref="AE41" dT="2024-11-21T10:59:15.01" personId="{6777EDD4-E46F-4979-A7E7-6FC0A82E0C8E}" id="{E16A8C6F-C95D-48D2-A974-9E1C8EC22A0B}">
    <text>Not Validated</text>
  </threadedComment>
  <threadedComment ref="BC42" dT="2025-08-28T13:46:17.42" personId="{6777EDD4-E46F-4979-A7E7-6FC0A82E0C8E}" id="{A6124114-4617-4E25-A72C-7A60F57F48BD}">
    <text>don’t have any open roles and no closures at the moment everything is on hold</text>
  </threadedComment>
  <threadedComment ref="BD42" dT="2025-08-28T13:46:17.42" personId="{6777EDD4-E46F-4979-A7E7-6FC0A82E0C8E}" id="{BB3AE53B-1AA7-4533-9C6F-F4D6F69EAEB5}">
    <text>don’t have any open roles and no closures at the moment everything is on hold</text>
  </threadedComment>
  <threadedComment ref="BE42" dT="2025-08-28T13:46:17.42" personId="{6777EDD4-E46F-4979-A7E7-6FC0A82E0C8E}" id="{3A95420B-AC1B-4D68-8B2D-83C687A0FC96}">
    <text>don’t have any open roles and no closures at the moment everything is on hold</text>
  </threadedComment>
  <threadedComment ref="BF42" dT="2025-08-28T13:46:17.42" personId="{6777EDD4-E46F-4979-A7E7-6FC0A82E0C8E}" id="{26AA2625-C087-4D9D-9A69-EDFC306DF83C}">
    <text>don’t have any open roles and no closures at the moment everything is on hold</text>
  </threadedComment>
  <threadedComment ref="BG42" dT="2025-08-28T13:46:17.42" personId="{6777EDD4-E46F-4979-A7E7-6FC0A82E0C8E}" id="{87CF6B2C-0F91-4412-8768-4565C417D67F}">
    <text>don’t have any open roles and no closures at the moment everything is on hold</text>
  </threadedComment>
  <threadedComment ref="BH42" dT="2025-08-28T13:46:17.42" personId="{6777EDD4-E46F-4979-A7E7-6FC0A82E0C8E}" id="{0226FDB9-814E-421C-8C6C-95CFC26CEC2B}">
    <text>don’t have any open roles and no closures at the moment everything is on hold</text>
  </threadedComment>
  <threadedComment ref="BI42" dT="2025-08-28T13:46:17.42" personId="{6777EDD4-E46F-4979-A7E7-6FC0A82E0C8E}" id="{DABFB03F-2333-4203-B4FD-95631A5DCC89}">
    <text>don’t have any open roles and no closures at the moment everything is on hold</text>
  </threadedComment>
  <threadedComment ref="BJ42" dT="2025-08-28T13:46:17.42" personId="{6777EDD4-E46F-4979-A7E7-6FC0A82E0C8E}" id="{651D1F78-9B27-455F-8262-E39C815A5EB3}">
    <text>don’t have any open roles and no closures at the moment everything is on hold</text>
  </threadedComment>
  <threadedComment ref="BK42" dT="2025-08-28T13:46:17.42" personId="{6777EDD4-E46F-4979-A7E7-6FC0A82E0C8E}" id="{3E63624D-CD81-41ED-ADC7-738F48B00307}">
    <text>don’t have any open roles and no closures at the moment everything is on hold</text>
  </threadedComment>
  <threadedComment ref="BL42" dT="2025-08-28T13:46:17.42" personId="{6777EDD4-E46F-4979-A7E7-6FC0A82E0C8E}" id="{E25CD71E-8483-415E-B730-5ADEEEECE213}">
    <text>don’t have any open roles and no closures at the moment everything is on hold</text>
  </threadedComment>
  <threadedComment ref="BM42" dT="2025-08-28T13:46:17.42" personId="{6777EDD4-E46F-4979-A7E7-6FC0A82E0C8E}" id="{FA398F77-1AC6-4E87-9E85-3B0DE148C9F3}">
    <text>don’t have any open roles and no closures at the moment everything is on hold</text>
  </threadedComment>
  <threadedComment ref="BN42" dT="2025-08-28T13:46:17.42" personId="{6777EDD4-E46F-4979-A7E7-6FC0A82E0C8E}" id="{B1C55E56-870B-4D6A-A16F-2E417B261770}">
    <text>don’t have any open roles and no closures at the moment everything is on hold</text>
  </threadedComment>
  <threadedComment ref="BP42" dT="2025-08-28T13:46:17.42" personId="{6777EDD4-E46F-4979-A7E7-6FC0A82E0C8E}" id="{77A2DA44-D8DA-48C3-9883-A7C912BEC079}">
    <text>don’t have any open roles and no closures at the moment everything is on hold</text>
  </threadedComment>
  <threadedComment ref="BR42" dT="2025-08-28T13:46:17.42" personId="{6777EDD4-E46F-4979-A7E7-6FC0A82E0C8E}" id="{00EC3F32-0769-4CE6-AE5C-EDE34D10C4C4}">
    <text>don’t have any open roles and no closures at the moment everything is on hold</text>
  </threadedComment>
  <threadedComment ref="BS42" dT="2025-08-28T13:46:17.42" personId="{6777EDD4-E46F-4979-A7E7-6FC0A82E0C8E}" id="{DB4ABD00-24BB-4BF0-9389-D6ABF5DC1003}">
    <text>don’t have any open roles and no closures at the moment everything is on hold</text>
  </threadedComment>
  <threadedComment ref="BU42" dT="2025-08-28T13:46:17.42" personId="{6777EDD4-E46F-4979-A7E7-6FC0A82E0C8E}" id="{2C452ABD-E1A8-4203-8A49-3AC773A7285C}">
    <text>don’t have any open roles and no closures at the moment everything is on hold</text>
  </threadedComment>
  <threadedComment ref="BC43" dT="2025-08-28T13:46:17.42" personId="{6777EDD4-E46F-4979-A7E7-6FC0A82E0C8E}" id="{94FFCF9F-5495-4E07-9ECD-43F1D1C0584A}">
    <text>don’t have any open roles and no closures at the moment everything is on hold</text>
  </threadedComment>
  <threadedComment ref="BD43" dT="2025-08-28T13:46:17.42" personId="{6777EDD4-E46F-4979-A7E7-6FC0A82E0C8E}" id="{902AF28D-703E-47DA-B04E-3D23F99069DF}">
    <text>don’t have any open roles and no closures at the moment everything is on hold</text>
  </threadedComment>
  <threadedComment ref="BE43" dT="2025-08-28T13:46:17.42" personId="{6777EDD4-E46F-4979-A7E7-6FC0A82E0C8E}" id="{CDA7C986-C0E8-4A32-9B7C-69C776EE52B9}">
    <text>don’t have any open roles and no closures at the moment everything is on hold</text>
  </threadedComment>
  <threadedComment ref="BF43" dT="2025-08-28T13:46:17.42" personId="{6777EDD4-E46F-4979-A7E7-6FC0A82E0C8E}" id="{6DD841C7-4E93-4700-BDA9-4B554E5CB904}">
    <text>don’t have any open roles and no closures at the moment everything is on hold</text>
  </threadedComment>
  <threadedComment ref="BG43" dT="2025-08-28T13:46:17.42" personId="{6777EDD4-E46F-4979-A7E7-6FC0A82E0C8E}" id="{AF03435C-A72C-4CEE-89CD-151DA373812D}">
    <text>don’t have any open roles and no closures at the moment everything is on hold</text>
  </threadedComment>
  <threadedComment ref="BH43" dT="2025-08-28T13:46:17.42" personId="{6777EDD4-E46F-4979-A7E7-6FC0A82E0C8E}" id="{566B2172-9B57-4F12-BD1B-677C4AE32BDC}">
    <text>don’t have any open roles and no closures at the moment everything is on hold</text>
  </threadedComment>
  <threadedComment ref="BI43" dT="2025-08-28T13:46:17.42" personId="{6777EDD4-E46F-4979-A7E7-6FC0A82E0C8E}" id="{2AE4617D-CD94-4F58-B4BA-2F22FAD0126B}">
    <text>don’t have any open roles and no closures at the moment everything is on hold</text>
  </threadedComment>
  <threadedComment ref="BJ43" dT="2025-08-28T13:46:17.42" personId="{6777EDD4-E46F-4979-A7E7-6FC0A82E0C8E}" id="{F2EA72F0-1367-4E35-B3B8-AB962ECB2858}">
    <text>don’t have any open roles and no closures at the moment everything is on hold</text>
  </threadedComment>
  <threadedComment ref="BK43" dT="2025-08-28T13:46:17.42" personId="{6777EDD4-E46F-4979-A7E7-6FC0A82E0C8E}" id="{016CF882-9C1C-46D1-B985-0A01F9B09985}">
    <text>don’t have any open roles and no closures at the moment everything is on hold</text>
  </threadedComment>
  <threadedComment ref="BL43" dT="2025-08-28T13:46:17.42" personId="{6777EDD4-E46F-4979-A7E7-6FC0A82E0C8E}" id="{E49AD037-983A-4AF1-8F9D-6B9AF67F7AA7}">
    <text>don’t have any open roles and no closures at the moment everything is on hold</text>
  </threadedComment>
  <threadedComment ref="BM43" dT="2025-08-28T13:46:17.42" personId="{6777EDD4-E46F-4979-A7E7-6FC0A82E0C8E}" id="{34A68E01-8E3A-4879-AE2A-C5D68353E145}">
    <text>don’t have any open roles and no closures at the moment everything is on hold</text>
  </threadedComment>
  <threadedComment ref="BN43" dT="2025-08-28T13:46:17.42" personId="{6777EDD4-E46F-4979-A7E7-6FC0A82E0C8E}" id="{AF6F2005-161B-4C29-A4E0-435FF03D5E50}">
    <text>don’t have any open roles and no closures at the moment everything is on hold</text>
  </threadedComment>
  <threadedComment ref="BP43" dT="2025-08-28T13:46:17.42" personId="{6777EDD4-E46F-4979-A7E7-6FC0A82E0C8E}" id="{9DCA0E02-22E8-475D-AEE0-2EB33E4606DB}">
    <text>don’t have any open roles and no closures at the moment everything is on hold</text>
  </threadedComment>
  <threadedComment ref="BR43" dT="2025-08-28T13:46:17.42" personId="{6777EDD4-E46F-4979-A7E7-6FC0A82E0C8E}" id="{9E0C7F21-E09C-4603-97AB-86CCBC6AB9AC}">
    <text>don’t have any open roles and no closures at the moment everything is on hold</text>
  </threadedComment>
  <threadedComment ref="BS43" dT="2025-08-28T13:46:17.42" personId="{6777EDD4-E46F-4979-A7E7-6FC0A82E0C8E}" id="{2FAF8B6F-4A59-40BD-98C9-C6B547007C64}">
    <text>don’t have any open roles and no closures at the moment everything is on hold</text>
  </threadedComment>
  <threadedComment ref="BU43" dT="2025-08-28T13:46:17.42" personId="{6777EDD4-E46F-4979-A7E7-6FC0A82E0C8E}" id="{1D075407-3421-4BF3-BAAC-CD4C39541C09}">
    <text>don’t have any open roles and no closures at the moment everything is on hold</text>
  </threadedComment>
  <threadedComment ref="AO44" dT="2025-04-22T06:30:00.78" personId="{6777EDD4-E46F-4979-A7E7-6FC0A82E0C8E}" id="{97B21443-3986-4E3C-B62E-F8E09A3C0432}">
    <text>No new role received in Feb</text>
  </threadedComment>
  <threadedComment ref="AP44" dT="2025-04-22T06:30:00.78" personId="{6777EDD4-E46F-4979-A7E7-6FC0A82E0C8E}" id="{D4A26F39-D384-4C5F-B240-5778BB0DC4E6}">
    <text>No new role received in Feb</text>
  </threadedComment>
  <threadedComment ref="AQ44" dT="2025-04-22T06:30:00.78" personId="{6777EDD4-E46F-4979-A7E7-6FC0A82E0C8E}" id="{187B8E7C-8A2F-426B-BD67-CBDA4A8668B2}">
    <text>Noe as the new Mandates came at the end of Feb Month so all the roles are within TAT</text>
  </threadedComment>
  <threadedComment ref="AR44" dT="2025-04-22T06:30:00.78" personId="{6777EDD4-E46F-4979-A7E7-6FC0A82E0C8E}" id="{3508632F-DE76-4DFF-B6D6-331D5B51EBA1}">
    <text>Noe as the new Mandates came at the end of Feb Month so all the roles are within TAT</text>
  </threadedComment>
  <threadedComment ref="BC44" dT="2025-08-28T13:46:17.42" personId="{6777EDD4-E46F-4979-A7E7-6FC0A82E0C8E}" id="{6E0BC873-41F8-43AC-89ED-9AFB1B0DA2B0}">
    <text>don’t have any open roles and no closures at the moment everything is on hold</text>
  </threadedComment>
  <threadedComment ref="BD44" dT="2025-08-28T13:46:17.42" personId="{6777EDD4-E46F-4979-A7E7-6FC0A82E0C8E}" id="{A05EAAB4-281F-4C74-A9F1-D1ED3A86ABE0}">
    <text>don’t have any open roles and no closures at the moment everything is on hold</text>
  </threadedComment>
  <threadedComment ref="BE44" dT="2025-08-28T13:46:17.42" personId="{6777EDD4-E46F-4979-A7E7-6FC0A82E0C8E}" id="{DDC686E3-84DD-4648-B785-7EE5F2F7BA00}">
    <text>don’t have any open roles and no closures at the moment everything is on hold</text>
  </threadedComment>
  <threadedComment ref="BF44" dT="2025-08-28T13:46:17.42" personId="{6777EDD4-E46F-4979-A7E7-6FC0A82E0C8E}" id="{08365D40-D2F5-49C2-A295-98179F63D52F}">
    <text>don’t have any open roles and no closures at the moment everything is on hold</text>
  </threadedComment>
  <threadedComment ref="BG44" dT="2025-08-28T13:46:17.42" personId="{6777EDD4-E46F-4979-A7E7-6FC0A82E0C8E}" id="{C0E89342-F86A-43DC-8554-636ED6C74558}">
    <text>don’t have any open roles and no closures at the moment everything is on hold</text>
  </threadedComment>
  <threadedComment ref="BH44" dT="2025-08-28T13:46:17.42" personId="{6777EDD4-E46F-4979-A7E7-6FC0A82E0C8E}" id="{1CFBC25D-F076-405A-9EA9-BD35DC9CDD7D}">
    <text>don’t have any open roles and no closures at the moment everything is on hold</text>
  </threadedComment>
  <threadedComment ref="BI44" dT="2025-08-28T13:46:17.42" personId="{6777EDD4-E46F-4979-A7E7-6FC0A82E0C8E}" id="{E69F6135-41C4-4C93-BBC0-337A1778E5B3}">
    <text>don’t have any open roles and no closures at the moment everything is on hold</text>
  </threadedComment>
  <threadedComment ref="BJ44" dT="2025-08-28T13:46:17.42" personId="{6777EDD4-E46F-4979-A7E7-6FC0A82E0C8E}" id="{90B7472E-E108-478E-90EC-0AED492274D9}">
    <text>don’t have any open roles and no closures at the moment everything is on hold</text>
  </threadedComment>
  <threadedComment ref="BK44" dT="2025-08-28T13:46:17.42" personId="{6777EDD4-E46F-4979-A7E7-6FC0A82E0C8E}" id="{E489027F-5435-4DF1-B1D4-4A3DC7952679}">
    <text>don’t have any open roles and no closures at the moment everything is on hold</text>
  </threadedComment>
  <threadedComment ref="BL44" dT="2025-08-28T13:46:17.42" personId="{6777EDD4-E46F-4979-A7E7-6FC0A82E0C8E}" id="{9383B1DE-D788-4328-B6FA-217E8722D9FE}">
    <text>don’t have any open roles and no closures at the moment everything is on hold</text>
  </threadedComment>
  <threadedComment ref="BM44" dT="2025-08-28T13:46:17.42" personId="{6777EDD4-E46F-4979-A7E7-6FC0A82E0C8E}" id="{D981A0F9-3643-42BE-ABE6-BAB1EA9DBE38}">
    <text>don’t have any open roles and no closures at the moment everything is on hold</text>
  </threadedComment>
  <threadedComment ref="BN44" dT="2025-08-28T13:46:17.42" personId="{6777EDD4-E46F-4979-A7E7-6FC0A82E0C8E}" id="{8476375B-29A2-4BBA-AA23-60901BC10333}">
    <text>don’t have any open roles and no closures at the moment everything is on hold</text>
  </threadedComment>
  <threadedComment ref="BP44" dT="2025-08-28T13:46:17.42" personId="{6777EDD4-E46F-4979-A7E7-6FC0A82E0C8E}" id="{4695F7F7-FE3E-4BAE-BA13-B3908F1D3942}">
    <text>don’t have any open roles and no closures at the moment everything is on hold</text>
  </threadedComment>
  <threadedComment ref="BR44" dT="2025-08-28T13:46:17.42" personId="{6777EDD4-E46F-4979-A7E7-6FC0A82E0C8E}" id="{A5A82201-767C-4E6D-9F56-1E2C79ED3275}">
    <text>don’t have any open roles and no closures at the moment everything is on hold</text>
  </threadedComment>
  <threadedComment ref="BS44" dT="2025-08-28T13:46:17.42" personId="{6777EDD4-E46F-4979-A7E7-6FC0A82E0C8E}" id="{81ED4772-E208-46D6-A8DF-42B096B095D9}">
    <text>don’t have any open roles and no closures at the moment everything is on hold</text>
  </threadedComment>
  <threadedComment ref="BU44" dT="2025-08-28T13:46:17.42" personId="{6777EDD4-E46F-4979-A7E7-6FC0A82E0C8E}" id="{5F8E4BF7-9E87-4804-BBB6-8938BD896B28}">
    <text>don’t have any open roles and no closures at the moment everything is on hold</text>
  </threadedComment>
  <threadedComment ref="BC45" dT="2025-08-28T13:46:17.42" personId="{6777EDD4-E46F-4979-A7E7-6FC0A82E0C8E}" id="{137C5DC8-3F25-460B-9D56-8D88AD250C8A}">
    <text>don’t have any open roles and no closures at the moment everything is on hold</text>
  </threadedComment>
  <threadedComment ref="BD45" dT="2025-08-28T13:46:17.42" personId="{6777EDD4-E46F-4979-A7E7-6FC0A82E0C8E}" id="{D765ABE3-14AF-4B7D-A40F-2602D5E9C6E9}">
    <text>don’t have any open roles and no closures at the moment everything is on hold</text>
  </threadedComment>
  <threadedComment ref="BE45" dT="2025-08-28T13:46:17.42" personId="{6777EDD4-E46F-4979-A7E7-6FC0A82E0C8E}" id="{C63AFD3B-439B-405D-A3D5-461BD1C724EB}">
    <text>don’t have any open roles and no closures at the moment everything is on hold</text>
  </threadedComment>
  <threadedComment ref="BF45" dT="2025-08-28T13:46:17.42" personId="{6777EDD4-E46F-4979-A7E7-6FC0A82E0C8E}" id="{F92533E0-0B93-490B-A399-3245093A6B65}">
    <text>don’t have any open roles and no closures at the moment everything is on hold</text>
  </threadedComment>
  <threadedComment ref="BG45" dT="2025-08-28T13:46:17.42" personId="{6777EDD4-E46F-4979-A7E7-6FC0A82E0C8E}" id="{4E7A3AC7-5257-4BAF-9625-03096C247F6A}">
    <text>don’t have any open roles and no closures at the moment everything is on hold</text>
  </threadedComment>
  <threadedComment ref="BH45" dT="2025-08-28T13:46:17.42" personId="{6777EDD4-E46F-4979-A7E7-6FC0A82E0C8E}" id="{F3FB63AC-2C78-487C-98A5-EE98ECCA4AF2}">
    <text>don’t have any open roles and no closures at the moment everything is on hold</text>
  </threadedComment>
  <threadedComment ref="BI45" dT="2025-08-28T13:46:17.42" personId="{6777EDD4-E46F-4979-A7E7-6FC0A82E0C8E}" id="{4B97F5B6-4134-45B0-8420-D5B4DC66F0C5}">
    <text>don’t have any open roles and no closures at the moment everything is on hold</text>
  </threadedComment>
  <threadedComment ref="BJ45" dT="2025-08-28T13:46:17.42" personId="{6777EDD4-E46F-4979-A7E7-6FC0A82E0C8E}" id="{59F49C88-0075-46CA-9E32-57CD27CF201E}">
    <text>don’t have any open roles and no closures at the moment everything is on hold</text>
  </threadedComment>
  <threadedComment ref="BK45" dT="2025-08-28T13:46:17.42" personId="{6777EDD4-E46F-4979-A7E7-6FC0A82E0C8E}" id="{4740BD1C-D9F2-44A7-9EA2-4EB5FBC17F4F}">
    <text>don’t have any open roles and no closures at the moment everything is on hold</text>
  </threadedComment>
  <threadedComment ref="BL45" dT="2025-08-28T13:46:17.42" personId="{6777EDD4-E46F-4979-A7E7-6FC0A82E0C8E}" id="{79DB7BED-ABC2-45EA-B21E-5E95543B8D54}">
    <text>don’t have any open roles and no closures at the moment everything is on hold</text>
  </threadedComment>
  <threadedComment ref="BM45" dT="2025-08-28T13:46:17.42" personId="{6777EDD4-E46F-4979-A7E7-6FC0A82E0C8E}" id="{40BF57E5-98BE-45CC-878B-E6568EB6C979}">
    <text>don’t have any open roles and no closures at the moment everything is on hold</text>
  </threadedComment>
  <threadedComment ref="BN45" dT="2025-08-28T13:46:17.42" personId="{6777EDD4-E46F-4979-A7E7-6FC0A82E0C8E}" id="{4EA1053C-BF6E-44DE-834D-4DA9CB7B43F8}">
    <text>don’t have any open roles and no closures at the moment everything is on hold</text>
  </threadedComment>
  <threadedComment ref="BP45" dT="2025-08-28T13:46:17.42" personId="{6777EDD4-E46F-4979-A7E7-6FC0A82E0C8E}" id="{7914E010-159E-46B3-AB6F-723DCD89A723}">
    <text>don’t have any open roles and no closures at the moment everything is on hold</text>
  </threadedComment>
  <threadedComment ref="BR45" dT="2025-08-28T13:46:17.42" personId="{6777EDD4-E46F-4979-A7E7-6FC0A82E0C8E}" id="{BD0D58DD-045A-4046-8219-4317937F47A4}">
    <text>don’t have any open roles and no closures at the moment everything is on hold</text>
  </threadedComment>
  <threadedComment ref="BS45" dT="2025-08-28T13:46:17.42" personId="{6777EDD4-E46F-4979-A7E7-6FC0A82E0C8E}" id="{CBAB45CD-A63A-44AB-838F-80829C45E277}">
    <text>don’t have any open roles and no closures at the moment everything is on hold</text>
  </threadedComment>
  <threadedComment ref="BU45" dT="2025-08-28T13:46:17.42" personId="{6777EDD4-E46F-4979-A7E7-6FC0A82E0C8E}" id="{36418779-B731-4EAA-A55C-BB85B0EED6BB}">
    <text>don’t have any open roles and no closures at the moment everything is on hold</text>
  </threadedComment>
  <threadedComment ref="BC46" dT="2025-08-28T13:46:17.42" personId="{6777EDD4-E46F-4979-A7E7-6FC0A82E0C8E}" id="{A2931AF3-88B3-4EAD-9476-43DF4E0A8081}">
    <text>don’t have any open roles and no closures at the moment everything is on hold</text>
  </threadedComment>
  <threadedComment ref="BD46" dT="2025-08-28T13:46:17.42" personId="{6777EDD4-E46F-4979-A7E7-6FC0A82E0C8E}" id="{9F5682E2-4999-4653-973F-3449400187D2}">
    <text>don’t have any open roles and no closures at the moment everything is on hold</text>
  </threadedComment>
  <threadedComment ref="BE46" dT="2025-08-28T13:46:17.42" personId="{6777EDD4-E46F-4979-A7E7-6FC0A82E0C8E}" id="{CF035FB7-ED62-41C3-933D-A6C47416DCF9}">
    <text>don’t have any open roles and no closures at the moment everything is on hold</text>
  </threadedComment>
  <threadedComment ref="BF46" dT="2025-08-28T13:46:17.42" personId="{6777EDD4-E46F-4979-A7E7-6FC0A82E0C8E}" id="{54AFED83-2A26-4DDB-9DC6-93E73FDB9E2F}">
    <text>don’t have any open roles and no closures at the moment everything is on hold</text>
  </threadedComment>
  <threadedComment ref="BG46" dT="2025-08-28T13:46:17.42" personId="{6777EDD4-E46F-4979-A7E7-6FC0A82E0C8E}" id="{4BA9821F-C5A6-47C5-964F-A26EF7E97912}">
    <text>don’t have any open roles and no closures at the moment everything is on hold</text>
  </threadedComment>
  <threadedComment ref="BH46" dT="2025-08-28T13:46:17.42" personId="{6777EDD4-E46F-4979-A7E7-6FC0A82E0C8E}" id="{908546C4-FD17-4DAA-B1AE-5801CDB29803}">
    <text>don’t have any open roles and no closures at the moment everything is on hold</text>
  </threadedComment>
  <threadedComment ref="BI46" dT="2025-08-28T13:46:17.42" personId="{6777EDD4-E46F-4979-A7E7-6FC0A82E0C8E}" id="{59BC47C4-5438-453E-B511-014928824524}">
    <text>don’t have any open roles and no closures at the moment everything is on hold</text>
  </threadedComment>
  <threadedComment ref="BJ46" dT="2025-08-28T13:46:17.42" personId="{6777EDD4-E46F-4979-A7E7-6FC0A82E0C8E}" id="{C566FDC2-021D-4DA2-8A18-A0686901B2B9}">
    <text>don’t have any open roles and no closures at the moment everything is on hold</text>
  </threadedComment>
  <threadedComment ref="BK46" dT="2025-08-28T13:46:17.42" personId="{6777EDD4-E46F-4979-A7E7-6FC0A82E0C8E}" id="{183F0C79-855F-474C-8406-C49658391DC4}">
    <text>don’t have any open roles and no closures at the moment everything is on hold</text>
  </threadedComment>
  <threadedComment ref="BL46" dT="2025-08-28T13:46:17.42" personId="{6777EDD4-E46F-4979-A7E7-6FC0A82E0C8E}" id="{DDAD23D1-980E-4450-B49C-3DEF11835C10}">
    <text>don’t have any open roles and no closures at the moment everything is on hold</text>
  </threadedComment>
  <threadedComment ref="BM46" dT="2025-08-28T13:46:17.42" personId="{6777EDD4-E46F-4979-A7E7-6FC0A82E0C8E}" id="{DF954808-E82E-46A0-B144-2FDDD7E2B795}">
    <text>don’t have any open roles and no closures at the moment everything is on hold</text>
  </threadedComment>
  <threadedComment ref="BN46" dT="2025-08-28T13:46:17.42" personId="{6777EDD4-E46F-4979-A7E7-6FC0A82E0C8E}" id="{53200C80-422B-46B9-A210-B40BF57C27CD}">
    <text>don’t have any open roles and no closures at the moment everything is on hold</text>
  </threadedComment>
  <threadedComment ref="BP46" dT="2025-08-28T13:46:17.42" personId="{6777EDD4-E46F-4979-A7E7-6FC0A82E0C8E}" id="{CE472F4C-B68E-463F-AEBF-75ED9C64B10B}">
    <text>don’t have any open roles and no closures at the moment everything is on hold</text>
  </threadedComment>
  <threadedComment ref="BR46" dT="2025-08-28T13:46:17.42" personId="{6777EDD4-E46F-4979-A7E7-6FC0A82E0C8E}" id="{97F13F7C-5072-40E4-ADD4-C076760A4EFC}">
    <text>don’t have any open roles and no closures at the moment everything is on hold</text>
  </threadedComment>
  <threadedComment ref="BS46" dT="2025-08-28T13:46:17.42" personId="{6777EDD4-E46F-4979-A7E7-6FC0A82E0C8E}" id="{97DFA968-4F9F-4394-A8A3-EB94C1DD2C59}">
    <text>don’t have any open roles and no closures at the moment everything is on hold</text>
  </threadedComment>
  <threadedComment ref="BU46" dT="2025-08-28T13:46:17.42" personId="{6777EDD4-E46F-4979-A7E7-6FC0A82E0C8E}" id="{F619A15D-8A43-4CA0-826F-61E9CAF4D510}">
    <text>don’t have any open roles and no closures at the moment everything is on hold</text>
  </threadedComment>
  <threadedComment ref="BC47" dT="2025-08-28T13:46:17.42" personId="{6777EDD4-E46F-4979-A7E7-6FC0A82E0C8E}" id="{8E0DF497-7E49-478E-AA01-D20D629AA19B}">
    <text>don’t have any open roles and no closures at the moment everything is on hold</text>
  </threadedComment>
  <threadedComment ref="BD47" dT="2025-08-28T13:46:17.42" personId="{6777EDD4-E46F-4979-A7E7-6FC0A82E0C8E}" id="{78353422-EA83-45FE-9867-0296BA0437B7}">
    <text>don’t have any open roles and no closures at the moment everything is on hold</text>
  </threadedComment>
  <threadedComment ref="BE47" dT="2025-08-28T13:46:17.42" personId="{6777EDD4-E46F-4979-A7E7-6FC0A82E0C8E}" id="{E07E0BC1-6088-464F-945F-0EAFD2AE9C72}">
    <text>don’t have any open roles and no closures at the moment everything is on hold</text>
  </threadedComment>
  <threadedComment ref="BF47" dT="2025-08-28T13:46:17.42" personId="{6777EDD4-E46F-4979-A7E7-6FC0A82E0C8E}" id="{5ABCACFB-F360-42C1-B298-266EA79A9271}">
    <text>don’t have any open roles and no closures at the moment everything is on hold</text>
  </threadedComment>
  <threadedComment ref="BG47" dT="2025-08-28T13:46:17.42" personId="{6777EDD4-E46F-4979-A7E7-6FC0A82E0C8E}" id="{7E22C522-B572-445D-B875-ECC4B2C40884}">
    <text>don’t have any open roles and no closures at the moment everything is on hold</text>
  </threadedComment>
  <threadedComment ref="BH47" dT="2025-08-28T13:46:17.42" personId="{6777EDD4-E46F-4979-A7E7-6FC0A82E0C8E}" id="{D7671FF3-01A7-460E-8210-FFC9D9CE4AA2}">
    <text>don’t have any open roles and no closures at the moment everything is on hold</text>
  </threadedComment>
  <threadedComment ref="BI47" dT="2025-08-28T13:46:17.42" personId="{6777EDD4-E46F-4979-A7E7-6FC0A82E0C8E}" id="{8D736CAE-BBFE-4CA3-B4C5-CA49CD207162}">
    <text>don’t have any open roles and no closures at the moment everything is on hold</text>
  </threadedComment>
  <threadedComment ref="BJ47" dT="2025-08-28T13:46:17.42" personId="{6777EDD4-E46F-4979-A7E7-6FC0A82E0C8E}" id="{54D00949-B566-480D-A081-B0E42846E105}">
    <text>don’t have any open roles and no closures at the moment everything is on hold</text>
  </threadedComment>
  <threadedComment ref="BK47" dT="2025-08-28T13:46:17.42" personId="{6777EDD4-E46F-4979-A7E7-6FC0A82E0C8E}" id="{38881D22-CDE2-445A-A94E-766B5FED2625}">
    <text>don’t have any open roles and no closures at the moment everything is on hold</text>
  </threadedComment>
  <threadedComment ref="BL47" dT="2025-08-28T13:46:17.42" personId="{6777EDD4-E46F-4979-A7E7-6FC0A82E0C8E}" id="{EC042E6F-6450-408F-8B0E-45969360A17C}">
    <text>don’t have any open roles and no closures at the moment everything is on hold</text>
  </threadedComment>
  <threadedComment ref="BM47" dT="2025-08-28T13:46:17.42" personId="{6777EDD4-E46F-4979-A7E7-6FC0A82E0C8E}" id="{6096D2DD-F1CB-48B2-9C8C-056BB72CEFEB}">
    <text>don’t have any open roles and no closures at the moment everything is on hold</text>
  </threadedComment>
  <threadedComment ref="BN47" dT="2025-08-28T13:46:17.42" personId="{6777EDD4-E46F-4979-A7E7-6FC0A82E0C8E}" id="{E2D75D4B-EF32-431C-B907-3C9E0858352E}">
    <text>don’t have any open roles and no closures at the moment everything is on hold</text>
  </threadedComment>
  <threadedComment ref="BP47" dT="2025-08-28T13:46:17.42" personId="{6777EDD4-E46F-4979-A7E7-6FC0A82E0C8E}" id="{DE208063-6D7B-4943-BEC4-1937BF644EC1}">
    <text>don’t have any open roles and no closures at the moment everything is on hold</text>
  </threadedComment>
  <threadedComment ref="BR47" dT="2025-08-28T13:46:17.42" personId="{6777EDD4-E46F-4979-A7E7-6FC0A82E0C8E}" id="{9A4FE04E-D165-4A75-BB05-7FB3440A63C4}">
    <text>don’t have any open roles and no closures at the moment everything is on hold</text>
  </threadedComment>
  <threadedComment ref="BS47" dT="2025-08-28T13:46:17.42" personId="{6777EDD4-E46F-4979-A7E7-6FC0A82E0C8E}" id="{C1A83976-5EA5-4A91-9D26-6050225FE31C}">
    <text>don’t have any open roles and no closures at the moment everything is on hold</text>
  </threadedComment>
  <threadedComment ref="BU47" dT="2025-08-28T13:46:17.42" personId="{6777EDD4-E46F-4979-A7E7-6FC0A82E0C8E}" id="{4F718E8B-7D7E-4330-BD47-F9D31DBBF042}">
    <text>don’t have any open roles and no closures at the moment everything is on hold</text>
  </threadedComment>
  <threadedComment ref="AO48" dT="2025-04-22T06:30:00.78" personId="{6777EDD4-E46F-4979-A7E7-6FC0A82E0C8E}" id="{FF88E996-5780-4265-A3C1-73A2A45EA950}">
    <text>No new role received in Feb</text>
  </threadedComment>
  <threadedComment ref="AP48" dT="2025-04-22T06:30:00.78" personId="{6777EDD4-E46F-4979-A7E7-6FC0A82E0C8E}" id="{B29DCCAA-2458-4120-8058-F840C2D6A8B8}">
    <text>No new role received in Feb</text>
  </threadedComment>
  <threadedComment ref="BC48" dT="2025-08-28T13:46:17.42" personId="{6777EDD4-E46F-4979-A7E7-6FC0A82E0C8E}" id="{D8CB250B-6821-4FB0-AEBA-0F862FCCF910}">
    <text>don’t have any open roles and no closures at the moment everything is on hold</text>
  </threadedComment>
  <threadedComment ref="BD48" dT="2025-08-28T13:46:17.42" personId="{6777EDD4-E46F-4979-A7E7-6FC0A82E0C8E}" id="{407D9F2A-BC67-4067-81E3-603E64A1E73D}">
    <text>don’t have any open roles and no closures at the moment everything is on hold</text>
  </threadedComment>
  <threadedComment ref="BE48" dT="2025-08-28T13:46:17.42" personId="{6777EDD4-E46F-4979-A7E7-6FC0A82E0C8E}" id="{00DA3099-4F5D-4B42-87FC-87E1D34ADB2A}">
    <text>don’t have any open roles and no closures at the moment everything is on hold</text>
  </threadedComment>
  <threadedComment ref="BF48" dT="2025-08-28T13:46:17.42" personId="{6777EDD4-E46F-4979-A7E7-6FC0A82E0C8E}" id="{87E89ECD-908A-41D5-BEEE-20ECC1D53597}">
    <text>don’t have any open roles and no closures at the moment everything is on hold</text>
  </threadedComment>
  <threadedComment ref="BG48" dT="2025-08-28T13:46:17.42" personId="{6777EDD4-E46F-4979-A7E7-6FC0A82E0C8E}" id="{63193831-9DD1-418E-B7F4-277AD44FCA2B}">
    <text>don’t have any open roles and no closures at the moment everything is on hold</text>
  </threadedComment>
  <threadedComment ref="BH48" dT="2025-08-28T13:46:17.42" personId="{6777EDD4-E46F-4979-A7E7-6FC0A82E0C8E}" id="{724D6B8F-6589-45A4-BE8C-DFE79D6F38E3}">
    <text>don’t have any open roles and no closures at the moment everything is on hold</text>
  </threadedComment>
  <threadedComment ref="BI48" dT="2025-08-28T13:46:17.42" personId="{6777EDD4-E46F-4979-A7E7-6FC0A82E0C8E}" id="{A32A2164-C318-407F-8010-3869FDBF7C07}">
    <text>don’t have any open roles and no closures at the moment everything is on hold</text>
  </threadedComment>
  <threadedComment ref="BJ48" dT="2025-08-28T13:46:17.42" personId="{6777EDD4-E46F-4979-A7E7-6FC0A82E0C8E}" id="{C1F085C9-AACB-4191-A4CA-8CA9A110E634}">
    <text>don’t have any open roles and no closures at the moment everything is on hold</text>
  </threadedComment>
  <threadedComment ref="BK48" dT="2025-08-28T13:46:17.42" personId="{6777EDD4-E46F-4979-A7E7-6FC0A82E0C8E}" id="{C4CFFEC7-1A3A-4F2A-B1B6-EDF13D4DDCA7}">
    <text>don’t have any open roles and no closures at the moment everything is on hold</text>
  </threadedComment>
  <threadedComment ref="BL48" dT="2025-08-28T13:46:17.42" personId="{6777EDD4-E46F-4979-A7E7-6FC0A82E0C8E}" id="{8BCA0422-3800-4918-9061-15BE8E52AF6F}">
    <text>don’t have any open roles and no closures at the moment everything is on hold</text>
  </threadedComment>
  <threadedComment ref="BM48" dT="2025-08-28T13:46:17.42" personId="{6777EDD4-E46F-4979-A7E7-6FC0A82E0C8E}" id="{7A26C111-6A90-48E2-97EA-9F504F152917}">
    <text>don’t have any open roles and no closures at the moment everything is on hold</text>
  </threadedComment>
  <threadedComment ref="BN48" dT="2025-08-28T13:46:17.42" personId="{6777EDD4-E46F-4979-A7E7-6FC0A82E0C8E}" id="{8D993A4D-28CF-4D91-AB82-ADA397B8ECDD}">
    <text>don’t have any open roles and no closures at the moment everything is on hold</text>
  </threadedComment>
  <threadedComment ref="BP48" dT="2025-08-28T13:46:17.42" personId="{6777EDD4-E46F-4979-A7E7-6FC0A82E0C8E}" id="{49D08086-0257-4506-A40A-9A4D5779B98F}">
    <text>don’t have any open roles and no closures at the moment everything is on hold</text>
  </threadedComment>
  <threadedComment ref="BR48" dT="2025-08-28T13:46:17.42" personId="{6777EDD4-E46F-4979-A7E7-6FC0A82E0C8E}" id="{248FD869-831F-432B-9393-067AFF24BA6F}">
    <text>don’t have any open roles and no closures at the moment everything is on hold</text>
  </threadedComment>
  <threadedComment ref="BS48" dT="2025-08-28T13:46:17.42" personId="{6777EDD4-E46F-4979-A7E7-6FC0A82E0C8E}" id="{7B0E863F-B345-41DC-A555-A35493DAD59C}">
    <text>don’t have any open roles and no closures at the moment everything is on hold</text>
  </threadedComment>
  <threadedComment ref="BU48" dT="2025-08-28T13:46:17.42" personId="{6777EDD4-E46F-4979-A7E7-6FC0A82E0C8E}" id="{016A69B8-2E46-4E4F-87EF-BAC5BDE7836E}">
    <text>don’t have any open roles and no closures at the moment everything is on hold</text>
  </threadedComment>
  <threadedComment ref="W54" dT="2024-08-14T10:29:17.12" personId="{728803BD-3A25-4F6F-BA7C-1EDF8A148B73}" id="{994B3CB9-8FB1-444E-9CCD-99D4196563A6}">
    <text xml:space="preserve">No Hiring Demand </text>
  </threadedComment>
  <threadedComment ref="X54" dT="2024-08-14T10:29:17.12" personId="{728803BD-3A25-4F6F-BA7C-1EDF8A148B73}" id="{FABC1E83-7EE5-496C-B732-F1E85A5730BE}">
    <text xml:space="preserve">No Hiring Demand </text>
  </threadedComment>
  <threadedComment ref="Y54" dT="2024-09-13T12:11:32.61" personId="{728803BD-3A25-4F6F-BA7C-1EDF8A148B73}" id="{6A885BE8-D35E-4D3D-A29C-6D15899352C7}">
    <text xml:space="preserve">No Hiring Demand 
</text>
  </threadedComment>
  <threadedComment ref="Z54" dT="2024-09-13T12:11:32.61" personId="{728803BD-3A25-4F6F-BA7C-1EDF8A148B73}" id="{41367FC3-B77D-4D18-8F92-71ED17CEE1FC}">
    <text xml:space="preserve">No Hiring Demand 
</text>
  </threadedComment>
  <threadedComment ref="AG54" dT="2024-12-16T12:55:17.78" personId="{728803BD-3A25-4F6F-BA7C-1EDF8A148B73}" id="{1C6EE72D-FF0B-4ECF-896B-27E31223F254}">
    <text>No offered and Joiners cases</text>
  </threadedComment>
  <threadedComment ref="AH54" dT="2024-12-16T12:55:17.78" personId="{728803BD-3A25-4F6F-BA7C-1EDF8A148B73}" id="{4FF0EA40-B483-4404-8BA3-774F0B9B0562}">
    <text>No offered and Joiners cases</text>
  </threadedComment>
  <threadedComment ref="AI54" dT="2025-01-15T09:15:04.22" personId="{728803BD-3A25-4F6F-BA7C-1EDF8A148B73}" id="{7C3D651B-4E33-4F36-B6D7-A584BA0E1229}">
    <text>No Hiring Demand</text>
  </threadedComment>
  <threadedComment ref="AJ54" dT="2025-01-15T09:15:04.22" personId="{728803BD-3A25-4F6F-BA7C-1EDF8A148B73}" id="{ED9E9C61-C064-42CD-87FB-2975C0191275}">
    <text>No Hiring Demand</text>
  </threadedComment>
  <threadedComment ref="AM54" dT="2025-02-20T06:33:29.60" personId="{728803BD-3A25-4F6F-BA7C-1EDF8A148B73}" id="{74DB66A3-EAC4-4D74-A9D5-73D4EF731A59}">
    <text xml:space="preserve">No Hiring Demand </text>
  </threadedComment>
  <threadedComment ref="AN54" dT="2025-02-20T06:33:29.60" personId="{728803BD-3A25-4F6F-BA7C-1EDF8A148B73}" id="{812FF0F1-4A9E-4A49-846E-DFACCD3D90D7}">
    <text xml:space="preserve">No Hiring Demand </text>
  </threadedComment>
  <threadedComment ref="AO54" dT="2025-02-20T06:33:29.60" personId="{728803BD-3A25-4F6F-BA7C-1EDF8A148B73}" id="{13EFAAEE-7ED7-4E44-A7D6-4781779BA7C5}">
    <text xml:space="preserve">No Hiring Demand </text>
  </threadedComment>
  <threadedComment ref="AP54" dT="2025-02-20T06:33:29.60" personId="{728803BD-3A25-4F6F-BA7C-1EDF8A148B73}" id="{BF8DF3B3-EBD8-4292-B90F-DDF19E9714EF}">
    <text xml:space="preserve">No Hiring Demand </text>
  </threadedComment>
  <threadedComment ref="AQ54" dT="2025-02-20T06:33:29.60" personId="{728803BD-3A25-4F6F-BA7C-1EDF8A148B73}" id="{3F908CE8-A9C2-4C54-9705-63FE3B06FC52}">
    <text xml:space="preserve">No Hiring Demand </text>
  </threadedComment>
  <threadedComment ref="AR54" dT="2025-02-20T06:33:29.60" personId="{728803BD-3A25-4F6F-BA7C-1EDF8A148B73}" id="{212E3361-6E5D-4351-A362-1398853B77BA}">
    <text xml:space="preserve">No Hiring Demand </text>
  </threadedComment>
  <threadedComment ref="AS54" dT="2025-02-20T06:33:29.60" personId="{728803BD-3A25-4F6F-BA7C-1EDF8A148B73}" id="{E029F6AF-AA3D-4E74-BDC0-595FBBC8C28B}">
    <text xml:space="preserve">No Hiring Demand </text>
  </threadedComment>
  <threadedComment ref="AT54" dT="2025-02-20T06:33:29.60" personId="{728803BD-3A25-4F6F-BA7C-1EDF8A148B73}" id="{7D4A5E6B-FDC3-4A30-BE01-6448D3C679F1}">
    <text xml:space="preserve">No Hiring Demand </text>
  </threadedComment>
  <threadedComment ref="BG54" dT="2025-10-21T10:33:18.74" personId="{32192656-80C8-4310-B142-9CF98FC9C0EF}" id="{A17379F2-79DE-4CD4-8888-6D66E4E03A85}">
    <text>Position Freeze</text>
  </threadedComment>
  <threadedComment ref="BH54" dT="2025-10-21T10:33:33.85" personId="{32192656-80C8-4310-B142-9CF98FC9C0EF}" id="{BEEBC069-946B-4777-90B0-D8829F0603F4}">
    <text>Position Freeze</text>
  </threadedComment>
  <threadedComment ref="W55" dT="2024-08-14T10:29:17.12" personId="{728803BD-3A25-4F6F-BA7C-1EDF8A148B73}" id="{3DF5B16A-45FA-4D29-AA5A-E9AD38D30327}">
    <text xml:space="preserve">No Hiring Demand </text>
  </threadedComment>
  <threadedComment ref="X55" dT="2024-08-14T10:29:17.12" personId="{728803BD-3A25-4F6F-BA7C-1EDF8A148B73}" id="{AAA12C9E-5B40-40E0-A6D1-43F51403BDE5}">
    <text xml:space="preserve">No Hiring Demand </text>
  </threadedComment>
  <threadedComment ref="Y55" dT="2024-09-13T12:11:32.61" personId="{728803BD-3A25-4F6F-BA7C-1EDF8A148B73}" id="{B36297BE-8075-4277-BF32-0C50631D2257}">
    <text xml:space="preserve">No Hiring Demand 
</text>
  </threadedComment>
  <threadedComment ref="Z55" dT="2024-09-13T12:11:32.61" personId="{728803BD-3A25-4F6F-BA7C-1EDF8A148B73}" id="{2C69F066-427D-4E08-B28F-188D21FB50C4}">
    <text xml:space="preserve">No Hiring Demand 
</text>
  </threadedComment>
  <threadedComment ref="AG55" dT="2024-12-16T12:55:17.78" personId="{728803BD-3A25-4F6F-BA7C-1EDF8A148B73}" id="{A2D1DA50-7916-4385-83F9-8D1F03C2A9C3}">
    <text>No offered and Joiners cases</text>
  </threadedComment>
  <threadedComment ref="AH55" dT="2024-12-16T12:55:17.78" personId="{728803BD-3A25-4F6F-BA7C-1EDF8A148B73}" id="{EEEA91A9-C6DD-44A9-85C9-FE3A0F2AF0C2}">
    <text>No offered and Joiners cases</text>
  </threadedComment>
  <threadedComment ref="AI55" dT="2025-01-15T09:15:04.22" personId="{728803BD-3A25-4F6F-BA7C-1EDF8A148B73}" id="{F8D2499E-02F6-4E51-AF18-DAB562D91576}">
    <text>No Hiring Demand</text>
  </threadedComment>
  <threadedComment ref="AJ55" dT="2025-01-15T09:15:04.22" personId="{728803BD-3A25-4F6F-BA7C-1EDF8A148B73}" id="{53D1D3DD-6F0F-4031-9172-70E3B615DA6A}">
    <text>No Hiring Demand</text>
  </threadedComment>
  <threadedComment ref="AM55" dT="2025-02-20T06:33:29.60" personId="{728803BD-3A25-4F6F-BA7C-1EDF8A148B73}" id="{C569ADB3-F884-463B-9302-5890B3979B39}">
    <text xml:space="preserve">No Hiring Demand </text>
  </threadedComment>
  <threadedComment ref="AN55" dT="2025-02-20T06:33:29.60" personId="{728803BD-3A25-4F6F-BA7C-1EDF8A148B73}" id="{0B1DB9D1-DB2B-4BF4-A3DE-30D4C409CB1B}">
    <text xml:space="preserve">No Hiring Demand </text>
  </threadedComment>
  <threadedComment ref="AO55" dT="2025-02-20T06:33:29.60" personId="{728803BD-3A25-4F6F-BA7C-1EDF8A148B73}" id="{72740D2A-646E-469E-A5A1-95F65D465C1F}">
    <text xml:space="preserve">No Hiring Demand </text>
  </threadedComment>
  <threadedComment ref="AP55" dT="2025-02-20T06:33:29.60" personId="{728803BD-3A25-4F6F-BA7C-1EDF8A148B73}" id="{FF9D3123-BABF-4AE0-88C0-A9B8E28CBBF5}">
    <text xml:space="preserve">No Hiring Demand </text>
  </threadedComment>
  <threadedComment ref="AQ55" dT="2025-02-20T06:33:29.60" personId="{728803BD-3A25-4F6F-BA7C-1EDF8A148B73}" id="{F6CF1B07-E382-48A6-9560-9F99E49B554C}">
    <text xml:space="preserve">No Hiring Demand </text>
  </threadedComment>
  <threadedComment ref="AR55" dT="2025-02-20T06:33:29.60" personId="{728803BD-3A25-4F6F-BA7C-1EDF8A148B73}" id="{7070AE55-8E49-4209-BC91-35720C7DD13C}">
    <text xml:space="preserve">No Hiring Demand </text>
  </threadedComment>
  <threadedComment ref="AS55" dT="2025-02-20T06:33:29.60" personId="{728803BD-3A25-4F6F-BA7C-1EDF8A148B73}" id="{125DBF23-479A-467B-98B1-4B116B0FB5AB}">
    <text xml:space="preserve">No Hiring Demand </text>
  </threadedComment>
  <threadedComment ref="AT55" dT="2025-02-20T06:33:29.60" personId="{728803BD-3A25-4F6F-BA7C-1EDF8A148B73}" id="{7B4A0B02-BB9F-4157-A57B-C7552A682207}">
    <text xml:space="preserve">No Hiring Demand </text>
  </threadedComment>
  <threadedComment ref="BG55" dT="2025-10-21T10:33:18.74" personId="{32192656-80C8-4310-B142-9CF98FC9C0EF}" id="{08AE92E2-A0A0-480D-A92A-071A34A3FD83}">
    <text>Position Freeze</text>
  </threadedComment>
  <threadedComment ref="BH55" dT="2025-10-21T10:33:33.85" personId="{32192656-80C8-4310-B142-9CF98FC9C0EF}" id="{16E8BF96-27E8-4E34-A884-7AC24ADC1E63}">
    <text>Position Freeze</text>
  </threadedComment>
  <threadedComment ref="W56" dT="2024-08-14T10:29:17.12" personId="{728803BD-3A25-4F6F-BA7C-1EDF8A148B73}" id="{3CB18BAE-DFD8-48E3-A26C-2E45AB22CE62}">
    <text xml:space="preserve">No Hiring Demand </text>
  </threadedComment>
  <threadedComment ref="X56" dT="2024-08-14T10:29:17.12" personId="{728803BD-3A25-4F6F-BA7C-1EDF8A148B73}" id="{8DBCECEF-DD8D-46EA-87C2-3AC10E3C751D}">
    <text xml:space="preserve">No Hiring Demand </text>
  </threadedComment>
  <threadedComment ref="Y56" dT="2024-09-13T12:11:32.61" personId="{728803BD-3A25-4F6F-BA7C-1EDF8A148B73}" id="{5A21056E-34DC-43F5-A2F5-64257E19081B}">
    <text xml:space="preserve">No Hiring Demand 
</text>
  </threadedComment>
  <threadedComment ref="Z56" dT="2024-09-13T12:11:32.61" personId="{728803BD-3A25-4F6F-BA7C-1EDF8A148B73}" id="{69C9F012-DB38-4C51-BB81-3F838741A09D}">
    <text xml:space="preserve">No Hiring Demand 
</text>
  </threadedComment>
  <threadedComment ref="AG56" dT="2024-12-16T12:55:17.78" personId="{728803BD-3A25-4F6F-BA7C-1EDF8A148B73}" id="{C8D053BC-C9A0-4025-992C-2077F2153F84}">
    <text>No offered and Joiners cases</text>
  </threadedComment>
  <threadedComment ref="AH56" dT="2024-12-16T12:55:17.78" personId="{728803BD-3A25-4F6F-BA7C-1EDF8A148B73}" id="{3948A831-906C-4585-AE0D-795B8442A208}">
    <text>No offered and Joiners cases</text>
  </threadedComment>
  <threadedComment ref="AI56" dT="2025-01-15T09:15:04.22" personId="{728803BD-3A25-4F6F-BA7C-1EDF8A148B73}" id="{C3228A3F-D39D-4B2D-9F29-C7F7CAE7E689}">
    <text>No Hiring Demand</text>
  </threadedComment>
  <threadedComment ref="AJ56" dT="2025-01-15T09:15:04.22" personId="{728803BD-3A25-4F6F-BA7C-1EDF8A148B73}" id="{FDAAE8F9-FD5A-4E26-883E-10EE2780CF0F}">
    <text>No Hiring Demand</text>
  </threadedComment>
  <threadedComment ref="AM56" dT="2025-02-20T06:33:29.60" personId="{728803BD-3A25-4F6F-BA7C-1EDF8A148B73}" id="{7464B705-B106-4FC4-9507-3F21F5E72B34}">
    <text xml:space="preserve">No Hiring Demand </text>
  </threadedComment>
  <threadedComment ref="AN56" dT="2025-02-20T06:33:29.60" personId="{728803BD-3A25-4F6F-BA7C-1EDF8A148B73}" id="{A6879BED-5F82-4BEE-B2F1-519574C5E66F}">
    <text xml:space="preserve">No Hiring Demand </text>
  </threadedComment>
  <threadedComment ref="AO56" dT="2025-02-20T06:33:29.60" personId="{728803BD-3A25-4F6F-BA7C-1EDF8A148B73}" id="{7E65B07F-FAE2-4D85-B37B-44655BA76275}">
    <text xml:space="preserve">No Hiring Demand </text>
  </threadedComment>
  <threadedComment ref="AP56" dT="2025-02-20T06:33:29.60" personId="{728803BD-3A25-4F6F-BA7C-1EDF8A148B73}" id="{CF0BCB17-A384-4B48-8F4E-A088E0FBA17A}">
    <text xml:space="preserve">No Hiring Demand </text>
  </threadedComment>
  <threadedComment ref="AQ56" dT="2025-02-20T06:33:29.60" personId="{728803BD-3A25-4F6F-BA7C-1EDF8A148B73}" id="{5EDE2ADB-23BB-4BE6-9DF4-AAE02F56C455}">
    <text xml:space="preserve">No Hiring Demand </text>
  </threadedComment>
  <threadedComment ref="AR56" dT="2025-02-20T06:33:29.60" personId="{728803BD-3A25-4F6F-BA7C-1EDF8A148B73}" id="{87B0AE72-BAF3-4AF8-A3E4-D95CB7D96645}">
    <text xml:space="preserve">No Hiring Demand </text>
  </threadedComment>
  <threadedComment ref="AS56" dT="2025-02-20T06:33:29.60" personId="{728803BD-3A25-4F6F-BA7C-1EDF8A148B73}" id="{9ADFA08D-49B9-493C-880E-F734C12456DA}">
    <text xml:space="preserve">No Hiring Demand </text>
  </threadedComment>
  <threadedComment ref="AT56" dT="2025-02-20T06:33:29.60" personId="{728803BD-3A25-4F6F-BA7C-1EDF8A148B73}" id="{4B3286C7-4732-4670-87FB-30D7BDA9C9A5}">
    <text xml:space="preserve">No Hiring Demand </text>
  </threadedComment>
  <threadedComment ref="BG56" dT="2025-10-21T10:33:18.74" personId="{32192656-80C8-4310-B142-9CF98FC9C0EF}" id="{994F4DB8-6C7B-4C55-9E38-1A39A7398BB3}">
    <text>Position Freeze</text>
  </threadedComment>
  <threadedComment ref="BH56" dT="2025-10-21T10:33:33.85" personId="{32192656-80C8-4310-B142-9CF98FC9C0EF}" id="{98824436-BE07-4928-BC1E-649599B7E50F}">
    <text>Position Freeze</text>
  </threadedComment>
  <threadedComment ref="W57" dT="2024-08-14T10:29:17.12" personId="{728803BD-3A25-4F6F-BA7C-1EDF8A148B73}" id="{6C81F358-9677-4F30-820F-57EE0A9203BC}">
    <text xml:space="preserve">No Hiring Demand </text>
  </threadedComment>
  <threadedComment ref="X57" dT="2024-08-14T10:29:17.12" personId="{728803BD-3A25-4F6F-BA7C-1EDF8A148B73}" id="{508D410E-1425-4D30-9580-3E7904062C7F}">
    <text xml:space="preserve">No Hiring Demand </text>
  </threadedComment>
  <threadedComment ref="Y57" dT="2024-09-13T12:11:32.61" personId="{728803BD-3A25-4F6F-BA7C-1EDF8A148B73}" id="{331FD6EA-C066-468B-8568-DCD106DA48A2}">
    <text xml:space="preserve">No Hiring Demand 
</text>
  </threadedComment>
  <threadedComment ref="Z57" dT="2024-09-13T12:11:32.61" personId="{728803BD-3A25-4F6F-BA7C-1EDF8A148B73}" id="{8B7CC26D-D749-40C5-A733-710E1C37F02A}">
    <text xml:space="preserve">No Hiring Demand 
</text>
  </threadedComment>
  <threadedComment ref="AG57" dT="2024-12-16T12:55:17.78" personId="{728803BD-3A25-4F6F-BA7C-1EDF8A148B73}" id="{B04C7EFE-25A3-4CB1-87B2-72A86E589B97}">
    <text>No offered and Joiners cases</text>
  </threadedComment>
  <threadedComment ref="AH57" dT="2024-12-16T12:55:17.78" personId="{728803BD-3A25-4F6F-BA7C-1EDF8A148B73}" id="{2BAA1D1D-E915-49B5-8D78-BE0F83573D35}">
    <text>No offered and Joiners cases</text>
  </threadedComment>
  <threadedComment ref="AI57" dT="2025-01-15T09:15:04.22" personId="{728803BD-3A25-4F6F-BA7C-1EDF8A148B73}" id="{4BD565D3-EF4B-4C9D-8E16-0D1BC72FAD0B}">
    <text>No Hiring Demand</text>
  </threadedComment>
  <threadedComment ref="AJ57" dT="2025-01-15T09:15:04.22" personId="{728803BD-3A25-4F6F-BA7C-1EDF8A148B73}" id="{4ADF5901-1438-499C-8C7A-0FB216191869}">
    <text>No Hiring Demand</text>
  </threadedComment>
  <threadedComment ref="AM57" dT="2025-02-20T06:33:29.60" personId="{728803BD-3A25-4F6F-BA7C-1EDF8A148B73}" id="{A1594DED-9BF3-4BBF-B98D-3ECD6EA10CF8}">
    <text xml:space="preserve">No Hiring Demand </text>
  </threadedComment>
  <threadedComment ref="AN57" dT="2025-02-20T06:33:29.60" personId="{728803BD-3A25-4F6F-BA7C-1EDF8A148B73}" id="{FB345AE0-C3D2-4377-A27F-4078A84BCE4F}">
    <text xml:space="preserve">No Hiring Demand </text>
  </threadedComment>
  <threadedComment ref="AO57" dT="2025-02-20T06:33:29.60" personId="{728803BD-3A25-4F6F-BA7C-1EDF8A148B73}" id="{E004BA57-3B75-458E-BC1B-146800A4155E}">
    <text xml:space="preserve">No Hiring Demand </text>
  </threadedComment>
  <threadedComment ref="AP57" dT="2025-02-20T06:33:29.60" personId="{728803BD-3A25-4F6F-BA7C-1EDF8A148B73}" id="{A7181383-DD4B-4DCA-A74B-ED53AFA551A1}">
    <text xml:space="preserve">No Hiring Demand </text>
  </threadedComment>
  <threadedComment ref="AQ57" dT="2025-02-20T06:33:29.60" personId="{728803BD-3A25-4F6F-BA7C-1EDF8A148B73}" id="{3ABB9EDF-E442-4D69-9BB1-6AD7594EB4A3}">
    <text xml:space="preserve">No Hiring Demand </text>
  </threadedComment>
  <threadedComment ref="AR57" dT="2025-02-20T06:33:29.60" personId="{728803BD-3A25-4F6F-BA7C-1EDF8A148B73}" id="{E1198A24-D258-48A6-8EAA-93EF6AD0B572}">
    <text xml:space="preserve">No Hiring Demand </text>
  </threadedComment>
  <threadedComment ref="AS57" dT="2025-02-20T06:33:29.60" personId="{728803BD-3A25-4F6F-BA7C-1EDF8A148B73}" id="{B55AA76C-B9E5-451A-9DC1-452B18EAAC12}">
    <text xml:space="preserve">No Hiring Demand </text>
  </threadedComment>
  <threadedComment ref="AT57" dT="2025-02-20T06:33:29.60" personId="{728803BD-3A25-4F6F-BA7C-1EDF8A148B73}" id="{D7DC2A34-D971-4BAC-BFE2-B72180C10336}">
    <text xml:space="preserve">No Hiring Demand </text>
  </threadedComment>
  <threadedComment ref="BG57" dT="2025-10-21T10:33:18.74" personId="{32192656-80C8-4310-B142-9CF98FC9C0EF}" id="{6FE5C295-5139-41A3-ACE4-D737364E4071}">
    <text>Position Freeze</text>
  </threadedComment>
  <threadedComment ref="BH57" dT="2025-10-21T10:33:33.85" personId="{32192656-80C8-4310-B142-9CF98FC9C0EF}" id="{8D72691F-B368-4E31-B846-58E05B609712}">
    <text>Position Freeze</text>
  </threadedComment>
  <threadedComment ref="W58" dT="2024-08-14T10:29:17.12" personId="{728803BD-3A25-4F6F-BA7C-1EDF8A148B73}" id="{ACC666E5-8552-46D4-8725-C6645C19A564}">
    <text xml:space="preserve">No Hiring Demand </text>
  </threadedComment>
  <threadedComment ref="X58" dT="2024-08-14T10:29:17.12" personId="{728803BD-3A25-4F6F-BA7C-1EDF8A148B73}" id="{9D3BA211-9F93-4639-9B50-1C1701E0A3E4}">
    <text xml:space="preserve">No Hiring Demand </text>
  </threadedComment>
  <threadedComment ref="Y58" dT="2024-09-13T12:11:32.61" personId="{728803BD-3A25-4F6F-BA7C-1EDF8A148B73}" id="{84A3E616-7A94-4BFC-98E6-3191518FFA36}">
    <text xml:space="preserve">No Hiring Demand 
</text>
  </threadedComment>
  <threadedComment ref="Z58" dT="2024-09-13T12:11:32.61" personId="{728803BD-3A25-4F6F-BA7C-1EDF8A148B73}" id="{9B29B0DD-3CCF-400F-9923-F76E1F8F18FF}">
    <text xml:space="preserve">No Hiring Demand 
</text>
  </threadedComment>
  <threadedComment ref="AG58" dT="2024-12-16T12:55:17.78" personId="{728803BD-3A25-4F6F-BA7C-1EDF8A148B73}" id="{0F14A146-BE74-4733-9B9E-E7AF9A0ACDE9}">
    <text>No offered and Joiners cases</text>
  </threadedComment>
  <threadedComment ref="AH58" dT="2024-12-16T12:55:17.78" personId="{728803BD-3A25-4F6F-BA7C-1EDF8A148B73}" id="{7247FEAD-C2EC-4147-9E74-5C50969AC315}">
    <text>No offered and Joiners cases</text>
  </threadedComment>
  <threadedComment ref="AI58" dT="2025-01-15T09:15:04.22" personId="{728803BD-3A25-4F6F-BA7C-1EDF8A148B73}" id="{0C5A38F0-23BC-43FC-8A45-500B7CB538D6}">
    <text>No Hiring Demand</text>
  </threadedComment>
  <threadedComment ref="AJ58" dT="2025-01-15T09:15:04.22" personId="{728803BD-3A25-4F6F-BA7C-1EDF8A148B73}" id="{F22E7B2D-96D4-4628-868D-E5F3E04D425C}">
    <text>No Hiring Demand</text>
  </threadedComment>
  <threadedComment ref="AM58" dT="2025-02-20T06:33:29.60" personId="{728803BD-3A25-4F6F-BA7C-1EDF8A148B73}" id="{FC4134F8-2D95-4A6A-9413-BD0234DBEFDB}">
    <text xml:space="preserve">No Hiring Demand </text>
  </threadedComment>
  <threadedComment ref="AN58" dT="2025-02-20T06:33:29.60" personId="{728803BD-3A25-4F6F-BA7C-1EDF8A148B73}" id="{AA6BF00F-FE1E-4B1D-8D38-4F90DBF478AB}">
    <text xml:space="preserve">No Hiring Demand </text>
  </threadedComment>
  <threadedComment ref="AO58" dT="2025-02-20T06:33:29.60" personId="{728803BD-3A25-4F6F-BA7C-1EDF8A148B73}" id="{132F1B00-EB85-43CF-9D67-5EFC5C7F1ED3}">
    <text xml:space="preserve">No Hiring Demand </text>
  </threadedComment>
  <threadedComment ref="AP58" dT="2025-02-20T06:33:29.60" personId="{728803BD-3A25-4F6F-BA7C-1EDF8A148B73}" id="{FEBF6510-8BF8-46CF-A883-96DF2689DA93}">
    <text xml:space="preserve">No Hiring Demand </text>
  </threadedComment>
  <threadedComment ref="AQ58" dT="2025-02-20T06:33:29.60" personId="{728803BD-3A25-4F6F-BA7C-1EDF8A148B73}" id="{1FC9996E-45D6-4FAD-ACD4-9B2A0764D3B5}">
    <text xml:space="preserve">No Hiring Demand </text>
  </threadedComment>
  <threadedComment ref="AR58" dT="2025-02-20T06:33:29.60" personId="{728803BD-3A25-4F6F-BA7C-1EDF8A148B73}" id="{C5FC2005-F4FD-4FDE-ADC3-181212B888EB}">
    <text xml:space="preserve">No Hiring Demand </text>
  </threadedComment>
  <threadedComment ref="AS58" dT="2025-02-20T06:33:29.60" personId="{728803BD-3A25-4F6F-BA7C-1EDF8A148B73}" id="{4820E139-F74D-4884-AABD-9A4BE3E4B033}">
    <text xml:space="preserve">No Hiring Demand </text>
  </threadedComment>
  <threadedComment ref="AT58" dT="2025-02-20T06:33:29.60" personId="{728803BD-3A25-4F6F-BA7C-1EDF8A148B73}" id="{2E778669-A5CB-4F0F-99A8-E1EEBA0314D5}">
    <text xml:space="preserve">No Hiring Demand </text>
  </threadedComment>
  <threadedComment ref="BG58" dT="2025-10-21T10:33:18.74" personId="{32192656-80C8-4310-B142-9CF98FC9C0EF}" id="{98EF35E9-51DE-4B86-918C-82F59E0CE942}">
    <text>Position Freeze</text>
  </threadedComment>
  <threadedComment ref="BH58" dT="2025-10-21T10:33:33.85" personId="{32192656-80C8-4310-B142-9CF98FC9C0EF}" id="{65E208F9-2CAA-4D30-8D1B-C184C86086ED}">
    <text>Position Freeze</text>
  </threadedComment>
  <threadedComment ref="Q59" dT="2024-05-11T06:59:53.08" personId="{728803BD-3A25-4F6F-BA7C-1EDF8A148B73}" id="{A32D62FD-43F9-4047-8F52-2ADD717D922B}">
    <text>No Joiners in the month of Apr'24</text>
  </threadedComment>
  <threadedComment ref="R59" dT="2024-05-11T06:59:53.08" personId="{728803BD-3A25-4F6F-BA7C-1EDF8A148B73}" id="{0D3EA517-F197-4E04-88FD-E08BB96DD014}">
    <text>No Joiners in the month of Apr'24</text>
  </threadedComment>
  <threadedComment ref="W59" dT="2024-08-14T10:29:17.12" personId="{728803BD-3A25-4F6F-BA7C-1EDF8A148B73}" id="{02EECCE9-09AC-454F-9867-8719B325EA11}">
    <text xml:space="preserve">No Hiring Demand </text>
  </threadedComment>
  <threadedComment ref="X59" dT="2024-08-14T10:29:17.12" personId="{728803BD-3A25-4F6F-BA7C-1EDF8A148B73}" id="{771234F4-ACCC-4745-92CB-B5CCE985BD74}">
    <text xml:space="preserve">No Hiring Demand </text>
  </threadedComment>
  <threadedComment ref="Y59" dT="2024-09-13T12:11:32.61" personId="{728803BD-3A25-4F6F-BA7C-1EDF8A148B73}" id="{1B1A0614-EE17-417E-8B65-B7AC16D92CC7}">
    <text xml:space="preserve">No Hiring Demand 
</text>
  </threadedComment>
  <threadedComment ref="Z59" dT="2024-09-13T12:11:32.61" personId="{728803BD-3A25-4F6F-BA7C-1EDF8A148B73}" id="{BE91E7AE-0437-4750-B6C1-F3ECF5476C05}">
    <text xml:space="preserve">No Hiring Demand 
</text>
  </threadedComment>
  <threadedComment ref="AG59" dT="2024-12-16T12:55:17.78" personId="{728803BD-3A25-4F6F-BA7C-1EDF8A148B73}" id="{0DCD4048-7168-46C7-B4DB-C9B79C8339BB}">
    <text>No offered and Joiners cases</text>
  </threadedComment>
  <threadedComment ref="AH59" dT="2024-12-16T12:55:17.78" personId="{728803BD-3A25-4F6F-BA7C-1EDF8A148B73}" id="{B93B9505-0FAA-48B7-94F3-543CEB50DB5E}">
    <text>No offered and Joiners cases</text>
  </threadedComment>
  <threadedComment ref="AI59" dT="2025-01-15T09:15:04.22" personId="{728803BD-3A25-4F6F-BA7C-1EDF8A148B73}" id="{6FB4DC3B-750F-46D1-8A91-0FE78484D010}">
    <text>No Hiring Demand</text>
  </threadedComment>
  <threadedComment ref="AJ59" dT="2025-01-15T09:15:04.22" personId="{728803BD-3A25-4F6F-BA7C-1EDF8A148B73}" id="{93D86F38-29C9-474C-81FA-EA29CB9121D6}">
    <text>No Hiring Demand</text>
  </threadedComment>
  <threadedComment ref="AM59" dT="2025-02-20T06:33:29.60" personId="{728803BD-3A25-4F6F-BA7C-1EDF8A148B73}" id="{9006CA1C-7C0C-4556-BC26-25F0E7A94935}">
    <text xml:space="preserve">No Hiring Demand </text>
  </threadedComment>
  <threadedComment ref="AN59" dT="2025-02-20T06:33:29.60" personId="{728803BD-3A25-4F6F-BA7C-1EDF8A148B73}" id="{2F9CF36F-C824-45D8-A01B-239B1477EA54}">
    <text xml:space="preserve">No Hiring Demand </text>
  </threadedComment>
  <threadedComment ref="AO59" dT="2025-02-20T06:33:29.60" personId="{728803BD-3A25-4F6F-BA7C-1EDF8A148B73}" id="{A24BA826-C197-4128-B477-4C3C2304FC1C}">
    <text xml:space="preserve">No Hiring Demand </text>
  </threadedComment>
  <threadedComment ref="AP59" dT="2025-02-20T06:33:29.60" personId="{728803BD-3A25-4F6F-BA7C-1EDF8A148B73}" id="{1B274DC6-A577-4E9C-95AC-391CD91C8893}">
    <text xml:space="preserve">No Hiring Demand </text>
  </threadedComment>
  <threadedComment ref="AQ59" dT="2025-02-20T06:33:29.60" personId="{728803BD-3A25-4F6F-BA7C-1EDF8A148B73}" id="{65CD44FD-044C-40E2-8864-237D98ABEADA}">
    <text xml:space="preserve">No Hiring Demand </text>
  </threadedComment>
  <threadedComment ref="AR59" dT="2025-02-20T06:33:29.60" personId="{728803BD-3A25-4F6F-BA7C-1EDF8A148B73}" id="{CA52082D-3122-468B-8642-7A61D45809F7}">
    <text xml:space="preserve">No Hiring Demand </text>
  </threadedComment>
  <threadedComment ref="AS59" dT="2025-02-20T06:33:29.60" personId="{728803BD-3A25-4F6F-BA7C-1EDF8A148B73}" id="{FEC83F89-3CC6-4A7A-A666-B350FEDE9845}">
    <text xml:space="preserve">No Hiring Demand </text>
  </threadedComment>
  <threadedComment ref="AT59" dT="2025-02-20T06:33:29.60" personId="{728803BD-3A25-4F6F-BA7C-1EDF8A148B73}" id="{7D1C0E55-C64E-402B-9F57-8D2564ABD58F}">
    <text xml:space="preserve">No Hiring Demand </text>
  </threadedComment>
  <threadedComment ref="BG59" dT="2025-10-21T10:33:18.74" personId="{32192656-80C8-4310-B142-9CF98FC9C0EF}" id="{552BA13F-1871-4312-B27D-1EF55AC7FAEE}">
    <text>Position Freeze</text>
  </threadedComment>
  <threadedComment ref="BH59" dT="2025-10-21T10:33:33.85" personId="{32192656-80C8-4310-B142-9CF98FC9C0EF}" id="{232740A9-CA59-49AC-8F0D-1041F1699E30}">
    <text>Position Freeze</text>
  </threadedComment>
  <threadedComment ref="W60" dT="2024-08-14T10:29:17.12" personId="{728803BD-3A25-4F6F-BA7C-1EDF8A148B73}" id="{2EE3F2AD-6379-4D3F-A566-B650711D2216}">
    <text xml:space="preserve">No Hiring Demand </text>
  </threadedComment>
  <threadedComment ref="X60" dT="2024-08-14T10:29:17.12" personId="{728803BD-3A25-4F6F-BA7C-1EDF8A148B73}" id="{88E1D59D-AF7F-4AE8-B5B9-B5ED7B46B58F}">
    <text xml:space="preserve">No Hiring Demand </text>
  </threadedComment>
  <threadedComment ref="BG60" dT="2025-10-21T10:33:18.74" personId="{32192656-80C8-4310-B142-9CF98FC9C0EF}" id="{1BDAE497-49F9-4633-AAAA-D7C725C8BE2A}">
    <text>Position Freeze</text>
  </threadedComment>
  <threadedComment ref="BH60" dT="2025-10-21T10:33:33.85" personId="{32192656-80C8-4310-B142-9CF98FC9C0EF}" id="{27CB4989-1617-4D9E-8CE0-0FA8B03F144B}">
    <text>Position Freeze</text>
  </threadedComment>
  <threadedComment ref="W61" dT="2024-08-14T10:29:17.12" personId="{728803BD-3A25-4F6F-BA7C-1EDF8A148B73}" id="{8EB16ECA-E009-444B-9F5A-3269025FE657}">
    <text xml:space="preserve">No Hiring Demand </text>
  </threadedComment>
  <threadedComment ref="X61" dT="2024-08-14T10:29:17.12" personId="{728803BD-3A25-4F6F-BA7C-1EDF8A148B73}" id="{A74AC634-437D-4E98-8023-2B2D4A370A80}">
    <text xml:space="preserve">No Hiring Demand </text>
  </threadedComment>
  <threadedComment ref="BG61" dT="2025-10-21T10:33:18.74" personId="{32192656-80C8-4310-B142-9CF98FC9C0EF}" id="{CD79AFCC-E5A6-40CE-9BC1-B5509FC3C086}">
    <text>Position Freeze</text>
  </threadedComment>
  <threadedComment ref="BH61" dT="2025-10-21T10:33:33.85" personId="{32192656-80C8-4310-B142-9CF98FC9C0EF}" id="{230B24A4-E528-4186-B26E-892454BD6995}">
    <text>Position Freeze</text>
  </threadedComment>
  <threadedComment ref="AG62" dT="2024-12-16T12:55:17.78" personId="{728803BD-3A25-4F6F-BA7C-1EDF8A148B73}" id="{D10F3B64-2A49-495B-A4CE-C8994E79C938}">
    <text>No offered and Joiners cases</text>
  </threadedComment>
  <threadedComment ref="AH62" dT="2024-12-16T12:55:17.78" personId="{728803BD-3A25-4F6F-BA7C-1EDF8A148B73}" id="{2710EB0E-6B45-4905-AA9D-335C9B6AB8F4}">
    <text>No offered and Joiners cases</text>
  </threadedComment>
  <threadedComment ref="BG62" dT="2025-10-21T10:33:18.74" personId="{32192656-80C8-4310-B142-9CF98FC9C0EF}" id="{7B245ABD-3478-4B57-BD72-4B5AAF3E4B5D}">
    <text>Position Freeze</text>
  </threadedComment>
  <threadedComment ref="BH62" dT="2025-10-21T10:33:33.85" personId="{32192656-80C8-4310-B142-9CF98FC9C0EF}" id="{8E0B4ADB-8993-455A-8627-D7430BB2DCCC}">
    <text>Position Freeze</text>
  </threadedComment>
  <threadedComment ref="AG63" dT="2024-12-16T12:55:17.78" personId="{728803BD-3A25-4F6F-BA7C-1EDF8A148B73}" id="{4BC9CBD2-F744-486D-B5C5-B88D071C4F32}">
    <text>No offered and Joiners cases</text>
  </threadedComment>
  <threadedComment ref="AH63" dT="2024-12-16T12:55:17.78" personId="{728803BD-3A25-4F6F-BA7C-1EDF8A148B73}" id="{6FAD82AA-0B98-4AB6-9594-43649BB833E9}">
    <text>No offered and Joiners cases</text>
  </threadedComment>
  <threadedComment ref="BG63" dT="2025-10-21T10:33:18.74" personId="{32192656-80C8-4310-B142-9CF98FC9C0EF}" id="{204EB5FF-9AB8-4015-9D78-445C69A6DEB8}">
    <text>Position Freeze</text>
  </threadedComment>
  <threadedComment ref="BH63" dT="2025-10-21T10:33:33.85" personId="{32192656-80C8-4310-B142-9CF98FC9C0EF}" id="{A3571689-57C3-4F05-A82A-57CCF3F61321}">
    <text>Position Freeze</text>
  </threadedComment>
  <threadedComment ref="AG64" dT="2024-12-16T12:55:17.78" personId="{728803BD-3A25-4F6F-BA7C-1EDF8A148B73}" id="{775F1FD7-9C58-4696-8EC8-15AE026D8F03}">
    <text>No offered and Joiners cases</text>
  </threadedComment>
  <threadedComment ref="AH64" dT="2024-12-16T12:55:17.78" personId="{728803BD-3A25-4F6F-BA7C-1EDF8A148B73}" id="{4D7FCDD4-526F-4AA6-8D01-7DA6CD3DAEFD}">
    <text>No offered and Joiners cases</text>
  </threadedComment>
  <threadedComment ref="BG64" dT="2025-10-21T10:33:18.74" personId="{32192656-80C8-4310-B142-9CF98FC9C0EF}" id="{FDF53B75-673E-4122-A289-A6C469A62FF8}">
    <text>Position Freeze</text>
  </threadedComment>
  <threadedComment ref="BH64" dT="2025-10-21T10:33:33.85" personId="{32192656-80C8-4310-B142-9CF98FC9C0EF}" id="{6AB24675-302C-473C-8E74-2841AF417022}">
    <text>Position Freeze</text>
  </threadedComment>
  <threadedComment ref="AG65" dT="2024-12-16T12:55:17.78" personId="{728803BD-3A25-4F6F-BA7C-1EDF8A148B73}" id="{A24A8257-4CE3-4FC5-95F7-29BE4DAB531F}">
    <text>No offered and Joiners cases</text>
  </threadedComment>
  <threadedComment ref="AH65" dT="2024-12-16T12:55:17.78" personId="{728803BD-3A25-4F6F-BA7C-1EDF8A148B73}" id="{5D809C93-4B90-4CA4-94C3-4DAD74A90C09}">
    <text>No offered and Joiners cases</text>
  </threadedComment>
  <threadedComment ref="BE65" dT="2025-09-29T10:28:05.88" personId="{32192656-80C8-4310-B142-9CF98FC9C0EF}" id="{781CF9EC-7AAB-42CE-B1A2-26CA3AABE258}">
    <text>Validated</text>
  </threadedComment>
  <threadedComment ref="BG65" dT="2025-10-21T10:33:18.74" personId="{32192656-80C8-4310-B142-9CF98FC9C0EF}" id="{541E5634-5CE1-4E36-BC62-9AFCE5CE68A8}">
    <text>Position Freeze</text>
  </threadedComment>
  <threadedComment ref="BH65" dT="2025-10-21T10:33:33.85" personId="{32192656-80C8-4310-B142-9CF98FC9C0EF}" id="{541632EB-B3BE-44D5-9FB9-3C8E23DF5660}">
    <text>Position Freeze</text>
  </threadedComment>
  <threadedComment ref="AG66" dT="2024-12-16T12:55:17.78" personId="{728803BD-3A25-4F6F-BA7C-1EDF8A148B73}" id="{BDE55AFB-D3AB-492E-87AA-80524ED7266F}">
    <text>No offered and Joiners cases</text>
  </threadedComment>
  <threadedComment ref="AH66" dT="2024-12-16T12:55:17.78" personId="{728803BD-3A25-4F6F-BA7C-1EDF8A148B73}" id="{797EE97A-3A5D-4185-B9C3-C4C202794BDE}">
    <text>No offered and Joiners cases</text>
  </threadedComment>
  <threadedComment ref="BE66" dT="2025-09-29T10:28:05.88" personId="{32192656-80C8-4310-B142-9CF98FC9C0EF}" id="{49B58B73-2323-46EE-ABA5-BADF688150C9}">
    <text>Validated</text>
  </threadedComment>
  <threadedComment ref="BG66" dT="2025-10-21T10:33:18.74" personId="{32192656-80C8-4310-B142-9CF98FC9C0EF}" id="{1370419F-D928-4B10-8D80-2E282AD7E3A9}">
    <text>Position Freeze</text>
  </threadedComment>
  <threadedComment ref="BH66" dT="2025-10-21T10:33:33.85" personId="{32192656-80C8-4310-B142-9CF98FC9C0EF}" id="{A9973E6E-C9CC-4CB6-835F-F61D05A5E3CE}">
    <text>Position Freeze</text>
  </threadedComment>
  <threadedComment ref="AG67" dT="2024-12-16T12:55:17.78" personId="{728803BD-3A25-4F6F-BA7C-1EDF8A148B73}" id="{77A4FB51-5B10-43B1-ABFE-5D7F2197D802}">
    <text>No offered and Joiners cases</text>
  </threadedComment>
  <threadedComment ref="AH67" dT="2024-12-16T12:55:17.78" personId="{728803BD-3A25-4F6F-BA7C-1EDF8A148B73}" id="{AB273CA6-CAF1-4CD9-B347-B4A649CCF1B7}">
    <text>No offered and Joiners cases</text>
  </threadedComment>
  <threadedComment ref="BE67" dT="2025-09-29T10:28:05.88" personId="{32192656-80C8-4310-B142-9CF98FC9C0EF}" id="{063D041A-319A-4AE6-8C34-80C6D96FA34B}">
    <text>Validated</text>
  </threadedComment>
  <threadedComment ref="BG67" dT="2025-10-21T10:33:18.74" personId="{32192656-80C8-4310-B142-9CF98FC9C0EF}" id="{819AB9AC-AE28-410C-AF07-0458D141DD80}">
    <text>Position Freeze</text>
  </threadedComment>
  <threadedComment ref="BH67" dT="2025-10-21T10:33:33.85" personId="{32192656-80C8-4310-B142-9CF98FC9C0EF}" id="{2EBADB00-0FC0-4E65-8C34-BC9FEEAC19CC}">
    <text>Position Freeze</text>
  </threadedComment>
  <threadedComment ref="AG68" dT="2024-12-16T12:55:17.78" personId="{728803BD-3A25-4F6F-BA7C-1EDF8A148B73}" id="{9CB4CF17-DDFB-45CB-8B0F-AF3BFFE046AB}">
    <text>No offered and Joiners cases</text>
  </threadedComment>
  <threadedComment ref="AH68" dT="2024-12-16T12:55:17.78" personId="{728803BD-3A25-4F6F-BA7C-1EDF8A148B73}" id="{1E2E1C20-FE3D-4E19-B873-D17C67FEF12E}">
    <text>No offered and Joiners cases</text>
  </threadedComment>
  <threadedComment ref="BE68" dT="2025-09-29T10:28:05.88" personId="{32192656-80C8-4310-B142-9CF98FC9C0EF}" id="{27ECB177-E6A1-40EE-BD99-6B759D66DC61}">
    <text>Validated</text>
  </threadedComment>
  <threadedComment ref="BG68" dT="2025-10-21T10:33:18.74" personId="{32192656-80C8-4310-B142-9CF98FC9C0EF}" id="{51BB256D-AC7D-46F5-A2FA-34AB5B23843B}">
    <text>Position Freeze</text>
  </threadedComment>
  <threadedComment ref="BH68" dT="2025-10-21T10:33:33.85" personId="{32192656-80C8-4310-B142-9CF98FC9C0EF}" id="{139F7135-1CCB-4698-AE12-6BD03615EFC6}">
    <text>Position Freeze</text>
  </threadedComment>
  <threadedComment ref="AG69" dT="2024-12-16T13:00:03.00" personId="{728803BD-3A25-4F6F-BA7C-1EDF8A148B73}" id="{BDA896AB-F5A5-4097-A6A3-BE74A752EC2A}">
    <text>No Offers and Joiners cases</text>
  </threadedComment>
  <threadedComment ref="AH69" dT="2024-12-16T13:00:03.00" personId="{728803BD-3A25-4F6F-BA7C-1EDF8A148B73}" id="{9C605B83-0E60-4734-BEBB-9211EFFCF7AC}">
    <text>No Offers and Joiners cases</text>
  </threadedComment>
  <threadedComment ref="BG69" dT="2025-10-21T10:33:18.74" personId="{32192656-80C8-4310-B142-9CF98FC9C0EF}" id="{67FE8BA6-49B3-43EA-A78C-399344C5E6E7}">
    <text>Position Freeze</text>
  </threadedComment>
  <threadedComment ref="BH69" dT="2025-10-21T10:33:33.85" personId="{32192656-80C8-4310-B142-9CF98FC9C0EF}" id="{D0DA5D25-BC71-48C7-B1B5-075345E83CE1}">
    <text>Position Freeze</text>
  </threadedComment>
  <threadedComment ref="AW70" dT="2025-06-24T10:20:10.29" personId="{32192656-80C8-4310-B142-9CF98FC9C0EF}" id="{D7343F6A-DEE6-4E38-B39E-D63F135E21FE}">
    <text>Validated</text>
  </threadedComment>
  <threadedComment ref="AY70" dT="2025-07-23T05:26:43.11" personId="{32192656-80C8-4310-B142-9CF98FC9C0EF}" id="{8BCB4098-1AA0-4378-9333-97740445F920}">
    <text>Validated</text>
  </threadedComment>
  <threadedComment ref="BA70" dT="2025-07-23T05:26:43.11" personId="{32192656-80C8-4310-B142-9CF98FC9C0EF}" id="{71734302-84DD-4A14-8C3B-AB9A35419A3F}">
    <text>Validated</text>
  </threadedComment>
  <threadedComment ref="BG70" dT="2025-10-21T10:33:18.74" personId="{32192656-80C8-4310-B142-9CF98FC9C0EF}" id="{C1417462-7726-44F5-8629-986881996471}">
    <text>Position Freeze</text>
  </threadedComment>
  <threadedComment ref="BH70" dT="2025-10-21T10:33:33.85" personId="{32192656-80C8-4310-B142-9CF98FC9C0EF}" id="{9B2D96F2-0795-4DB7-BD4F-8DE00BB879D6}">
    <text>Position Freeze</text>
  </threadedComment>
  <threadedComment ref="BK70" dT="2025-11-24T11:34:18.28" personId="{32192656-80C8-4310-B142-9CF98FC9C0EF}" id="{08185568-1B85-4059-8339-3A97D13233C3}">
    <text>Validated</text>
  </threadedComment>
  <threadedComment ref="BL70" dT="2025-08-28T13:46:17.42" personId="{6777EDD4-E46F-4979-A7E7-6FC0A82E0C8E}" id="{6BC4EBC3-353F-4152-9439-3CEBA4C6BF2A}">
    <text>don’t have any open roles and no closures at the moment everything is on hold</text>
  </threadedComment>
  <threadedComment ref="BM70" dT="2025-12-23T11:13:42.17" personId="{1798D1B1-3098-46B1-91A2-D4C92B7E122A}" id="{79933E4A-DC00-4C70-AB4B-7FD6D7924DF5}">
    <text>Cannot validate due to incomplete base file</text>
  </threadedComment>
  <threadedComment ref="BN70" dT="2025-08-28T13:46:17.42" personId="{6777EDD4-E46F-4979-A7E7-6FC0A82E0C8E}" id="{AAD4592B-1E5F-4F43-8473-437F7FDC296B}">
    <text>don’t have any open roles and no closures at the moment everything is on hold</text>
  </threadedComment>
  <threadedComment ref="BP70" dT="2025-08-28T13:46:17.42" personId="{6777EDD4-E46F-4979-A7E7-6FC0A82E0C8E}" id="{0E2053B3-3D35-4AE3-A62C-F3DAC3F8E777}">
    <text>don’t have any open roles and no closures at the moment everything is on hold</text>
  </threadedComment>
  <threadedComment ref="BR70" dT="2025-08-28T13:46:17.42" personId="{6777EDD4-E46F-4979-A7E7-6FC0A82E0C8E}" id="{9E807071-8139-40EE-8C8F-F9380729E346}">
    <text>don’t have any open roles and no closures at the moment everything is on hold</text>
  </threadedComment>
  <threadedComment ref="BU70" dT="2025-11-24T11:34:26.81" personId="{32192656-80C8-4310-B142-9CF98FC9C0EF}" id="{6F5A8A9B-1D76-4F25-9276-6C13966EC6CF}">
    <text>Validated</text>
  </threadedComment>
  <threadedComment ref="AY71" dT="2025-07-23T05:26:43.11" personId="{32192656-80C8-4310-B142-9CF98FC9C0EF}" id="{55B01B46-0C5A-4C8F-AC8B-72E7EBCD22E9}">
    <text>Validated</text>
  </threadedComment>
  <threadedComment ref="BA71" dT="2025-07-23T05:26:43.11" personId="{32192656-80C8-4310-B142-9CF98FC9C0EF}" id="{DFBA845C-3BF7-4686-9D63-A659696F0DFC}">
    <text>Validated</text>
  </threadedComment>
  <threadedComment ref="BG71" dT="2025-10-21T10:33:18.74" personId="{32192656-80C8-4310-B142-9CF98FC9C0EF}" id="{5BC21806-2E4C-4786-A309-60A37695AB52}">
    <text>Position Freeze</text>
  </threadedComment>
  <threadedComment ref="BH71" dT="2025-10-21T10:33:33.85" personId="{32192656-80C8-4310-B142-9CF98FC9C0EF}" id="{B37BBD82-3875-49F2-B5C9-4C88719B8E35}">
    <text>Position Freeze</text>
  </threadedComment>
  <threadedComment ref="BK71" dT="2025-11-24T11:29:23.29" personId="{32192656-80C8-4310-B142-9CF98FC9C0EF}" id="{1F94A96E-EA29-42CB-BDD3-4DDED1FC70EF}">
    <text>Validated</text>
  </threadedComment>
  <threadedComment ref="BM71" dT="2025-12-23T11:13:52.58" personId="{1798D1B1-3098-46B1-91A2-D4C92B7E122A}" id="{30E4A0CA-3CB7-4A9F-ADFE-8D0E21B64A5F}">
    <text>Cannot validate due to incomplete base file</text>
  </threadedComment>
  <threadedComment ref="BU71" dT="2025-11-24T11:29:32.61" personId="{32192656-80C8-4310-B142-9CF98FC9C0EF}" id="{548BC571-EABD-49C0-9364-4C062DE40848}">
    <text>Validated</text>
  </threadedComment>
  <threadedComment ref="AG72" dT="2024-12-16T13:00:03.00" personId="{728803BD-3A25-4F6F-BA7C-1EDF8A148B73}" id="{19501B31-4F77-4373-8FD5-4D0AB7B00756}">
    <text>No Offers and Joiners cases</text>
  </threadedComment>
  <threadedComment ref="AH72" dT="2024-12-16T13:00:03.00" personId="{728803BD-3A25-4F6F-BA7C-1EDF8A148B73}" id="{097D3D8C-9F5E-4EFD-9BDA-6746CC89E3C8}">
    <text>No Offers and Joiners cases</text>
  </threadedComment>
  <threadedComment ref="BG72" dT="2025-10-21T10:33:18.74" personId="{32192656-80C8-4310-B142-9CF98FC9C0EF}" id="{17B9915E-0949-45D8-9F60-5B330F9A95F6}">
    <text>Position Freeze</text>
  </threadedComment>
  <threadedComment ref="BH72" dT="2025-10-21T10:33:33.85" personId="{32192656-80C8-4310-B142-9CF98FC9C0EF}" id="{C42B7965-E20E-41D8-AADB-8619D9EA44D9}">
    <text>Position Freeze</text>
  </threadedComment>
  <threadedComment ref="AG73" dT="2024-12-16T12:55:17.78" personId="{728803BD-3A25-4F6F-BA7C-1EDF8A148B73}" id="{7074ABE0-9DC8-43D8-A106-94622A5CCDC3}">
    <text>No offered and Joiners cases</text>
  </threadedComment>
  <threadedComment ref="AH73" dT="2024-12-16T12:55:17.78" personId="{728803BD-3A25-4F6F-BA7C-1EDF8A148B73}" id="{53914DBD-8F63-4D9E-9E65-B5A1D7416AE4}">
    <text>No offered and Joiners cases</text>
  </threadedComment>
  <threadedComment ref="BG73" dT="2025-10-21T10:33:18.74" personId="{32192656-80C8-4310-B142-9CF98FC9C0EF}" id="{115E0FD4-92F1-4226-BAAA-A5EB66D7FC34}">
    <text>Position Freeze</text>
  </threadedComment>
  <threadedComment ref="BH73" dT="2025-10-21T10:33:33.85" personId="{32192656-80C8-4310-B142-9CF98FC9C0EF}" id="{6C782FE0-8DD7-4CC2-B1FB-B596DF3F2C30}">
    <text>Position Freeze</text>
  </threadedComment>
  <threadedComment ref="AG74" dT="2024-12-16T13:00:03.00" personId="{728803BD-3A25-4F6F-BA7C-1EDF8A148B73}" id="{0FBA5339-1389-47EA-A7EE-6691E2B46DF2}">
    <text>No Offers and Joiners cases</text>
  </threadedComment>
  <threadedComment ref="AH74" dT="2024-12-16T13:00:03.00" personId="{728803BD-3A25-4F6F-BA7C-1EDF8A148B73}" id="{CE5C1118-C63A-4A2E-AD78-82DA47573FA5}">
    <text>No Offers and Joiners cases</text>
  </threadedComment>
  <threadedComment ref="BG74" dT="2025-10-21T10:33:18.74" personId="{32192656-80C8-4310-B142-9CF98FC9C0EF}" id="{5350E397-7786-4F05-BF6B-E821DBAE7070}">
    <text>Position Freeze</text>
  </threadedComment>
  <threadedComment ref="BH74" dT="2025-10-21T10:33:33.85" personId="{32192656-80C8-4310-B142-9CF98FC9C0EF}" id="{02F88856-DB48-49B5-9121-1F4B53218DDD}">
    <text>Position Freeze</text>
  </threadedComment>
  <threadedComment ref="BG75" dT="2025-10-21T10:33:18.74" personId="{32192656-80C8-4310-B142-9CF98FC9C0EF}" id="{DE6F8CE6-4A28-44E2-AAFE-A323F63AC3C2}">
    <text>Position Freeze</text>
  </threadedComment>
  <threadedComment ref="BH75" dT="2025-10-21T10:33:33.85" personId="{32192656-80C8-4310-B142-9CF98FC9C0EF}" id="{5F279A28-0412-4167-97FB-F80D0FB458A7}">
    <text>Position Freeze</text>
  </threadedComment>
  <threadedComment ref="BG76" dT="2025-10-21T10:33:18.74" personId="{32192656-80C8-4310-B142-9CF98FC9C0EF}" id="{33D5F080-AADE-42FB-80A0-2D5F38847805}">
    <text>Position Freeze</text>
  </threadedComment>
  <threadedComment ref="BH76" dT="2025-10-21T10:33:33.85" personId="{32192656-80C8-4310-B142-9CF98FC9C0EF}" id="{C1E9B12C-F267-48B1-ACCB-0ACC8D187968}">
    <text>Position Freeze</text>
  </threadedComment>
  <threadedComment ref="BG77" dT="2025-10-21T10:33:18.74" personId="{32192656-80C8-4310-B142-9CF98FC9C0EF}" id="{3B4F175D-A3EE-4D2F-8451-B7B67588B0A1}">
    <text>Position Freeze</text>
  </threadedComment>
  <threadedComment ref="BH77" dT="2025-10-21T10:33:33.85" personId="{32192656-80C8-4310-B142-9CF98FC9C0EF}" id="{5D76B02A-29D1-4A2E-8AB4-3D604AA9B663}">
    <text>Position Freeze</text>
  </threadedComment>
  <threadedComment ref="AU78" dT="2025-05-21T12:13:52.95" personId="{32192656-80C8-4310-B142-9CF98FC9C0EF}" id="{7EC51359-C93B-48B7-9D6E-B19E1CFEB773}">
    <text>Validated</text>
  </threadedComment>
  <threadedComment ref="AW78" dT="2025-06-24T10:20:10.29" personId="{32192656-80C8-4310-B142-9CF98FC9C0EF}" id="{2AC4FBFF-E085-480A-B353-E43089C0D4CE}">
    <text>Validated</text>
  </threadedComment>
  <threadedComment ref="AY78" dT="2025-07-22T13:24:16.43" personId="{32192656-80C8-4310-B142-9CF98FC9C0EF}" id="{DEFF122E-CB71-45B8-88DB-D5DC259DEE47}">
    <text>Validated</text>
  </threadedComment>
  <threadedComment ref="BA78" dT="2025-07-22T13:24:16.43" personId="{32192656-80C8-4310-B142-9CF98FC9C0EF}" id="{D152B6EC-72AC-4B57-8871-4898E74971E2}">
    <text>Validated</text>
  </threadedComment>
  <threadedComment ref="BG78" dT="2025-10-21T10:11:07.24" personId="{32192656-80C8-4310-B142-9CF98FC9C0EF}" id="{93F8F0E1-C663-4238-9D84-225BE70B295B}">
    <text>Validated</text>
  </threadedComment>
  <threadedComment ref="BI78" dT="2025-10-21T10:11:07.24" personId="{32192656-80C8-4310-B142-9CF98FC9C0EF}" id="{1E34C167-26F9-4DCA-82D3-031DD8178527}">
    <text>Validated</text>
  </threadedComment>
  <threadedComment ref="AG79" dT="2024-12-16T17:15:46.24" personId="{728803BD-3A25-4F6F-BA7C-1EDF8A148B73}" id="{665BC8F7-5471-4A80-A301-3E23BE81A43A}">
    <text>No offers released in Nov’24</text>
  </threadedComment>
  <threadedComment ref="AH79" dT="2024-12-16T17:15:46.24" personId="{728803BD-3A25-4F6F-BA7C-1EDF8A148B73}" id="{5FBB5A05-9F70-4E7B-A0D6-C08421EA4782}">
    <text>No offers released in Nov’24</text>
  </threadedComment>
  <threadedComment ref="AU79" dT="2025-05-21T12:14:05.34" personId="{32192656-80C8-4310-B142-9CF98FC9C0EF}" id="{DF1490FD-F093-4CE5-9241-CA0BBE28B2E8}">
    <text>Validated</text>
  </threadedComment>
  <threadedComment ref="AW79" dT="2025-06-24T10:20:10.29" personId="{32192656-80C8-4310-B142-9CF98FC9C0EF}" id="{6815EE7D-EE45-4A76-B3FA-B28DEE0B6A20}">
    <text>Validated</text>
  </threadedComment>
  <threadedComment ref="AY79" dT="2025-07-22T13:24:16.43" personId="{32192656-80C8-4310-B142-9CF98FC9C0EF}" id="{C66818AB-A149-416C-9215-1DC799D24F9F}">
    <text>Validated</text>
  </threadedComment>
  <threadedComment ref="BA79" dT="2025-07-22T13:24:16.43" personId="{32192656-80C8-4310-B142-9CF98FC9C0EF}" id="{BBA87ECD-B8DD-41DD-8E49-B7A91210BB76}">
    <text>Validated</text>
  </threadedComment>
  <threadedComment ref="BG79" dT="2025-10-21T10:11:07.24" personId="{32192656-80C8-4310-B142-9CF98FC9C0EF}" id="{EFCA7DF9-EF0A-4B78-BE27-BC8BA8330A7C}">
    <text>Validated</text>
  </threadedComment>
  <threadedComment ref="BI79" dT="2025-10-21T10:11:07.24" personId="{32192656-80C8-4310-B142-9CF98FC9C0EF}" id="{2BBD8ABE-EEBB-4F2D-A5F6-E44DA301F738}">
    <text>Validated</text>
  </threadedComment>
  <threadedComment ref="AA80" dT="2024-10-17T06:34:11.95" personId="{728803BD-3A25-4F6F-BA7C-1EDF8A148B73}" id="{1CFCE6BF-B8EF-4AC1-9509-A88E2FA0F367}">
    <text>No Joiners in Sep’24</text>
  </threadedComment>
  <threadedComment ref="AB80" dT="2024-10-17T06:34:11.95" personId="{728803BD-3A25-4F6F-BA7C-1EDF8A148B73}" id="{E14C2F2D-C3BB-4B9E-9F6E-CD9E83F3CEED}">
    <text>No Joiners in Sep’24</text>
  </threadedComment>
  <threadedComment ref="AI80" dT="2025-01-15T05:22:01.50" personId="{728803BD-3A25-4F6F-BA7C-1EDF8A148B73}" id="{B453BA8E-9BC9-4040-A9A8-E969B6628C1A}">
    <text>No Joiners in Dec’24</text>
  </threadedComment>
  <threadedComment ref="AJ80" dT="2025-01-15T05:22:01.50" personId="{728803BD-3A25-4F6F-BA7C-1EDF8A148B73}" id="{5ADE03C1-EEDA-49DF-B4E5-E58A4F504300}">
    <text>No Joiners in Dec’24</text>
  </threadedComment>
  <threadedComment ref="AK80" dT="2025-01-15T05:22:01.50" personId="{728803BD-3A25-4F6F-BA7C-1EDF8A148B73}" id="{5BBB59ED-A844-44CB-B26A-1CB21FEB128B}">
    <text>No Joiners in Dec’24</text>
  </threadedComment>
  <threadedComment ref="AU80" dT="2025-05-21T12:14:14.89" personId="{32192656-80C8-4310-B142-9CF98FC9C0EF}" id="{FDA8360A-569C-422C-90A3-5F7A331B4180}">
    <text>Validated</text>
  </threadedComment>
  <threadedComment ref="AW80" dT="2025-06-24T10:20:10.29" personId="{32192656-80C8-4310-B142-9CF98FC9C0EF}" id="{0145A656-8ECF-497C-AE33-168F1E1721EF}">
    <text>Validated</text>
  </threadedComment>
  <threadedComment ref="AY80" dT="2025-07-22T13:24:16.43" personId="{32192656-80C8-4310-B142-9CF98FC9C0EF}" id="{45272585-391C-4427-85ED-21B603224204}">
    <text>Validated</text>
  </threadedComment>
  <threadedComment ref="BA80" dT="2025-07-22T13:24:16.43" personId="{32192656-80C8-4310-B142-9CF98FC9C0EF}" id="{A3FDE5BF-59E2-40F8-BA91-C1E4FA833065}">
    <text>Validated</text>
  </threadedComment>
  <threadedComment ref="BG80" dT="2025-10-21T10:11:07.24" personId="{32192656-80C8-4310-B142-9CF98FC9C0EF}" id="{35B221F4-B324-4708-89D0-97B26997C7C5}">
    <text>Validated</text>
  </threadedComment>
  <threadedComment ref="BI80" dT="2025-10-21T10:11:07.24" personId="{32192656-80C8-4310-B142-9CF98FC9C0EF}" id="{CC525C2F-D6AB-4ACA-B056-53123B03700B}">
    <text>Validated</text>
  </threadedComment>
  <threadedComment ref="AU81" dT="2025-05-21T12:14:24.48" personId="{32192656-80C8-4310-B142-9CF98FC9C0EF}" id="{E5EC9F86-ED5E-487F-875E-1B2C54956D37}">
    <text>Validated</text>
  </threadedComment>
  <threadedComment ref="AW81" dT="2025-06-24T10:20:10.29" personId="{32192656-80C8-4310-B142-9CF98FC9C0EF}" id="{BFFDF1DD-3CF9-4B14-8719-9DEB2D506BFB}">
    <text>Validated</text>
  </threadedComment>
  <threadedComment ref="AY81" dT="2025-07-22T13:24:16.43" personId="{32192656-80C8-4310-B142-9CF98FC9C0EF}" id="{A7D190FD-29DE-4452-9248-603C58271605}">
    <text>Validated</text>
  </threadedComment>
  <threadedComment ref="BA81" dT="2025-07-22T13:24:16.43" personId="{32192656-80C8-4310-B142-9CF98FC9C0EF}" id="{937C2B5A-FBED-41DA-9DEB-561057C15CBD}">
    <text>Validated</text>
  </threadedComment>
  <threadedComment ref="BG81" dT="2025-10-21T10:11:07.24" personId="{32192656-80C8-4310-B142-9CF98FC9C0EF}" id="{8361E184-5ED4-408F-8AAA-AD22B2D21655}">
    <text>Validated</text>
  </threadedComment>
  <threadedComment ref="BI81" dT="2025-10-21T10:11:07.24" personId="{32192656-80C8-4310-B142-9CF98FC9C0EF}" id="{F7D31D57-5EB0-4006-9317-9591950AAD13}">
    <text>Validated</text>
  </threadedComment>
  <threadedComment ref="AA82" dT="2024-10-17T06:35:03.17" personId="{728803BD-3A25-4F6F-BA7C-1EDF8A148B73}" id="{BD0FDB9D-C2FE-4E67-8AF0-0FFB5D170471}">
    <text>No offers released in Sep’24</text>
  </threadedComment>
  <threadedComment ref="AB82" dT="2024-10-17T06:35:03.17" personId="{728803BD-3A25-4F6F-BA7C-1EDF8A148B73}" id="{681E4445-D3EB-47E6-8D00-E9CB1BB36BC2}">
    <text>No offers released in Sep’24</text>
  </threadedComment>
  <threadedComment ref="AE82" dT="2024-11-18T22:05:45.71" personId="{728803BD-3A25-4F6F-BA7C-1EDF8A148B73}" id="{9EED7F9C-D724-4E0A-A3FA-3BFB883893C5}">
    <text xml:space="preserve">No Offers released </text>
  </threadedComment>
  <threadedComment ref="AF82" dT="2024-11-18T22:05:45.71" personId="{728803BD-3A25-4F6F-BA7C-1EDF8A148B73}" id="{EEAD56AE-DF91-49FA-A05E-100A77961BE5}">
    <text xml:space="preserve">No Offers released </text>
  </threadedComment>
  <threadedComment ref="AG82" dT="2024-12-16T17:16:46.68" personId="{728803BD-3A25-4F6F-BA7C-1EDF8A148B73}" id="{7061D899-B88A-415B-9079-7203AF96DDAA}">
    <text>No Joiners in Nov’24</text>
  </threadedComment>
  <threadedComment ref="AH82" dT="2024-12-16T17:16:46.68" personId="{728803BD-3A25-4F6F-BA7C-1EDF8A148B73}" id="{86B3F2EE-51E1-4F21-A734-B3CFB09043AD}">
    <text>No Joiners in Nov’24</text>
  </threadedComment>
  <threadedComment ref="AU82" dT="2025-05-21T12:14:34.28" personId="{32192656-80C8-4310-B142-9CF98FC9C0EF}" id="{89BD9AD4-EC74-4C6F-BD70-37B1FEFB01B4}">
    <text>Validated</text>
  </threadedComment>
  <threadedComment ref="AW82" dT="2025-06-24T10:20:10.29" personId="{32192656-80C8-4310-B142-9CF98FC9C0EF}" id="{A3D18212-33BE-4885-B08B-431087A52769}">
    <text>Validated</text>
  </threadedComment>
  <threadedComment ref="AY82" dT="2025-07-22T13:24:16.43" personId="{32192656-80C8-4310-B142-9CF98FC9C0EF}" id="{5957A900-EBB9-4CD1-87AD-9578F54907EC}">
    <text>Validated</text>
  </threadedComment>
  <threadedComment ref="BA82" dT="2025-07-22T13:24:16.43" personId="{32192656-80C8-4310-B142-9CF98FC9C0EF}" id="{C76028CB-9EA4-42C5-A694-A20604D060C1}">
    <text>Validated</text>
  </threadedComment>
  <threadedComment ref="BG82" dT="2025-10-21T10:11:07.24" personId="{32192656-80C8-4310-B142-9CF98FC9C0EF}" id="{0A541B78-A199-4621-8415-00BB0FE22905}">
    <text>Validated</text>
  </threadedComment>
  <threadedComment ref="BI82" dT="2025-10-21T10:11:07.24" personId="{32192656-80C8-4310-B142-9CF98FC9C0EF}" id="{7BCECC96-3BB9-4CA5-A64A-226B4B1F8993}">
    <text>Validated</text>
  </threadedComment>
  <threadedComment ref="AA83" dT="2024-10-17T06:35:03.17" personId="{728803BD-3A25-4F6F-BA7C-1EDF8A148B73}" id="{93BD9F75-AD5A-411A-9F6B-2724083E5495}">
    <text>No offers released in Sep’24</text>
  </threadedComment>
  <threadedComment ref="AB83" dT="2024-10-17T06:35:03.17" personId="{728803BD-3A25-4F6F-BA7C-1EDF8A148B73}" id="{A4CC5860-D72C-419E-8CDA-3692DB35D910}">
    <text>No offers released in Sep’24</text>
  </threadedComment>
  <threadedComment ref="AE83" dT="2024-11-18T22:05:45.71" personId="{728803BD-3A25-4F6F-BA7C-1EDF8A148B73}" id="{86E7CD24-852F-4101-922C-6E20AE3A6FFE}">
    <text xml:space="preserve">No Offers released </text>
  </threadedComment>
  <threadedComment ref="AF83" dT="2024-11-18T22:05:45.71" personId="{728803BD-3A25-4F6F-BA7C-1EDF8A148B73}" id="{B91CD7AA-56A8-49FF-8FFE-6DF6D26A5C12}">
    <text xml:space="preserve">No Offers released </text>
  </threadedComment>
  <threadedComment ref="AG83" dT="2024-12-16T17:16:46.68" personId="{728803BD-3A25-4F6F-BA7C-1EDF8A148B73}" id="{8FEFEADD-92B6-4C52-89EB-FA23235DFD5B}">
    <text>No Joiners in Nov’24</text>
  </threadedComment>
  <threadedComment ref="AH83" dT="2024-12-16T17:16:46.68" personId="{728803BD-3A25-4F6F-BA7C-1EDF8A148B73}" id="{236D6481-7902-46BC-A670-13888BF231EF}">
    <text>No Joiners in Nov’24</text>
  </threadedComment>
  <threadedComment ref="AI83" dT="2025-01-15T05:22:47.57" personId="{728803BD-3A25-4F6F-BA7C-1EDF8A148B73}" id="{C8900766-4227-4780-958E-99C3F9388B1A}">
    <text>No Offers in Dec’24</text>
  </threadedComment>
  <threadedComment ref="AJ83" dT="2025-01-15T05:22:47.57" personId="{728803BD-3A25-4F6F-BA7C-1EDF8A148B73}" id="{1B2F64A9-3F71-4E96-95A8-803CEC0A2778}">
    <text>No Offers in Dec’24</text>
  </threadedComment>
  <threadedComment ref="AK83" dT="2025-01-15T06:58:15.66" personId="{728803BD-3A25-4F6F-BA7C-1EDF8A148B73}" id="{9A3A4330-EE67-4FCD-B3DD-07A577C89D10}">
    <text>No Joining in Q3</text>
  </threadedComment>
  <threadedComment ref="AL83" dT="2025-01-15T06:58:15.66" personId="{728803BD-3A25-4F6F-BA7C-1EDF8A148B73}" id="{0D0C89F0-1E38-4796-9FFD-7EEDB8F6BE03}">
    <text>No Joining in Q3</text>
  </threadedComment>
  <threadedComment ref="AU83" dT="2025-05-21T12:14:46.59" personId="{32192656-80C8-4310-B142-9CF98FC9C0EF}" id="{217DE9F3-1196-4F99-BB4B-66C24F4CBCB0}">
    <text>Validated</text>
  </threadedComment>
  <threadedComment ref="AW83" dT="2025-06-24T10:20:10.29" personId="{32192656-80C8-4310-B142-9CF98FC9C0EF}" id="{98E55355-68CC-442E-98FE-FE6297A3D8A0}">
    <text>Validated</text>
  </threadedComment>
  <threadedComment ref="AY83" dT="2025-07-22T13:24:16.43" personId="{32192656-80C8-4310-B142-9CF98FC9C0EF}" id="{687503EE-F16F-41F4-9F6A-22D7B1B07EF8}">
    <text>Validated</text>
  </threadedComment>
  <threadedComment ref="BA83" dT="2025-07-22T13:24:16.43" personId="{32192656-80C8-4310-B142-9CF98FC9C0EF}" id="{DDEDCE88-7673-4AC2-9445-CAE33AD6BF27}">
    <text>Validated</text>
  </threadedComment>
  <threadedComment ref="BG83" dT="2025-10-21T10:11:07.24" personId="{32192656-80C8-4310-B142-9CF98FC9C0EF}" id="{527A7CE0-D62F-4313-BC9B-2B5B59504348}">
    <text>Validated</text>
  </threadedComment>
  <threadedComment ref="BI83" dT="2025-10-21T10:11:07.24" personId="{32192656-80C8-4310-B142-9CF98FC9C0EF}" id="{B21E2FD9-1A0B-4AAE-947D-7A4FB3EAE23F}">
    <text>Validated</text>
  </threadedComment>
  <threadedComment ref="AW84" dT="2025-06-24T12:30:18.09" personId="{32192656-80C8-4310-B142-9CF98FC9C0EF}" id="{E897D92F-2FDF-41E0-B5D9-B9FF7F237DA8}">
    <text>Validated</text>
  </threadedComment>
  <threadedComment ref="AY84" dT="2025-07-22T13:24:16.43" personId="{32192656-80C8-4310-B142-9CF98FC9C0EF}" id="{F3831BEA-7861-4E76-9238-91C45A6AD55F}">
    <text>Validated</text>
  </threadedComment>
  <threadedComment ref="BA84" dT="2025-07-22T13:24:16.43" personId="{32192656-80C8-4310-B142-9CF98FC9C0EF}" id="{7E51E5AB-83FD-4ECE-82C7-1E7133B61495}">
    <text>Validated</text>
  </threadedComment>
  <threadedComment ref="BC84" dT="2025-08-24T13:08:43.15" personId="{32192656-80C8-4310-B142-9CF98FC9C0EF}" id="{89BAEDEF-1BCC-4A19-997D-E316DE610DC3}">
    <text>Validated</text>
  </threadedComment>
  <threadedComment ref="BE84" dT="2025-09-29T08:30:30.72" personId="{32192656-80C8-4310-B142-9CF98FC9C0EF}" id="{3B18D2AB-AF92-436C-8957-077C458C87C0}">
    <text>Validated</text>
  </threadedComment>
  <threadedComment ref="BG84" dT="2025-10-21T10:11:07.24" personId="{32192656-80C8-4310-B142-9CF98FC9C0EF}" id="{5C3BE45C-C658-4FAB-89A3-692B5661E1B2}">
    <text>Validated</text>
  </threadedComment>
  <threadedComment ref="BI84" dT="2025-10-21T10:13:02.26" personId="{32192656-80C8-4310-B142-9CF98FC9C0EF}" id="{8C9DFEB4-FA50-49A8-B2AF-FA3074C1AF56}">
    <text>Insufficient data</text>
  </threadedComment>
  <threadedComment ref="AW85" dT="2025-06-24T12:30:02.93" personId="{32192656-80C8-4310-B142-9CF98FC9C0EF}" id="{4FD0094A-4A1E-493A-9A61-11C0F06E94D7}">
    <text>Validated</text>
  </threadedComment>
  <threadedComment ref="AY85" dT="2025-07-22T13:24:16.43" personId="{32192656-80C8-4310-B142-9CF98FC9C0EF}" id="{F59F71BE-6219-4EF2-A39F-40BBD09FF948}">
    <text>Validated</text>
  </threadedComment>
  <threadedComment ref="BA85" dT="2025-07-22T13:24:16.43" personId="{32192656-80C8-4310-B142-9CF98FC9C0EF}" id="{0449C2DC-7B25-4EC0-82FF-CF5CED7747D7}">
    <text>Validated</text>
  </threadedComment>
  <threadedComment ref="BC85" dT="2025-08-24T13:08:43.15" personId="{32192656-80C8-4310-B142-9CF98FC9C0EF}" id="{3D54B329-6BE2-4AAD-A359-55780D74C4E2}">
    <text>Validated</text>
  </threadedComment>
  <threadedComment ref="BE85" dT="2025-09-29T08:30:30.72" personId="{32192656-80C8-4310-B142-9CF98FC9C0EF}" id="{38728606-897A-4802-A54F-DB5DE26E2007}">
    <text>Validated</text>
  </threadedComment>
  <threadedComment ref="BG85" dT="2025-10-21T10:11:07.24" personId="{32192656-80C8-4310-B142-9CF98FC9C0EF}" id="{60078A21-B32C-42DB-B455-B5D603664589}">
    <text>Validated</text>
  </threadedComment>
  <threadedComment ref="BI85" dT="2025-10-21T10:11:07.24" personId="{32192656-80C8-4310-B142-9CF98FC9C0EF}" id="{7F8ED35D-EE29-410C-BB43-AF1E7DAC1DBD}">
    <text>Validated</text>
  </threadedComment>
  <threadedComment ref="AW86" dT="2025-06-24T10:20:10.29" personId="{32192656-80C8-4310-B142-9CF98FC9C0EF}" id="{6FDC8B10-9FE7-448F-B05C-6300027D5572}">
    <text>Validated</text>
  </threadedComment>
  <threadedComment ref="BE86" dT="2025-09-29T08:29:02.01" personId="{32192656-80C8-4310-B142-9CF98FC9C0EF}" id="{564C9A6B-4541-43E0-9EA0-042EB8B23349}">
    <text>Supply data not available</text>
  </threadedComment>
  <threadedComment ref="BG86" dT="2025-10-21T10:42:57.22" personId="{32192656-80C8-4310-B142-9CF98FC9C0EF}" id="{BD18A285-74A6-47EA-B37F-AEC06136DF7C}">
    <text>Not Validated Insufficient Data</text>
  </threadedComment>
  <threadedComment ref="BI86" dT="2025-10-21T10:42:57.22" personId="{32192656-80C8-4310-B142-9CF98FC9C0EF}" id="{242DBD9B-DD83-4EAF-B4F4-B247854AE128}">
    <text>Not Validated Insufficient Data</text>
  </threadedComment>
  <threadedComment ref="AW87" dT="2025-06-24T10:20:10.29" personId="{32192656-80C8-4310-B142-9CF98FC9C0EF}" id="{BCD23B45-D03A-4EDE-9416-B4DAA1F35D6D}">
    <text>Validated</text>
  </threadedComment>
  <threadedComment ref="AU88" dT="2025-05-21T12:13:35.43" personId="{32192656-80C8-4310-B142-9CF98FC9C0EF}" id="{D006FE44-05DD-4105-8F70-9C2CE2DE4159}">
    <text>Not Validated, Insufficient data</text>
  </threadedComment>
  <threadedComment ref="AY88" dT="2025-07-22T13:24:16.43" personId="{32192656-80C8-4310-B142-9CF98FC9C0EF}" id="{95F39258-46EC-4155-812A-F1EE57D9DAB0}">
    <text>Validated</text>
  </threadedComment>
  <threadedComment ref="BA88" dT="2025-07-22T13:24:16.43" personId="{32192656-80C8-4310-B142-9CF98FC9C0EF}" id="{635AAF54-0BFC-4632-B893-3428CED3DD59}">
    <text>Validated</text>
  </threadedComment>
  <threadedComment ref="AW89" dT="2025-06-24T10:20:10.29" personId="{32192656-80C8-4310-B142-9CF98FC9C0EF}" id="{7433310B-D48A-43F0-A553-FA3737212035}">
    <text>Validated</text>
  </threadedComment>
  <threadedComment ref="BE89" dT="2025-09-29T08:28:04.69" personId="{32192656-80C8-4310-B142-9CF98FC9C0EF}" id="{DAEB5655-D600-4E83-9D52-00D210D1E242}">
    <text>Validated</text>
  </threadedComment>
  <threadedComment ref="BG89" dT="2025-10-21T10:11:07.24" personId="{32192656-80C8-4310-B142-9CF98FC9C0EF}" id="{58A35C8F-9699-4EF5-BA79-D64760217531}">
    <text>Validated</text>
  </threadedComment>
  <threadedComment ref="BI89" dT="2025-10-21T10:13:46.28" personId="{32192656-80C8-4310-B142-9CF98FC9C0EF}" id="{16E27C6C-5C82-4C82-A78D-6DCD14724411}">
    <text>Insufficient data</text>
  </threadedComment>
  <threadedComment ref="Q90" dT="2024-05-11T03:05:35.61" personId="{728803BD-3A25-4F6F-BA7C-1EDF8A148B73}" id="{2C0714A2-BE0B-476F-BE26-EFAD9B0939C7}">
    <text>No Joiners in month of Apr'24</text>
  </threadedComment>
  <threadedComment ref="R90" dT="2024-05-11T03:05:35.61" personId="{728803BD-3A25-4F6F-BA7C-1EDF8A148B73}" id="{F5A418EB-3C99-4329-99DA-00FB36B842F2}">
    <text>No Joiners in month of Apr'24</text>
  </threadedComment>
  <threadedComment ref="U90" dT="2024-07-12T08:12:40.12" personId="{728803BD-3A25-4F6F-BA7C-1EDF8A148B73}" id="{B27D689A-BF41-4C95-8DCB-285D41767F12}">
    <text>No Joiners for Jun'24</text>
  </threadedComment>
  <threadedComment ref="W90" dT="2024-08-14T10:45:08.24" personId="{728803BD-3A25-4F6F-BA7C-1EDF8A148B73}" id="{E99018DD-697D-4177-B9D1-DD2B199F940A}">
    <text>No Hiring Demand, email confirmation from Elton</text>
  </threadedComment>
  <threadedComment ref="X90" dT="2024-08-14T10:45:08.24" personId="{728803BD-3A25-4F6F-BA7C-1EDF8A148B73}" id="{DDA486F0-E2A7-4833-B748-2EC6E2D874D0}">
    <text>No Hiring Demand, email confirmation from Elton</text>
  </threadedComment>
  <threadedComment ref="AA90" dT="2024-10-18T04:54:46.00" personId="{6777EDD4-E46F-4979-A7E7-6FC0A82E0C8E}" id="{9FD62AF2-BA6F-4133-8641-D4354B79D9A2}">
    <text>Project On-Hold</text>
  </threadedComment>
  <threadedComment ref="AB90" dT="2024-10-18T04:54:46.00" personId="{6777EDD4-E46F-4979-A7E7-6FC0A82E0C8E}" id="{087BA226-66E3-494A-AB3A-2CE3F90CEC53}">
    <text>Project On-Hold</text>
  </threadedComment>
  <threadedComment ref="AC90" dT="2024-10-18T04:54:46.00" personId="{6777EDD4-E46F-4979-A7E7-6FC0A82E0C8E}" id="{8DF3E662-4439-4570-A21A-1C2A10F879E7}">
    <text>Project On-Hold</text>
  </threadedComment>
  <threadedComment ref="AD90" dT="2024-10-18T04:54:46.00" personId="{6777EDD4-E46F-4979-A7E7-6FC0A82E0C8E}" id="{4AAC19EF-0F7D-49BA-A6A9-68E25EA6F4B4}">
    <text>Project On-Hold</text>
  </threadedComment>
  <threadedComment ref="AE90" dT="2024-10-18T04:54:46.00" personId="{6777EDD4-E46F-4979-A7E7-6FC0A82E0C8E}" id="{322D2D51-E31B-4BDE-82F8-28C007A52977}">
    <text>Project On-Hold</text>
  </threadedComment>
  <threadedComment ref="AF90" dT="2024-10-18T04:54:46.00" personId="{6777EDD4-E46F-4979-A7E7-6FC0A82E0C8E}" id="{4B6599D7-19F1-482A-9D9A-AF6276C9BED7}">
    <text>Project On-Hold</text>
  </threadedComment>
  <threadedComment ref="AG90" dT="2024-10-18T04:54:46.00" personId="{6777EDD4-E46F-4979-A7E7-6FC0A82E0C8E}" id="{07B989D4-F1B1-4DB6-A356-B08CC6486695}">
    <text>Project On-Hold</text>
  </threadedComment>
  <threadedComment ref="AH90" dT="2024-10-18T04:54:46.00" personId="{6777EDD4-E46F-4979-A7E7-6FC0A82E0C8E}" id="{B7B3B46A-655A-4428-9C5D-702E2E69D7E9}">
    <text>Project On-Hold</text>
  </threadedComment>
  <threadedComment ref="AI90" dT="2024-10-18T04:54:46.00" personId="{6777EDD4-E46F-4979-A7E7-6FC0A82E0C8E}" id="{00F4FFBD-DC47-41FC-9C6C-7E3CAAEBEAA1}">
    <text>Project On-Hold</text>
  </threadedComment>
  <threadedComment ref="AJ90" dT="2024-10-18T04:54:46.00" personId="{6777EDD4-E46F-4979-A7E7-6FC0A82E0C8E}" id="{6E2058CC-509C-48D1-8740-747745E0F2ED}">
    <text>Project On-Hold</text>
  </threadedComment>
  <threadedComment ref="AK90" dT="2024-10-18T04:54:46.00" personId="{6777EDD4-E46F-4979-A7E7-6FC0A82E0C8E}" id="{02AE8680-CBB7-4E73-9E06-1E72E00B4CD6}">
    <text>Project On-Hold</text>
  </threadedComment>
  <threadedComment ref="AL90" dT="2024-10-18T04:54:46.00" personId="{6777EDD4-E46F-4979-A7E7-6FC0A82E0C8E}" id="{D89B3A4C-3A6F-413B-AB20-DB29188B561C}">
    <text>Project On-Hold</text>
  </threadedComment>
  <threadedComment ref="AM90" dT="2024-10-18T04:54:46.00" personId="{6777EDD4-E46F-4979-A7E7-6FC0A82E0C8E}" id="{0DEDED2C-17BA-4396-8321-134621F79955}">
    <text>Project On-Hold</text>
  </threadedComment>
  <threadedComment ref="AN90" dT="2024-10-18T04:54:46.00" personId="{6777EDD4-E46F-4979-A7E7-6FC0A82E0C8E}" id="{80BEB71F-4CF2-4C4B-AD0E-8ACC0F25CF5B}">
    <text>Project On-Hold</text>
  </threadedComment>
  <threadedComment ref="AO90" dT="2024-10-18T04:54:46.00" personId="{6777EDD4-E46F-4979-A7E7-6FC0A82E0C8E}" id="{B9F6137F-81FB-4B6F-8C7F-F2320DBF1336}">
    <text>Project On-Hold</text>
  </threadedComment>
  <threadedComment ref="AP90" dT="2024-10-18T04:54:46.00" personId="{6777EDD4-E46F-4979-A7E7-6FC0A82E0C8E}" id="{72075267-38E3-434A-9773-4B94B6B14266}">
    <text>Project On-Hold</text>
  </threadedComment>
  <threadedComment ref="AQ90" dT="2024-10-18T04:54:46.00" personId="{6777EDD4-E46F-4979-A7E7-6FC0A82E0C8E}" id="{396227F2-640A-47D6-A841-44AC9B9E2B33}">
    <text>Project On-Hold</text>
  </threadedComment>
  <threadedComment ref="AR90" dT="2024-10-18T04:54:46.00" personId="{6777EDD4-E46F-4979-A7E7-6FC0A82E0C8E}" id="{3FBEDA89-473F-4BCF-AE62-0ADF45C70E39}">
    <text>Project On-Hold</text>
  </threadedComment>
  <threadedComment ref="AS90" dT="2024-10-18T04:54:46.00" personId="{6777EDD4-E46F-4979-A7E7-6FC0A82E0C8E}" id="{95879423-DBBF-4E31-A48B-27E430E14512}">
    <text>Project On-Hold</text>
  </threadedComment>
  <threadedComment ref="AT90" dT="2024-10-18T04:54:46.00" personId="{6777EDD4-E46F-4979-A7E7-6FC0A82E0C8E}" id="{F6640CE9-371F-4937-87E2-D68C41CEE489}">
    <text>Project On-Hold</text>
  </threadedComment>
  <threadedComment ref="AU90" dT="2024-10-18T04:54:46.00" personId="{6777EDD4-E46F-4979-A7E7-6FC0A82E0C8E}" id="{34935A08-E455-46C4-B0C7-FA5EB8C7C54A}">
    <text>Project On-Hold</text>
  </threadedComment>
  <threadedComment ref="AV90" dT="2024-10-18T04:54:46.00" personId="{6777EDD4-E46F-4979-A7E7-6FC0A82E0C8E}" id="{BE1CDA38-82E7-496D-9548-C76DA2316A21}">
    <text>Project On-Hold</text>
  </threadedComment>
  <threadedComment ref="AW90" dT="2024-10-18T04:54:46.00" personId="{6777EDD4-E46F-4979-A7E7-6FC0A82E0C8E}" id="{D1A53F48-E6B3-4EEC-963E-2515B54242A5}">
    <text>Project On-Hold</text>
  </threadedComment>
  <threadedComment ref="AX90" dT="2024-10-18T04:54:46.00" personId="{6777EDD4-E46F-4979-A7E7-6FC0A82E0C8E}" id="{9871966A-DAB9-4470-BF90-E32DC5F2C9B1}">
    <text>Project On-Hold</text>
  </threadedComment>
  <threadedComment ref="AY90" dT="2024-10-18T04:54:46.00" personId="{6777EDD4-E46F-4979-A7E7-6FC0A82E0C8E}" id="{B0F18D86-CF07-4B2B-8361-FD8235614DFA}">
    <text>Project On-Hold</text>
  </threadedComment>
  <threadedComment ref="AZ90" dT="2024-10-18T04:54:46.00" personId="{6777EDD4-E46F-4979-A7E7-6FC0A82E0C8E}" id="{3A241DA4-ECC6-4A69-A53F-783C699DC61F}">
    <text>Project On-Hold</text>
  </threadedComment>
  <threadedComment ref="BA90" dT="2024-10-18T04:54:46.00" personId="{6777EDD4-E46F-4979-A7E7-6FC0A82E0C8E}" id="{9300F1BB-89AF-4F42-8E5F-DA2415C4BF45}">
    <text>Project On-Hold</text>
  </threadedComment>
  <threadedComment ref="BB90" dT="2024-10-18T04:54:46.00" personId="{6777EDD4-E46F-4979-A7E7-6FC0A82E0C8E}" id="{5780AC08-5757-4501-AD7B-35488FBA4D55}">
    <text>Project On-Hold</text>
  </threadedComment>
  <threadedComment ref="BC90" dT="2024-10-18T04:54:46.00" personId="{6777EDD4-E46F-4979-A7E7-6FC0A82E0C8E}" id="{F6B8D695-31BB-4E4E-97E3-8F2E6216E2BF}">
    <text>Project On-Hold</text>
  </threadedComment>
  <threadedComment ref="BD90" dT="2024-10-18T04:54:46.00" personId="{6777EDD4-E46F-4979-A7E7-6FC0A82E0C8E}" id="{AB96D6C8-2685-4119-99F9-38C41F18E1F3}">
    <text>Project On-Hold</text>
  </threadedComment>
  <threadedComment ref="BE90" dT="2024-10-18T04:54:46.00" personId="{6777EDD4-E46F-4979-A7E7-6FC0A82E0C8E}" id="{C1B0D578-FE55-4AB4-B3AF-B70E457CF35D}">
    <text>Project On-Hold</text>
  </threadedComment>
  <threadedComment ref="BF90" dT="2024-10-18T04:54:46.00" personId="{6777EDD4-E46F-4979-A7E7-6FC0A82E0C8E}" id="{116E1A27-FA0D-406F-93A8-2C89DC15CA0D}">
    <text>Project On-Hold</text>
  </threadedComment>
  <threadedComment ref="BG90" dT="2024-10-18T04:54:46.00" personId="{6777EDD4-E46F-4979-A7E7-6FC0A82E0C8E}" id="{EEA85290-5CE2-41DC-8593-DCDF25C2D8BC}">
    <text>Project On-Hold</text>
  </threadedComment>
  <threadedComment ref="BH90" dT="2024-10-18T04:54:46.00" personId="{6777EDD4-E46F-4979-A7E7-6FC0A82E0C8E}" id="{658C271E-5632-4477-918C-41CC6892CFBF}">
    <text>Project On-Hold</text>
  </threadedComment>
  <threadedComment ref="BI90" dT="2024-10-18T04:54:46.00" personId="{6777EDD4-E46F-4979-A7E7-6FC0A82E0C8E}" id="{780F7A33-ED12-4C76-B723-3F879FE8CD9A}">
    <text>Project On-Hold</text>
  </threadedComment>
  <threadedComment ref="BJ90" dT="2024-10-18T04:54:46.00" personId="{6777EDD4-E46F-4979-A7E7-6FC0A82E0C8E}" id="{53D3DC24-FA99-4A34-9C5E-629444D588B1}">
    <text>Project On-Hold</text>
  </threadedComment>
  <threadedComment ref="BK90" dT="2024-10-18T04:54:46.00" personId="{6777EDD4-E46F-4979-A7E7-6FC0A82E0C8E}" id="{0D69AD2A-C555-4D93-AA93-2DBB0E97FDA8}">
    <text>Project On-Hold</text>
  </threadedComment>
  <threadedComment ref="BL90" dT="2024-10-18T04:54:46.00" personId="{6777EDD4-E46F-4979-A7E7-6FC0A82E0C8E}" id="{A5CDBD92-0FB6-4FE7-BB5E-9CD53739AFC6}">
    <text>Project On-Hold</text>
  </threadedComment>
  <threadedComment ref="BM90" dT="2024-10-18T04:54:46.00" personId="{6777EDD4-E46F-4979-A7E7-6FC0A82E0C8E}" id="{6811D9A2-CE4C-4FEF-AA0E-8A30EFCD2335}">
    <text>Project On-Hold</text>
  </threadedComment>
  <threadedComment ref="BN90" dT="2024-10-18T04:54:46.00" personId="{6777EDD4-E46F-4979-A7E7-6FC0A82E0C8E}" id="{BE525942-94F0-48C0-B654-DB894C2DD49D}">
    <text>Project On-Hold</text>
  </threadedComment>
  <threadedComment ref="BP90" dT="2024-10-18T04:54:46.00" personId="{6777EDD4-E46F-4979-A7E7-6FC0A82E0C8E}" id="{FFC9D4CA-A8E7-46BF-B91C-D6E6787CC402}">
    <text>Project On-Hold</text>
  </threadedComment>
  <threadedComment ref="BR90" dT="2024-10-18T04:54:46.00" personId="{6777EDD4-E46F-4979-A7E7-6FC0A82E0C8E}" id="{35DEC6E9-0C06-4076-B61D-4B58496D6325}">
    <text>Project On-Hold</text>
  </threadedComment>
  <threadedComment ref="BS90" dT="2024-10-18T04:54:46.00" personId="{6777EDD4-E46F-4979-A7E7-6FC0A82E0C8E}" id="{2395BEC7-3D0F-4EC3-8EBB-7149326EA6CC}">
    <text>Project On-Hold</text>
  </threadedComment>
  <threadedComment ref="BU90" dT="2024-10-18T04:54:46.00" personId="{6777EDD4-E46F-4979-A7E7-6FC0A82E0C8E}" id="{B432A33E-2B3B-4397-A5EF-BAD4DE337C53}">
    <text>Project On-Hold</text>
  </threadedComment>
  <threadedComment ref="Q91" dT="2024-05-11T03:06:48.47" personId="{728803BD-3A25-4F6F-BA7C-1EDF8A148B73}" id="{9469A706-F968-45CD-AEAC-1D707B535C55}">
    <text>No offers has been released in the month of Apr'24</text>
  </threadedComment>
  <threadedComment ref="W91" dT="2024-08-14T10:45:08.24" personId="{728803BD-3A25-4F6F-BA7C-1EDF8A148B73}" id="{C54B4A57-70E4-4A7C-81BD-206E314161A9}">
    <text>No Hiring Demand, email confirmation from Elton</text>
  </threadedComment>
  <threadedComment ref="X91" dT="2024-08-14T10:45:08.24" personId="{728803BD-3A25-4F6F-BA7C-1EDF8A148B73}" id="{0617FF7C-86C2-4833-B8FE-F2586EF30892}">
    <text>No Hiring Demand, email confirmation from Elton</text>
  </threadedComment>
  <threadedComment ref="AA91" dT="2024-10-18T04:54:46.00" personId="{6777EDD4-E46F-4979-A7E7-6FC0A82E0C8E}" id="{BF8737C4-A92A-4156-9C50-E64D009DFAAB}">
    <text>Project On-Hold</text>
  </threadedComment>
  <threadedComment ref="AB91" dT="2024-10-18T04:54:46.00" personId="{6777EDD4-E46F-4979-A7E7-6FC0A82E0C8E}" id="{45138D1D-0755-4E2F-8524-1D091AD36AFF}">
    <text>Project On-Hold</text>
  </threadedComment>
  <threadedComment ref="AC91" dT="2024-10-18T04:54:46.00" personId="{6777EDD4-E46F-4979-A7E7-6FC0A82E0C8E}" id="{3F27AA57-EBD9-41EE-AAC3-F50FC013C1BB}">
    <text>Project On-Hold</text>
  </threadedComment>
  <threadedComment ref="AD91" dT="2024-10-18T04:54:46.00" personId="{6777EDD4-E46F-4979-A7E7-6FC0A82E0C8E}" id="{2DAEBA26-2561-4284-B660-584146F9AE74}">
    <text>Project On-Hold</text>
  </threadedComment>
  <threadedComment ref="AE91" dT="2024-10-18T04:54:46.00" personId="{6777EDD4-E46F-4979-A7E7-6FC0A82E0C8E}" id="{7C673B2C-3F54-4BEE-A89F-AD1C903EC7BC}">
    <text>Project On-Hold</text>
  </threadedComment>
  <threadedComment ref="AF91" dT="2024-10-18T04:54:46.00" personId="{6777EDD4-E46F-4979-A7E7-6FC0A82E0C8E}" id="{F1704779-E236-4ABF-B411-5E1B7B3298B4}">
    <text>Project On-Hold</text>
  </threadedComment>
  <threadedComment ref="AG91" dT="2024-10-18T04:54:46.00" personId="{6777EDD4-E46F-4979-A7E7-6FC0A82E0C8E}" id="{F5019BF0-50A4-4035-B7B7-1263D95C09C3}">
    <text>Project On-Hold</text>
  </threadedComment>
  <threadedComment ref="AH91" dT="2024-10-18T04:54:46.00" personId="{6777EDD4-E46F-4979-A7E7-6FC0A82E0C8E}" id="{D12E69A6-D360-4D94-B7EA-6E4BF5A11C78}">
    <text>Project On-Hold</text>
  </threadedComment>
  <threadedComment ref="AI91" dT="2024-10-18T04:54:46.00" personId="{6777EDD4-E46F-4979-A7E7-6FC0A82E0C8E}" id="{D8354BF2-FFA2-4E47-9E51-8B5FDB395793}">
    <text>Project On-Hold</text>
  </threadedComment>
  <threadedComment ref="AJ91" dT="2024-10-18T04:54:46.00" personId="{6777EDD4-E46F-4979-A7E7-6FC0A82E0C8E}" id="{0ADF1162-B502-4301-AA94-6C0C5FEE5BDF}">
    <text>Project On-Hold</text>
  </threadedComment>
  <threadedComment ref="AK91" dT="2024-10-18T04:54:46.00" personId="{6777EDD4-E46F-4979-A7E7-6FC0A82E0C8E}" id="{49A8DE7B-01DA-485E-8895-CB2F553B6FF0}">
    <text>Project On-Hold</text>
  </threadedComment>
  <threadedComment ref="AL91" dT="2024-10-18T04:54:46.00" personId="{6777EDD4-E46F-4979-A7E7-6FC0A82E0C8E}" id="{AD9421D5-FB49-46E4-9A35-223A8DBD8239}">
    <text>Project On-Hold</text>
  </threadedComment>
  <threadedComment ref="AM91" dT="2024-10-18T04:54:46.00" personId="{6777EDD4-E46F-4979-A7E7-6FC0A82E0C8E}" id="{4172F2CB-3BD0-4D52-8449-BEA4D6B34E9F}">
    <text>Project On-Hold</text>
  </threadedComment>
  <threadedComment ref="AN91" dT="2024-10-18T04:54:46.00" personId="{6777EDD4-E46F-4979-A7E7-6FC0A82E0C8E}" id="{6B85F6B2-877B-4326-AF29-FC39525A6425}">
    <text>Project On-Hold</text>
  </threadedComment>
  <threadedComment ref="AO91" dT="2024-10-18T04:54:46.00" personId="{6777EDD4-E46F-4979-A7E7-6FC0A82E0C8E}" id="{334425F8-CC1C-478B-B83C-BE969474C106}">
    <text>Project On-Hold</text>
  </threadedComment>
  <threadedComment ref="AP91" dT="2024-10-18T04:54:46.00" personId="{6777EDD4-E46F-4979-A7E7-6FC0A82E0C8E}" id="{0ED28FE4-EC97-4204-9973-1EC715B29745}">
    <text>Project On-Hold</text>
  </threadedComment>
  <threadedComment ref="AQ91" dT="2024-10-18T04:54:46.00" personId="{6777EDD4-E46F-4979-A7E7-6FC0A82E0C8E}" id="{14ACDAF5-1E51-4CEC-B982-DDE4623A0EE6}">
    <text>Project On-Hold</text>
  </threadedComment>
  <threadedComment ref="AR91" dT="2024-10-18T04:54:46.00" personId="{6777EDD4-E46F-4979-A7E7-6FC0A82E0C8E}" id="{9911FAFF-F08C-4F05-A640-A40723B9ACB1}">
    <text>Project On-Hold</text>
  </threadedComment>
  <threadedComment ref="AS91" dT="2024-10-18T04:54:46.00" personId="{6777EDD4-E46F-4979-A7E7-6FC0A82E0C8E}" id="{32D66F5C-C381-498E-85BC-7D7C3AC8CD07}">
    <text>Project On-Hold</text>
  </threadedComment>
  <threadedComment ref="AT91" dT="2024-10-18T04:54:46.00" personId="{6777EDD4-E46F-4979-A7E7-6FC0A82E0C8E}" id="{756F8B1D-2CF1-4EE4-882C-91A5CE7CA92F}">
    <text>Project On-Hold</text>
  </threadedComment>
  <threadedComment ref="AU91" dT="2024-10-18T04:54:46.00" personId="{6777EDD4-E46F-4979-A7E7-6FC0A82E0C8E}" id="{C2B0DF43-EFFC-4168-A603-51219F08865B}">
    <text>Project On-Hold</text>
  </threadedComment>
  <threadedComment ref="AV91" dT="2024-10-18T04:54:46.00" personId="{6777EDD4-E46F-4979-A7E7-6FC0A82E0C8E}" id="{3455BC81-AD3C-46DC-806E-78412C1B05F2}">
    <text>Project On-Hold</text>
  </threadedComment>
  <threadedComment ref="AW91" dT="2024-10-18T04:54:46.00" personId="{6777EDD4-E46F-4979-A7E7-6FC0A82E0C8E}" id="{3C187E44-6979-4A4E-B87A-84B3BA626FB1}">
    <text>Project On-Hold</text>
  </threadedComment>
  <threadedComment ref="AX91" dT="2024-10-18T04:54:46.00" personId="{6777EDD4-E46F-4979-A7E7-6FC0A82E0C8E}" id="{FA40AF54-2B1E-4241-A1A8-31251930723F}">
    <text>Project On-Hold</text>
  </threadedComment>
  <threadedComment ref="AY91" dT="2024-10-18T04:54:46.00" personId="{6777EDD4-E46F-4979-A7E7-6FC0A82E0C8E}" id="{6D1E3226-14F1-4417-B759-B35EF6EF6471}">
    <text>Project On-Hold</text>
  </threadedComment>
  <threadedComment ref="AZ91" dT="2024-10-18T04:54:46.00" personId="{6777EDD4-E46F-4979-A7E7-6FC0A82E0C8E}" id="{19455CC9-1D29-40FB-AF1E-2025278FB9B5}">
    <text>Project On-Hold</text>
  </threadedComment>
  <threadedComment ref="BA91" dT="2024-10-18T04:54:46.00" personId="{6777EDD4-E46F-4979-A7E7-6FC0A82E0C8E}" id="{FE4B4CAA-60E6-4784-8164-B264697BBE1E}">
    <text>Project On-Hold</text>
  </threadedComment>
  <threadedComment ref="BB91" dT="2024-10-18T04:54:46.00" personId="{6777EDD4-E46F-4979-A7E7-6FC0A82E0C8E}" id="{BECBD22E-AAA0-45F4-A559-033BF3FAFE23}">
    <text>Project On-Hold</text>
  </threadedComment>
  <threadedComment ref="BC91" dT="2024-10-18T04:54:46.00" personId="{6777EDD4-E46F-4979-A7E7-6FC0A82E0C8E}" id="{D08F89B3-88BC-4E24-9CE6-014F9CA39B01}">
    <text>Project On-Hold</text>
  </threadedComment>
  <threadedComment ref="BD91" dT="2024-10-18T04:54:46.00" personId="{6777EDD4-E46F-4979-A7E7-6FC0A82E0C8E}" id="{18D6CCCC-C845-462E-A1CC-893E19D34E7F}">
    <text>Project On-Hold</text>
  </threadedComment>
  <threadedComment ref="BE91" dT="2024-10-18T04:54:46.00" personId="{6777EDD4-E46F-4979-A7E7-6FC0A82E0C8E}" id="{7DF64D12-E7DC-41C4-A098-B6CBB2CC2876}">
    <text>Project On-Hold</text>
  </threadedComment>
  <threadedComment ref="BF91" dT="2024-10-18T04:54:46.00" personId="{6777EDD4-E46F-4979-A7E7-6FC0A82E0C8E}" id="{B38F3CD8-79C4-4CB7-BFB4-AFB35A5BD87A}">
    <text>Project On-Hold</text>
  </threadedComment>
  <threadedComment ref="BG91" dT="2024-10-18T04:54:46.00" personId="{6777EDD4-E46F-4979-A7E7-6FC0A82E0C8E}" id="{60B8BBCD-1394-437F-9EDD-3EAF44083D96}">
    <text>Project On-Hold</text>
  </threadedComment>
  <threadedComment ref="BH91" dT="2024-10-18T04:54:46.00" personId="{6777EDD4-E46F-4979-A7E7-6FC0A82E0C8E}" id="{5291AF63-3D11-4E79-85B7-5030467D25B0}">
    <text>Project On-Hold</text>
  </threadedComment>
  <threadedComment ref="BI91" dT="2024-10-18T04:54:46.00" personId="{6777EDD4-E46F-4979-A7E7-6FC0A82E0C8E}" id="{36D07945-146B-4444-93F8-31777A9D8C30}">
    <text>Project On-Hold</text>
  </threadedComment>
  <threadedComment ref="BJ91" dT="2024-10-18T04:54:46.00" personId="{6777EDD4-E46F-4979-A7E7-6FC0A82E0C8E}" id="{676ED668-14E9-4F81-BEB6-52F5D174B974}">
    <text>Project On-Hold</text>
  </threadedComment>
  <threadedComment ref="BK91" dT="2024-10-18T04:54:46.00" personId="{6777EDD4-E46F-4979-A7E7-6FC0A82E0C8E}" id="{2FB55E29-4A99-4BED-9C0C-50E8B212E7FA}">
    <text>Project On-Hold</text>
  </threadedComment>
  <threadedComment ref="BL91" dT="2024-10-18T04:54:46.00" personId="{6777EDD4-E46F-4979-A7E7-6FC0A82E0C8E}" id="{992904A2-4880-4B46-8731-7F24D4AA4EC8}">
    <text>Project On-Hold</text>
  </threadedComment>
  <threadedComment ref="BM91" dT="2024-10-18T04:54:46.00" personId="{6777EDD4-E46F-4979-A7E7-6FC0A82E0C8E}" id="{3C28D30F-0BBC-4E21-B038-B64B17F64963}">
    <text>Project On-Hold</text>
  </threadedComment>
  <threadedComment ref="BN91" dT="2024-10-18T04:54:46.00" personId="{6777EDD4-E46F-4979-A7E7-6FC0A82E0C8E}" id="{594BCE8D-733A-4C0E-B40F-76A68229F74D}">
    <text>Project On-Hold</text>
  </threadedComment>
  <threadedComment ref="BP91" dT="2024-10-18T04:54:46.00" personId="{6777EDD4-E46F-4979-A7E7-6FC0A82E0C8E}" id="{860FFF97-D9B5-4454-9AB6-8476D78FACA4}">
    <text>Project On-Hold</text>
  </threadedComment>
  <threadedComment ref="BR91" dT="2024-10-18T04:54:46.00" personId="{6777EDD4-E46F-4979-A7E7-6FC0A82E0C8E}" id="{FAB44967-8193-45B2-8273-885E66B8EF51}">
    <text>Project On-Hold</text>
  </threadedComment>
  <threadedComment ref="BS91" dT="2024-10-18T04:54:46.00" personId="{6777EDD4-E46F-4979-A7E7-6FC0A82E0C8E}" id="{B67459E4-4146-4102-AF58-577A6CE03317}">
    <text>Project On-Hold</text>
  </threadedComment>
  <threadedComment ref="BU91" dT="2024-10-18T04:54:46.00" personId="{6777EDD4-E46F-4979-A7E7-6FC0A82E0C8E}" id="{7E9CD5A5-D0B7-4532-9C48-899ED7B07963}">
    <text>Project On-Hold</text>
  </threadedComment>
  <threadedComment ref="Q92" dT="2024-05-11T03:05:35.61" personId="{728803BD-3A25-4F6F-BA7C-1EDF8A148B73}" id="{54F98015-A12C-4186-ABF7-6592DF199A5C}">
    <text>No Joiners in month of Apr'24</text>
  </threadedComment>
  <threadedComment ref="R92" dT="2024-05-11T03:05:35.61" personId="{728803BD-3A25-4F6F-BA7C-1EDF8A148B73}" id="{335F04F4-DA2E-498B-98C0-AF23E18B675F}">
    <text>No Joiners in month of Apr'24</text>
  </threadedComment>
  <threadedComment ref="W92" dT="2024-08-14T10:45:08.24" personId="{728803BD-3A25-4F6F-BA7C-1EDF8A148B73}" id="{A6D0C0A5-1A7A-43DC-8AF9-6A2FE97BE2D1}">
    <text>No Hiring Demand, email confirmation from Elton</text>
  </threadedComment>
  <threadedComment ref="X92" dT="2024-08-14T10:45:08.24" personId="{728803BD-3A25-4F6F-BA7C-1EDF8A148B73}" id="{8B9C049B-70F0-4146-9328-A3C56C2FBB54}">
    <text>No Hiring Demand, email confirmation from Elton</text>
  </threadedComment>
  <threadedComment ref="AA92" dT="2024-10-18T04:54:46.00" personId="{6777EDD4-E46F-4979-A7E7-6FC0A82E0C8E}" id="{53B5B646-25A8-42C6-A7FB-B66D4EDB5DE2}">
    <text>Project On-Hold</text>
  </threadedComment>
  <threadedComment ref="AB92" dT="2024-10-18T04:54:46.00" personId="{6777EDD4-E46F-4979-A7E7-6FC0A82E0C8E}" id="{6E42A968-38BB-4E28-ADE9-0217C0416268}">
    <text>Project On-Hold</text>
  </threadedComment>
  <threadedComment ref="AC92" dT="2024-10-18T04:54:46.00" personId="{6777EDD4-E46F-4979-A7E7-6FC0A82E0C8E}" id="{F8FFC424-C213-4CFE-A0CE-84B17CAEB662}">
    <text>Project On-Hold</text>
  </threadedComment>
  <threadedComment ref="AD92" dT="2024-10-18T04:54:46.00" personId="{6777EDD4-E46F-4979-A7E7-6FC0A82E0C8E}" id="{460291E8-678B-4213-9A83-38353276B828}">
    <text>Project On-Hold</text>
  </threadedComment>
  <threadedComment ref="AE92" dT="2024-10-18T04:54:46.00" personId="{6777EDD4-E46F-4979-A7E7-6FC0A82E0C8E}" id="{51A1501E-97DC-4AC1-A441-91D2C52769D3}">
    <text>Project On-Hold</text>
  </threadedComment>
  <threadedComment ref="AF92" dT="2024-10-18T04:54:46.00" personId="{6777EDD4-E46F-4979-A7E7-6FC0A82E0C8E}" id="{44FA2332-B075-4A0D-B0F4-BB577055F86F}">
    <text>Project On-Hold</text>
  </threadedComment>
  <threadedComment ref="AG92" dT="2024-10-18T04:54:46.00" personId="{6777EDD4-E46F-4979-A7E7-6FC0A82E0C8E}" id="{ECEEAF64-3291-4689-A479-D6756A8DFEDB}">
    <text>Project On-Hold</text>
  </threadedComment>
  <threadedComment ref="AH92" dT="2024-10-18T04:54:46.00" personId="{6777EDD4-E46F-4979-A7E7-6FC0A82E0C8E}" id="{8F0EF42D-8A10-4936-9EC6-FC033CAC4C7D}">
    <text>Project On-Hold</text>
  </threadedComment>
  <threadedComment ref="AI92" dT="2024-10-18T04:54:46.00" personId="{6777EDD4-E46F-4979-A7E7-6FC0A82E0C8E}" id="{A8074447-A7CD-4129-8D16-0792075D8122}">
    <text>Project On-Hold</text>
  </threadedComment>
  <threadedComment ref="AJ92" dT="2024-10-18T04:54:46.00" personId="{6777EDD4-E46F-4979-A7E7-6FC0A82E0C8E}" id="{BFA1832A-8715-4C25-A328-1423B2303AAA}">
    <text>Project On-Hold</text>
  </threadedComment>
  <threadedComment ref="AK92" dT="2024-10-18T04:54:46.00" personId="{6777EDD4-E46F-4979-A7E7-6FC0A82E0C8E}" id="{F7A1655B-F313-4A72-9C37-E5B56111B915}">
    <text>Project On-Hold</text>
  </threadedComment>
  <threadedComment ref="AL92" dT="2024-10-18T04:54:46.00" personId="{6777EDD4-E46F-4979-A7E7-6FC0A82E0C8E}" id="{4BECCADF-8194-4AAF-A910-DE7F29DD7A93}">
    <text>Project On-Hold</text>
  </threadedComment>
  <threadedComment ref="AM92" dT="2024-10-18T04:54:46.00" personId="{6777EDD4-E46F-4979-A7E7-6FC0A82E0C8E}" id="{A030EA8E-C7D0-4DDE-BAA1-F4D6DB6553D1}">
    <text>Project On-Hold</text>
  </threadedComment>
  <threadedComment ref="AN92" dT="2024-10-18T04:54:46.00" personId="{6777EDD4-E46F-4979-A7E7-6FC0A82E0C8E}" id="{2AD367D7-9696-4CF8-85BD-48882F6B7DFE}">
    <text>Project On-Hold</text>
  </threadedComment>
  <threadedComment ref="AO92" dT="2024-10-18T04:54:46.00" personId="{6777EDD4-E46F-4979-A7E7-6FC0A82E0C8E}" id="{1D6DF28A-A420-4F9E-8AA3-4E153D2C692E}">
    <text>Project On-Hold</text>
  </threadedComment>
  <threadedComment ref="AP92" dT="2024-10-18T04:54:46.00" personId="{6777EDD4-E46F-4979-A7E7-6FC0A82E0C8E}" id="{0DC041AA-6614-4F24-A122-CB4B2B9DAEEB}">
    <text>Project On-Hold</text>
  </threadedComment>
  <threadedComment ref="AQ92" dT="2024-10-18T04:54:46.00" personId="{6777EDD4-E46F-4979-A7E7-6FC0A82E0C8E}" id="{5449C2AA-EC14-48BB-9C19-0E64A1D5490A}">
    <text>Project On-Hold</text>
  </threadedComment>
  <threadedComment ref="AR92" dT="2024-10-18T04:54:46.00" personId="{6777EDD4-E46F-4979-A7E7-6FC0A82E0C8E}" id="{CD898DED-AB7E-4E16-B492-7434CE08A21B}">
    <text>Project On-Hold</text>
  </threadedComment>
  <threadedComment ref="AS92" dT="2024-10-18T04:54:46.00" personId="{6777EDD4-E46F-4979-A7E7-6FC0A82E0C8E}" id="{4FFACB24-CC8A-4581-B9F2-0B8B1E7F2A3E}">
    <text>Project On-Hold</text>
  </threadedComment>
  <threadedComment ref="AT92" dT="2024-10-18T04:54:46.00" personId="{6777EDD4-E46F-4979-A7E7-6FC0A82E0C8E}" id="{92DC05B4-93B8-4599-9A7E-48EE557C35BF}">
    <text>Project On-Hold</text>
  </threadedComment>
  <threadedComment ref="AU92" dT="2024-10-18T04:54:46.00" personId="{6777EDD4-E46F-4979-A7E7-6FC0A82E0C8E}" id="{40911A2C-05B8-47B9-A98A-3E77F6241B7D}">
    <text>Project On-Hold</text>
  </threadedComment>
  <threadedComment ref="AV92" dT="2024-10-18T04:54:46.00" personId="{6777EDD4-E46F-4979-A7E7-6FC0A82E0C8E}" id="{4233D379-83F8-43EF-8228-FB3A2409EEB2}">
    <text>Project On-Hold</text>
  </threadedComment>
  <threadedComment ref="AW92" dT="2024-10-18T04:54:46.00" personId="{6777EDD4-E46F-4979-A7E7-6FC0A82E0C8E}" id="{93503EE3-C5B4-4917-A52B-6C45A91E8312}">
    <text>Project On-Hold</text>
  </threadedComment>
  <threadedComment ref="AX92" dT="2024-10-18T04:54:46.00" personId="{6777EDD4-E46F-4979-A7E7-6FC0A82E0C8E}" id="{AD0D884E-1453-4D44-A49F-28091F3FB3E6}">
    <text>Project On-Hold</text>
  </threadedComment>
  <threadedComment ref="AY92" dT="2024-10-18T04:54:46.00" personId="{6777EDD4-E46F-4979-A7E7-6FC0A82E0C8E}" id="{AB16B687-AC48-4A91-A568-86A6DF119B9F}">
    <text>Project On-Hold</text>
  </threadedComment>
  <threadedComment ref="AZ92" dT="2024-10-18T04:54:46.00" personId="{6777EDD4-E46F-4979-A7E7-6FC0A82E0C8E}" id="{5DFBC142-4266-43E3-80C9-6E857C994CE1}">
    <text>Project On-Hold</text>
  </threadedComment>
  <threadedComment ref="BA92" dT="2024-10-18T04:54:46.00" personId="{6777EDD4-E46F-4979-A7E7-6FC0A82E0C8E}" id="{091496FF-4E35-48F4-8277-448D8F186D69}">
    <text>Project On-Hold</text>
  </threadedComment>
  <threadedComment ref="BB92" dT="2024-10-18T04:54:46.00" personId="{6777EDD4-E46F-4979-A7E7-6FC0A82E0C8E}" id="{86662BCD-3DF5-4869-8D72-EA906227602F}">
    <text>Project On-Hold</text>
  </threadedComment>
  <threadedComment ref="BC92" dT="2024-10-18T04:54:46.00" personId="{6777EDD4-E46F-4979-A7E7-6FC0A82E0C8E}" id="{8D620568-932B-4F0A-820F-147A3427D721}">
    <text>Project On-Hold</text>
  </threadedComment>
  <threadedComment ref="BD92" dT="2024-10-18T04:54:46.00" personId="{6777EDD4-E46F-4979-A7E7-6FC0A82E0C8E}" id="{2FE42551-E211-4A22-B0F9-F332FD6680CF}">
    <text>Project On-Hold</text>
  </threadedComment>
  <threadedComment ref="BE92" dT="2024-10-18T04:54:46.00" personId="{6777EDD4-E46F-4979-A7E7-6FC0A82E0C8E}" id="{08402C55-BA69-4A35-8FC3-6808722A2472}">
    <text>Project On-Hold</text>
  </threadedComment>
  <threadedComment ref="BF92" dT="2024-10-18T04:54:46.00" personId="{6777EDD4-E46F-4979-A7E7-6FC0A82E0C8E}" id="{DC596E67-77F4-43C7-BDD3-017829864BD2}">
    <text>Project On-Hold</text>
  </threadedComment>
  <threadedComment ref="BG92" dT="2024-10-18T04:54:46.00" personId="{6777EDD4-E46F-4979-A7E7-6FC0A82E0C8E}" id="{F05FFC38-7F6D-468C-9158-6FF11147CF6E}">
    <text>Project On-Hold</text>
  </threadedComment>
  <threadedComment ref="BH92" dT="2024-10-18T04:54:46.00" personId="{6777EDD4-E46F-4979-A7E7-6FC0A82E0C8E}" id="{B8448CCD-C291-4D0D-BB81-1B99E86DFAA5}">
    <text>Project On-Hold</text>
  </threadedComment>
  <threadedComment ref="BI92" dT="2024-10-18T04:54:46.00" personId="{6777EDD4-E46F-4979-A7E7-6FC0A82E0C8E}" id="{6C5F6F5A-1809-4448-999E-981163EF62D9}">
    <text>Project On-Hold</text>
  </threadedComment>
  <threadedComment ref="BJ92" dT="2024-10-18T04:54:46.00" personId="{6777EDD4-E46F-4979-A7E7-6FC0A82E0C8E}" id="{16E971C3-1BD4-4F25-9040-9231DEF67DE2}">
    <text>Project On-Hold</text>
  </threadedComment>
  <threadedComment ref="BK92" dT="2024-10-18T04:54:46.00" personId="{6777EDD4-E46F-4979-A7E7-6FC0A82E0C8E}" id="{FD7E1342-2150-4059-AE32-48A440D9A5DA}">
    <text>Project On-Hold</text>
  </threadedComment>
  <threadedComment ref="BL92" dT="2024-10-18T04:54:46.00" personId="{6777EDD4-E46F-4979-A7E7-6FC0A82E0C8E}" id="{8932F0D7-D804-4012-B1E2-45710A8EDB6B}">
    <text>Project On-Hold</text>
  </threadedComment>
  <threadedComment ref="BM92" dT="2024-10-18T04:54:46.00" personId="{6777EDD4-E46F-4979-A7E7-6FC0A82E0C8E}" id="{4175056B-55A3-41B8-A1CC-7A4458DD5590}">
    <text>Project On-Hold</text>
  </threadedComment>
  <threadedComment ref="BN92" dT="2024-10-18T04:54:46.00" personId="{6777EDD4-E46F-4979-A7E7-6FC0A82E0C8E}" id="{C11F3B3F-F61C-433C-9AF3-7144B75D5C4F}">
    <text>Project On-Hold</text>
  </threadedComment>
  <threadedComment ref="BP92" dT="2024-10-18T04:54:46.00" personId="{6777EDD4-E46F-4979-A7E7-6FC0A82E0C8E}" id="{64BE4405-DBAE-4C48-A657-8D8FC4E3AA3D}">
    <text>Project On-Hold</text>
  </threadedComment>
  <threadedComment ref="BR92" dT="2024-10-18T04:54:46.00" personId="{6777EDD4-E46F-4979-A7E7-6FC0A82E0C8E}" id="{DD5859F7-4716-4DC5-943C-302AE4AFC7C5}">
    <text>Project On-Hold</text>
  </threadedComment>
  <threadedComment ref="BS92" dT="2024-10-18T04:54:46.00" personId="{6777EDD4-E46F-4979-A7E7-6FC0A82E0C8E}" id="{DB331C14-C4C2-403C-844A-CF2B4CF310EF}">
    <text>Project On-Hold</text>
  </threadedComment>
  <threadedComment ref="BU92" dT="2024-10-18T04:54:46.00" personId="{6777EDD4-E46F-4979-A7E7-6FC0A82E0C8E}" id="{209126C0-3904-4916-B6A6-21774D0C4F38}">
    <text>Project On-Hold</text>
  </threadedComment>
  <threadedComment ref="Q93" dT="2024-05-11T03:05:35.61" personId="{728803BD-3A25-4F6F-BA7C-1EDF8A148B73}" id="{70CAA436-027B-4BBF-A714-6AFA95F1479B}">
    <text>No Joiners in month of Apr'24</text>
  </threadedComment>
  <threadedComment ref="R93" dT="2024-05-11T03:05:35.61" personId="{728803BD-3A25-4F6F-BA7C-1EDF8A148B73}" id="{C79D5558-2651-4026-B1C0-AA6BF0DC181C}">
    <text>No Joiners in month of Apr'24</text>
  </threadedComment>
  <threadedComment ref="W93" dT="2024-08-14T10:45:08.24" personId="{728803BD-3A25-4F6F-BA7C-1EDF8A148B73}" id="{1A378288-A422-4598-AE43-A798496E45E6}">
    <text>No Hiring Demand, email confirmation from Elton</text>
  </threadedComment>
  <threadedComment ref="X93" dT="2024-08-14T10:45:08.24" personId="{728803BD-3A25-4F6F-BA7C-1EDF8A148B73}" id="{BD64FC79-38EE-43DB-B5AE-AB0004892FCD}">
    <text>No Hiring Demand, email confirmation from Elton</text>
  </threadedComment>
  <threadedComment ref="AA93" dT="2024-10-18T04:54:46.00" personId="{6777EDD4-E46F-4979-A7E7-6FC0A82E0C8E}" id="{D53907BF-AB40-46E7-B6D2-EF4161643CA2}">
    <text>Project On-Hold</text>
  </threadedComment>
  <threadedComment ref="AB93" dT="2024-10-18T04:54:46.00" personId="{6777EDD4-E46F-4979-A7E7-6FC0A82E0C8E}" id="{7D101F1D-7B97-45B3-940C-3B1D4EFD4F65}">
    <text>Project On-Hold</text>
  </threadedComment>
  <threadedComment ref="AC93" dT="2024-10-18T04:54:46.00" personId="{6777EDD4-E46F-4979-A7E7-6FC0A82E0C8E}" id="{1956494F-D2DB-4854-9C52-A4DB4586C42E}">
    <text>Project On-Hold</text>
  </threadedComment>
  <threadedComment ref="AD93" dT="2024-10-18T04:54:46.00" personId="{6777EDD4-E46F-4979-A7E7-6FC0A82E0C8E}" id="{2580F9F1-2CC6-46B1-B698-DF69719E2875}">
    <text>Project On-Hold</text>
  </threadedComment>
  <threadedComment ref="AE93" dT="2024-10-18T04:54:46.00" personId="{6777EDD4-E46F-4979-A7E7-6FC0A82E0C8E}" id="{9E68799F-2806-43B4-B657-F908F921571F}">
    <text>Project On-Hold</text>
  </threadedComment>
  <threadedComment ref="AF93" dT="2024-10-18T04:54:46.00" personId="{6777EDD4-E46F-4979-A7E7-6FC0A82E0C8E}" id="{79CDC2A3-6FD2-4CE7-8A30-0A19DB3DE5B3}">
    <text>Project On-Hold</text>
  </threadedComment>
  <threadedComment ref="AG93" dT="2024-10-18T04:54:46.00" personId="{6777EDD4-E46F-4979-A7E7-6FC0A82E0C8E}" id="{C970F739-A5F8-4F66-820A-557C2B848CA5}">
    <text>Project On-Hold</text>
  </threadedComment>
  <threadedComment ref="AH93" dT="2024-10-18T04:54:46.00" personId="{6777EDD4-E46F-4979-A7E7-6FC0A82E0C8E}" id="{6C9B95B4-9284-4095-A6EE-5F49EEE3D9B3}">
    <text>Project On-Hold</text>
  </threadedComment>
  <threadedComment ref="AI93" dT="2024-10-18T04:54:46.00" personId="{6777EDD4-E46F-4979-A7E7-6FC0A82E0C8E}" id="{FB9D6CA5-42BD-49A8-BE86-C954E799CAE2}">
    <text>Project On-Hold</text>
  </threadedComment>
  <threadedComment ref="AJ93" dT="2024-10-18T04:54:46.00" personId="{6777EDD4-E46F-4979-A7E7-6FC0A82E0C8E}" id="{10026D6C-8396-4C89-A4D8-E67B5343ECBE}">
    <text>Project On-Hold</text>
  </threadedComment>
  <threadedComment ref="AK93" dT="2024-10-18T04:54:46.00" personId="{6777EDD4-E46F-4979-A7E7-6FC0A82E0C8E}" id="{E8AACE49-7287-4F76-86C0-ADD927E4E34A}">
    <text>Project On-Hold</text>
  </threadedComment>
  <threadedComment ref="AL93" dT="2024-10-18T04:54:46.00" personId="{6777EDD4-E46F-4979-A7E7-6FC0A82E0C8E}" id="{5393FDF4-9F86-47B5-A118-FD725493D25F}">
    <text>Project On-Hold</text>
  </threadedComment>
  <threadedComment ref="AM93" dT="2024-10-18T04:54:46.00" personId="{6777EDD4-E46F-4979-A7E7-6FC0A82E0C8E}" id="{4F1041BE-7E8C-4854-8091-FE5DA11A6A07}">
    <text>Project On-Hold</text>
  </threadedComment>
  <threadedComment ref="AN93" dT="2024-10-18T04:54:46.00" personId="{6777EDD4-E46F-4979-A7E7-6FC0A82E0C8E}" id="{159BE7A7-8D80-4357-B746-6283898298DE}">
    <text>Project On-Hold</text>
  </threadedComment>
  <threadedComment ref="AO93" dT="2024-10-18T04:54:46.00" personId="{6777EDD4-E46F-4979-A7E7-6FC0A82E0C8E}" id="{45B6051B-F259-429C-A69C-5DFA79D92B9E}">
    <text>Project On-Hold</text>
  </threadedComment>
  <threadedComment ref="AP93" dT="2024-10-18T04:54:46.00" personId="{6777EDD4-E46F-4979-A7E7-6FC0A82E0C8E}" id="{20A7E9F6-5ABB-4CE8-B7D8-C1EC658AA57D}">
    <text>Project On-Hold</text>
  </threadedComment>
  <threadedComment ref="AQ93" dT="2024-10-18T04:54:46.00" personId="{6777EDD4-E46F-4979-A7E7-6FC0A82E0C8E}" id="{5619F2A3-15F5-4D64-A0CA-96C6B9ADFC4A}">
    <text>Project On-Hold</text>
  </threadedComment>
  <threadedComment ref="AR93" dT="2024-10-18T04:54:46.00" personId="{6777EDD4-E46F-4979-A7E7-6FC0A82E0C8E}" id="{D695278E-00FF-46B3-9839-A1F1217E93A3}">
    <text>Project On-Hold</text>
  </threadedComment>
  <threadedComment ref="AS93" dT="2024-10-18T04:54:46.00" personId="{6777EDD4-E46F-4979-A7E7-6FC0A82E0C8E}" id="{4A8B6ECE-E747-482B-89B7-470BB1BF6FD1}">
    <text>Project On-Hold</text>
  </threadedComment>
  <threadedComment ref="AT93" dT="2024-10-18T04:54:46.00" personId="{6777EDD4-E46F-4979-A7E7-6FC0A82E0C8E}" id="{802E9B72-052F-423F-80E6-2388A7766BBA}">
    <text>Project On-Hold</text>
  </threadedComment>
  <threadedComment ref="AU93" dT="2024-10-18T04:54:46.00" personId="{6777EDD4-E46F-4979-A7E7-6FC0A82E0C8E}" id="{44F02BC2-AFFA-4E98-B445-C51E0DC62A54}">
    <text>Project On-Hold</text>
  </threadedComment>
  <threadedComment ref="AV93" dT="2024-10-18T04:54:46.00" personId="{6777EDD4-E46F-4979-A7E7-6FC0A82E0C8E}" id="{D1713D55-11A4-4D1F-972B-07626B20E2D3}">
    <text>Project On-Hold</text>
  </threadedComment>
  <threadedComment ref="AW93" dT="2024-10-18T04:54:46.00" personId="{6777EDD4-E46F-4979-A7E7-6FC0A82E0C8E}" id="{473A910E-B60E-466E-9A21-D86EC9047E0B}">
    <text>Project On-Hold</text>
  </threadedComment>
  <threadedComment ref="AX93" dT="2024-10-18T04:54:46.00" personId="{6777EDD4-E46F-4979-A7E7-6FC0A82E0C8E}" id="{AE921828-0B35-44AF-92F1-DB7CB9BE507C}">
    <text>Project On-Hold</text>
  </threadedComment>
  <threadedComment ref="AY93" dT="2024-10-18T04:54:46.00" personId="{6777EDD4-E46F-4979-A7E7-6FC0A82E0C8E}" id="{4F27E59A-1AE2-4162-B000-9500424A5E8A}">
    <text>Project On-Hold</text>
  </threadedComment>
  <threadedComment ref="AZ93" dT="2024-10-18T04:54:46.00" personId="{6777EDD4-E46F-4979-A7E7-6FC0A82E0C8E}" id="{02A0FAA4-3CF2-4376-9955-1E57ECD6E0AE}">
    <text>Project On-Hold</text>
  </threadedComment>
  <threadedComment ref="BA93" dT="2024-10-18T04:54:46.00" personId="{6777EDD4-E46F-4979-A7E7-6FC0A82E0C8E}" id="{F19BC764-D75B-4474-AA3E-7950CD06DFAC}">
    <text>Project On-Hold</text>
  </threadedComment>
  <threadedComment ref="BB93" dT="2024-10-18T04:54:46.00" personId="{6777EDD4-E46F-4979-A7E7-6FC0A82E0C8E}" id="{D8B8A6E1-8FB3-41B0-A87A-FC68DBE13E17}">
    <text>Project On-Hold</text>
  </threadedComment>
  <threadedComment ref="BC93" dT="2024-10-18T04:54:46.00" personId="{6777EDD4-E46F-4979-A7E7-6FC0A82E0C8E}" id="{0A852999-CD01-4FDF-BCDF-E3871FB46D7C}">
    <text>Project On-Hold</text>
  </threadedComment>
  <threadedComment ref="BD93" dT="2024-10-18T04:54:46.00" personId="{6777EDD4-E46F-4979-A7E7-6FC0A82E0C8E}" id="{6FE0C7BB-DECA-4E80-A0A5-6252E9381B79}">
    <text>Project On-Hold</text>
  </threadedComment>
  <threadedComment ref="BE93" dT="2024-10-18T04:54:46.00" personId="{6777EDD4-E46F-4979-A7E7-6FC0A82E0C8E}" id="{57E7DE0A-74AF-4048-81DA-61DC19F6B36F}">
    <text>Project On-Hold</text>
  </threadedComment>
  <threadedComment ref="BF93" dT="2024-10-18T04:54:46.00" personId="{6777EDD4-E46F-4979-A7E7-6FC0A82E0C8E}" id="{C346BF35-F1AC-49E0-A684-95604FA1BB5C}">
    <text>Project On-Hold</text>
  </threadedComment>
  <threadedComment ref="BG93" dT="2024-10-18T04:54:46.00" personId="{6777EDD4-E46F-4979-A7E7-6FC0A82E0C8E}" id="{CB57291F-5F26-44A4-82E2-016596F1C14A}">
    <text>Project On-Hold</text>
  </threadedComment>
  <threadedComment ref="BH93" dT="2024-10-18T04:54:46.00" personId="{6777EDD4-E46F-4979-A7E7-6FC0A82E0C8E}" id="{C6ECE848-1AB2-48A3-BC2C-561D2E479F1A}">
    <text>Project On-Hold</text>
  </threadedComment>
  <threadedComment ref="BI93" dT="2024-10-18T04:54:46.00" personId="{6777EDD4-E46F-4979-A7E7-6FC0A82E0C8E}" id="{0D80C73E-E92E-4A35-8E38-2C7A410B1378}">
    <text>Project On-Hold</text>
  </threadedComment>
  <threadedComment ref="BJ93" dT="2024-10-18T04:54:46.00" personId="{6777EDD4-E46F-4979-A7E7-6FC0A82E0C8E}" id="{7507C459-F20D-4AA7-973F-08B7796DBC48}">
    <text>Project On-Hold</text>
  </threadedComment>
  <threadedComment ref="BK93" dT="2024-10-18T04:54:46.00" personId="{6777EDD4-E46F-4979-A7E7-6FC0A82E0C8E}" id="{3ADB84E7-994F-44DE-AFC7-FA4749B95D7C}">
    <text>Project On-Hold</text>
  </threadedComment>
  <threadedComment ref="BL93" dT="2024-10-18T04:54:46.00" personId="{6777EDD4-E46F-4979-A7E7-6FC0A82E0C8E}" id="{2E60BCAB-C879-4488-8A07-756C5A09383F}">
    <text>Project On-Hold</text>
  </threadedComment>
  <threadedComment ref="BM93" dT="2024-10-18T04:54:46.00" personId="{6777EDD4-E46F-4979-A7E7-6FC0A82E0C8E}" id="{C204A574-559E-40C4-8202-39CE7830D4AA}">
    <text>Project On-Hold</text>
  </threadedComment>
  <threadedComment ref="BN93" dT="2024-10-18T04:54:46.00" personId="{6777EDD4-E46F-4979-A7E7-6FC0A82E0C8E}" id="{D205E1CB-AF34-4432-8199-3796B491CC08}">
    <text>Project On-Hold</text>
  </threadedComment>
  <threadedComment ref="BP93" dT="2024-10-18T04:54:46.00" personId="{6777EDD4-E46F-4979-A7E7-6FC0A82E0C8E}" id="{2302B755-5B4A-4CCD-83B8-2585F030F5A4}">
    <text>Project On-Hold</text>
  </threadedComment>
  <threadedComment ref="BR93" dT="2024-10-18T04:54:46.00" personId="{6777EDD4-E46F-4979-A7E7-6FC0A82E0C8E}" id="{2D502A80-F799-4040-9749-E65EDF499EA4}">
    <text>Project On-Hold</text>
  </threadedComment>
  <threadedComment ref="BS93" dT="2024-10-18T04:54:46.00" personId="{6777EDD4-E46F-4979-A7E7-6FC0A82E0C8E}" id="{86BD0F64-C44E-44D1-A704-960F1B17E93C}">
    <text>Project On-Hold</text>
  </threadedComment>
  <threadedComment ref="BU93" dT="2024-10-18T04:54:46.00" personId="{6777EDD4-E46F-4979-A7E7-6FC0A82E0C8E}" id="{536F84EB-4011-4900-941D-3B5035F60708}">
    <text>Project On-Hold</text>
  </threadedComment>
  <threadedComment ref="W94" dT="2024-08-14T10:45:08.24" personId="{728803BD-3A25-4F6F-BA7C-1EDF8A148B73}" id="{DE07D2E0-E449-4BDD-99F4-3FC0FADC485D}">
    <text>No Hiring Demand, email confirmation from Elton</text>
  </threadedComment>
  <threadedComment ref="X94" dT="2024-08-14T10:45:08.24" personId="{728803BD-3A25-4F6F-BA7C-1EDF8A148B73}" id="{AED7A66A-9BF9-424E-86DA-415E418A3D9D}">
    <text>No Hiring Demand, email confirmation from Elton</text>
  </threadedComment>
  <threadedComment ref="AA94" dT="2024-10-18T04:54:46.00" personId="{6777EDD4-E46F-4979-A7E7-6FC0A82E0C8E}" id="{B4C2A68C-B399-489E-8E8E-9B28DFC0F80E}">
    <text>Project On-Hold</text>
  </threadedComment>
  <threadedComment ref="AB94" dT="2024-10-18T04:54:46.00" personId="{6777EDD4-E46F-4979-A7E7-6FC0A82E0C8E}" id="{8E85C5B6-9AC1-4271-B80E-68E60B3807D1}">
    <text>Project On-Hold</text>
  </threadedComment>
  <threadedComment ref="AC94" dT="2024-10-18T04:54:46.00" personId="{6777EDD4-E46F-4979-A7E7-6FC0A82E0C8E}" id="{740C8EE8-364C-4798-BB3D-A170E87BDC47}">
    <text>Project On-Hold</text>
  </threadedComment>
  <threadedComment ref="AD94" dT="2024-10-18T04:54:46.00" personId="{6777EDD4-E46F-4979-A7E7-6FC0A82E0C8E}" id="{8AAF4209-1198-4B3C-8406-E5D97804A354}">
    <text>Project On-Hold</text>
  </threadedComment>
  <threadedComment ref="AE94" dT="2024-10-18T04:54:46.00" personId="{6777EDD4-E46F-4979-A7E7-6FC0A82E0C8E}" id="{7C98C82C-FF1D-419B-8B73-FDBC2695E336}">
    <text>Project On-Hold</text>
  </threadedComment>
  <threadedComment ref="AF94" dT="2024-10-18T04:54:46.00" personId="{6777EDD4-E46F-4979-A7E7-6FC0A82E0C8E}" id="{7142DC4F-88AB-47C3-8105-66BCA5A1499C}">
    <text>Project On-Hold</text>
  </threadedComment>
  <threadedComment ref="AG94" dT="2024-10-18T04:54:46.00" personId="{6777EDD4-E46F-4979-A7E7-6FC0A82E0C8E}" id="{85B916EF-7F76-448A-9ADF-3807ED372C91}">
    <text>Project On-Hold</text>
  </threadedComment>
  <threadedComment ref="AH94" dT="2024-10-18T04:54:46.00" personId="{6777EDD4-E46F-4979-A7E7-6FC0A82E0C8E}" id="{411463DE-DE7F-4385-ABA3-9A348A944715}">
    <text>Project On-Hold</text>
  </threadedComment>
  <threadedComment ref="AI94" dT="2024-10-18T04:54:46.00" personId="{6777EDD4-E46F-4979-A7E7-6FC0A82E0C8E}" id="{9932F52E-E15F-4755-878B-0D4336863B56}">
    <text>Project On-Hold</text>
  </threadedComment>
  <threadedComment ref="AJ94" dT="2024-10-18T04:54:46.00" personId="{6777EDD4-E46F-4979-A7E7-6FC0A82E0C8E}" id="{FA2EBF3F-58F7-4199-8B3B-6905D21B6D3F}">
    <text>Project On-Hold</text>
  </threadedComment>
  <threadedComment ref="AK94" dT="2024-10-18T04:54:46.00" personId="{6777EDD4-E46F-4979-A7E7-6FC0A82E0C8E}" id="{3D4A5E0A-0798-4AA0-97EE-860A42B3E473}">
    <text>Project On-Hold</text>
  </threadedComment>
  <threadedComment ref="AL94" dT="2024-10-18T04:54:46.00" personId="{6777EDD4-E46F-4979-A7E7-6FC0A82E0C8E}" id="{190EA7DF-FB8B-4DDA-BEFC-A6CE0B93F15C}">
    <text>Project On-Hold</text>
  </threadedComment>
  <threadedComment ref="AM94" dT="2024-10-18T04:54:46.00" personId="{6777EDD4-E46F-4979-A7E7-6FC0A82E0C8E}" id="{3AFCF375-734B-4768-A1F5-539190D5BEF2}">
    <text>Project On-Hold</text>
  </threadedComment>
  <threadedComment ref="AN94" dT="2024-10-18T04:54:46.00" personId="{6777EDD4-E46F-4979-A7E7-6FC0A82E0C8E}" id="{5DB8DBBC-D044-48B6-A589-F2653828387D}">
    <text>Project On-Hold</text>
  </threadedComment>
  <threadedComment ref="AO94" dT="2024-10-18T04:54:46.00" personId="{6777EDD4-E46F-4979-A7E7-6FC0A82E0C8E}" id="{92EE694F-0128-4830-845A-BC17E550213A}">
    <text>Project On-Hold</text>
  </threadedComment>
  <threadedComment ref="AP94" dT="2024-10-18T04:54:46.00" personId="{6777EDD4-E46F-4979-A7E7-6FC0A82E0C8E}" id="{4B379CAC-AE20-461D-ADD5-90E31C8729FC}">
    <text>Project On-Hold</text>
  </threadedComment>
  <threadedComment ref="AQ94" dT="2024-10-18T04:54:46.00" personId="{6777EDD4-E46F-4979-A7E7-6FC0A82E0C8E}" id="{C1569F81-CF25-4156-BFD1-26A0A0C27FD9}">
    <text>Project On-Hold</text>
  </threadedComment>
  <threadedComment ref="AR94" dT="2024-10-18T04:54:46.00" personId="{6777EDD4-E46F-4979-A7E7-6FC0A82E0C8E}" id="{F1F3DF20-A0BC-448C-9207-ADC0F0BC78A3}">
    <text>Project On-Hold</text>
  </threadedComment>
  <threadedComment ref="AS94" dT="2024-10-18T04:54:46.00" personId="{6777EDD4-E46F-4979-A7E7-6FC0A82E0C8E}" id="{1B9C0766-3FC5-42B7-B217-8AD34E3F8315}">
    <text>Project On-Hold</text>
  </threadedComment>
  <threadedComment ref="AT94" dT="2024-10-18T04:54:46.00" personId="{6777EDD4-E46F-4979-A7E7-6FC0A82E0C8E}" id="{54CC3185-117E-4AB0-9ECF-3EC57D145522}">
    <text>Project On-Hold</text>
  </threadedComment>
  <threadedComment ref="AU94" dT="2024-10-18T04:54:46.00" personId="{6777EDD4-E46F-4979-A7E7-6FC0A82E0C8E}" id="{BEA50014-36C0-4041-AA6E-0BE7C999600E}">
    <text>Project On-Hold</text>
  </threadedComment>
  <threadedComment ref="AV94" dT="2024-10-18T04:54:46.00" personId="{6777EDD4-E46F-4979-A7E7-6FC0A82E0C8E}" id="{7AD322F0-FA1C-4912-A9C6-E9C7E8EC04B6}">
    <text>Project On-Hold</text>
  </threadedComment>
  <threadedComment ref="AW94" dT="2024-10-18T04:54:46.00" personId="{6777EDD4-E46F-4979-A7E7-6FC0A82E0C8E}" id="{E248F8A8-8BB1-4C2D-9C7E-5CF9A6CD828E}">
    <text>Project On-Hold</text>
  </threadedComment>
  <threadedComment ref="AX94" dT="2024-10-18T04:54:46.00" personId="{6777EDD4-E46F-4979-A7E7-6FC0A82E0C8E}" id="{7878919E-EC87-4E44-BCFC-9417063EA327}">
    <text>Project On-Hold</text>
  </threadedComment>
  <threadedComment ref="AY94" dT="2024-10-18T04:54:46.00" personId="{6777EDD4-E46F-4979-A7E7-6FC0A82E0C8E}" id="{1BA5E6B0-381C-4E0C-A3BE-D9A2BB209CDB}">
    <text>Project On-Hold</text>
  </threadedComment>
  <threadedComment ref="AZ94" dT="2024-10-18T04:54:46.00" personId="{6777EDD4-E46F-4979-A7E7-6FC0A82E0C8E}" id="{41511CCE-6D8F-467E-986A-11E2C425916A}">
    <text>Project On-Hold</text>
  </threadedComment>
  <threadedComment ref="BA94" dT="2024-10-18T04:54:46.00" personId="{6777EDD4-E46F-4979-A7E7-6FC0A82E0C8E}" id="{6B128807-CF79-458C-9A0D-DE6DC918C5D6}">
    <text>Project On-Hold</text>
  </threadedComment>
  <threadedComment ref="BB94" dT="2024-10-18T04:54:46.00" personId="{6777EDD4-E46F-4979-A7E7-6FC0A82E0C8E}" id="{050878D8-522E-4AEE-9DC3-84B0DB03FEC8}">
    <text>Project On-Hold</text>
  </threadedComment>
  <threadedComment ref="BC94" dT="2024-10-18T04:54:46.00" personId="{6777EDD4-E46F-4979-A7E7-6FC0A82E0C8E}" id="{F38E391C-7CF1-424B-B747-1271A222C2CA}">
    <text>Project On-Hold</text>
  </threadedComment>
  <threadedComment ref="BD94" dT="2024-10-18T04:54:46.00" personId="{6777EDD4-E46F-4979-A7E7-6FC0A82E0C8E}" id="{FC517D9F-F2F9-41BA-AAAE-300ECC386E66}">
    <text>Project On-Hold</text>
  </threadedComment>
  <threadedComment ref="BE94" dT="2024-10-18T04:54:46.00" personId="{6777EDD4-E46F-4979-A7E7-6FC0A82E0C8E}" id="{8EFDEA6C-D1B7-4A9B-BCB0-0980821C780D}">
    <text>Project On-Hold</text>
  </threadedComment>
  <threadedComment ref="BF94" dT="2024-10-18T04:54:46.00" personId="{6777EDD4-E46F-4979-A7E7-6FC0A82E0C8E}" id="{0F6305E5-2F86-46E1-83DB-060F97579C47}">
    <text>Project On-Hold</text>
  </threadedComment>
  <threadedComment ref="BG94" dT="2024-10-18T04:54:46.00" personId="{6777EDD4-E46F-4979-A7E7-6FC0A82E0C8E}" id="{6E37F3C2-5D7C-4637-85CF-E325321D393C}">
    <text>Project On-Hold</text>
  </threadedComment>
  <threadedComment ref="BH94" dT="2024-10-18T04:54:46.00" personId="{6777EDD4-E46F-4979-A7E7-6FC0A82E0C8E}" id="{7032AE1D-7ADB-4821-80D8-19AAC2D7B240}">
    <text>Project On-Hold</text>
  </threadedComment>
  <threadedComment ref="BI94" dT="2024-10-18T04:54:46.00" personId="{6777EDD4-E46F-4979-A7E7-6FC0A82E0C8E}" id="{5807A1D3-6D10-42BB-8917-7F651D00F371}">
    <text>Project On-Hold</text>
  </threadedComment>
  <threadedComment ref="BJ94" dT="2024-10-18T04:54:46.00" personId="{6777EDD4-E46F-4979-A7E7-6FC0A82E0C8E}" id="{0B0A158A-91F0-45CF-AAB3-46553DA62CE1}">
    <text>Project On-Hold</text>
  </threadedComment>
  <threadedComment ref="BK94" dT="2024-10-18T04:54:46.00" personId="{6777EDD4-E46F-4979-A7E7-6FC0A82E0C8E}" id="{5F4663CF-E12C-46AB-8A2B-AED356EC0CE6}">
    <text>Project On-Hold</text>
  </threadedComment>
  <threadedComment ref="BL94" dT="2024-10-18T04:54:46.00" personId="{6777EDD4-E46F-4979-A7E7-6FC0A82E0C8E}" id="{E124FBAA-0B49-4AE6-A4C8-1B59A74420A4}">
    <text>Project On-Hold</text>
  </threadedComment>
  <threadedComment ref="BM94" dT="2024-10-18T04:54:46.00" personId="{6777EDD4-E46F-4979-A7E7-6FC0A82E0C8E}" id="{C8D17B7C-84CA-420B-A38D-892B811C9C81}">
    <text>Project On-Hold</text>
  </threadedComment>
  <threadedComment ref="BN94" dT="2024-10-18T04:54:46.00" personId="{6777EDD4-E46F-4979-A7E7-6FC0A82E0C8E}" id="{56614FF6-81D5-43EF-82B9-299F8045FA70}">
    <text>Project On-Hold</text>
  </threadedComment>
  <threadedComment ref="BP94" dT="2024-10-18T04:54:46.00" personId="{6777EDD4-E46F-4979-A7E7-6FC0A82E0C8E}" id="{2AFEA2EB-0D93-4FEE-9905-C20D6A5897E2}">
    <text>Project On-Hold</text>
  </threadedComment>
  <threadedComment ref="BR94" dT="2024-10-18T04:54:46.00" personId="{6777EDD4-E46F-4979-A7E7-6FC0A82E0C8E}" id="{FE872E80-A1F8-4ECF-AC5A-6D565AC85C0A}">
    <text>Project On-Hold</text>
  </threadedComment>
  <threadedComment ref="BS94" dT="2024-10-18T04:54:46.00" personId="{6777EDD4-E46F-4979-A7E7-6FC0A82E0C8E}" id="{D508EAEC-4C7A-4D4B-AEBB-865F82E75741}">
    <text>Project On-Hold</text>
  </threadedComment>
  <threadedComment ref="BU94" dT="2024-10-18T04:54:46.00" personId="{6777EDD4-E46F-4979-A7E7-6FC0A82E0C8E}" id="{DA7128DE-EAAC-4B9E-886F-C70BD5FE73BE}">
    <text>Project On-Hold</text>
  </threadedComment>
  <threadedComment ref="W95" dT="2024-08-14T10:45:08.24" personId="{728803BD-3A25-4F6F-BA7C-1EDF8A148B73}" id="{849EA806-E6ED-4FBE-8ED7-ABAB6E3F7863}">
    <text>No Hiring Demand, email confirmation from Elton</text>
  </threadedComment>
  <threadedComment ref="X95" dT="2024-08-14T10:45:08.24" personId="{728803BD-3A25-4F6F-BA7C-1EDF8A148B73}" id="{260AFD64-CD4D-435C-B666-86F2D7101AAB}">
    <text>No Hiring Demand, email confirmation from Elton</text>
  </threadedComment>
  <threadedComment ref="AA95" dT="2024-10-18T04:54:46.00" personId="{6777EDD4-E46F-4979-A7E7-6FC0A82E0C8E}" id="{179F6D06-0A26-4A9E-B77D-23AB68F0E252}">
    <text>Project On-Hold</text>
  </threadedComment>
  <threadedComment ref="AB95" dT="2024-10-18T04:54:46.00" personId="{6777EDD4-E46F-4979-A7E7-6FC0A82E0C8E}" id="{5A8CBE09-8D65-4C96-88DB-6C5945656702}">
    <text>Project On-Hold</text>
  </threadedComment>
  <threadedComment ref="AC95" dT="2024-10-18T04:54:46.00" personId="{6777EDD4-E46F-4979-A7E7-6FC0A82E0C8E}" id="{1667C376-B9AD-458F-8860-C4F182810040}">
    <text>Project On-Hold</text>
  </threadedComment>
  <threadedComment ref="AD95" dT="2024-10-18T04:54:46.00" personId="{6777EDD4-E46F-4979-A7E7-6FC0A82E0C8E}" id="{9408DF53-6ED8-40C0-96B1-EEAC554DBD40}">
    <text>Project On-Hold</text>
  </threadedComment>
  <threadedComment ref="AE95" dT="2024-10-18T04:54:46.00" personId="{6777EDD4-E46F-4979-A7E7-6FC0A82E0C8E}" id="{C83EE3AF-D273-4883-A8C2-772EE949FCDB}">
    <text>Project On-Hold</text>
  </threadedComment>
  <threadedComment ref="AF95" dT="2024-10-18T04:54:46.00" personId="{6777EDD4-E46F-4979-A7E7-6FC0A82E0C8E}" id="{9D7934B2-7EFB-4B27-99A0-A09432400096}">
    <text>Project On-Hold</text>
  </threadedComment>
  <threadedComment ref="AG95" dT="2024-10-18T04:54:46.00" personId="{6777EDD4-E46F-4979-A7E7-6FC0A82E0C8E}" id="{637E6CDB-0193-42B0-9AFF-5EA861942544}">
    <text>Project On-Hold</text>
  </threadedComment>
  <threadedComment ref="AH95" dT="2024-10-18T04:54:46.00" personId="{6777EDD4-E46F-4979-A7E7-6FC0A82E0C8E}" id="{25E6D378-CBF8-4D9F-A19A-78649EBFF68F}">
    <text>Project On-Hold</text>
  </threadedComment>
  <threadedComment ref="AI95" dT="2024-10-18T04:54:46.00" personId="{6777EDD4-E46F-4979-A7E7-6FC0A82E0C8E}" id="{0187E204-F675-4F49-94AD-DDEE0D7D14C8}">
    <text>Project On-Hold</text>
  </threadedComment>
  <threadedComment ref="AJ95" dT="2024-10-18T04:54:46.00" personId="{6777EDD4-E46F-4979-A7E7-6FC0A82E0C8E}" id="{E8AEAFD7-2297-4079-A99B-41A028851EC6}">
    <text>Project On-Hold</text>
  </threadedComment>
  <threadedComment ref="AK95" dT="2024-10-18T04:54:46.00" personId="{6777EDD4-E46F-4979-A7E7-6FC0A82E0C8E}" id="{E41EE957-7B4B-4895-916C-B2F6140FF363}">
    <text>Project On-Hold</text>
  </threadedComment>
  <threadedComment ref="AL95" dT="2024-10-18T04:54:46.00" personId="{6777EDD4-E46F-4979-A7E7-6FC0A82E0C8E}" id="{6C284345-0A39-4658-9E4E-13F8BC34F90F}">
    <text>Project On-Hold</text>
  </threadedComment>
  <threadedComment ref="AM95" dT="2024-10-18T04:54:46.00" personId="{6777EDD4-E46F-4979-A7E7-6FC0A82E0C8E}" id="{57228A44-5C90-492F-BCE2-AFCF1C26FECE}">
    <text>Project On-Hold</text>
  </threadedComment>
  <threadedComment ref="AN95" dT="2024-10-18T04:54:46.00" personId="{6777EDD4-E46F-4979-A7E7-6FC0A82E0C8E}" id="{E7A2E234-42AB-4856-A1FE-8EA27CB821E1}">
    <text>Project On-Hold</text>
  </threadedComment>
  <threadedComment ref="AO95" dT="2024-10-18T04:54:46.00" personId="{6777EDD4-E46F-4979-A7E7-6FC0A82E0C8E}" id="{2036D4E9-922F-4488-9C87-35D4368F8C01}">
    <text>Project On-Hold</text>
  </threadedComment>
  <threadedComment ref="AP95" dT="2024-10-18T04:54:46.00" personId="{6777EDD4-E46F-4979-A7E7-6FC0A82E0C8E}" id="{1054C9B0-DF68-4EAF-86D5-FA9A86852886}">
    <text>Project On-Hold</text>
  </threadedComment>
  <threadedComment ref="AQ95" dT="2024-10-18T04:54:46.00" personId="{6777EDD4-E46F-4979-A7E7-6FC0A82E0C8E}" id="{612D5B18-9708-4BF6-A746-3EE2FE698B09}">
    <text>Project On-Hold</text>
  </threadedComment>
  <threadedComment ref="AR95" dT="2024-10-18T04:54:46.00" personId="{6777EDD4-E46F-4979-A7E7-6FC0A82E0C8E}" id="{27468245-ABF5-4D21-BE18-F0925F29CC4F}">
    <text>Project On-Hold</text>
  </threadedComment>
  <threadedComment ref="AS95" dT="2024-10-18T04:54:46.00" personId="{6777EDD4-E46F-4979-A7E7-6FC0A82E0C8E}" id="{D85B90FD-5525-4821-A37E-29596BA2A9E8}">
    <text>Project On-Hold</text>
  </threadedComment>
  <threadedComment ref="AT95" dT="2024-10-18T04:54:46.00" personId="{6777EDD4-E46F-4979-A7E7-6FC0A82E0C8E}" id="{CF4EC61C-6D89-4B56-9508-5D3086709F45}">
    <text>Project On-Hold</text>
  </threadedComment>
  <threadedComment ref="AU95" dT="2024-10-18T04:54:46.00" personId="{6777EDD4-E46F-4979-A7E7-6FC0A82E0C8E}" id="{63196827-78FC-413C-8AD3-A0197CE57EF8}">
    <text>Project On-Hold</text>
  </threadedComment>
  <threadedComment ref="AV95" dT="2024-10-18T04:54:46.00" personId="{6777EDD4-E46F-4979-A7E7-6FC0A82E0C8E}" id="{29570F42-4E5B-4D0C-942A-17881F092B50}">
    <text>Project On-Hold</text>
  </threadedComment>
  <threadedComment ref="AW95" dT="2024-10-18T04:54:46.00" personId="{6777EDD4-E46F-4979-A7E7-6FC0A82E0C8E}" id="{FEFB2221-AB36-44D9-8064-B412D09CD769}">
    <text>Project On-Hold</text>
  </threadedComment>
  <threadedComment ref="AX95" dT="2024-10-18T04:54:46.00" personId="{6777EDD4-E46F-4979-A7E7-6FC0A82E0C8E}" id="{4C9CB2C0-0588-4187-9176-6E7A5C98565D}">
    <text>Project On-Hold</text>
  </threadedComment>
  <threadedComment ref="AY95" dT="2024-10-18T04:54:46.00" personId="{6777EDD4-E46F-4979-A7E7-6FC0A82E0C8E}" id="{C70A2317-D2F4-4860-8A1D-5D78F7CDF682}">
    <text>Project On-Hold</text>
  </threadedComment>
  <threadedComment ref="AZ95" dT="2024-10-18T04:54:46.00" personId="{6777EDD4-E46F-4979-A7E7-6FC0A82E0C8E}" id="{0D2F3382-1C67-4BCD-9C8C-B3F92D29475E}">
    <text>Project On-Hold</text>
  </threadedComment>
  <threadedComment ref="BA95" dT="2024-10-18T04:54:46.00" personId="{6777EDD4-E46F-4979-A7E7-6FC0A82E0C8E}" id="{7AC2CDD1-374A-44A6-8534-9BDEAC5BF057}">
    <text>Project On-Hold</text>
  </threadedComment>
  <threadedComment ref="BB95" dT="2024-10-18T04:54:46.00" personId="{6777EDD4-E46F-4979-A7E7-6FC0A82E0C8E}" id="{982E2046-0747-4DE8-965D-7269F164B026}">
    <text>Project On-Hold</text>
  </threadedComment>
  <threadedComment ref="BC95" dT="2024-10-18T04:54:46.00" personId="{6777EDD4-E46F-4979-A7E7-6FC0A82E0C8E}" id="{E354A60C-E790-427B-9C67-BE4917F953C1}">
    <text>Project On-Hold</text>
  </threadedComment>
  <threadedComment ref="BD95" dT="2024-10-18T04:54:46.00" personId="{6777EDD4-E46F-4979-A7E7-6FC0A82E0C8E}" id="{79B446A2-760C-4662-95F1-ECA6C7CD0DEE}">
    <text>Project On-Hold</text>
  </threadedComment>
  <threadedComment ref="BE95" dT="2024-10-18T04:54:46.00" personId="{6777EDD4-E46F-4979-A7E7-6FC0A82E0C8E}" id="{BDF9E5A1-ECC0-47A4-A0B1-DE3B91AB48FA}">
    <text>Project On-Hold</text>
  </threadedComment>
  <threadedComment ref="BF95" dT="2024-10-18T04:54:46.00" personId="{6777EDD4-E46F-4979-A7E7-6FC0A82E0C8E}" id="{73DB98D2-3192-4BDE-9696-4E733853BA4A}">
    <text>Project On-Hold</text>
  </threadedComment>
  <threadedComment ref="BG95" dT="2024-10-18T04:54:46.00" personId="{6777EDD4-E46F-4979-A7E7-6FC0A82E0C8E}" id="{E7B5435F-520D-4B6A-9225-28D9A18928C1}">
    <text>Project On-Hold</text>
  </threadedComment>
  <threadedComment ref="BH95" dT="2024-10-18T04:54:46.00" personId="{6777EDD4-E46F-4979-A7E7-6FC0A82E0C8E}" id="{F3658AB6-9C46-46D3-B512-40EE399BF4E0}">
    <text>Project On-Hold</text>
  </threadedComment>
  <threadedComment ref="BI95" dT="2024-10-18T04:54:46.00" personId="{6777EDD4-E46F-4979-A7E7-6FC0A82E0C8E}" id="{D1885004-0BB5-4DB5-A2C0-92FD2D5EB9ED}">
    <text>Project On-Hold</text>
  </threadedComment>
  <threadedComment ref="BJ95" dT="2024-10-18T04:54:46.00" personId="{6777EDD4-E46F-4979-A7E7-6FC0A82E0C8E}" id="{9C176ACA-ADF1-47FE-ADAD-3DF3D3FBAADB}">
    <text>Project On-Hold</text>
  </threadedComment>
  <threadedComment ref="BK95" dT="2024-10-18T04:54:46.00" personId="{6777EDD4-E46F-4979-A7E7-6FC0A82E0C8E}" id="{803B3726-F794-4EDD-AA85-CB6B2B366D9D}">
    <text>Project On-Hold</text>
  </threadedComment>
  <threadedComment ref="BL95" dT="2024-10-18T04:54:46.00" personId="{6777EDD4-E46F-4979-A7E7-6FC0A82E0C8E}" id="{7795EAE4-DDC9-41E6-8146-B07A1BD0931A}">
    <text>Project On-Hold</text>
  </threadedComment>
  <threadedComment ref="BM95" dT="2024-10-18T04:54:46.00" personId="{6777EDD4-E46F-4979-A7E7-6FC0A82E0C8E}" id="{DE542E8A-5915-4863-B99C-94E9D314A72A}">
    <text>Project On-Hold</text>
  </threadedComment>
  <threadedComment ref="BN95" dT="2024-10-18T04:54:46.00" personId="{6777EDD4-E46F-4979-A7E7-6FC0A82E0C8E}" id="{94AD4ABE-B785-4515-9F9E-F73022AEAFC7}">
    <text>Project On-Hold</text>
  </threadedComment>
  <threadedComment ref="BP95" dT="2024-10-18T04:54:46.00" personId="{6777EDD4-E46F-4979-A7E7-6FC0A82E0C8E}" id="{1CE97A16-F8EB-4A07-A94F-FF5E3A8991E0}">
    <text>Project On-Hold</text>
  </threadedComment>
  <threadedComment ref="BR95" dT="2024-10-18T04:54:46.00" personId="{6777EDD4-E46F-4979-A7E7-6FC0A82E0C8E}" id="{CC30C3B4-7657-42E2-B74B-5A167C67794D}">
    <text>Project On-Hold</text>
  </threadedComment>
  <threadedComment ref="BS95" dT="2024-10-18T04:54:46.00" personId="{6777EDD4-E46F-4979-A7E7-6FC0A82E0C8E}" id="{16C76330-42FB-41EF-AB0E-769D77187B03}">
    <text>Project On-Hold</text>
  </threadedComment>
  <threadedComment ref="BU95" dT="2024-10-18T04:54:46.00" personId="{6777EDD4-E46F-4979-A7E7-6FC0A82E0C8E}" id="{E5983372-8BE1-4A90-B901-B29BB41DF6AD}">
    <text>Project On-Hold</text>
  </threadedComment>
  <threadedComment ref="W96" dT="2024-08-14T10:45:08.24" personId="{728803BD-3A25-4F6F-BA7C-1EDF8A148B73}" id="{C9C11992-4AE0-431D-8FAE-C1CBDB05A106}">
    <text>No Hiring Demand, email confirmation from Elton</text>
  </threadedComment>
  <threadedComment ref="X96" dT="2024-08-14T10:45:08.24" personId="{728803BD-3A25-4F6F-BA7C-1EDF8A148B73}" id="{79A345D4-910C-4297-95B9-5D7FB86FFEA1}">
    <text>No Hiring Demand, email confirmation from Elton</text>
  </threadedComment>
  <threadedComment ref="AA96" dT="2024-10-18T04:54:46.00" personId="{6777EDD4-E46F-4979-A7E7-6FC0A82E0C8E}" id="{4BEBAD46-AD05-431A-832F-19F0D57EE112}">
    <text>Project On-Hold</text>
  </threadedComment>
  <threadedComment ref="AB96" dT="2024-10-18T04:54:46.00" personId="{6777EDD4-E46F-4979-A7E7-6FC0A82E0C8E}" id="{645065AD-207E-4356-BDD7-5B2D75CDA389}">
    <text>Project On-Hold</text>
  </threadedComment>
  <threadedComment ref="AC96" dT="2024-10-18T04:54:46.00" personId="{6777EDD4-E46F-4979-A7E7-6FC0A82E0C8E}" id="{CA3FB946-893E-4F9E-97D6-48D48BDB444A}">
    <text>Project On-Hold</text>
  </threadedComment>
  <threadedComment ref="AD96" dT="2024-10-18T04:54:46.00" personId="{6777EDD4-E46F-4979-A7E7-6FC0A82E0C8E}" id="{5D804784-E313-4558-8CFD-672934002025}">
    <text>Project On-Hold</text>
  </threadedComment>
  <threadedComment ref="AE96" dT="2024-10-18T04:54:46.00" personId="{6777EDD4-E46F-4979-A7E7-6FC0A82E0C8E}" id="{F4C72D3A-2438-42FB-A462-4E2071A3D6E1}">
    <text>Project On-Hold</text>
  </threadedComment>
  <threadedComment ref="AF96" dT="2024-10-18T04:54:46.00" personId="{6777EDD4-E46F-4979-A7E7-6FC0A82E0C8E}" id="{3B78710F-91DF-47CE-8076-D9F4E4A4E829}">
    <text>Project On-Hold</text>
  </threadedComment>
  <threadedComment ref="AG96" dT="2024-10-18T04:54:46.00" personId="{6777EDD4-E46F-4979-A7E7-6FC0A82E0C8E}" id="{BDB535D0-4029-402A-9757-E0AF5F5C2C7E}">
    <text>Project On-Hold</text>
  </threadedComment>
  <threadedComment ref="AH96" dT="2024-10-18T04:54:46.00" personId="{6777EDD4-E46F-4979-A7E7-6FC0A82E0C8E}" id="{C8055D54-9A82-4C2D-B0C5-99CC71821972}">
    <text>Project On-Hold</text>
  </threadedComment>
  <threadedComment ref="AI96" dT="2024-10-18T04:54:46.00" personId="{6777EDD4-E46F-4979-A7E7-6FC0A82E0C8E}" id="{AA00EC0C-035C-4A60-BBD6-D2C447BE094F}">
    <text>Project On-Hold</text>
  </threadedComment>
  <threadedComment ref="AJ96" dT="2024-10-18T04:54:46.00" personId="{6777EDD4-E46F-4979-A7E7-6FC0A82E0C8E}" id="{74A1ABCF-20C6-4C34-8264-45F084382E59}">
    <text>Project On-Hold</text>
  </threadedComment>
  <threadedComment ref="AK96" dT="2024-10-18T04:54:46.00" personId="{6777EDD4-E46F-4979-A7E7-6FC0A82E0C8E}" id="{55960BB1-99CD-48BA-BDB2-F0A6B822FD02}">
    <text>Project On-Hold</text>
  </threadedComment>
  <threadedComment ref="AL96" dT="2024-10-18T04:54:46.00" personId="{6777EDD4-E46F-4979-A7E7-6FC0A82E0C8E}" id="{16910FFF-0E9A-45AF-A3D0-36C69B90157D}">
    <text>Project On-Hold</text>
  </threadedComment>
  <threadedComment ref="AM96" dT="2024-10-18T04:54:46.00" personId="{6777EDD4-E46F-4979-A7E7-6FC0A82E0C8E}" id="{7E46E47A-84E1-45BB-AD86-7EDBB8FCC291}">
    <text>Project On-Hold</text>
  </threadedComment>
  <threadedComment ref="AN96" dT="2024-10-18T04:54:46.00" personId="{6777EDD4-E46F-4979-A7E7-6FC0A82E0C8E}" id="{B952F9FC-BB70-4600-85BD-BDA2ABC4AA7C}">
    <text>Project On-Hold</text>
  </threadedComment>
  <threadedComment ref="AO96" dT="2024-10-18T04:54:46.00" personId="{6777EDD4-E46F-4979-A7E7-6FC0A82E0C8E}" id="{7E9C8D9F-3386-494D-8C37-B117C600740B}">
    <text>Project On-Hold</text>
  </threadedComment>
  <threadedComment ref="AP96" dT="2024-10-18T04:54:46.00" personId="{6777EDD4-E46F-4979-A7E7-6FC0A82E0C8E}" id="{4272390B-38BC-49CB-9AB9-00B5A72B4740}">
    <text>Project On-Hold</text>
  </threadedComment>
  <threadedComment ref="AQ96" dT="2024-10-18T04:54:46.00" personId="{6777EDD4-E46F-4979-A7E7-6FC0A82E0C8E}" id="{8FE0D759-CAF3-48E3-ABF4-EEBAF1A0E2CD}">
    <text>Project On-Hold</text>
  </threadedComment>
  <threadedComment ref="AR96" dT="2024-10-18T04:54:46.00" personId="{6777EDD4-E46F-4979-A7E7-6FC0A82E0C8E}" id="{379ECD56-14EE-4C81-8964-940E9DAE2EEF}">
    <text>Project On-Hold</text>
  </threadedComment>
  <threadedComment ref="AS96" dT="2024-10-18T04:54:46.00" personId="{6777EDD4-E46F-4979-A7E7-6FC0A82E0C8E}" id="{24335777-9C81-4DB0-B4E8-C5E79810F28C}">
    <text>Project On-Hold</text>
  </threadedComment>
  <threadedComment ref="AT96" dT="2024-10-18T04:54:46.00" personId="{6777EDD4-E46F-4979-A7E7-6FC0A82E0C8E}" id="{59A8E9D6-4B52-4612-9A60-4C766C303775}">
    <text>Project On-Hold</text>
  </threadedComment>
  <threadedComment ref="AU96" dT="2024-10-18T04:54:46.00" personId="{6777EDD4-E46F-4979-A7E7-6FC0A82E0C8E}" id="{95CB1387-44EF-4300-B467-4F41FCC5D4A7}">
    <text>Project On-Hold</text>
  </threadedComment>
  <threadedComment ref="AV96" dT="2024-10-18T04:54:46.00" personId="{6777EDD4-E46F-4979-A7E7-6FC0A82E0C8E}" id="{DE5C51B9-1602-4E2E-B8C0-C15ED1BE2BBC}">
    <text>Project On-Hold</text>
  </threadedComment>
  <threadedComment ref="AW96" dT="2024-10-18T04:54:46.00" personId="{6777EDD4-E46F-4979-A7E7-6FC0A82E0C8E}" id="{C8D70E35-9325-4BE6-8239-7317EFE7BF4C}">
    <text>Project On-Hold</text>
  </threadedComment>
  <threadedComment ref="AX96" dT="2024-10-18T04:54:46.00" personId="{6777EDD4-E46F-4979-A7E7-6FC0A82E0C8E}" id="{CED54C0B-8BC7-466D-8CB6-E1CF42851318}">
    <text>Project On-Hold</text>
  </threadedComment>
  <threadedComment ref="AY96" dT="2024-10-18T04:54:46.00" personId="{6777EDD4-E46F-4979-A7E7-6FC0A82E0C8E}" id="{91190D34-7CF7-4D07-8B6B-17E462B3229A}">
    <text>Project On-Hold</text>
  </threadedComment>
  <threadedComment ref="AZ96" dT="2024-10-18T04:54:46.00" personId="{6777EDD4-E46F-4979-A7E7-6FC0A82E0C8E}" id="{2659DBA8-17A1-48A1-A0B8-0653ED1A7750}">
    <text>Project On-Hold</text>
  </threadedComment>
  <threadedComment ref="BA96" dT="2024-10-18T04:54:46.00" personId="{6777EDD4-E46F-4979-A7E7-6FC0A82E0C8E}" id="{42DCC2C4-0274-481B-B366-8893131C6148}">
    <text>Project On-Hold</text>
  </threadedComment>
  <threadedComment ref="BB96" dT="2024-10-18T04:54:46.00" personId="{6777EDD4-E46F-4979-A7E7-6FC0A82E0C8E}" id="{C7443B98-D272-4797-BCEC-D44B1F21EA80}">
    <text>Project On-Hold</text>
  </threadedComment>
  <threadedComment ref="BC96" dT="2024-10-18T04:54:46.00" personId="{6777EDD4-E46F-4979-A7E7-6FC0A82E0C8E}" id="{EF863D20-2984-4D14-9D03-B96B9052354B}">
    <text>Project On-Hold</text>
  </threadedComment>
  <threadedComment ref="BD96" dT="2024-10-18T04:54:46.00" personId="{6777EDD4-E46F-4979-A7E7-6FC0A82E0C8E}" id="{33020455-0295-45F1-9124-64A7A49051CA}">
    <text>Project On-Hold</text>
  </threadedComment>
  <threadedComment ref="BE96" dT="2024-10-18T04:54:46.00" personId="{6777EDD4-E46F-4979-A7E7-6FC0A82E0C8E}" id="{B9B2B065-CC32-4F73-BD35-FB670672E486}">
    <text>Project On-Hold</text>
  </threadedComment>
  <threadedComment ref="BF96" dT="2024-10-18T04:54:46.00" personId="{6777EDD4-E46F-4979-A7E7-6FC0A82E0C8E}" id="{C788C0D5-6D78-4188-AAFB-2FA67BA83E04}">
    <text>Project On-Hold</text>
  </threadedComment>
  <threadedComment ref="BG96" dT="2024-10-18T04:54:46.00" personId="{6777EDD4-E46F-4979-A7E7-6FC0A82E0C8E}" id="{37FB240B-1165-4E96-A359-321F93639E2A}">
    <text>Project On-Hold</text>
  </threadedComment>
  <threadedComment ref="BH96" dT="2024-10-18T04:54:46.00" personId="{6777EDD4-E46F-4979-A7E7-6FC0A82E0C8E}" id="{60AF08A2-9B4F-4C29-B2C3-800AF9C73FEF}">
    <text>Project On-Hold</text>
  </threadedComment>
  <threadedComment ref="BI96" dT="2024-10-18T04:54:46.00" personId="{6777EDD4-E46F-4979-A7E7-6FC0A82E0C8E}" id="{BDCC20B4-54A7-4DF1-AB31-07D6083B1F7F}">
    <text>Project On-Hold</text>
  </threadedComment>
  <threadedComment ref="BJ96" dT="2024-10-18T04:54:46.00" personId="{6777EDD4-E46F-4979-A7E7-6FC0A82E0C8E}" id="{18B9B10D-DB23-46CE-AE6B-0152967B10DA}">
    <text>Project On-Hold</text>
  </threadedComment>
  <threadedComment ref="BK96" dT="2024-10-18T04:54:46.00" personId="{6777EDD4-E46F-4979-A7E7-6FC0A82E0C8E}" id="{712B84F1-B58F-4E7B-8647-ECE059D47F6A}">
    <text>Project On-Hold</text>
  </threadedComment>
  <threadedComment ref="BL96" dT="2024-10-18T04:54:46.00" personId="{6777EDD4-E46F-4979-A7E7-6FC0A82E0C8E}" id="{A6B9614C-9F45-40AB-9660-2629CF3918D5}">
    <text>Project On-Hold</text>
  </threadedComment>
  <threadedComment ref="BM96" dT="2024-10-18T04:54:46.00" personId="{6777EDD4-E46F-4979-A7E7-6FC0A82E0C8E}" id="{8AFC63DA-4635-4920-9DF8-12F728020FAD}">
    <text>Project On-Hold</text>
  </threadedComment>
  <threadedComment ref="BN96" dT="2024-10-18T04:54:46.00" personId="{6777EDD4-E46F-4979-A7E7-6FC0A82E0C8E}" id="{DBAA30C0-D4FB-4ED4-BDA3-086E3DF9F624}">
    <text>Project On-Hold</text>
  </threadedComment>
  <threadedComment ref="BP96" dT="2024-10-18T04:54:46.00" personId="{6777EDD4-E46F-4979-A7E7-6FC0A82E0C8E}" id="{3E3A6E7C-12ED-46AA-828F-294060EF118B}">
    <text>Project On-Hold</text>
  </threadedComment>
  <threadedComment ref="BR96" dT="2024-10-18T04:54:46.00" personId="{6777EDD4-E46F-4979-A7E7-6FC0A82E0C8E}" id="{476D813D-5102-46DF-A818-D635B3D68117}">
    <text>Project On-Hold</text>
  </threadedComment>
  <threadedComment ref="BS96" dT="2024-10-18T04:54:46.00" personId="{6777EDD4-E46F-4979-A7E7-6FC0A82E0C8E}" id="{56A789B8-FBCD-4465-96A0-A15D6BBDE07E}">
    <text>Project On-Hold</text>
  </threadedComment>
  <threadedComment ref="BU96" dT="2024-10-18T04:54:46.00" personId="{6777EDD4-E46F-4979-A7E7-6FC0A82E0C8E}" id="{EBA02C59-21E8-4B41-94A6-0044EF7D40D7}">
    <text>Project On-Hold</text>
  </threadedComment>
  <threadedComment ref="U97" dT="2024-07-12T11:50:54.82" personId="{1798D1B1-3098-46B1-91A2-D4C92B7E122A}" id="{F3FC6F86-1E34-4C81-AE23-20B148088A8B}">
    <text>Validated</text>
  </threadedComment>
  <threadedComment ref="U98" dT="2024-07-12T11:51:01.12" personId="{1798D1B1-3098-46B1-91A2-D4C92B7E122A}" id="{6FF79786-380B-478A-810C-68F8B66FB8B2}">
    <text>Validated</text>
  </threadedComment>
  <threadedComment ref="L99" dT="2024-05-11T05:44:49.44" personId="{1798D1B1-3098-46B1-91A2-D4C92B7E122A}" id="{644C1998-902C-4054-BEF9-9CB764C9C5E5}">
    <text>Approved by Ashok</text>
  </threadedComment>
  <threadedComment ref="M99" dT="2024-05-11T05:44:49.44" personId="{1798D1B1-3098-46B1-91A2-D4C92B7E122A}" id="{E5887DE6-EF0C-4892-8875-7FA9880A93AA}">
    <text>Approved by Ashok</text>
  </threadedComment>
  <threadedComment ref="Q99" dT="2024-05-11T17:50:51.73" personId="{1798D1B1-3098-46B1-91A2-D4C92B7E122A}" id="{930E03B4-FCB3-4104-B056-B7C806D76237}">
    <text>Validated</text>
  </threadedComment>
  <threadedComment ref="L100" dT="2024-05-11T05:44:55.47" personId="{1798D1B1-3098-46B1-91A2-D4C92B7E122A}" id="{4B1C41C3-87C6-4299-9D64-FE59F1BE1384}">
    <text>Approved by Ashok</text>
  </threadedComment>
  <threadedComment ref="M100" dT="2024-05-11T05:44:55.47" personId="{1798D1B1-3098-46B1-91A2-D4C92B7E122A}" id="{12A11147-76CE-44C7-9DC6-CAE5DC75C6DF}">
    <text>Approved by Ashok</text>
  </threadedComment>
  <threadedComment ref="Q100" dT="2024-05-11T17:50:55.37" personId="{1798D1B1-3098-46B1-91A2-D4C92B7E122A}" id="{CE8ED25A-E47C-4176-B49B-022DB96C7C15}">
    <text>Validated</text>
  </threadedComment>
  <threadedComment ref="L101" dT="2024-05-11T05:44:58.47" personId="{1798D1B1-3098-46B1-91A2-D4C92B7E122A}" id="{691E2C74-F5F4-4F6E-8B93-ADCD275033A0}">
    <text>Approved by Ashok</text>
  </threadedComment>
  <threadedComment ref="M101" dT="2024-05-11T05:44:58.47" personId="{1798D1B1-3098-46B1-91A2-D4C92B7E122A}" id="{9DE064C8-93E2-4BFF-A1D3-94089AC48CCF}">
    <text>Approved by Ashok</text>
  </threadedComment>
  <threadedComment ref="S101" dT="2024-06-11T14:05:08.48" personId="{1798D1B1-3098-46B1-91A2-D4C92B7E122A}" id="{B010D424-115B-4535-96DF-8E8BFA102514}">
    <text>Validated</text>
  </threadedComment>
  <threadedComment ref="U101" dT="2024-07-12T11:28:10.08" personId="{1798D1B1-3098-46B1-91A2-D4C92B7E122A}" id="{A49DDE4D-2D07-4486-8A88-52F01F6F66E6}">
    <text>Validated</text>
  </threadedComment>
  <threadedComment ref="L102" dT="2024-05-11T05:45:01.74" personId="{1798D1B1-3098-46B1-91A2-D4C92B7E122A}" id="{75F4A299-B441-4620-AC7C-D75903AC7CD9}">
    <text>Approved by Ashok</text>
  </threadedComment>
  <threadedComment ref="M102" dT="2024-05-11T05:45:01.74" personId="{1798D1B1-3098-46B1-91A2-D4C92B7E122A}" id="{A98707F5-7630-4F8E-AF86-3D198A640FA5}">
    <text>Approved by Ashok</text>
  </threadedComment>
  <threadedComment ref="U102" dT="2024-07-12T11:28:30.09" personId="{1798D1B1-3098-46B1-91A2-D4C92B7E122A}" id="{D5623DCD-D838-4570-9ED6-3BB95D92723A}">
    <text>Validated</text>
  </threadedComment>
  <threadedComment ref="L103" dT="2024-05-11T05:45:04.67" personId="{1798D1B1-3098-46B1-91A2-D4C92B7E122A}" id="{1BE6B67F-D1C5-4DE1-8C51-575A971AB18B}">
    <text>Approved by Ashok</text>
  </threadedComment>
  <threadedComment ref="M103" dT="2024-05-11T05:45:04.67" personId="{1798D1B1-3098-46B1-91A2-D4C92B7E122A}" id="{12F0D3C8-CF56-40F7-9485-A7750A0DA886}">
    <text>Approved by Ashok</text>
  </threadedComment>
  <threadedComment ref="U103" dT="2024-07-12T11:28:37.01" personId="{1798D1B1-3098-46B1-91A2-D4C92B7E122A}" id="{81411A1D-379E-4A82-B054-2D4ABEEFD714}">
    <text>Validated</text>
  </threadedComment>
  <threadedComment ref="L104" dT="2024-05-11T05:45:08.03" personId="{1798D1B1-3098-46B1-91A2-D4C92B7E122A}" id="{133A994D-2D84-4C7B-BDCD-D67F05EC13FF}">
    <text>Approved by Ashok</text>
  </threadedComment>
  <threadedComment ref="M104" dT="2024-05-11T05:45:08.03" personId="{1798D1B1-3098-46B1-91A2-D4C92B7E122A}" id="{35F3EB17-1D89-4061-AAC9-99DF64CE4255}">
    <text>Approved by Ashok</text>
  </threadedComment>
  <threadedComment ref="L105" dT="2024-10-18T05:46:55.17" personId="{6777EDD4-E46F-4979-A7E7-6FC0A82E0C8E}" id="{951FC648-754F-4E20-90FA-8C25C8181535}">
    <text>Target Changed from Sep’24</text>
  </threadedComment>
  <threadedComment ref="M105" dT="2024-10-18T05:46:55.17" personId="{6777EDD4-E46F-4979-A7E7-6FC0A82E0C8E}" id="{FC2DD2CD-0FAF-4C54-9FD3-E9C5AE72849F}">
    <text>Target Changed from Sep’24</text>
  </threadedComment>
  <threadedComment ref="AU105" dT="2025-05-21T10:03:23.69" personId="{32192656-80C8-4310-B142-9CF98FC9C0EF}" id="{C0877835-C49F-47C9-89E6-3AFE5389408E}">
    <text>Validated</text>
  </threadedComment>
  <threadedComment ref="AW105" dT="2025-06-19T09:42:44.55" personId="{1798D1B1-3098-46B1-91A2-D4C92B7E122A}" id="{91DFC86B-8842-45DC-8F66-215513D1D43C}">
    <text>4 Joiners</text>
  </threadedComment>
  <threadedComment ref="BE105" dT="2025-09-25T09:38:11.04" personId="{1798D1B1-3098-46B1-91A2-D4C92B7E122A}" id="{426068DF-11B9-4EC6-82B0-579AA8105CB6}">
    <text>Validated</text>
  </threadedComment>
  <threadedComment ref="AU106" dT="2025-05-21T10:03:35.20" personId="{32192656-80C8-4310-B142-9CF98FC9C0EF}" id="{3A47851F-F5AD-48CA-8B5A-3B056811E6D0}">
    <text>Validated</text>
  </threadedComment>
  <threadedComment ref="AW106" dT="2025-06-19T09:43:00.85" personId="{1798D1B1-3098-46B1-91A2-D4C92B7E122A}" id="{8A9E61B7-751D-4E07-907B-4F389CE5085D}">
    <text>2 offers released</text>
  </threadedComment>
  <threadedComment ref="BE106" dT="2025-09-25T09:38:35.72" personId="{1798D1B1-3098-46B1-91A2-D4C92B7E122A}" id="{73FC2076-FBFD-434D-AE0D-EA142BBC7B3A}">
    <text>Validated</text>
  </threadedComment>
  <threadedComment ref="AW107" dT="2025-06-19T09:53:11.34" personId="{1798D1B1-3098-46B1-91A2-D4C92B7E122A}" id="{1AC96485-2B05-46DD-95D0-FC2A02A7E03B}">
    <text>2 selected and 20 CV shared</text>
  </threadedComment>
  <threadedComment ref="BE107" dT="2025-09-25T09:38:39.84" personId="{1798D1B1-3098-46B1-91A2-D4C92B7E122A}" id="{83A0D31F-E3EB-4FE9-A5CC-37CB73EA4C08}">
    <text>Validated</text>
  </threadedComment>
  <threadedComment ref="BG107" dT="2025-10-17T08:08:07.94" personId="{1798D1B1-3098-46B1-91A2-D4C92B7E122A}" id="{4A80CD2C-DA52-4829-9E15-105A2FBFDF68}">
    <text>Validated</text>
  </threadedComment>
  <threadedComment ref="AE108" dT="2024-11-21T07:38:23.71" personId="{6777EDD4-E46F-4979-A7E7-6FC0A82E0C8E}" id="{975E0C5D-BD1D-42FF-877B-0550C19E7AA1}">
    <text>Validated</text>
  </threadedComment>
  <threadedComment ref="AG108" dT="2024-11-21T07:38:23.71" personId="{6777EDD4-E46F-4979-A7E7-6FC0A82E0C8E}" id="{DEF55DF7-ABED-4251-9D38-5AC456876312}">
    <text>Validated</text>
  </threadedComment>
  <threadedComment ref="AI108" dT="2024-11-21T07:38:23.71" personId="{6777EDD4-E46F-4979-A7E7-6FC0A82E0C8E}" id="{722519D6-5449-4FFB-BCFF-A24713676756}">
    <text>Validated</text>
  </threadedComment>
  <threadedComment ref="AK108" dT="2024-11-21T07:38:23.71" personId="{6777EDD4-E46F-4979-A7E7-6FC0A82E0C8E}" id="{22977220-89D4-4434-9EDA-C863E1A17678}">
    <text>Validated</text>
  </threadedComment>
  <threadedComment ref="AM108" dT="2024-11-21T07:38:23.71" personId="{6777EDD4-E46F-4979-A7E7-6FC0A82E0C8E}" id="{13D9E04A-20EB-4112-A2AA-00054244559E}">
    <text>Validated</text>
  </threadedComment>
  <threadedComment ref="AW108" dT="2025-06-19T09:53:46.70" personId="{1798D1B1-3098-46B1-91A2-D4C92B7E122A}" id="{01F419CF-3757-464C-A6C5-5279992EC3C6}">
    <text>0 offer declined and 2 offer released</text>
  </threadedComment>
  <threadedComment ref="BM108" dT="2025-12-30T09:36:52.00" personId="{32192656-80C8-4310-B142-9CF98FC9C0EF}" id="{1C443151-5393-49A3-BA07-64AF3EA562F0}">
    <text>Validated</text>
  </threadedComment>
  <threadedComment ref="AW109" dT="2025-06-19T09:54:35.50" personId="{1798D1B1-3098-46B1-91A2-D4C92B7E122A}" id="{51F8B996-86E5-46B5-B795-5E090F09A72F}">
    <text>17 CV shortlisted and 20 CV shared</text>
  </threadedComment>
  <threadedComment ref="BC109" dT="2025-08-20T07:47:17.62" personId="{1798D1B1-3098-46B1-91A2-D4C92B7E122A}" id="{5E6EAF3D-301D-44CA-AF4B-15858CBBF41E}">
    <text>Validated</text>
  </threadedComment>
  <threadedComment ref="BE109" dT="2025-09-25T09:38:43.16" personId="{1798D1B1-3098-46B1-91A2-D4C92B7E122A}" id="{0152AFC8-7C78-4731-874D-46C4FA3179F6}">
    <text>Validated</text>
  </threadedComment>
  <threadedComment ref="BG109" dT="2025-10-17T06:22:11.39" personId="{1798D1B1-3098-46B1-91A2-D4C92B7E122A}" id="{F0F1EFE2-504E-40FF-BDCE-61E725AB86FC}">
    <text>Validated</text>
  </threadedComment>
  <threadedComment ref="BC110" dT="2025-08-20T07:47:27.47" personId="{1798D1B1-3098-46B1-91A2-D4C92B7E122A}" id="{68510692-4688-4F29-A558-664CAB0CF483}">
    <text>Validated</text>
  </threadedComment>
  <threadedComment ref="BM110" dT="2025-12-30T09:37:52.61" personId="{32192656-80C8-4310-B142-9CF98FC9C0EF}" id="{3CC0BB12-DD5D-4EC8-A09D-941D1423AB82}">
    <text>Not Validated Insufficient Data</text>
  </threadedComment>
  <threadedComment ref="AU111" dT="2025-05-21T10:04:19.00" personId="{32192656-80C8-4310-B142-9CF98FC9C0EF}" id="{3240113B-560D-4730-B7E8-298E28391707}">
    <text>Validated</text>
  </threadedComment>
  <threadedComment ref="AW111" dT="2025-06-19T09:55:18.79" personId="{1798D1B1-3098-46B1-91A2-D4C92B7E122A}" id="{1292C11C-64DA-41E5-8190-BE2564D2ECF2}">
    <text>3 positions beyond TTF and 14 open positions</text>
  </threadedComment>
  <threadedComment ref="AE112" dT="2024-11-21T07:38:32.86" personId="{6777EDD4-E46F-4979-A7E7-6FC0A82E0C8E}" id="{8A7B98E7-6296-4492-9B69-38716E31083A}">
    <text>Validated</text>
  </threadedComment>
  <threadedComment ref="AG112" dT="2024-11-21T07:38:32.86" personId="{6777EDD4-E46F-4979-A7E7-6FC0A82E0C8E}" id="{9B42EDCB-4F42-4BAD-A42E-DE3EDE33DC51}">
    <text>Validated</text>
  </threadedComment>
  <threadedComment ref="AI112" dT="2024-11-21T07:38:32.86" personId="{6777EDD4-E46F-4979-A7E7-6FC0A82E0C8E}" id="{61817EB9-CCC2-4AE1-975F-F93923A0D6C5}">
    <text>Validated</text>
  </threadedComment>
  <threadedComment ref="AK112" dT="2024-11-21T07:38:32.86" personId="{6777EDD4-E46F-4979-A7E7-6FC0A82E0C8E}" id="{E842697F-1336-4B63-B7BD-C6125C8F377B}">
    <text>Validated</text>
  </threadedComment>
  <threadedComment ref="AM112" dT="2024-11-21T07:38:32.86" personId="{6777EDD4-E46F-4979-A7E7-6FC0A82E0C8E}" id="{B933A4F0-BEA2-445D-9A3F-BE09484AB052}">
    <text>Validated</text>
  </threadedComment>
  <threadedComment ref="Q113" dT="2024-05-11T05:02:54.16" personId="{1798D1B1-3098-46B1-91A2-D4C92B7E122A}" id="{68B7DF13-38F9-4952-A0C0-2BB19F362AB6}">
    <text>Validated</text>
  </threadedComment>
  <threadedComment ref="AU113" dT="2025-05-21T07:18:55.24" personId="{1798D1B1-3098-46B1-91A2-D4C92B7E122A}" id="{6B645905-1765-411B-8868-1970FB9E251D}">
    <text>Validated</text>
  </threadedComment>
  <threadedComment ref="AW113" dT="2025-06-19T09:01:34.75" personId="{1798D1B1-3098-46B1-91A2-D4C92B7E122A}" id="{C9CC7629-CE2C-4AD4-80CA-345A1A05CBFC}">
    <text>12 joiners</text>
  </threadedComment>
  <threadedComment ref="AY113" dT="2025-07-21T11:00:43.53" personId="{1798D1B1-3098-46B1-91A2-D4C92B7E122A}" id="{EEB1B5AD-971E-4C4D-B47E-1A19F2C16C0D}">
    <text>17 Joiners</text>
  </threadedComment>
  <threadedComment ref="BA113" dT="2025-07-21T11:01:19.97" personId="{1798D1B1-3098-46B1-91A2-D4C92B7E122A}" id="{61C4B73A-E4E8-4E96-A7BE-351A9C0E374A}">
    <text>51 joiners</text>
  </threadedComment>
  <threadedComment ref="L114" dT="2023-02-09T08:41:30.06" personId="{728803BD-3A25-4F6F-BA7C-1EDF8A148B73}" id="{189F676C-2AAB-4811-8FAA-5A11529D8D6B}">
    <text xml:space="preserve">Older target was 30 Days </text>
  </threadedComment>
  <threadedComment ref="M114" dT="2023-02-09T08:41:30.06" personId="{728803BD-3A25-4F6F-BA7C-1EDF8A148B73}" id="{0E1EDF0A-7071-4536-A569-54A1CE137014}">
    <text xml:space="preserve">Older target was 30 Days </text>
  </threadedComment>
  <threadedComment ref="Q114" dT="2024-05-11T05:03:09.48" personId="{1798D1B1-3098-46B1-91A2-D4C92B7E122A}" id="{5DA8C072-8F61-4255-A9F7-5CCFCD2EEC08}">
    <text>Validated</text>
  </threadedComment>
  <threadedComment ref="AU114" dT="2025-05-21T07:19:01.47" personId="{1798D1B1-3098-46B1-91A2-D4C92B7E122A}" id="{24632E83-BF42-4124-B0B1-B71E9F2FF662}">
    <text>Validated</text>
  </threadedComment>
  <threadedComment ref="AW114" dT="2025-06-19T09:05:30.46" personId="{1798D1B1-3098-46B1-91A2-D4C92B7E122A}" id="{E5778397-39A0-4E97-ACBC-52C311F85E7B}">
    <text>7 offers released</text>
  </threadedComment>
  <threadedComment ref="AY114" dT="2025-07-21T11:01:49.01" personId="{1798D1B1-3098-46B1-91A2-D4C92B7E122A}" id="{B89F70A6-C79A-4A39-B4D7-CA06CF07A497}">
    <text>11 offers</text>
  </threadedComment>
  <threadedComment ref="BA114" dT="2025-07-21T11:02:24.72" personId="{1798D1B1-3098-46B1-91A2-D4C92B7E122A}" id="{9A2FA36D-751F-446A-BD79-E40A853BB288}">
    <text>45 offers</text>
  </threadedComment>
  <threadedComment ref="L115" dT="2023-02-09T08:42:57.16" personId="{728803BD-3A25-4F6F-BA7C-1EDF8A148B73}" id="{7AC8D201-97D9-4BF6-8D26-1A5B90925378}">
    <text>Old target was 95%</text>
  </threadedComment>
  <threadedComment ref="M115" dT="2023-02-09T08:42:57.16" personId="{728803BD-3A25-4F6F-BA7C-1EDF8A148B73}" id="{3DA7B6EB-6F3D-4CDE-B9E0-DD4AF73267A2}">
    <text>Old target was 95%</text>
  </threadedComment>
  <threadedComment ref="S115" dT="2024-06-12T06:54:00.84" personId="{1798D1B1-3098-46B1-91A2-D4C92B7E122A}" id="{647E602D-13A6-4172-968F-688BA5DA167E}">
    <text>Validated</text>
  </threadedComment>
  <threadedComment ref="AW115" dT="2025-06-19T09:07:44.85" personId="{1798D1B1-3098-46B1-91A2-D4C92B7E122A}" id="{7C0C3A71-D244-44DA-8970-4306587AD1DC}">
    <text>12 offers and 13 offer declined</text>
  </threadedComment>
  <threadedComment ref="AY115" dT="2025-07-21T11:03:27.01" personId="{1798D1B1-3098-46B1-91A2-D4C92B7E122A}" id="{CC5A86AF-8556-4303-9E33-0CE0D999810E}">
    <text>17 offered and 19 joined</text>
  </threadedComment>
  <threadedComment ref="BA115" dT="2025-07-21T11:03:37.90" personId="{1798D1B1-3098-46B1-91A2-D4C92B7E122A}" id="{D8CCC8CE-DD29-42BC-AADD-4FDA58618855}">
    <text>51 offered and 56 joined</text>
  </threadedComment>
  <threadedComment ref="L116" dT="2023-02-09T08:43:20.02" personId="{728803BD-3A25-4F6F-BA7C-1EDF8A148B73}" id="{129B7B60-3AE3-4A09-9E24-70A15FB39350}">
    <text>Old target was 1:05</text>
  </threadedComment>
  <threadedComment ref="M116" dT="2023-02-09T08:43:20.02" personId="{728803BD-3A25-4F6F-BA7C-1EDF8A148B73}" id="{604EEAE5-D31B-4435-8E12-652C342BC24A}">
    <text>Old target was 1:05</text>
  </threadedComment>
  <threadedComment ref="U116" dT="2024-07-12T13:31:34.35" personId="{1798D1B1-3098-46B1-91A2-D4C92B7E122A}" id="{B9D75251-E134-4BD3-AA1B-D1E2109A4357}">
    <text>Validated</text>
  </threadedComment>
  <threadedComment ref="AY117" dT="2025-07-21T11:04:02.07" personId="{1798D1B1-3098-46B1-91A2-D4C92B7E122A}" id="{E0801E64-7469-4822-B328-410FEDAAE2A6}">
    <text>5 referred cases out of 17 joiners</text>
  </threadedComment>
  <threadedComment ref="BA117" dT="2025-07-21T11:04:15.50" personId="{1798D1B1-3098-46B1-91A2-D4C92B7E122A}" id="{67F9005C-B998-4505-A52E-EE6D194DD548}">
    <text>16 referred out of 51 joined</text>
  </threadedComment>
  <threadedComment ref="L118" dT="2024-05-11T05:08:18.08" personId="{1798D1B1-3098-46B1-91A2-D4C92B7E122A}" id="{42261A54-EAD9-45ED-9573-CC889FA99D0D}">
    <text>Target not approved by PH</text>
  </threadedComment>
  <threadedComment ref="M118" dT="2024-05-11T05:08:18.08" personId="{1798D1B1-3098-46B1-91A2-D4C92B7E122A}" id="{44F6FF32-F3CA-47A0-A27A-B540167D8356}">
    <text>Target not approved by PH</text>
  </threadedComment>
  <threadedComment ref="Q118" dT="2024-05-11T05:17:22.64" personId="{1798D1B1-3098-46B1-91A2-D4C92B7E122A}" id="{222D2C20-AFED-433E-8067-0E2AC770FABB}">
    <text>Not approved by PH</text>
  </threadedComment>
  <threadedComment ref="AU118" dT="2025-05-21T07:19:52.63" personId="{1798D1B1-3098-46B1-91A2-D4C92B7E122A}" id="{418C097A-53BF-47F8-83D6-4320704C4F8E}">
    <text>Validated</text>
  </threadedComment>
  <threadedComment ref="AW118" dT="2025-06-19T09:09:32.39" personId="{1798D1B1-3098-46B1-91A2-D4C92B7E122A}" id="{13773985-21F3-40D6-A815-086D8F13B76E}">
    <text>5 positions beyond and 32 open positions</text>
  </threadedComment>
  <threadedComment ref="AY118" dT="2025-07-21T11:05:19.13" personId="{1798D1B1-3098-46B1-91A2-D4C92B7E122A}" id="{1BA4E20D-6203-4B6D-BD9E-B9D6968573D3}">
    <text>3 cases beyond TTF and 17 open positions</text>
  </threadedComment>
  <threadedComment ref="BA118" dT="2025-07-21T11:05:42.59" personId="{1798D1B1-3098-46B1-91A2-D4C92B7E122A}" id="{37AE5CAE-B4D0-4DB6-AA91-6A5DE527E5E3}">
    <text xml:space="preserve">11 cases beyond TTF and 87 open positions
</text>
  </threadedComment>
  <threadedComment ref="L119" dT="2024-05-11T05:08:21.57" personId="{1798D1B1-3098-46B1-91A2-D4C92B7E122A}" id="{81806398-6077-443B-B3F4-3351049BB415}">
    <text>Target not approved by PH</text>
  </threadedComment>
  <threadedComment ref="M119" dT="2024-05-11T05:08:21.57" personId="{1798D1B1-3098-46B1-91A2-D4C92B7E122A}" id="{551A0CEE-E990-4E77-B5B1-3E65A1C4672C}">
    <text>Target not approved by PH</text>
  </threadedComment>
  <threadedComment ref="Q119" dT="2024-05-11T05:17:25.70" personId="{1798D1B1-3098-46B1-91A2-D4C92B7E122A}" id="{8CE81E4C-9CD6-4328-8689-68F4F9908CDB}">
    <text>Not approved by PH</text>
  </threadedComment>
  <threadedComment ref="U119" dT="2024-07-12T13:31:48.89" personId="{1798D1B1-3098-46B1-91A2-D4C92B7E122A}" id="{CC5C0B0D-5D91-4FC0-99FA-818A2048035E}">
    <text>Validated</text>
  </threadedComment>
  <threadedComment ref="W119" dT="2024-08-14T09:27:32.05" personId="{1798D1B1-3098-46B1-91A2-D4C92B7E122A}" id="{D138E2B8-9C34-495C-BAA5-C21C2A292A32}">
    <text>Validated</text>
  </threadedComment>
  <threadedComment ref="Y119" dT="2024-09-13T10:48:33.05" personId="{1798D1B1-3098-46B1-91A2-D4C92B7E122A}" id="{BE1B3455-446A-417C-8A03-8D3FAB283EB3}">
    <text>Validated</text>
  </threadedComment>
  <threadedComment ref="AW119" dT="2025-06-19T09:11:30.84" personId="{1798D1B1-3098-46B1-91A2-D4C92B7E122A}" id="{E2C5AAFA-2CBE-42DD-A10F-F31F529DC9A9}">
    <text>114 CV shortlisted and 131 CVs shared</text>
  </threadedComment>
  <threadedComment ref="AY119" dT="2025-07-21T11:06:01.02" personId="{1798D1B1-3098-46B1-91A2-D4C92B7E122A}" id="{02FEE62A-4890-462D-870D-EFC451DC3B26}">
    <text>77 CV shortlisted and 80 Cvs Shared</text>
  </threadedComment>
  <threadedComment ref="BA119" dT="2025-07-21T11:06:13.43" personId="{1798D1B1-3098-46B1-91A2-D4C92B7E122A}" id="{7DBF4E53-4145-4E83-A4D3-2B4EF1FE1A38}">
    <text>278 CV shortlisted and 310 Cvs Shared</text>
  </threadedComment>
  <threadedComment ref="BC119" dT="2025-08-21T13:26:12.61" personId="{1798D1B1-3098-46B1-91A2-D4C92B7E122A}" id="{656A2B5D-63E8-4422-A159-9D8A1332C3B1}">
    <text>Validated and 61/70</text>
  </threadedComment>
  <threadedComment ref="BE119" dT="2025-09-25T09:56:05.60" personId="{1798D1B1-3098-46B1-91A2-D4C92B7E122A}" id="{0E3C24EF-BD49-4435-A8A4-9CCFB79452FE}">
    <text>Validated</text>
  </threadedComment>
  <threadedComment ref="L120" dT="2024-05-11T05:08:24.67" personId="{1798D1B1-3098-46B1-91A2-D4C92B7E122A}" id="{0376B2A2-D426-4CE3-9440-0FAB20FD802B}">
    <text>Target not approved by PH</text>
  </threadedComment>
  <threadedComment ref="M120" dT="2024-05-11T05:08:24.67" personId="{1798D1B1-3098-46B1-91A2-D4C92B7E122A}" id="{626C3813-CC57-4A10-BE09-3FD506B9A346}">
    <text>Target not approved by PH</text>
  </threadedComment>
  <threadedComment ref="Q120" dT="2024-05-11T05:17:28.49" personId="{1798D1B1-3098-46B1-91A2-D4C92B7E122A}" id="{AE17E71F-862C-4A1E-9E67-A74809524CDE}">
    <text>Not approved by PH</text>
  </threadedComment>
  <threadedComment ref="W120" dT="2024-08-14T09:27:49.03" personId="{1798D1B1-3098-46B1-91A2-D4C92B7E122A}" id="{B4C52688-D5C3-4F6F-AF3D-029949ABB07C}">
    <text>Validated</text>
  </threadedComment>
  <threadedComment ref="Y120" dT="2024-09-13T10:48:38.50" personId="{1798D1B1-3098-46B1-91A2-D4C92B7E122A}" id="{CC3D03F0-D616-4364-BFC2-29A117C7429D}">
    <text xml:space="preserve">Validated
</text>
  </threadedComment>
  <threadedComment ref="AW120" dT="2025-06-19T09:12:07.86" personId="{1798D1B1-3098-46B1-91A2-D4C92B7E122A}" id="{B211841D-1A8D-4FA3-9901-D76DC744D277}">
    <text>18 selected and 126 CVs shared</text>
  </threadedComment>
  <threadedComment ref="AY120" dT="2025-07-21T11:06:32.89" personId="{1798D1B1-3098-46B1-91A2-D4C92B7E122A}" id="{C4AF3410-475A-4401-AD1B-CAF377326502}">
    <text>22 selected and 80 total Cv shared</text>
  </threadedComment>
  <threadedComment ref="BA120" dT="2025-07-21T11:06:51.80" personId="{1798D1B1-3098-46B1-91A2-D4C92B7E122A}" id="{5B086CB4-6E60-4A00-B892-254BCBB72F2C}">
    <text>99 selected and 305 total Cv shared</text>
  </threadedComment>
  <threadedComment ref="BC120" dT="2025-08-21T13:28:03.44" personId="{1798D1B1-3098-46B1-91A2-D4C92B7E122A}" id="{68703528-3BE6-4EEF-A805-EF1AA45D90C3}">
    <text>Validated and 19/70</text>
  </threadedComment>
  <threadedComment ref="BE120" dT="2025-09-25T09:56:09.41" personId="{1798D1B1-3098-46B1-91A2-D4C92B7E122A}" id="{0A6CC130-EBAF-4A43-8D83-446157B545D5}">
    <text>Validated</text>
  </threadedComment>
  <threadedComment ref="L121" dT="2024-05-11T05:08:28.38" personId="{1798D1B1-3098-46B1-91A2-D4C92B7E122A}" id="{7B4568C7-2E8E-4E69-A0C7-E5AC1E4F7DED}">
    <text>Target not approved by PH</text>
  </threadedComment>
  <threadedComment ref="M121" dT="2024-05-11T05:08:28.38" personId="{1798D1B1-3098-46B1-91A2-D4C92B7E122A}" id="{3F8E8376-219C-4056-AF2C-6EDA41F72C31}">
    <text>Target not approved by PH</text>
  </threadedComment>
  <threadedComment ref="Q121" dT="2024-05-11T05:17:31.52" personId="{1798D1B1-3098-46B1-91A2-D4C92B7E122A}" id="{B08EFCBA-B90D-4C78-97D0-C791940CAF8F}">
    <text>Not approved by PH</text>
  </threadedComment>
  <threadedComment ref="AW121" dT="2025-06-19T09:12:49.71" personId="{1798D1B1-3098-46B1-91A2-D4C92B7E122A}" id="{C84F42B1-8B8A-4F9B-976C-60CD2AA782DD}">
    <text>0 offer declined and 7 offer released</text>
  </threadedComment>
  <threadedComment ref="AY121" dT="2025-07-21T11:07:18.30" personId="{1798D1B1-3098-46B1-91A2-D4C92B7E122A}" id="{0C0F6376-E2B6-42A3-82A2-BC39C39CDC60}">
    <text>1 offer declined and 11 offered</text>
  </threadedComment>
  <threadedComment ref="BA121" dT="2025-07-21T11:07:31.42" personId="{1798D1B1-3098-46B1-91A2-D4C92B7E122A}" id="{F7BBDE07-0759-4C21-BDE6-F17E168D1A9B}">
    <text xml:space="preserve">1 offer declined and 45 offered
</text>
  </threadedComment>
  <threadedComment ref="L122" dT="2024-05-11T05:08:31.63" personId="{1798D1B1-3098-46B1-91A2-D4C92B7E122A}" id="{5973028A-0730-4A69-9605-7D5A80ED10A0}">
    <text>Target not approved by PH</text>
  </threadedComment>
  <threadedComment ref="M122" dT="2024-05-11T05:08:31.63" personId="{1798D1B1-3098-46B1-91A2-D4C92B7E122A}" id="{C2926127-1CBC-40C9-9BE7-2EE785A20B98}">
    <text>Target not approved by PH</text>
  </threadedComment>
  <threadedComment ref="Q122" dT="2024-05-11T05:17:34.16" personId="{1798D1B1-3098-46B1-91A2-D4C92B7E122A}" id="{8D457A83-48D2-4B38-A886-B264760A98EC}">
    <text>Not approved by PH</text>
  </threadedComment>
  <threadedComment ref="AM122" dT="2025-02-19T10:28:28.47" personId="{1798D1B1-3098-46B1-91A2-D4C92B7E122A}" id="{524D5E33-D198-438A-A398-ACDC31F42A72}">
    <text>Validated</text>
  </threadedComment>
  <threadedComment ref="AY122" dT="2025-07-21T11:08:08.74" personId="{1798D1B1-3098-46B1-91A2-D4C92B7E122A}" id="{D9074C85-CE1F-4E56-A2DB-C9C756D3B1AC}">
    <text>17 joiners and 17 open positions</text>
  </threadedComment>
  <threadedComment ref="BA122" dT="2025-07-21T11:08:23.07" personId="{1798D1B1-3098-46B1-91A2-D4C92B7E122A}" id="{3D2B9DEA-E09B-4191-B2AE-044D7F4EA0D9}">
    <text>51 joiners and 87 open positions</text>
  </threadedComment>
  <threadedComment ref="L123" dT="2024-05-11T05:08:35.32" personId="{1798D1B1-3098-46B1-91A2-D4C92B7E122A}" id="{EED2F810-D00B-42D4-8461-6A301B2FB6D1}">
    <text>Target not approved by PH</text>
  </threadedComment>
  <threadedComment ref="M123" dT="2024-05-11T05:08:35.32" personId="{1798D1B1-3098-46B1-91A2-D4C92B7E122A}" id="{80E31819-DB8B-4BE1-817A-3EAA2FDC1705}">
    <text>Target not approved by PH</text>
  </threadedComment>
  <threadedComment ref="Q123" dT="2024-05-11T05:17:36.88" personId="{1798D1B1-3098-46B1-91A2-D4C92B7E122A}" id="{C1BE7076-65FC-4A89-8000-260AE77B1786}">
    <text>Not approved by PH</text>
  </threadedComment>
  <threadedComment ref="AY123" dT="2025-07-21T11:08:44.95" personId="{1798D1B1-3098-46B1-91A2-D4C92B7E122A}" id="{C23C9385-5148-4D7D-969A-A427D093558D}">
    <text>4 female out of 17 joiners</text>
  </threadedComment>
  <threadedComment ref="BA123" dT="2025-07-21T11:08:54.91" personId="{1798D1B1-3098-46B1-91A2-D4C92B7E122A}" id="{716729BC-3AA9-473C-B2D1-3E3AF7E0152C}">
    <text>17 female out of 51 joiners</text>
  </threadedComment>
  <threadedComment ref="L124" dT="2023-02-09T08:45:29.68" personId="{728803BD-3A25-4F6F-BA7C-1EDF8A148B73}" id="{E4E1C50B-735F-4AAF-8D19-9B1F98129160}">
    <text xml:space="preserve">Old Target was 90 Days </text>
  </threadedComment>
  <threadedComment ref="M124" dT="2023-02-09T08:45:29.68" personId="{728803BD-3A25-4F6F-BA7C-1EDF8A148B73}" id="{A809E944-7D23-408C-86EA-C3988EFF60A8}">
    <text xml:space="preserve">Old Target was 90 Days </text>
  </threadedComment>
  <threadedComment ref="Q124" dT="2024-05-11T05:03:26.05" personId="{1798D1B1-3098-46B1-91A2-D4C92B7E122A}" id="{82E79F41-B3CF-4CEE-9794-6F195256F05E}">
    <text>Validated</text>
  </threadedComment>
  <threadedComment ref="AU124" dT="2025-05-21T07:06:15.46" personId="{1798D1B1-3098-46B1-91A2-D4C92B7E122A}" id="{FEB8227E-31E3-459C-BA75-1F056B7BBDC5}">
    <text>Validated</text>
  </threadedComment>
  <threadedComment ref="AW124" dT="2025-06-19T08:39:43.34" personId="{1798D1B1-3098-46B1-91A2-D4C92B7E122A}" id="{9DB620FF-3207-4B1A-A10A-7C5125CEBFB6}">
    <text>4 joiners</text>
  </threadedComment>
  <threadedComment ref="AY124" dT="2025-07-21T08:15:56.68" personId="{1798D1B1-3098-46B1-91A2-D4C92B7E122A}" id="{01050086-22CA-4D6F-8EA7-6BB6A7C9E9D7}">
    <text>7 joiners</text>
  </threadedComment>
  <threadedComment ref="BA124" dT="2025-07-21T08:19:42.47" personId="{1798D1B1-3098-46B1-91A2-D4C92B7E122A}" id="{945CF200-FED8-48A4-9BED-0501AA6F2E9E}">
    <text>21 joiners</text>
  </threadedComment>
  <threadedComment ref="L125" dT="2023-02-09T08:45:43.54" personId="{728803BD-3A25-4F6F-BA7C-1EDF8A148B73}" id="{210E6321-0BA4-4595-9253-3608577BDF48}">
    <text xml:space="preserve">Old target was 45 Days </text>
  </threadedComment>
  <threadedComment ref="M125" dT="2023-02-09T08:45:43.54" personId="{728803BD-3A25-4F6F-BA7C-1EDF8A148B73}" id="{D885B111-AEDB-4AE0-975C-EF00DC104CE8}">
    <text xml:space="preserve">Old target was 45 Days </text>
  </threadedComment>
  <threadedComment ref="Q125" dT="2024-05-11T05:03:31.34" personId="{1798D1B1-3098-46B1-91A2-D4C92B7E122A}" id="{901D87EA-E4E8-4A57-8CAE-9E5BAE30DCF4}">
    <text>Validated</text>
  </threadedComment>
  <threadedComment ref="AU125" dT="2025-05-21T07:06:21.55" personId="{1798D1B1-3098-46B1-91A2-D4C92B7E122A}" id="{D5927B44-E12E-465D-9D96-1C973773E33F}">
    <text>Validated</text>
  </threadedComment>
  <threadedComment ref="AW125" dT="2025-06-19T08:40:54.52" personId="{1798D1B1-3098-46B1-91A2-D4C92B7E122A}" id="{29F53A71-B8AC-43C5-9E45-7C66893B1C4B}">
    <text>3 offers</text>
  </threadedComment>
  <threadedComment ref="AY125" dT="2025-07-21T08:18:02.40" personId="{1798D1B1-3098-46B1-91A2-D4C92B7E122A}" id="{7448D636-0CD1-42AD-9D76-092A743FA917}">
    <text>5 offers,</text>
  </threadedComment>
  <threadedComment ref="BA125" dT="2025-07-21T08:18:55.48" personId="{1798D1B1-3098-46B1-91A2-D4C92B7E122A}" id="{F3D4FA9D-125F-4002-BCEC-8C4B5FC0995E}">
    <text>12 offers</text>
  </threadedComment>
  <threadedComment ref="L126" dT="2023-02-09T08:46:18.40" personId="{728803BD-3A25-4F6F-BA7C-1EDF8A148B73}" id="{391CC4D4-9039-4CCD-A9D0-78089A45CE56}">
    <text>Old target was 95%</text>
  </threadedComment>
  <threadedComment ref="M126" dT="2023-02-09T08:46:18.40" personId="{728803BD-3A25-4F6F-BA7C-1EDF8A148B73}" id="{6B5A8F5A-3ADB-435B-A5FD-7FF91FEEABB9}">
    <text>Old target was 95%</text>
  </threadedComment>
  <threadedComment ref="AW126" dT="2025-06-19T08:45:27.64" personId="{1798D1B1-3098-46B1-91A2-D4C92B7E122A}" id="{F1DFC0AA-D4F5-4CE0-AD68-74DB9A999ECC}">
    <text>4 offers/7 joiners</text>
  </threadedComment>
  <threadedComment ref="AY126" dT="2025-07-21T08:22:03.10" personId="{1798D1B1-3098-46B1-91A2-D4C92B7E122A}" id="{B487E5DD-C929-4380-B0E8-974A44EB799C}">
    <text>7 offers and 9 joiners</text>
  </threadedComment>
  <threadedComment ref="BA126" dT="2025-07-21T08:22:15.88" personId="{1798D1B1-3098-46B1-91A2-D4C92B7E122A}" id="{0F577E19-F8BD-402B-95A3-DD22128E6D1C}">
    <text>21 offers and 30 joiners</text>
  </threadedComment>
  <threadedComment ref="L127" dT="2023-02-09T12:18:36.35" personId="{6777EDD4-E46F-4979-A7E7-6FC0A82E0C8E}" id="{B6469816-6D79-44BB-9E24-6F79521BBC6C}">
    <text>Old target was 1:7</text>
  </threadedComment>
  <threadedComment ref="M127" dT="2023-02-09T12:18:36.35" personId="{6777EDD4-E46F-4979-A7E7-6FC0A82E0C8E}" id="{E3729C28-CBC9-4505-94CA-4B4DC98EC75B}">
    <text>Old target was 1:7</text>
  </threadedComment>
  <threadedComment ref="S127" dT="2024-06-12T07:52:01.51" personId="{1798D1B1-3098-46B1-91A2-D4C92B7E122A}" id="{4C0326CA-5B37-45D1-88DB-778702629A26}">
    <text>Validated</text>
  </threadedComment>
  <threadedComment ref="U128" dT="2024-07-12T12:14:03.38" personId="{1798D1B1-3098-46B1-91A2-D4C92B7E122A}" id="{AB1E32C8-AE64-48E8-87BC-54A325E53E46}">
    <text>Validated</text>
  </threadedComment>
  <threadedComment ref="AY128" dT="2025-07-21T08:22:40.11" personId="{1798D1B1-3098-46B1-91A2-D4C92B7E122A}" id="{85E2BF87-BC9B-4360-990A-F9E303092DC5}">
    <text>1 employee referral out of 14 joiners</text>
  </threadedComment>
  <threadedComment ref="BA128" dT="2025-07-21T08:22:55.21" personId="{1798D1B1-3098-46B1-91A2-D4C92B7E122A}" id="{157A874D-F5DB-49FD-A42E-97475E5583CE}">
    <text>14 employee referral out of 21 joiners</text>
  </threadedComment>
  <threadedComment ref="L129" dT="2024-05-11T05:08:18.08" personId="{1798D1B1-3098-46B1-91A2-D4C92B7E122A}" id="{67BAC8AA-AD95-47A2-8F42-7DF78D05410A}">
    <text>Target not approved by PH</text>
  </threadedComment>
  <threadedComment ref="M129" dT="2024-05-11T05:08:18.08" personId="{1798D1B1-3098-46B1-91A2-D4C92B7E122A}" id="{7545261A-CD1A-43A9-B37B-1C2CDCE8E411}">
    <text>Target not approved by PH</text>
  </threadedComment>
  <threadedComment ref="Q129" dT="2024-05-11T05:10:45.04" personId="{1798D1B1-3098-46B1-91A2-D4C92B7E122A}" id="{ADEA5A2E-4B9B-4C3B-A6B6-A7832E423445}">
    <text>Not approved by PH</text>
  </threadedComment>
  <threadedComment ref="AU129" dT="2025-05-21T07:16:13.13" personId="{1798D1B1-3098-46B1-91A2-D4C92B7E122A}" id="{37C7597A-4BA9-4803-B6D2-1ECC5570A11C}">
    <text>Validated</text>
  </threadedComment>
  <threadedComment ref="AW129" dT="2025-06-19T08:42:29.84" personId="{1798D1B1-3098-46B1-91A2-D4C92B7E122A}" id="{C87F8C31-5A44-416A-AB85-A8820BF5C2E4}">
    <text>3 positions beyond TTF and 19 open positions</text>
  </threadedComment>
  <threadedComment ref="AY129" dT="2025-07-21T08:24:05.38" personId="{1798D1B1-3098-46B1-91A2-D4C92B7E122A}" id="{AFA7EC85-9B32-4EBD-8DFF-A0F8EB1C62B4}">
    <text>5 position beyond TTF and 27 open positions</text>
  </threadedComment>
  <threadedComment ref="BA129" dT="2025-07-21T08:24:21.99" personId="{1798D1B1-3098-46B1-91A2-D4C92B7E122A}" id="{C6EAB9F6-5295-4794-808D-085E8563C5DA}">
    <text>11 beyond TTF and 63 open positions</text>
  </threadedComment>
  <threadedComment ref="L130" dT="2024-05-11T05:08:21.57" personId="{1798D1B1-3098-46B1-91A2-D4C92B7E122A}" id="{DD0A7A38-DF43-4891-AA89-A6670D87AB82}">
    <text>Target not approved by PH</text>
  </threadedComment>
  <threadedComment ref="M130" dT="2024-05-11T05:08:21.57" personId="{1798D1B1-3098-46B1-91A2-D4C92B7E122A}" id="{999F3670-251A-4D45-B85F-F624BEEB8944}">
    <text>Target not approved by PH</text>
  </threadedComment>
  <threadedComment ref="Q130" dT="2024-05-11T05:10:48.16" personId="{1798D1B1-3098-46B1-91A2-D4C92B7E122A}" id="{65B5EFCB-5828-4C12-8CC5-3536948D4C96}">
    <text>Not approved by PH</text>
  </threadedComment>
  <threadedComment ref="U130" dT="2024-07-12T12:17:20.48" personId="{1798D1B1-3098-46B1-91A2-D4C92B7E122A}" id="{0DCAFE84-F98C-41A7-B31A-22D311F7DAC7}">
    <text>Validated</text>
  </threadedComment>
  <threadedComment ref="W130" dT="2024-08-14T08:00:16.23" personId="{1798D1B1-3098-46B1-91A2-D4C92B7E122A}" id="{D98ECB15-ECC6-45DF-9169-DC5F126BA1BD}">
    <text>Validated</text>
  </threadedComment>
  <threadedComment ref="AA130" dT="2024-10-17T06:38:02.20" personId="{1798D1B1-3098-46B1-91A2-D4C92B7E122A}" id="{21873D24-3176-476D-8B63-8D5FF2BEECA3}">
    <text>Validated</text>
  </threadedComment>
  <threadedComment ref="AW130" dT="2025-06-19T08:46:50.99" personId="{1798D1B1-3098-46B1-91A2-D4C92B7E122A}" id="{392EB5ED-CE7A-4B71-AB46-DA625F14C272}">
    <text>36 CV shortlisted/64 CV shared</text>
  </threadedComment>
  <threadedComment ref="AY130" dT="2025-07-21T08:24:45.31" personId="{1798D1B1-3098-46B1-91A2-D4C92B7E122A}" id="{E22C515C-0D58-4A01-AAAA-D518785F6E4D}">
    <text>56 CV shortlisted and 72 CV shared</text>
  </threadedComment>
  <threadedComment ref="BA130" dT="2025-07-21T08:25:03.77" personId="{1798D1B1-3098-46B1-91A2-D4C92B7E122A}" id="{F08B8C8D-6B80-4A5F-8DE3-81B04FBC26DC}">
    <text>119 CVS shortlisted and 198 CV shared</text>
  </threadedComment>
  <threadedComment ref="BC130" dT="2025-08-20T09:35:33.79" personId="{1798D1B1-3098-46B1-91A2-D4C92B7E122A}" id="{92B1171B-6E96-4343-A3A5-E4DFD8910D72}">
    <text>Validated and 65/87</text>
  </threadedComment>
  <threadedComment ref="BE130" dT="2025-09-25T10:04:17.24" personId="{1798D1B1-3098-46B1-91A2-D4C92B7E122A}" id="{A6C5C459-F979-4CA5-9F0D-A8AACA07CF05}">
    <text>Validated</text>
  </threadedComment>
  <threadedComment ref="L131" dT="2024-05-11T05:08:24.67" personId="{1798D1B1-3098-46B1-91A2-D4C92B7E122A}" id="{3D6DAF97-9AD1-4B47-85B7-80DFA59A881F}">
    <text>Target not approved by PH</text>
  </threadedComment>
  <threadedComment ref="M131" dT="2024-05-11T05:08:24.67" personId="{1798D1B1-3098-46B1-91A2-D4C92B7E122A}" id="{9E96F67A-0425-48E7-99BA-7B79FD024C95}">
    <text>Target not approved by PH</text>
  </threadedComment>
  <threadedComment ref="Q131" dT="2024-05-11T05:10:50.79" personId="{1798D1B1-3098-46B1-91A2-D4C92B7E122A}" id="{A3C0BB52-B6E3-4BAA-8608-61A849A88412}">
    <text>Not approved by PH</text>
  </threadedComment>
  <threadedComment ref="U131" dT="2024-07-12T12:17:32.27" personId="{1798D1B1-3098-46B1-91A2-D4C92B7E122A}" id="{05B3FA2B-CF2B-44A0-BD4A-48A26AEBB8E6}">
    <text>Validated</text>
  </threadedComment>
  <threadedComment ref="W131" dT="2024-08-14T08:00:35.35" personId="{1798D1B1-3098-46B1-91A2-D4C92B7E122A}" id="{260C3C50-A100-4078-8D84-99E828A78E0F}">
    <text>Validated</text>
  </threadedComment>
  <threadedComment ref="AA131" dT="2024-10-17T06:38:07.52" personId="{1798D1B1-3098-46B1-91A2-D4C92B7E122A}" id="{982D61E4-7BEA-4EAE-A55E-650D77E3A13D}">
    <text>Validated</text>
  </threadedComment>
  <threadedComment ref="AW131" dT="2025-06-19T08:47:37.70" personId="{1798D1B1-3098-46B1-91A2-D4C92B7E122A}" id="{AB122FC6-C722-41D1-9121-266C3470D04C}">
    <text>2 selection and 64 CV shared</text>
  </threadedComment>
  <threadedComment ref="AY131" dT="2025-07-21T08:25:28.00" personId="{1798D1B1-3098-46B1-91A2-D4C92B7E122A}" id="{2A7EDD7A-850E-49B1-9651-8173169270A8}">
    <text>7 Selection and 72 Cv shared</text>
  </threadedComment>
  <threadedComment ref="BA131" dT="2025-07-21T08:25:40.28" personId="{1798D1B1-3098-46B1-91A2-D4C92B7E122A}" id="{FDC18E4A-CCCC-410B-9620-241D4B778A9A}">
    <text>13 selection and 198 CV shared</text>
  </threadedComment>
  <threadedComment ref="BC131" dT="2025-08-20T09:35:41.75" personId="{1798D1B1-3098-46B1-91A2-D4C92B7E122A}" id="{0ED771FE-053F-4308-AA90-6BECB270C7B1}">
    <text>Validated and 12/87</text>
  </threadedComment>
  <threadedComment ref="BE131" dT="2025-09-25T10:04:22.27" personId="{1798D1B1-3098-46B1-91A2-D4C92B7E122A}" id="{5A1A07D4-579B-44AD-AA1B-FE148E491E8C}">
    <text>Validated</text>
  </threadedComment>
  <threadedComment ref="L132" dT="2024-05-11T05:08:28.38" personId="{1798D1B1-3098-46B1-91A2-D4C92B7E122A}" id="{28B0F57F-6E55-4C6A-B79A-4BF6E71DC94D}">
    <text>Target not approved by PH</text>
  </threadedComment>
  <threadedComment ref="M132" dT="2024-05-11T05:08:28.38" personId="{1798D1B1-3098-46B1-91A2-D4C92B7E122A}" id="{03877BC4-7FE7-4321-B6A2-0095EF205E9E}">
    <text>Target not approved by PH</text>
  </threadedComment>
  <threadedComment ref="Q132" dT="2024-05-11T05:10:55.43" personId="{1798D1B1-3098-46B1-91A2-D4C92B7E122A}" id="{ED61DA41-76C5-4C8D-B9DF-AA72E38D4E66}">
    <text>Not approved by PH</text>
  </threadedComment>
  <threadedComment ref="AW132" dT="2025-06-19T08:50:14.75" personId="{1798D1B1-3098-46B1-91A2-D4C92B7E122A}" id="{F3467B02-A12F-447C-AA72-34F5132FCADD}">
    <text>0 offers decline and 3 offers released</text>
  </threadedComment>
  <threadedComment ref="AY132" dT="2025-07-21T08:26:01.04" personId="{1798D1B1-3098-46B1-91A2-D4C92B7E122A}" id="{7D1D9DD6-F76B-4D63-867D-99E98C3C9522}">
    <text>1 offer drop and 5 offers released</text>
  </threadedComment>
  <threadedComment ref="BA132" dT="2025-07-21T08:27:01.28" personId="{1798D1B1-3098-46B1-91A2-D4C92B7E122A}" id="{D8219D7C-BD3C-4617-8BD1-CCF1977F9524}">
    <text>2 offer declined out 12 offer released</text>
  </threadedComment>
  <threadedComment ref="L133" dT="2024-05-11T05:08:28.38" personId="{1798D1B1-3098-46B1-91A2-D4C92B7E122A}" id="{2D44A944-E6D8-4C4B-9913-3FFE7F85975B}">
    <text>Target not approved by PH</text>
  </threadedComment>
  <threadedComment ref="M133" dT="2024-05-11T05:08:28.38" personId="{1798D1B1-3098-46B1-91A2-D4C92B7E122A}" id="{A9F1BDFE-6288-420F-8F26-F995F2EB2B9B}">
    <text>Target not approved by PH</text>
  </threadedComment>
  <threadedComment ref="Q133" dT="2024-05-11T05:10:58.11" personId="{1798D1B1-3098-46B1-91A2-D4C92B7E122A}" id="{0483834C-205C-43F5-93E3-93106B7F7234}">
    <text>Not approved by PH</text>
  </threadedComment>
  <threadedComment ref="AM133" dT="2025-02-19T10:28:51.05" personId="{1798D1B1-3098-46B1-91A2-D4C92B7E122A}" id="{6DD5AAE9-43D9-4B43-B2DE-A8BB8BF36FEC}">
    <text>Validated</text>
  </threadedComment>
  <threadedComment ref="AY133" dT="2025-07-21T08:28:48.76" personId="{1798D1B1-3098-46B1-91A2-D4C92B7E122A}" id="{65C72F53-00FC-40F1-89F5-DA696A9066F2}">
    <text>Total 7 joiners and 27 open positions</text>
  </threadedComment>
  <threadedComment ref="BA133" dT="2025-07-21T08:29:35.98" personId="{1798D1B1-3098-46B1-91A2-D4C92B7E122A}" id="{FEBEE54D-58DE-4A00-9E29-7DAD7BD99323}">
    <text xml:space="preserve">Total 21 joiners and 63 open positions
</text>
  </threadedComment>
  <threadedComment ref="L134" dT="2024-05-11T05:08:35.32" personId="{1798D1B1-3098-46B1-91A2-D4C92B7E122A}" id="{AFE659C1-04E8-4740-B409-FCC80EC2F0A3}">
    <text>Target not approved by PH</text>
  </threadedComment>
  <threadedComment ref="M134" dT="2024-05-11T05:08:35.32" personId="{1798D1B1-3098-46B1-91A2-D4C92B7E122A}" id="{1958AF92-82C9-4BBD-965C-6663FF83FB1A}">
    <text>Target not approved by PH</text>
  </threadedComment>
  <threadedComment ref="Q134" dT="2024-05-11T05:11:01.90" personId="{1798D1B1-3098-46B1-91A2-D4C92B7E122A}" id="{24C183A6-0F42-4814-949E-C49B877DAF9D}">
    <text>Not approved by PH</text>
  </threadedComment>
  <threadedComment ref="AY134" dT="2025-07-21T08:29:55.63" personId="{1798D1B1-3098-46B1-91A2-D4C92B7E122A}" id="{C2622EE4-6C6A-402A-98BE-BCD1CA35A0CC}">
    <text>2 female and 7 joiners</text>
  </threadedComment>
  <threadedComment ref="BA134" dT="2025-07-21T08:30:07.17" personId="{1798D1B1-3098-46B1-91A2-D4C92B7E122A}" id="{FE2E329B-57B6-418E-9C5D-47C38BCEE2E6}">
    <text>6 female and 21 joiners</text>
  </threadedComment>
  <threadedComment ref="Q135" dT="2024-05-11T17:51:02.50" personId="{1798D1B1-3098-46B1-91A2-D4C92B7E122A}" id="{792102D1-406B-4E28-B572-B18569A4DEE9}">
    <text>Validated</text>
  </threadedComment>
  <threadedComment ref="U135" dT="2024-07-12T10:23:59.90" personId="{1798D1B1-3098-46B1-91A2-D4C92B7E122A}" id="{5B0B2AB2-FE85-4C57-9503-F9DFAA904C8E}">
    <text>Validated</text>
  </threadedComment>
  <threadedComment ref="W135" dT="2024-08-14T13:07:27.56" personId="{1798D1B1-3098-46B1-91A2-D4C92B7E122A}" id="{766CDBB4-99E1-4A96-9DB8-B6877FA5D5B5}">
    <text>Previous month selection, offer re-released in July’24</text>
  </threadedComment>
  <threadedComment ref="Y135" dT="2024-09-13T10:10:35.85" personId="{1798D1B1-3098-46B1-91A2-D4C92B7E122A}" id="{801A9FEF-C4CF-4F0A-9470-CD6F5123426F}">
    <text xml:space="preserve">No offers released </text>
  </threadedComment>
  <threadedComment ref="AA135" dT="2024-10-17T09:53:12.06" personId="{6777EDD4-E46F-4979-A7E7-6FC0A82E0C8E}" id="{2F492AE8-E254-43D1-9DE1-3FDC3649AE33}">
    <text>Hiring is on Hold</text>
  </threadedComment>
  <threadedComment ref="AB135" dT="2024-10-17T09:53:12.06" personId="{6777EDD4-E46F-4979-A7E7-6FC0A82E0C8E}" id="{506024BE-61DB-4B57-AC0C-09C7354AF548}">
    <text>Hiring is on Hold</text>
  </threadedComment>
  <threadedComment ref="AC135" dT="2024-10-17T09:53:12.06" personId="{6777EDD4-E46F-4979-A7E7-6FC0A82E0C8E}" id="{4C57A513-2F44-4804-B3DD-A47CAB68DB09}">
    <text>Hiring is on Hold</text>
  </threadedComment>
  <threadedComment ref="AD135" dT="2024-10-17T09:53:12.06" personId="{6777EDD4-E46F-4979-A7E7-6FC0A82E0C8E}" id="{E8CA112F-AC70-4EE0-B78B-36F5AA9DAF48}">
    <text>Hiring is on Hold</text>
  </threadedComment>
  <threadedComment ref="AE135" dT="2024-10-17T09:53:12.06" personId="{6777EDD4-E46F-4979-A7E7-6FC0A82E0C8E}" id="{0B554583-2023-4A4E-A161-846E3999E888}">
    <text>Hiring is on Hold</text>
  </threadedComment>
  <threadedComment ref="AF135" dT="2024-10-17T09:53:12.06" personId="{6777EDD4-E46F-4979-A7E7-6FC0A82E0C8E}" id="{EB1166A4-7F38-4C21-9462-FBD50D75A8FC}">
    <text>Hiring is on Hold</text>
  </threadedComment>
  <threadedComment ref="AG135" dT="2024-10-17T09:53:12.06" personId="{6777EDD4-E46F-4979-A7E7-6FC0A82E0C8E}" id="{AAAD7ECE-283D-477F-8D2F-746BCFF7812D}">
    <text>Hiring is on Hold</text>
  </threadedComment>
  <threadedComment ref="AH135" dT="2024-10-17T09:53:12.06" personId="{6777EDD4-E46F-4979-A7E7-6FC0A82E0C8E}" id="{AABC2877-9963-4598-ACF1-5C1689BA771F}">
    <text>Hiring is on Hold</text>
  </threadedComment>
  <threadedComment ref="AI135" dT="2024-10-17T09:53:12.06" personId="{6777EDD4-E46F-4979-A7E7-6FC0A82E0C8E}" id="{4114BF66-2C75-411B-ACFD-209C0B0B1CE0}">
    <text>Hiring is on Hold</text>
  </threadedComment>
  <threadedComment ref="AJ135" dT="2024-10-17T09:53:12.06" personId="{6777EDD4-E46F-4979-A7E7-6FC0A82E0C8E}" id="{14058883-B7AC-4416-9D3B-E15057713C84}">
    <text>Hiring is on Hold</text>
  </threadedComment>
  <threadedComment ref="AK135" dT="2024-10-17T09:53:12.06" personId="{6777EDD4-E46F-4979-A7E7-6FC0A82E0C8E}" id="{B444FBD3-06BC-47DD-B42C-20587D1F26A2}">
    <text>Hiring is on Hold</text>
  </threadedComment>
  <threadedComment ref="AL135" dT="2024-10-17T09:53:12.06" personId="{6777EDD4-E46F-4979-A7E7-6FC0A82E0C8E}" id="{ED13B327-8ACE-4E7F-ABEF-733F52DD29DC}">
    <text>Hiring is on Hold</text>
  </threadedComment>
  <threadedComment ref="AM135" dT="2024-10-17T09:53:12.06" personId="{6777EDD4-E46F-4979-A7E7-6FC0A82E0C8E}" id="{1EF635C1-7E3F-4AF2-8337-7DF1ACCE5275}">
    <text>Hiring is on Hold</text>
  </threadedComment>
  <threadedComment ref="AN135" dT="2024-10-17T09:53:12.06" personId="{6777EDD4-E46F-4979-A7E7-6FC0A82E0C8E}" id="{4DC99B90-A288-44F3-87C7-B49699AF0A04}">
    <text>Hiring is on Hold</text>
  </threadedComment>
  <threadedComment ref="AO135" dT="2024-10-17T09:53:12.06" personId="{6777EDD4-E46F-4979-A7E7-6FC0A82E0C8E}" id="{A0C66E4A-A3BE-4FBD-8DDA-B23DE620DF72}">
    <text>Hiring is on Hold</text>
  </threadedComment>
  <threadedComment ref="AP135" dT="2024-10-17T09:53:12.06" personId="{6777EDD4-E46F-4979-A7E7-6FC0A82E0C8E}" id="{FE378ED2-C445-44B6-BAD8-9A1FE417BE29}">
    <text>Hiring is on Hold</text>
  </threadedComment>
  <threadedComment ref="AQ135" dT="2024-10-17T09:53:12.06" personId="{6777EDD4-E46F-4979-A7E7-6FC0A82E0C8E}" id="{00A603B2-5299-46AE-8B6E-855A3514AD97}">
    <text>Hiring is on Hold</text>
  </threadedComment>
  <threadedComment ref="AR135" dT="2024-10-17T09:53:12.06" personId="{6777EDD4-E46F-4979-A7E7-6FC0A82E0C8E}" id="{D857AE45-6F2E-4030-93CB-B01D1A3F53A1}">
    <text>Hiring is on Hold</text>
  </threadedComment>
  <threadedComment ref="AS135" dT="2024-10-17T09:53:12.06" personId="{6777EDD4-E46F-4979-A7E7-6FC0A82E0C8E}" id="{217FF6F9-4795-4E54-B4B1-6C6B9E85CA65}">
    <text>Hiring is on Hold</text>
  </threadedComment>
  <threadedComment ref="AT135" dT="2024-10-17T09:53:12.06" personId="{6777EDD4-E46F-4979-A7E7-6FC0A82E0C8E}" id="{CEE1788B-5BC3-4F45-9EDC-EAD888749354}">
    <text>Hiring is on Hold</text>
  </threadedComment>
  <threadedComment ref="AU135" dT="2024-10-17T09:53:12.06" personId="{6777EDD4-E46F-4979-A7E7-6FC0A82E0C8E}" id="{8C640F98-4244-49A5-82A1-EEBE5847D699}">
    <text>Hiring is on Hold</text>
  </threadedComment>
  <threadedComment ref="AV135" dT="2024-10-17T09:53:12.06" personId="{6777EDD4-E46F-4979-A7E7-6FC0A82E0C8E}" id="{FACD3E63-E261-4C80-B054-A25596B93713}">
    <text>Hiring is on Hold</text>
  </threadedComment>
  <threadedComment ref="AW135" dT="2024-10-18T04:54:46.00" personId="{6777EDD4-E46F-4979-A7E7-6FC0A82E0C8E}" id="{F6D70E81-A615-4EBC-8896-E8FCEF2D584C}">
    <text>Project On-Hold</text>
  </threadedComment>
  <threadedComment ref="AX135" dT="2024-10-18T04:54:46.00" personId="{6777EDD4-E46F-4979-A7E7-6FC0A82E0C8E}" id="{25D67E6A-F641-4351-BB18-9A7D0FDD3E59}">
    <text>Project On-Hold</text>
  </threadedComment>
  <threadedComment ref="AY135" dT="2024-10-18T04:54:46.00" personId="{6777EDD4-E46F-4979-A7E7-6FC0A82E0C8E}" id="{DD69DAD6-4D9E-429B-93E1-9393549B0196}">
    <text>Project On-Hold</text>
  </threadedComment>
  <threadedComment ref="AZ135" dT="2024-10-18T04:54:46.00" personId="{6777EDD4-E46F-4979-A7E7-6FC0A82E0C8E}" id="{71D5E295-7C3F-442C-98CD-C59BA48D26FA}">
    <text>Project On-Hold</text>
  </threadedComment>
  <threadedComment ref="BA135" dT="2024-10-18T04:54:46.00" personId="{6777EDD4-E46F-4979-A7E7-6FC0A82E0C8E}" id="{7D972491-C935-4F61-A7BE-500A1E784DC0}">
    <text>Project On-Hold</text>
  </threadedComment>
  <threadedComment ref="BB135" dT="2024-10-18T04:54:46.00" personId="{6777EDD4-E46F-4979-A7E7-6FC0A82E0C8E}" id="{C409EEC9-89A7-42D0-9005-62DE85429453}">
    <text>Project On-Hold</text>
  </threadedComment>
  <threadedComment ref="BC135" dT="2024-10-18T04:54:46.00" personId="{6777EDD4-E46F-4979-A7E7-6FC0A82E0C8E}" id="{D24251D0-5C8B-4CA1-8711-1F9475F81311}">
    <text>Project On-Hold</text>
  </threadedComment>
  <threadedComment ref="BD135" dT="2024-10-18T04:54:46.00" personId="{6777EDD4-E46F-4979-A7E7-6FC0A82E0C8E}" id="{6E4B3451-D99E-4D4A-B5A6-10D3890863C7}">
    <text>Project On-Hold</text>
  </threadedComment>
  <threadedComment ref="BE135" dT="2024-10-18T04:54:46.00" personId="{6777EDD4-E46F-4979-A7E7-6FC0A82E0C8E}" id="{89EAF6FA-F1EE-47B3-9F0D-20004597AD99}">
    <text>Project On-Hold</text>
  </threadedComment>
  <threadedComment ref="BF135" dT="2024-10-18T04:54:46.00" personId="{6777EDD4-E46F-4979-A7E7-6FC0A82E0C8E}" id="{0494DE0A-EE89-469B-A714-A4D60C5B4FFE}">
    <text>Project On-Hold</text>
  </threadedComment>
  <threadedComment ref="Q136" dT="2024-05-11T17:51:06.53" personId="{1798D1B1-3098-46B1-91A2-D4C92B7E122A}" id="{5FB5FD9A-3BEB-45EE-9B76-0C531B58EC5B}">
    <text>Validated</text>
  </threadedComment>
  <threadedComment ref="U136" dT="2024-07-12T10:24:12.04" personId="{1798D1B1-3098-46B1-91A2-D4C92B7E122A}" id="{617EFE0D-66EE-4F29-BD5F-29A407F1BFCE}">
    <text>Validated</text>
  </threadedComment>
  <threadedComment ref="AA136" dT="2024-10-17T09:53:12.06" personId="{6777EDD4-E46F-4979-A7E7-6FC0A82E0C8E}" id="{1B124C53-FA9C-4A5D-88B9-C614EAFD01E5}">
    <text>Hiring is on Hold</text>
  </threadedComment>
  <threadedComment ref="AB136" dT="2024-10-17T09:53:12.06" personId="{6777EDD4-E46F-4979-A7E7-6FC0A82E0C8E}" id="{0DD69C44-DB4C-471F-A980-2A00EE269517}">
    <text>Hiring is on Hold</text>
  </threadedComment>
  <threadedComment ref="AC136" dT="2024-10-17T09:53:12.06" personId="{6777EDD4-E46F-4979-A7E7-6FC0A82E0C8E}" id="{325827B1-0C26-4ED0-A947-9EB428D9403D}">
    <text>Hiring is on Hold</text>
  </threadedComment>
  <threadedComment ref="AD136" dT="2024-10-17T09:53:12.06" personId="{6777EDD4-E46F-4979-A7E7-6FC0A82E0C8E}" id="{AF5DCF4F-75E5-4D2B-8A5D-4B4BE50EE370}">
    <text>Hiring is on Hold</text>
  </threadedComment>
  <threadedComment ref="AE136" dT="2024-10-17T09:53:12.06" personId="{6777EDD4-E46F-4979-A7E7-6FC0A82E0C8E}" id="{0B9C8547-25D1-45D3-9EBF-49974D713AF7}">
    <text>Hiring is on Hold</text>
  </threadedComment>
  <threadedComment ref="AF136" dT="2024-10-17T09:53:12.06" personId="{6777EDD4-E46F-4979-A7E7-6FC0A82E0C8E}" id="{62C3CBC6-6546-43B6-898D-864684595214}">
    <text>Hiring is on Hold</text>
  </threadedComment>
  <threadedComment ref="AG136" dT="2024-10-17T09:53:12.06" personId="{6777EDD4-E46F-4979-A7E7-6FC0A82E0C8E}" id="{BCBBFC82-FE4B-478F-9878-26D3D24784DD}">
    <text>Hiring is on Hold</text>
  </threadedComment>
  <threadedComment ref="AH136" dT="2024-10-17T09:53:12.06" personId="{6777EDD4-E46F-4979-A7E7-6FC0A82E0C8E}" id="{BF3E89A0-6D8F-4F43-A0F0-51EEC3E143AE}">
    <text>Hiring is on Hold</text>
  </threadedComment>
  <threadedComment ref="AI136" dT="2024-10-17T09:53:12.06" personId="{6777EDD4-E46F-4979-A7E7-6FC0A82E0C8E}" id="{9CB3FC34-7079-458D-8264-BBD79089A95B}">
    <text>Hiring is on Hold</text>
  </threadedComment>
  <threadedComment ref="AJ136" dT="2024-10-17T09:53:12.06" personId="{6777EDD4-E46F-4979-A7E7-6FC0A82E0C8E}" id="{BEE6D106-A199-43F1-A3F5-3BA15F086BB8}">
    <text>Hiring is on Hold</text>
  </threadedComment>
  <threadedComment ref="AK136" dT="2024-10-17T09:53:12.06" personId="{6777EDD4-E46F-4979-A7E7-6FC0A82E0C8E}" id="{08DC7219-DE8F-4F72-B1E5-A98D0359C23E}">
    <text>Hiring is on Hold</text>
  </threadedComment>
  <threadedComment ref="AL136" dT="2024-10-17T09:53:12.06" personId="{6777EDD4-E46F-4979-A7E7-6FC0A82E0C8E}" id="{35D172CA-DE92-4734-A014-8077593B517E}">
    <text>Hiring is on Hold</text>
  </threadedComment>
  <threadedComment ref="AM136" dT="2024-10-17T09:53:12.06" personId="{6777EDD4-E46F-4979-A7E7-6FC0A82E0C8E}" id="{0F05C6A5-4719-498C-B261-C2E13973F45D}">
    <text>Hiring is on Hold</text>
  </threadedComment>
  <threadedComment ref="AN136" dT="2024-10-17T09:53:12.06" personId="{6777EDD4-E46F-4979-A7E7-6FC0A82E0C8E}" id="{2A9029A4-C4D3-4B38-ADB8-6DAC05453A2B}">
    <text>Hiring is on Hold</text>
  </threadedComment>
  <threadedComment ref="AO136" dT="2024-10-17T09:53:12.06" personId="{6777EDD4-E46F-4979-A7E7-6FC0A82E0C8E}" id="{E477EAE2-0FC3-46B6-81A5-D707CB073A5C}">
    <text>Hiring is on Hold</text>
  </threadedComment>
  <threadedComment ref="AP136" dT="2024-10-17T09:53:12.06" personId="{6777EDD4-E46F-4979-A7E7-6FC0A82E0C8E}" id="{F0403F64-5C4B-407B-B996-7CB8DA0B0E2B}">
    <text>Hiring is on Hold</text>
  </threadedComment>
  <threadedComment ref="AQ136" dT="2024-10-17T09:53:12.06" personId="{6777EDD4-E46F-4979-A7E7-6FC0A82E0C8E}" id="{49B763D1-5895-4F7F-BA1D-F111A6C9E84E}">
    <text>Hiring is on Hold</text>
  </threadedComment>
  <threadedComment ref="AR136" dT="2024-10-17T09:53:12.06" personId="{6777EDD4-E46F-4979-A7E7-6FC0A82E0C8E}" id="{AD601529-7EC4-4C09-B632-E0878D6A7B8A}">
    <text>Hiring is on Hold</text>
  </threadedComment>
  <threadedComment ref="AS136" dT="2024-10-17T09:53:12.06" personId="{6777EDD4-E46F-4979-A7E7-6FC0A82E0C8E}" id="{893FC583-7D79-45D5-9A1D-9EDF0D4A0CD5}">
    <text>Hiring is on Hold</text>
  </threadedComment>
  <threadedComment ref="AT136" dT="2024-10-17T09:53:12.06" personId="{6777EDD4-E46F-4979-A7E7-6FC0A82E0C8E}" id="{7AEE0001-12DB-4072-AE16-F234C4F27B24}">
    <text>Hiring is on Hold</text>
  </threadedComment>
  <threadedComment ref="AW136" dT="2024-10-18T04:54:46.00" personId="{6777EDD4-E46F-4979-A7E7-6FC0A82E0C8E}" id="{FE7B9EA0-06BF-4464-9B03-5A624BFD99F9}">
    <text>Project On-Hold</text>
  </threadedComment>
  <threadedComment ref="AX136" dT="2024-10-18T04:54:46.00" personId="{6777EDD4-E46F-4979-A7E7-6FC0A82E0C8E}" id="{7308A415-B03D-42C2-9897-B13AF2796149}">
    <text>Project On-Hold</text>
  </threadedComment>
  <threadedComment ref="AY136" dT="2024-10-18T04:54:46.00" personId="{6777EDD4-E46F-4979-A7E7-6FC0A82E0C8E}" id="{45E1ED7A-B3E0-46A2-AC67-A91C4B083C8B}">
    <text>Project On-Hold</text>
  </threadedComment>
  <threadedComment ref="AZ136" dT="2024-10-18T04:54:46.00" personId="{6777EDD4-E46F-4979-A7E7-6FC0A82E0C8E}" id="{4D3A8A69-C397-4035-9C77-D9CE91D558AC}">
    <text>Project On-Hold</text>
  </threadedComment>
  <threadedComment ref="BA136" dT="2024-10-18T04:54:46.00" personId="{6777EDD4-E46F-4979-A7E7-6FC0A82E0C8E}" id="{6DF2E90C-8C02-4A6A-A7D7-DAFCC3AE0148}">
    <text>Project On-Hold</text>
  </threadedComment>
  <threadedComment ref="BB136" dT="2024-10-18T04:54:46.00" personId="{6777EDD4-E46F-4979-A7E7-6FC0A82E0C8E}" id="{EB2ECB1A-5CB0-4BFE-9CA8-D354325EB4BB}">
    <text>Project On-Hold</text>
  </threadedComment>
  <threadedComment ref="BC136" dT="2024-10-18T04:54:46.00" personId="{6777EDD4-E46F-4979-A7E7-6FC0A82E0C8E}" id="{A585D646-7947-4369-8A92-C4DD8FB2E249}">
    <text>Project On-Hold</text>
  </threadedComment>
  <threadedComment ref="BD136" dT="2024-10-18T04:54:46.00" personId="{6777EDD4-E46F-4979-A7E7-6FC0A82E0C8E}" id="{68B6FFD0-A9EF-4C5E-9B1E-322FDD51CDC2}">
    <text>Project On-Hold</text>
  </threadedComment>
  <threadedComment ref="BE136" dT="2024-10-18T04:54:46.00" personId="{6777EDD4-E46F-4979-A7E7-6FC0A82E0C8E}" id="{1671642B-A7B9-41F2-A2B4-350630C486BB}">
    <text>Project On-Hold</text>
  </threadedComment>
  <threadedComment ref="BF136" dT="2024-10-18T04:54:46.00" personId="{6777EDD4-E46F-4979-A7E7-6FC0A82E0C8E}" id="{D2488F86-75D2-4155-9E86-AFB1F034408E}">
    <text>Project On-Hold</text>
  </threadedComment>
  <threadedComment ref="L137" dT="2024-05-11T07:56:38.19" personId="{1798D1B1-3098-46B1-91A2-D4C92B7E122A}" id="{12EB96F3-67D4-47B8-AEA4-E3DC073BD963}">
    <text>Target not approved by PH</text>
  </threadedComment>
  <threadedComment ref="M137" dT="2024-05-11T07:56:38.19" personId="{1798D1B1-3098-46B1-91A2-D4C92B7E122A}" id="{AF63F5CA-B4B3-4B27-9530-6746A27273AB}">
    <text>Target not approved by PH</text>
  </threadedComment>
  <threadedComment ref="W137" dT="2024-08-14T07:06:24.95" personId="{1798D1B1-3098-46B1-91A2-D4C92B7E122A}" id="{9994D547-0735-4151-A004-DC0FB80275D7}">
    <text>No offers released/ no positions open</text>
  </threadedComment>
  <threadedComment ref="X137" dT="2024-08-14T07:06:24.95" personId="{1798D1B1-3098-46B1-91A2-D4C92B7E122A}" id="{53B75271-F76C-4BA6-A20E-6BB0EBBB2F3C}">
    <text>No offers released/ no positions open</text>
  </threadedComment>
  <threadedComment ref="Y137" dT="2024-08-14T07:06:24.95" personId="{1798D1B1-3098-46B1-91A2-D4C92B7E122A}" id="{085CC36D-8088-4D86-9AC9-2A0A58FFC28E}">
    <text>No offers released/ no positions open</text>
  </threadedComment>
  <threadedComment ref="Z137" dT="2024-08-14T07:06:24.95" personId="{1798D1B1-3098-46B1-91A2-D4C92B7E122A}" id="{E810D24D-DF0A-41B3-8640-6E4DF509A162}">
    <text>No offers released/ no positions open</text>
  </threadedComment>
  <threadedComment ref="AA137" dT="2024-10-17T09:53:12.06" personId="{6777EDD4-E46F-4979-A7E7-6FC0A82E0C8E}" id="{6D6E8444-7AB6-4900-96B9-041120EC5F31}">
    <text>Hiring is on Hold</text>
  </threadedComment>
  <threadedComment ref="AB137" dT="2024-10-17T09:53:12.06" personId="{6777EDD4-E46F-4979-A7E7-6FC0A82E0C8E}" id="{9ACDEB26-20F1-43E1-8CCF-2AE3CE419A0A}">
    <text>Hiring is on Hold</text>
  </threadedComment>
  <threadedComment ref="AC137" dT="2024-10-17T09:53:12.06" personId="{6777EDD4-E46F-4979-A7E7-6FC0A82E0C8E}" id="{9F8C3947-7F7C-4E1D-9C34-A747318DAB31}">
    <text>Hiring is on Hold</text>
  </threadedComment>
  <threadedComment ref="AD137" dT="2024-10-17T09:53:12.06" personId="{6777EDD4-E46F-4979-A7E7-6FC0A82E0C8E}" id="{1EF5647C-C4E0-4F8F-96E6-7B8FFA98158F}">
    <text>Hiring is on Hold</text>
  </threadedComment>
  <threadedComment ref="AE137" dT="2024-10-17T09:53:12.06" personId="{6777EDD4-E46F-4979-A7E7-6FC0A82E0C8E}" id="{D5216D92-DAF2-476A-B37D-0C2CCE451267}">
    <text>Hiring is on Hold</text>
  </threadedComment>
  <threadedComment ref="AF137" dT="2024-10-17T09:53:12.06" personId="{6777EDD4-E46F-4979-A7E7-6FC0A82E0C8E}" id="{52195236-4D8A-41BE-8C9C-619164FDCB03}">
    <text>Hiring is on Hold</text>
  </threadedComment>
  <threadedComment ref="AG137" dT="2024-10-17T09:53:12.06" personId="{6777EDD4-E46F-4979-A7E7-6FC0A82E0C8E}" id="{2C3956A7-88E8-4DAE-ADC6-83811285247B}">
    <text>Hiring is on Hold</text>
  </threadedComment>
  <threadedComment ref="AH137" dT="2024-10-17T09:53:12.06" personId="{6777EDD4-E46F-4979-A7E7-6FC0A82E0C8E}" id="{2DB0C1F2-F79F-48F1-86AF-BA208AE7AAF8}">
    <text>Hiring is on Hold</text>
  </threadedComment>
  <threadedComment ref="AI137" dT="2024-10-17T09:53:12.06" personId="{6777EDD4-E46F-4979-A7E7-6FC0A82E0C8E}" id="{E9B368A3-8B46-4FBF-B4B7-348966D9DFAA}">
    <text>Hiring is on Hold</text>
  </threadedComment>
  <threadedComment ref="AJ137" dT="2024-10-17T09:53:12.06" personId="{6777EDD4-E46F-4979-A7E7-6FC0A82E0C8E}" id="{8274876B-F650-4D87-80F0-6B82D597E787}">
    <text>Hiring is on Hold</text>
  </threadedComment>
  <threadedComment ref="AK137" dT="2024-10-17T09:53:12.06" personId="{6777EDD4-E46F-4979-A7E7-6FC0A82E0C8E}" id="{9E73CC6E-AD27-4485-8C5A-5273F810BFA9}">
    <text>Hiring is on Hold</text>
  </threadedComment>
  <threadedComment ref="AL137" dT="2024-10-17T09:53:12.06" personId="{6777EDD4-E46F-4979-A7E7-6FC0A82E0C8E}" id="{48C35031-E541-4AEB-86E5-BF8965DB3009}">
    <text>Hiring is on Hold</text>
  </threadedComment>
  <threadedComment ref="AM137" dT="2024-10-17T09:53:12.06" personId="{6777EDD4-E46F-4979-A7E7-6FC0A82E0C8E}" id="{75F8DA02-4030-4BF8-9395-C0EA72CF0218}">
    <text>Hiring is on Hold</text>
  </threadedComment>
  <threadedComment ref="AN137" dT="2024-10-17T09:53:12.06" personId="{6777EDD4-E46F-4979-A7E7-6FC0A82E0C8E}" id="{7E8C09DA-5B44-401E-96D3-6F27C3B64607}">
    <text>Hiring is on Hold</text>
  </threadedComment>
  <threadedComment ref="AO137" dT="2024-10-17T09:53:12.06" personId="{6777EDD4-E46F-4979-A7E7-6FC0A82E0C8E}" id="{F0BB88DE-14DA-475D-8F41-9CD8E45489F6}">
    <text>Hiring is on Hold</text>
  </threadedComment>
  <threadedComment ref="AP137" dT="2024-10-17T09:53:12.06" personId="{6777EDD4-E46F-4979-A7E7-6FC0A82E0C8E}" id="{FF082219-584A-43E8-80C8-E6BB9505C51B}">
    <text>Hiring is on Hold</text>
  </threadedComment>
  <threadedComment ref="AQ137" dT="2024-10-17T09:53:12.06" personId="{6777EDD4-E46F-4979-A7E7-6FC0A82E0C8E}" id="{B8CFCBE9-0A63-4175-A653-D5DF8469AAB6}">
    <text>Hiring is on Hold</text>
  </threadedComment>
  <threadedComment ref="AR137" dT="2024-10-17T09:53:12.06" personId="{6777EDD4-E46F-4979-A7E7-6FC0A82E0C8E}" id="{39A0CB5E-6228-45BD-95DF-4FAD943C71BF}">
    <text>Hiring is on Hold</text>
  </threadedComment>
  <threadedComment ref="AS137" dT="2024-10-17T09:53:12.06" personId="{6777EDD4-E46F-4979-A7E7-6FC0A82E0C8E}" id="{869B746C-4D3D-4CA0-9510-08B0E00C382C}">
    <text>Hiring is on Hold</text>
  </threadedComment>
  <threadedComment ref="AT137" dT="2024-10-17T09:53:12.06" personId="{6777EDD4-E46F-4979-A7E7-6FC0A82E0C8E}" id="{ABF52FED-BF7F-406C-89C6-8AAA5E657FA9}">
    <text>Hiring is on Hold</text>
  </threadedComment>
  <threadedComment ref="AW137" dT="2024-10-18T04:54:46.00" personId="{6777EDD4-E46F-4979-A7E7-6FC0A82E0C8E}" id="{B381BCCA-3E47-496C-81FA-E9199164117C}">
    <text>Project On-Hold</text>
  </threadedComment>
  <threadedComment ref="AX137" dT="2024-10-18T04:54:46.00" personId="{6777EDD4-E46F-4979-A7E7-6FC0A82E0C8E}" id="{7C8AC41C-2862-4B74-8C58-8FD88537448D}">
    <text>Project On-Hold</text>
  </threadedComment>
  <threadedComment ref="AY137" dT="2024-10-18T04:54:46.00" personId="{6777EDD4-E46F-4979-A7E7-6FC0A82E0C8E}" id="{D2183488-F4B7-4F62-A473-0A8AB30CEB12}">
    <text>Project On-Hold</text>
  </threadedComment>
  <threadedComment ref="AZ137" dT="2024-10-18T04:54:46.00" personId="{6777EDD4-E46F-4979-A7E7-6FC0A82E0C8E}" id="{429DCF71-D6D5-4330-9B2C-AEE042F26C01}">
    <text>Project On-Hold</text>
  </threadedComment>
  <threadedComment ref="BA137" dT="2024-10-18T04:54:46.00" personId="{6777EDD4-E46F-4979-A7E7-6FC0A82E0C8E}" id="{4460AD06-A25F-45D4-B486-FB7770410712}">
    <text>Project On-Hold</text>
  </threadedComment>
  <threadedComment ref="BB137" dT="2024-10-18T04:54:46.00" personId="{6777EDD4-E46F-4979-A7E7-6FC0A82E0C8E}" id="{B7694260-ECFF-437B-AA9D-45185C195977}">
    <text>Project On-Hold</text>
  </threadedComment>
  <threadedComment ref="BC137" dT="2024-10-18T04:54:46.00" personId="{6777EDD4-E46F-4979-A7E7-6FC0A82E0C8E}" id="{75450594-5A7A-40C2-858F-CD81ACD82424}">
    <text>Project On-Hold</text>
  </threadedComment>
  <threadedComment ref="BD137" dT="2024-10-18T04:54:46.00" personId="{6777EDD4-E46F-4979-A7E7-6FC0A82E0C8E}" id="{AE5E44C2-1015-42C1-B677-3DEA8CED9037}">
    <text>Project On-Hold</text>
  </threadedComment>
  <threadedComment ref="BE137" dT="2024-10-18T04:54:46.00" personId="{6777EDD4-E46F-4979-A7E7-6FC0A82E0C8E}" id="{332FC3A6-CF0E-4278-A59A-A6ABAE254906}">
    <text>Project On-Hold</text>
  </threadedComment>
  <threadedComment ref="BF137" dT="2024-10-18T04:54:46.00" personId="{6777EDD4-E46F-4979-A7E7-6FC0A82E0C8E}" id="{F97AB376-3213-4968-A09E-4DA02E0ED02E}">
    <text>Project On-Hold</text>
  </threadedComment>
  <threadedComment ref="L138" dT="2024-05-11T07:56:42.79" personId="{1798D1B1-3098-46B1-91A2-D4C92B7E122A}" id="{6B5BB317-B409-40BE-9D27-077C2590044D}">
    <text>Target not approved by PH</text>
  </threadedComment>
  <threadedComment ref="M138" dT="2024-05-11T07:56:42.79" personId="{1798D1B1-3098-46B1-91A2-D4C92B7E122A}" id="{DCD42762-9F80-4D7A-83F2-AAB70B29DCED}">
    <text>Target not approved by PH</text>
  </threadedComment>
  <threadedComment ref="W138" dT="2024-08-14T07:07:16.04" personId="{1798D1B1-3098-46B1-91A2-D4C92B7E122A}" id="{0C20FB09-DC3C-439C-AD9B-56944E6C818A}">
    <text>No hiring</text>
  </threadedComment>
  <threadedComment ref="X138" dT="2024-08-14T07:07:16.04" personId="{1798D1B1-3098-46B1-91A2-D4C92B7E122A}" id="{1BA7F3F9-6538-43F0-94E2-1DEF50E27D4D}">
    <text>No hiring</text>
  </threadedComment>
  <threadedComment ref="Y138" dT="2024-08-14T07:07:16.04" personId="{1798D1B1-3098-46B1-91A2-D4C92B7E122A}" id="{80B7A474-7850-47E5-A710-DF9D322F9AC7}">
    <text>No hiring</text>
  </threadedComment>
  <threadedComment ref="Z138" dT="2024-08-14T07:07:16.04" personId="{1798D1B1-3098-46B1-91A2-D4C92B7E122A}" id="{6939C268-E6B9-411B-BCF3-2E420BFFAC9E}">
    <text>No hiring</text>
  </threadedComment>
  <threadedComment ref="AA138" dT="2024-10-17T09:53:12.06" personId="{6777EDD4-E46F-4979-A7E7-6FC0A82E0C8E}" id="{F082FFE1-F849-4791-9B37-6118C4F4CE9A}">
    <text>Hiring is on Hold</text>
  </threadedComment>
  <threadedComment ref="AB138" dT="2024-10-17T09:53:12.06" personId="{6777EDD4-E46F-4979-A7E7-6FC0A82E0C8E}" id="{8C781ECD-FC6E-469E-95E6-59BE188499DF}">
    <text>Hiring is on Hold</text>
  </threadedComment>
  <threadedComment ref="AC138" dT="2024-10-17T09:53:12.06" personId="{6777EDD4-E46F-4979-A7E7-6FC0A82E0C8E}" id="{5950C2FD-1F4A-4720-BDA4-900355395BFB}">
    <text>Hiring is on Hold</text>
  </threadedComment>
  <threadedComment ref="AD138" dT="2024-10-17T09:53:12.06" personId="{6777EDD4-E46F-4979-A7E7-6FC0A82E0C8E}" id="{44B55889-6A77-4F7A-8071-BBF67A1425EC}">
    <text>Hiring is on Hold</text>
  </threadedComment>
  <threadedComment ref="AE138" dT="2024-10-17T09:53:12.06" personId="{6777EDD4-E46F-4979-A7E7-6FC0A82E0C8E}" id="{5C9A0E3A-25DD-4882-AA96-99729C4A57E2}">
    <text>Hiring is on Hold</text>
  </threadedComment>
  <threadedComment ref="AF138" dT="2024-10-17T09:53:12.06" personId="{6777EDD4-E46F-4979-A7E7-6FC0A82E0C8E}" id="{CAC828C9-2CF7-4CD2-BD9D-2312682D72B8}">
    <text>Hiring is on Hold</text>
  </threadedComment>
  <threadedComment ref="AG138" dT="2024-10-17T09:53:12.06" personId="{6777EDD4-E46F-4979-A7E7-6FC0A82E0C8E}" id="{8160C368-B0E8-4433-B514-6E2E141F2380}">
    <text>Hiring is on Hold</text>
  </threadedComment>
  <threadedComment ref="AH138" dT="2024-10-17T09:53:12.06" personId="{6777EDD4-E46F-4979-A7E7-6FC0A82E0C8E}" id="{4671BFF8-BAB1-43BA-99E2-063487B56263}">
    <text>Hiring is on Hold</text>
  </threadedComment>
  <threadedComment ref="AI138" dT="2024-10-17T09:53:12.06" personId="{6777EDD4-E46F-4979-A7E7-6FC0A82E0C8E}" id="{FE30C739-D607-497B-B8FE-8F9D2A1595F2}">
    <text>Hiring is on Hold</text>
  </threadedComment>
  <threadedComment ref="AJ138" dT="2024-10-17T09:53:12.06" personId="{6777EDD4-E46F-4979-A7E7-6FC0A82E0C8E}" id="{FF286D09-1195-4B9C-AF75-5B50D9E19EE2}">
    <text>Hiring is on Hold</text>
  </threadedComment>
  <threadedComment ref="AK138" dT="2024-10-17T09:53:12.06" personId="{6777EDD4-E46F-4979-A7E7-6FC0A82E0C8E}" id="{586D67E0-9E34-4A6F-8DFF-77DAB9211EE2}">
    <text>Hiring is on Hold</text>
  </threadedComment>
  <threadedComment ref="AL138" dT="2024-10-17T09:53:12.06" personId="{6777EDD4-E46F-4979-A7E7-6FC0A82E0C8E}" id="{69929EE7-D66D-4821-804D-16D9C29F06E4}">
    <text>Hiring is on Hold</text>
  </threadedComment>
  <threadedComment ref="AM138" dT="2024-10-17T09:53:12.06" personId="{6777EDD4-E46F-4979-A7E7-6FC0A82E0C8E}" id="{7874AABB-EC9B-420D-A079-3F425379D047}">
    <text>Hiring is on Hold</text>
  </threadedComment>
  <threadedComment ref="AN138" dT="2024-10-17T09:53:12.06" personId="{6777EDD4-E46F-4979-A7E7-6FC0A82E0C8E}" id="{48A17C74-E2BE-407C-B10D-27D174FFC4F4}">
    <text>Hiring is on Hold</text>
  </threadedComment>
  <threadedComment ref="AO138" dT="2024-10-17T09:53:12.06" personId="{6777EDD4-E46F-4979-A7E7-6FC0A82E0C8E}" id="{AD64DE2E-2F55-4617-AB71-60A54230CB2F}">
    <text>Hiring is on Hold</text>
  </threadedComment>
  <threadedComment ref="AP138" dT="2024-10-17T09:53:12.06" personId="{6777EDD4-E46F-4979-A7E7-6FC0A82E0C8E}" id="{8EF6ACB3-46AA-43B6-BB00-6F5B2B36BD36}">
    <text>Hiring is on Hold</text>
  </threadedComment>
  <threadedComment ref="AQ138" dT="2024-10-17T09:53:12.06" personId="{6777EDD4-E46F-4979-A7E7-6FC0A82E0C8E}" id="{930F6018-1C56-4353-81CA-DDEC38B7F2E9}">
    <text>Hiring is on Hold</text>
  </threadedComment>
  <threadedComment ref="AR138" dT="2024-10-17T09:53:12.06" personId="{6777EDD4-E46F-4979-A7E7-6FC0A82E0C8E}" id="{F647FA18-618D-4D99-971D-99DBF0D69F00}">
    <text>Hiring is on Hold</text>
  </threadedComment>
  <threadedComment ref="AS138" dT="2024-10-17T09:53:12.06" personId="{6777EDD4-E46F-4979-A7E7-6FC0A82E0C8E}" id="{850B7738-E91A-4630-8FD4-EF3E786E1514}">
    <text>Hiring is on Hold</text>
  </threadedComment>
  <threadedComment ref="AT138" dT="2024-10-17T09:53:12.06" personId="{6777EDD4-E46F-4979-A7E7-6FC0A82E0C8E}" id="{79E540C7-7568-471D-BD74-DED6D67D8D28}">
    <text>Hiring is on Hold</text>
  </threadedComment>
  <threadedComment ref="AW138" dT="2024-10-18T04:54:46.00" personId="{6777EDD4-E46F-4979-A7E7-6FC0A82E0C8E}" id="{B0ABC970-262F-4E0B-AE72-D51CE6601AD0}">
    <text>Project On-Hold</text>
  </threadedComment>
  <threadedComment ref="AX138" dT="2024-10-18T04:54:46.00" personId="{6777EDD4-E46F-4979-A7E7-6FC0A82E0C8E}" id="{5BD1F5B8-83B0-4C88-BA33-6BF04062A84D}">
    <text>Project On-Hold</text>
  </threadedComment>
  <threadedComment ref="AY138" dT="2024-10-18T04:54:46.00" personId="{6777EDD4-E46F-4979-A7E7-6FC0A82E0C8E}" id="{18178F3E-FA19-407F-9EF5-C1F06AA1473E}">
    <text>Project On-Hold</text>
  </threadedComment>
  <threadedComment ref="AZ138" dT="2024-10-18T04:54:46.00" personId="{6777EDD4-E46F-4979-A7E7-6FC0A82E0C8E}" id="{35DA7705-95EF-4115-A8B5-D1EF82A5D2CF}">
    <text>Project On-Hold</text>
  </threadedComment>
  <threadedComment ref="BA138" dT="2024-10-18T04:54:46.00" personId="{6777EDD4-E46F-4979-A7E7-6FC0A82E0C8E}" id="{896A37C4-F5FD-40FF-88C3-5C3B2A740586}">
    <text>Project On-Hold</text>
  </threadedComment>
  <threadedComment ref="BB138" dT="2024-10-18T04:54:46.00" personId="{6777EDD4-E46F-4979-A7E7-6FC0A82E0C8E}" id="{77B0A340-375B-46BA-A166-CB0A5FD01BC9}">
    <text>Project On-Hold</text>
  </threadedComment>
  <threadedComment ref="BC138" dT="2024-10-18T04:54:46.00" personId="{6777EDD4-E46F-4979-A7E7-6FC0A82E0C8E}" id="{49C9B9EE-E3D2-43CE-AB50-D94B7B6E63A1}">
    <text>Project On-Hold</text>
  </threadedComment>
  <threadedComment ref="BD138" dT="2024-10-18T04:54:46.00" personId="{6777EDD4-E46F-4979-A7E7-6FC0A82E0C8E}" id="{5FEDC9FC-653B-4644-A117-68CAA5505F94}">
    <text>Project On-Hold</text>
  </threadedComment>
  <threadedComment ref="BE138" dT="2024-10-18T04:54:46.00" personId="{6777EDD4-E46F-4979-A7E7-6FC0A82E0C8E}" id="{DF5AB979-1A80-4FD9-815A-FB919D66B17A}">
    <text>Project On-Hold</text>
  </threadedComment>
  <threadedComment ref="BF138" dT="2024-10-18T04:54:46.00" personId="{6777EDD4-E46F-4979-A7E7-6FC0A82E0C8E}" id="{700BA7AB-5AC1-4F8E-BEC6-D12D13313D60}">
    <text>Project On-Hold</text>
  </threadedComment>
  <threadedComment ref="L139" dT="2024-05-11T07:56:48.55" personId="{1798D1B1-3098-46B1-91A2-D4C92B7E122A}" id="{84F5FAE3-1519-42DA-B7CF-66CD94FD0AE6}">
    <text>Target not approved by PH</text>
  </threadedComment>
  <threadedComment ref="M139" dT="2024-05-11T07:56:48.55" personId="{1798D1B1-3098-46B1-91A2-D4C92B7E122A}" id="{A6DC8528-D8CA-48BA-B5A0-B34D3869D3FC}">
    <text>Target not approved by PH</text>
  </threadedComment>
  <threadedComment ref="W139" dT="2024-08-14T07:07:16.04" personId="{1798D1B1-3098-46B1-91A2-D4C92B7E122A}" id="{3CAA54FC-2C63-4BF7-BADF-2CA0FAA54361}">
    <text>No hiring</text>
  </threadedComment>
  <threadedComment ref="X139" dT="2024-08-14T07:07:16.04" personId="{1798D1B1-3098-46B1-91A2-D4C92B7E122A}" id="{5FD8BD33-CF82-4381-B4E6-4AAD0633B770}">
    <text>No hiring</text>
  </threadedComment>
  <threadedComment ref="Y139" dT="2024-08-14T07:07:16.04" personId="{1798D1B1-3098-46B1-91A2-D4C92B7E122A}" id="{D0ED9AB3-0840-4236-BC49-FD4D791321BD}">
    <text>No hiring</text>
  </threadedComment>
  <threadedComment ref="Z139" dT="2024-08-14T07:07:16.04" personId="{1798D1B1-3098-46B1-91A2-D4C92B7E122A}" id="{E58F6E94-E4BF-48FD-BAA0-5172906B1C1A}">
    <text>No hiring</text>
  </threadedComment>
  <threadedComment ref="AA139" dT="2024-10-17T09:53:12.06" personId="{6777EDD4-E46F-4979-A7E7-6FC0A82E0C8E}" id="{FFF2A885-6211-4693-AB1B-533E979CD870}">
    <text>Hiring is on Hold</text>
  </threadedComment>
  <threadedComment ref="AB139" dT="2024-10-17T09:53:12.06" personId="{6777EDD4-E46F-4979-A7E7-6FC0A82E0C8E}" id="{3EF67EC1-ED3F-45AA-AEDF-873B356EB208}">
    <text>Hiring is on Hold</text>
  </threadedComment>
  <threadedComment ref="AC139" dT="2024-10-17T09:53:12.06" personId="{6777EDD4-E46F-4979-A7E7-6FC0A82E0C8E}" id="{D557DD02-C9C8-45D8-84B6-D082A7B6E6EB}">
    <text>Hiring is on Hold</text>
  </threadedComment>
  <threadedComment ref="AD139" dT="2024-10-17T09:53:12.06" personId="{6777EDD4-E46F-4979-A7E7-6FC0A82E0C8E}" id="{0FA8D6D5-F502-4D8D-9F75-8AC14C570E6B}">
    <text>Hiring is on Hold</text>
  </threadedComment>
  <threadedComment ref="AE139" dT="2024-10-17T09:53:12.06" personId="{6777EDD4-E46F-4979-A7E7-6FC0A82E0C8E}" id="{BFD6A034-0844-4309-BD8E-D30F5F1237F5}">
    <text>Hiring is on Hold</text>
  </threadedComment>
  <threadedComment ref="AF139" dT="2024-10-17T09:53:12.06" personId="{6777EDD4-E46F-4979-A7E7-6FC0A82E0C8E}" id="{BB50AD40-B485-465A-BD69-E06D5F72D7EA}">
    <text>Hiring is on Hold</text>
  </threadedComment>
  <threadedComment ref="AG139" dT="2024-10-17T09:53:12.06" personId="{6777EDD4-E46F-4979-A7E7-6FC0A82E0C8E}" id="{DF18D02C-FE99-4088-AABF-271A4059431C}">
    <text>Hiring is on Hold</text>
  </threadedComment>
  <threadedComment ref="AH139" dT="2024-10-17T09:53:12.06" personId="{6777EDD4-E46F-4979-A7E7-6FC0A82E0C8E}" id="{FA9F5CF5-15C9-469B-BBBE-95D1C9A109E5}">
    <text>Hiring is on Hold</text>
  </threadedComment>
  <threadedComment ref="AI139" dT="2024-10-17T09:53:12.06" personId="{6777EDD4-E46F-4979-A7E7-6FC0A82E0C8E}" id="{18F86418-240B-4C6B-8C8F-1A620820BCC0}">
    <text>Hiring is on Hold</text>
  </threadedComment>
  <threadedComment ref="AJ139" dT="2024-10-17T09:53:12.06" personId="{6777EDD4-E46F-4979-A7E7-6FC0A82E0C8E}" id="{1322D2AA-3658-46B3-87D1-58D5A21AB058}">
    <text>Hiring is on Hold</text>
  </threadedComment>
  <threadedComment ref="AK139" dT="2024-10-17T09:53:12.06" personId="{6777EDD4-E46F-4979-A7E7-6FC0A82E0C8E}" id="{DD692136-C287-4B8D-B488-61FD9CCE4C7B}">
    <text>Hiring is on Hold</text>
  </threadedComment>
  <threadedComment ref="AL139" dT="2024-10-17T09:53:12.06" personId="{6777EDD4-E46F-4979-A7E7-6FC0A82E0C8E}" id="{123FDD63-7DED-4D4D-9368-D6705DE33B6B}">
    <text>Hiring is on Hold</text>
  </threadedComment>
  <threadedComment ref="AM139" dT="2024-10-17T09:53:12.06" personId="{6777EDD4-E46F-4979-A7E7-6FC0A82E0C8E}" id="{616467B9-72E6-41F5-8681-3AFEB4E1F8CA}">
    <text>Hiring is on Hold</text>
  </threadedComment>
  <threadedComment ref="AN139" dT="2024-10-17T09:53:12.06" personId="{6777EDD4-E46F-4979-A7E7-6FC0A82E0C8E}" id="{15DFD7A7-D245-4379-9DBD-CAB4DB469598}">
    <text>Hiring is on Hold</text>
  </threadedComment>
  <threadedComment ref="AO139" dT="2024-10-17T09:53:12.06" personId="{6777EDD4-E46F-4979-A7E7-6FC0A82E0C8E}" id="{DD77ABD7-C369-42E5-B162-D060963DB93E}">
    <text>Hiring is on Hold</text>
  </threadedComment>
  <threadedComment ref="AP139" dT="2024-10-17T09:53:12.06" personId="{6777EDD4-E46F-4979-A7E7-6FC0A82E0C8E}" id="{B1A7F4D9-94BA-498E-BAE9-F2D9152842B9}">
    <text>Hiring is on Hold</text>
  </threadedComment>
  <threadedComment ref="AQ139" dT="2024-10-17T09:53:12.06" personId="{6777EDD4-E46F-4979-A7E7-6FC0A82E0C8E}" id="{E1A81036-8BE1-44FE-B9CB-7306DA07A23A}">
    <text>Hiring is on Hold</text>
  </threadedComment>
  <threadedComment ref="AR139" dT="2024-10-17T09:53:12.06" personId="{6777EDD4-E46F-4979-A7E7-6FC0A82E0C8E}" id="{F891B183-E641-4CE8-BCFD-BD27347F8C4E}">
    <text>Hiring is on Hold</text>
  </threadedComment>
  <threadedComment ref="AS139" dT="2024-10-17T09:53:12.06" personId="{6777EDD4-E46F-4979-A7E7-6FC0A82E0C8E}" id="{42B14FD4-9BB8-4436-8F1B-D7FE3B5ADD80}">
    <text>Hiring is on Hold</text>
  </threadedComment>
  <threadedComment ref="AT139" dT="2024-10-17T09:53:12.06" personId="{6777EDD4-E46F-4979-A7E7-6FC0A82E0C8E}" id="{EEE14094-5C6F-451B-A37D-8DAE2C9173DD}">
    <text>Hiring is on Hold</text>
  </threadedComment>
  <threadedComment ref="AW139" dT="2024-10-18T04:54:46.00" personId="{6777EDD4-E46F-4979-A7E7-6FC0A82E0C8E}" id="{723AC429-F05F-4D9F-BAB4-B85B12C97557}">
    <text>Project On-Hold</text>
  </threadedComment>
  <threadedComment ref="AX139" dT="2024-10-18T04:54:46.00" personId="{6777EDD4-E46F-4979-A7E7-6FC0A82E0C8E}" id="{96903AB3-BF2F-4E08-9CB0-07D60842E5E8}">
    <text>Project On-Hold</text>
  </threadedComment>
  <threadedComment ref="AY139" dT="2024-10-18T04:54:46.00" personId="{6777EDD4-E46F-4979-A7E7-6FC0A82E0C8E}" id="{94A38189-5224-4847-B1E0-5F1CFA12043B}">
    <text>Project On-Hold</text>
  </threadedComment>
  <threadedComment ref="AZ139" dT="2024-10-18T04:54:46.00" personId="{6777EDD4-E46F-4979-A7E7-6FC0A82E0C8E}" id="{5216FE85-E59F-4074-A4E1-7AAFFAC82E6E}">
    <text>Project On-Hold</text>
  </threadedComment>
  <threadedComment ref="BA139" dT="2024-10-18T04:54:46.00" personId="{6777EDD4-E46F-4979-A7E7-6FC0A82E0C8E}" id="{432E6FE9-43B0-49DC-AEA9-5D7FCAFB2D36}">
    <text>Project On-Hold</text>
  </threadedComment>
  <threadedComment ref="BB139" dT="2024-10-18T04:54:46.00" personId="{6777EDD4-E46F-4979-A7E7-6FC0A82E0C8E}" id="{BF65F4E8-4685-455B-B706-CFE8B8EFB1A0}">
    <text>Project On-Hold</text>
  </threadedComment>
  <threadedComment ref="BC139" dT="2024-10-18T04:54:46.00" personId="{6777EDD4-E46F-4979-A7E7-6FC0A82E0C8E}" id="{3729D2FF-A3E8-4A27-A6A4-7B83876194AE}">
    <text>Project On-Hold</text>
  </threadedComment>
  <threadedComment ref="BD139" dT="2024-10-18T04:54:46.00" personId="{6777EDD4-E46F-4979-A7E7-6FC0A82E0C8E}" id="{B686FF51-5D90-4023-BEBE-0091F46D8A46}">
    <text>Project On-Hold</text>
  </threadedComment>
  <threadedComment ref="BE139" dT="2024-10-18T04:54:46.00" personId="{6777EDD4-E46F-4979-A7E7-6FC0A82E0C8E}" id="{9AEE5CF8-2EA6-40EE-BB93-C73969589B14}">
    <text>Project On-Hold</text>
  </threadedComment>
  <threadedComment ref="BF139" dT="2024-10-18T04:54:46.00" personId="{6777EDD4-E46F-4979-A7E7-6FC0A82E0C8E}" id="{100ABAE9-B28E-4B30-9262-784986A5DC36}">
    <text>Project On-Hold</text>
  </threadedComment>
  <threadedComment ref="L140" dT="2024-05-11T07:56:52.38" personId="{1798D1B1-3098-46B1-91A2-D4C92B7E122A}" id="{61B22F8A-D82D-4AA1-BEC6-6E695D10FD34}">
    <text>Target not approved by PH</text>
  </threadedComment>
  <threadedComment ref="M140" dT="2024-05-11T07:56:52.38" personId="{1798D1B1-3098-46B1-91A2-D4C92B7E122A}" id="{31E146D2-F4F8-42C1-AC87-83677E4D2700}">
    <text>Target not approved by PH</text>
  </threadedComment>
  <threadedComment ref="S140" dT="2024-06-11T13:12:02.76" personId="{1798D1B1-3098-46B1-91A2-D4C92B7E122A}" id="{3834D291-EA18-4604-BFA5-F47190B84AF1}">
    <text>Validated</text>
  </threadedComment>
  <threadedComment ref="Y140" dT="2024-09-13T10:13:58.36" personId="{1798D1B1-3098-46B1-91A2-D4C92B7E122A}" id="{B22FA455-01DD-48CC-8201-F638F967CAF3}">
    <text>Validated</text>
  </threadedComment>
  <threadedComment ref="Z140" dT="2024-09-13T10:13:58.36" personId="{1798D1B1-3098-46B1-91A2-D4C92B7E122A}" id="{96B86055-19A5-4E1B-A741-AA901FB36A20}">
    <text>Validated</text>
  </threadedComment>
  <threadedComment ref="AA140" dT="2024-10-17T09:53:12.06" personId="{6777EDD4-E46F-4979-A7E7-6FC0A82E0C8E}" id="{ACD8C848-37FD-49C2-86F3-87AB28490212}">
    <text>Hiring is on Hold</text>
  </threadedComment>
  <threadedComment ref="AB140" dT="2024-10-17T09:53:12.06" personId="{6777EDD4-E46F-4979-A7E7-6FC0A82E0C8E}" id="{249A6290-A5B1-4185-8EF4-24916CD80B2B}">
    <text>Hiring is on Hold</text>
  </threadedComment>
  <threadedComment ref="AC140" dT="2024-10-17T09:53:12.06" personId="{6777EDD4-E46F-4979-A7E7-6FC0A82E0C8E}" id="{AB548F0C-ED4E-43B4-AA2C-FB3B54347A94}">
    <text>Hiring is on Hold</text>
  </threadedComment>
  <threadedComment ref="AD140" dT="2024-10-17T09:53:12.06" personId="{6777EDD4-E46F-4979-A7E7-6FC0A82E0C8E}" id="{0FF24F07-579B-4427-940D-DE8FC1DE7F0B}">
    <text>Hiring is on Hold</text>
  </threadedComment>
  <threadedComment ref="AE140" dT="2024-10-17T09:53:12.06" personId="{6777EDD4-E46F-4979-A7E7-6FC0A82E0C8E}" id="{649A5253-0859-4F1A-BB86-07E39C416B72}">
    <text>Hiring is on Hold</text>
  </threadedComment>
  <threadedComment ref="AF140" dT="2024-10-17T09:53:12.06" personId="{6777EDD4-E46F-4979-A7E7-6FC0A82E0C8E}" id="{D30482AC-CDF1-472B-8406-F12B239ABF0B}">
    <text>Hiring is on Hold</text>
  </threadedComment>
  <threadedComment ref="AG140" dT="2024-10-17T09:53:12.06" personId="{6777EDD4-E46F-4979-A7E7-6FC0A82E0C8E}" id="{39E78A64-7267-4595-93CC-DBBFC3F07E15}">
    <text>Hiring is on Hold</text>
  </threadedComment>
  <threadedComment ref="AH140" dT="2024-10-17T09:53:12.06" personId="{6777EDD4-E46F-4979-A7E7-6FC0A82E0C8E}" id="{3B4C4D01-0A43-4A61-A217-4E68749724EA}">
    <text>Hiring is on Hold</text>
  </threadedComment>
  <threadedComment ref="AI140" dT="2024-10-17T09:53:12.06" personId="{6777EDD4-E46F-4979-A7E7-6FC0A82E0C8E}" id="{DC402314-88AB-41F1-8CF8-669DDA4EC091}">
    <text>Hiring is on Hold</text>
  </threadedComment>
  <threadedComment ref="AJ140" dT="2024-10-17T09:53:12.06" personId="{6777EDD4-E46F-4979-A7E7-6FC0A82E0C8E}" id="{D5B6AAE5-C618-4643-8890-1390899ECA09}">
    <text>Hiring is on Hold</text>
  </threadedComment>
  <threadedComment ref="AK140" dT="2024-10-17T09:53:12.06" personId="{6777EDD4-E46F-4979-A7E7-6FC0A82E0C8E}" id="{32879C43-77AF-4659-8619-F90BE5674F80}">
    <text>Hiring is on Hold</text>
  </threadedComment>
  <threadedComment ref="AL140" dT="2024-10-17T09:53:12.06" personId="{6777EDD4-E46F-4979-A7E7-6FC0A82E0C8E}" id="{A22BB3B0-B171-421B-98DB-F95BAAC9BE9A}">
    <text>Hiring is on Hold</text>
  </threadedComment>
  <threadedComment ref="AM140" dT="2024-10-17T09:53:12.06" personId="{6777EDD4-E46F-4979-A7E7-6FC0A82E0C8E}" id="{503539AA-B2E0-463D-B2C1-BA3082F8EB83}">
    <text>Hiring is on Hold</text>
  </threadedComment>
  <threadedComment ref="AN140" dT="2024-10-17T09:53:12.06" personId="{6777EDD4-E46F-4979-A7E7-6FC0A82E0C8E}" id="{85E97D2C-EBBC-40BB-9873-C70FA1721AA5}">
    <text>Hiring is on Hold</text>
  </threadedComment>
  <threadedComment ref="AO140" dT="2024-10-17T09:53:12.06" personId="{6777EDD4-E46F-4979-A7E7-6FC0A82E0C8E}" id="{48EFABB0-F4BF-473C-803E-73D04CB6EA96}">
    <text>Hiring is on Hold</text>
  </threadedComment>
  <threadedComment ref="AP140" dT="2024-10-17T09:53:12.06" personId="{6777EDD4-E46F-4979-A7E7-6FC0A82E0C8E}" id="{745EF65D-D4BD-43E0-8913-C94D35D14C00}">
    <text>Hiring is on Hold</text>
  </threadedComment>
  <threadedComment ref="AQ140" dT="2024-10-17T09:53:12.06" personId="{6777EDD4-E46F-4979-A7E7-6FC0A82E0C8E}" id="{FC8DD7E9-5D94-4BD9-AF54-5C9B7584DFDF}">
    <text>Hiring is on Hold</text>
  </threadedComment>
  <threadedComment ref="AR140" dT="2024-10-17T09:53:12.06" personId="{6777EDD4-E46F-4979-A7E7-6FC0A82E0C8E}" id="{A9E0E480-7D01-4B33-9C47-11776EAB26B3}">
    <text>Hiring is on Hold</text>
  </threadedComment>
  <threadedComment ref="AS140" dT="2024-10-17T09:53:12.06" personId="{6777EDD4-E46F-4979-A7E7-6FC0A82E0C8E}" id="{79979319-747C-422F-8903-2AEB74433395}">
    <text>Hiring is on Hold</text>
  </threadedComment>
  <threadedComment ref="AT140" dT="2024-10-17T09:53:12.06" personId="{6777EDD4-E46F-4979-A7E7-6FC0A82E0C8E}" id="{42EB4001-D1B4-45D3-81DF-C271325152B8}">
    <text>Hiring is on Hold</text>
  </threadedComment>
  <threadedComment ref="AW140" dT="2024-10-18T04:54:46.00" personId="{6777EDD4-E46F-4979-A7E7-6FC0A82E0C8E}" id="{1DA67AD7-0A98-4DDA-AF69-B16723749AE4}">
    <text>Project On-Hold</text>
  </threadedComment>
  <threadedComment ref="AX140" dT="2024-10-18T04:54:46.00" personId="{6777EDD4-E46F-4979-A7E7-6FC0A82E0C8E}" id="{A198A96C-7C5F-4BD8-9895-6DCC7FCDFB06}">
    <text>Project On-Hold</text>
  </threadedComment>
  <threadedComment ref="AY140" dT="2024-10-18T04:54:46.00" personId="{6777EDD4-E46F-4979-A7E7-6FC0A82E0C8E}" id="{48C18ADD-48C7-4E41-B054-64CFBA5E4189}">
    <text>Project On-Hold</text>
  </threadedComment>
  <threadedComment ref="AZ140" dT="2024-10-18T04:54:46.00" personId="{6777EDD4-E46F-4979-A7E7-6FC0A82E0C8E}" id="{B75E21E6-8C86-4209-8180-5FE8B46D3887}">
    <text>Project On-Hold</text>
  </threadedComment>
  <threadedComment ref="BA140" dT="2024-10-18T04:54:46.00" personId="{6777EDD4-E46F-4979-A7E7-6FC0A82E0C8E}" id="{619DC1F5-B799-4BCF-A912-078390E4DA48}">
    <text>Project On-Hold</text>
  </threadedComment>
  <threadedComment ref="BB140" dT="2024-10-18T04:54:46.00" personId="{6777EDD4-E46F-4979-A7E7-6FC0A82E0C8E}" id="{22EA4D71-8EDB-4A0D-9702-E0AD5D3E7274}">
    <text>Project On-Hold</text>
  </threadedComment>
  <threadedComment ref="BC140" dT="2024-10-18T04:54:46.00" personId="{6777EDD4-E46F-4979-A7E7-6FC0A82E0C8E}" id="{5AADE75B-52FE-49AD-A08E-AA87AA5E170C}">
    <text>Project On-Hold</text>
  </threadedComment>
  <threadedComment ref="BD140" dT="2024-10-18T04:54:46.00" personId="{6777EDD4-E46F-4979-A7E7-6FC0A82E0C8E}" id="{D8003A21-5B3C-4066-853B-7E086D945C76}">
    <text>Project On-Hold</text>
  </threadedComment>
  <threadedComment ref="BE140" dT="2024-10-18T04:54:46.00" personId="{6777EDD4-E46F-4979-A7E7-6FC0A82E0C8E}" id="{0DDD62BB-B766-47C2-84AB-439CBE2E3587}">
    <text>Project On-Hold</text>
  </threadedComment>
  <threadedComment ref="BF140" dT="2024-10-18T04:54:46.00" personId="{6777EDD4-E46F-4979-A7E7-6FC0A82E0C8E}" id="{87648328-FBCA-4EDA-BDF4-6642D1865B23}">
    <text>Project On-Hold</text>
  </threadedComment>
  <threadedComment ref="L141" dT="2024-05-11T07:56:57.64" personId="{1798D1B1-3098-46B1-91A2-D4C92B7E122A}" id="{C4ECFEE2-1ADF-4003-B58C-CEB917946FB8}">
    <text>Target not approved by PH</text>
  </threadedComment>
  <threadedComment ref="M141" dT="2024-05-11T07:56:57.64" personId="{1798D1B1-3098-46B1-91A2-D4C92B7E122A}" id="{5F78BA57-C2C5-4E77-9F4E-59F4982537FD}">
    <text>Target not approved by PH</text>
  </threadedComment>
  <threadedComment ref="W141" dT="2024-08-14T07:07:16.04" personId="{1798D1B1-3098-46B1-91A2-D4C92B7E122A}" id="{113E583F-90AC-40CE-974F-A68DEFE47D5E}">
    <text>No hiring</text>
  </threadedComment>
  <threadedComment ref="X141" dT="2024-08-14T07:07:16.04" personId="{1798D1B1-3098-46B1-91A2-D4C92B7E122A}" id="{6880CDE6-2706-4DBE-9F22-5CDAACE723D1}">
    <text>No hiring</text>
  </threadedComment>
  <threadedComment ref="Y141" dT="2024-08-14T07:07:16.04" personId="{1798D1B1-3098-46B1-91A2-D4C92B7E122A}" id="{1B905092-1FEC-4489-A45E-75CBD262CEE1}">
    <text>No hiring</text>
  </threadedComment>
  <threadedComment ref="Z141" dT="2024-08-14T07:07:16.04" personId="{1798D1B1-3098-46B1-91A2-D4C92B7E122A}" id="{D28C4B6E-FF1D-4854-B9A3-0C7FDE570B63}">
    <text>No hiring</text>
  </threadedComment>
  <threadedComment ref="AA141" dT="2024-10-17T09:53:12.06" personId="{6777EDD4-E46F-4979-A7E7-6FC0A82E0C8E}" id="{73971FBE-2301-4931-9979-828EF4CFD52D}">
    <text>Hiring is on Hold</text>
  </threadedComment>
  <threadedComment ref="AB141" dT="2024-10-17T09:53:12.06" personId="{6777EDD4-E46F-4979-A7E7-6FC0A82E0C8E}" id="{8C20F0BA-B820-416B-B7E8-C88118867EBD}">
    <text>Hiring is on Hold</text>
  </threadedComment>
  <threadedComment ref="AC141" dT="2024-10-17T09:53:12.06" personId="{6777EDD4-E46F-4979-A7E7-6FC0A82E0C8E}" id="{B8518CEA-2724-4A51-B7D5-2BA1C1F7F249}">
    <text>Hiring is on Hold</text>
  </threadedComment>
  <threadedComment ref="AD141" dT="2024-10-17T09:53:12.06" personId="{6777EDD4-E46F-4979-A7E7-6FC0A82E0C8E}" id="{BC2EC9E6-C0B1-4D71-B988-841C505F4797}">
    <text>Hiring is on Hold</text>
  </threadedComment>
  <threadedComment ref="AE141" dT="2024-10-17T09:53:12.06" personId="{6777EDD4-E46F-4979-A7E7-6FC0A82E0C8E}" id="{07380A06-C3F0-4123-B8BE-7EEB712BF1BD}">
    <text>Hiring is on Hold</text>
  </threadedComment>
  <threadedComment ref="AF141" dT="2024-10-17T09:53:12.06" personId="{6777EDD4-E46F-4979-A7E7-6FC0A82E0C8E}" id="{641CC03B-6D8C-45C0-80EC-CF4EA526867F}">
    <text>Hiring is on Hold</text>
  </threadedComment>
  <threadedComment ref="AG141" dT="2024-10-17T09:53:12.06" personId="{6777EDD4-E46F-4979-A7E7-6FC0A82E0C8E}" id="{C35AC3BC-F5B2-4D70-9F1B-771EB6A230D9}">
    <text>Hiring is on Hold</text>
  </threadedComment>
  <threadedComment ref="AH141" dT="2024-10-17T09:53:12.06" personId="{6777EDD4-E46F-4979-A7E7-6FC0A82E0C8E}" id="{51B6D6F1-77A7-47B8-BB72-4C0F48505880}">
    <text>Hiring is on Hold</text>
  </threadedComment>
  <threadedComment ref="AI141" dT="2024-10-17T09:53:12.06" personId="{6777EDD4-E46F-4979-A7E7-6FC0A82E0C8E}" id="{C33522A2-DE38-480D-9300-673CDE9C44CD}">
    <text>Hiring is on Hold</text>
  </threadedComment>
  <threadedComment ref="AJ141" dT="2024-10-17T09:53:12.06" personId="{6777EDD4-E46F-4979-A7E7-6FC0A82E0C8E}" id="{93BF04CC-CD88-44B0-8BF8-910B79C2099D}">
    <text>Hiring is on Hold</text>
  </threadedComment>
  <threadedComment ref="AK141" dT="2024-10-17T09:53:12.06" personId="{6777EDD4-E46F-4979-A7E7-6FC0A82E0C8E}" id="{40A2315B-ACE8-4F93-8775-8E705AA4039F}">
    <text>Hiring is on Hold</text>
  </threadedComment>
  <threadedComment ref="AL141" dT="2024-10-17T09:53:12.06" personId="{6777EDD4-E46F-4979-A7E7-6FC0A82E0C8E}" id="{1B002F73-9294-4E90-8C64-43D9F9D7393A}">
    <text>Hiring is on Hold</text>
  </threadedComment>
  <threadedComment ref="AM141" dT="2024-10-17T09:53:12.06" personId="{6777EDD4-E46F-4979-A7E7-6FC0A82E0C8E}" id="{C0821C09-F372-4674-A384-058213A24806}">
    <text>Hiring is on Hold</text>
  </threadedComment>
  <threadedComment ref="AN141" dT="2024-10-17T09:53:12.06" personId="{6777EDD4-E46F-4979-A7E7-6FC0A82E0C8E}" id="{16D56D6C-3110-4CF5-ACDC-3F23BF69A646}">
    <text>Hiring is on Hold</text>
  </threadedComment>
  <threadedComment ref="AO141" dT="2024-10-17T09:53:12.06" personId="{6777EDD4-E46F-4979-A7E7-6FC0A82E0C8E}" id="{738B7ACC-2B6C-4F04-BD40-BA51A413A1E0}">
    <text>Hiring is on Hold</text>
  </threadedComment>
  <threadedComment ref="AP141" dT="2024-10-17T09:53:12.06" personId="{6777EDD4-E46F-4979-A7E7-6FC0A82E0C8E}" id="{8911CBC2-1FD8-456D-AEA9-C77A4004F373}">
    <text>Hiring is on Hold</text>
  </threadedComment>
  <threadedComment ref="AQ141" dT="2024-10-17T09:53:12.06" personId="{6777EDD4-E46F-4979-A7E7-6FC0A82E0C8E}" id="{4697F9C6-AC38-4967-94D2-8EF710AE39A0}">
    <text>Hiring is on Hold</text>
  </threadedComment>
  <threadedComment ref="AR141" dT="2024-10-17T09:53:12.06" personId="{6777EDD4-E46F-4979-A7E7-6FC0A82E0C8E}" id="{3CEDF060-6E3A-4272-BA12-990F91AE70BE}">
    <text>Hiring is on Hold</text>
  </threadedComment>
  <threadedComment ref="AS141" dT="2024-10-17T09:53:12.06" personId="{6777EDD4-E46F-4979-A7E7-6FC0A82E0C8E}" id="{17618077-C63A-4DA0-8B71-33AB71C7D6CD}">
    <text>Hiring is on Hold</text>
  </threadedComment>
  <threadedComment ref="AT141" dT="2024-10-17T09:53:12.06" personId="{6777EDD4-E46F-4979-A7E7-6FC0A82E0C8E}" id="{54887CB1-3ECE-446E-92EB-E3B6B3775AA9}">
    <text>Hiring is on Hold</text>
  </threadedComment>
  <threadedComment ref="AW141" dT="2024-10-18T04:54:46.00" personId="{6777EDD4-E46F-4979-A7E7-6FC0A82E0C8E}" id="{CA364521-2357-40CE-9D78-BBFF9F7F9DFD}">
    <text>Project On-Hold</text>
  </threadedComment>
  <threadedComment ref="AX141" dT="2024-10-18T04:54:46.00" personId="{6777EDD4-E46F-4979-A7E7-6FC0A82E0C8E}" id="{381BB2E0-9C21-4B2A-9844-A7A689E39359}">
    <text>Project On-Hold</text>
  </threadedComment>
  <threadedComment ref="AY141" dT="2024-10-18T04:54:46.00" personId="{6777EDD4-E46F-4979-A7E7-6FC0A82E0C8E}" id="{7AD9E669-602C-4003-A6AF-76E49D449EB0}">
    <text>Project On-Hold</text>
  </threadedComment>
  <threadedComment ref="AZ141" dT="2024-10-18T04:54:46.00" personId="{6777EDD4-E46F-4979-A7E7-6FC0A82E0C8E}" id="{06DC4321-CDB0-4A97-A706-177D2B8664B3}">
    <text>Project On-Hold</text>
  </threadedComment>
  <threadedComment ref="BA141" dT="2024-10-18T04:54:46.00" personId="{6777EDD4-E46F-4979-A7E7-6FC0A82E0C8E}" id="{4F1C19D4-217A-41D0-8C4B-4AC231B68E5D}">
    <text>Project On-Hold</text>
  </threadedComment>
  <threadedComment ref="BB141" dT="2024-10-18T04:54:46.00" personId="{6777EDD4-E46F-4979-A7E7-6FC0A82E0C8E}" id="{CC3594E0-079C-4C78-9B75-1B4237C8B24B}">
    <text>Project On-Hold</text>
  </threadedComment>
  <threadedComment ref="BC141" dT="2024-10-18T04:54:46.00" personId="{6777EDD4-E46F-4979-A7E7-6FC0A82E0C8E}" id="{B4D7B083-CD20-4009-AB29-CDE4100EE540}">
    <text>Project On-Hold</text>
  </threadedComment>
  <threadedComment ref="BD141" dT="2024-10-18T04:54:46.00" personId="{6777EDD4-E46F-4979-A7E7-6FC0A82E0C8E}" id="{49D2DC32-0474-4C8C-8968-A594EA37B842}">
    <text>Project On-Hold</text>
  </threadedComment>
  <threadedComment ref="BE141" dT="2024-10-18T04:54:46.00" personId="{6777EDD4-E46F-4979-A7E7-6FC0A82E0C8E}" id="{65917565-686C-43F3-8DAF-D6EF397B7004}">
    <text>Project On-Hold</text>
  </threadedComment>
  <threadedComment ref="BF141" dT="2024-10-18T04:54:46.00" personId="{6777EDD4-E46F-4979-A7E7-6FC0A82E0C8E}" id="{4A9FC644-B5BB-4BC6-BE18-77DA5BC40543}">
    <text>Project On-Hold</text>
  </threadedComment>
  <threadedComment ref="Q142" dT="2023-02-08T11:43:29.06" personId="{6777EDD4-E46F-4979-A7E7-6FC0A82E0C8E}" id="{761FCC20-178F-4AB7-9E9A-04D9EC4A81C0}">
    <text>Positions are on hold</text>
  </threadedComment>
  <threadedComment ref="R142" dT="2023-02-08T11:43:29.06" personId="{6777EDD4-E46F-4979-A7E7-6FC0A82E0C8E}" id="{EE4E4E0A-2B04-4D49-A21A-BD988F44B214}">
    <text>Positions are on hold</text>
  </threadedComment>
  <threadedComment ref="S142" dT="2023-02-08T11:43:29.06" personId="{6777EDD4-E46F-4979-A7E7-6FC0A82E0C8E}" id="{408F56C4-5ECA-4958-89FA-D95228F48180}">
    <text>Positions are on hold</text>
  </threadedComment>
  <threadedComment ref="T142" dT="2023-02-08T11:43:29.06" personId="{6777EDD4-E46F-4979-A7E7-6FC0A82E0C8E}" id="{9A170E1B-41B9-429E-882C-D78029261FA0}">
    <text>Positions are on hold</text>
  </threadedComment>
  <threadedComment ref="U142" dT="2023-02-08T11:43:29.06" personId="{6777EDD4-E46F-4979-A7E7-6FC0A82E0C8E}" id="{FBA0A861-F7CD-4F53-8592-90845CCCE0B5}">
    <text>Positions are on hold</text>
  </threadedComment>
  <threadedComment ref="V142" dT="2023-02-08T11:43:29.06" personId="{6777EDD4-E46F-4979-A7E7-6FC0A82E0C8E}" id="{06C94B41-682C-4EB7-BC19-5C5298849B64}">
    <text>Positions are on hold</text>
  </threadedComment>
  <threadedComment ref="W142" dT="2023-02-08T11:43:29.06" personId="{6777EDD4-E46F-4979-A7E7-6FC0A82E0C8E}" id="{4F804BF5-2C2D-42C1-9CE2-DCA95EF67836}">
    <text>Positions are on hold</text>
  </threadedComment>
  <threadedComment ref="X142" dT="2023-02-08T11:43:29.06" personId="{6777EDD4-E46F-4979-A7E7-6FC0A82E0C8E}" id="{0AD1B923-52AD-4F83-B05A-CE06CFD753C8}">
    <text>Positions are on hold</text>
  </threadedComment>
  <threadedComment ref="Y142" dT="2023-02-08T11:43:29.06" personId="{6777EDD4-E46F-4979-A7E7-6FC0A82E0C8E}" id="{EC71C59F-19F9-47C4-8359-D54A3DF770D6}">
    <text>Positions are on hold</text>
  </threadedComment>
  <threadedComment ref="Z142" dT="2023-02-08T11:43:29.06" personId="{6777EDD4-E46F-4979-A7E7-6FC0A82E0C8E}" id="{68E5AEF7-A8A7-435A-83B3-049AE90F75F9}">
    <text>Positions are on hold</text>
  </threadedComment>
  <threadedComment ref="AA142" dT="2023-02-08T11:43:29.06" personId="{6777EDD4-E46F-4979-A7E7-6FC0A82E0C8E}" id="{D1C2EBEC-A4BA-4AE7-A7F6-19737B799BD3}">
    <text>Positions are on hold</text>
  </threadedComment>
  <threadedComment ref="AB142" dT="2023-02-08T11:43:29.06" personId="{6777EDD4-E46F-4979-A7E7-6FC0A82E0C8E}" id="{99F503C1-BC9C-4F40-9DB0-A7E912166093}">
    <text>Positions are on hold</text>
  </threadedComment>
  <threadedComment ref="AC142" dT="2023-02-08T11:43:29.06" personId="{6777EDD4-E46F-4979-A7E7-6FC0A82E0C8E}" id="{35825BDA-CB7C-4D23-82E0-F2F8C54CD70A}">
    <text>Positions are on hold</text>
  </threadedComment>
  <threadedComment ref="AD142" dT="2023-02-08T11:43:29.06" personId="{6777EDD4-E46F-4979-A7E7-6FC0A82E0C8E}" id="{FD1E6C37-85DB-429A-AF53-1B50C18D1772}">
    <text>Positions are on hold</text>
  </threadedComment>
  <threadedComment ref="AE142" dT="2023-02-08T11:43:29.06" personId="{6777EDD4-E46F-4979-A7E7-6FC0A82E0C8E}" id="{386C2816-AAAB-4106-BCA6-D1C3D8564647}">
    <text>Positions are on hold</text>
  </threadedComment>
  <threadedComment ref="AF142" dT="2023-02-08T11:43:29.06" personId="{6777EDD4-E46F-4979-A7E7-6FC0A82E0C8E}" id="{86D82F25-9760-491D-882D-E43ABD843739}">
    <text>Positions are on hold</text>
  </threadedComment>
  <threadedComment ref="AG142" dT="2023-02-08T11:43:29.06" personId="{6777EDD4-E46F-4979-A7E7-6FC0A82E0C8E}" id="{06F797FB-F11F-4E2B-B4B6-F0D57B64CD93}">
    <text>Positions are on hold</text>
  </threadedComment>
  <threadedComment ref="AH142" dT="2023-02-08T11:43:29.06" personId="{6777EDD4-E46F-4979-A7E7-6FC0A82E0C8E}" id="{CDE3D130-C463-468A-A475-666B3E15069B}">
    <text>Positions are on hold</text>
  </threadedComment>
  <threadedComment ref="AI142" dT="2023-02-08T11:43:29.06" personId="{6777EDD4-E46F-4979-A7E7-6FC0A82E0C8E}" id="{DC67B121-F770-4CB4-B009-AB9DFF051E29}">
    <text>Positions are on hold</text>
  </threadedComment>
  <threadedComment ref="AJ142" dT="2023-02-08T11:43:29.06" personId="{6777EDD4-E46F-4979-A7E7-6FC0A82E0C8E}" id="{879F5519-F013-4B35-BE98-91AE8FDB35B4}">
    <text>Positions are on hold</text>
  </threadedComment>
  <threadedComment ref="AK142" dT="2023-02-08T11:43:29.06" personId="{6777EDD4-E46F-4979-A7E7-6FC0A82E0C8E}" id="{9AFF13D5-7DD8-4F9D-8CCE-99BD2A00CBC2}">
    <text>Positions are on hold</text>
  </threadedComment>
  <threadedComment ref="AL142" dT="2023-02-08T11:43:29.06" personId="{6777EDD4-E46F-4979-A7E7-6FC0A82E0C8E}" id="{069AC37B-1857-49C8-92DB-C4AD4F43BF99}">
    <text>Positions are on hold</text>
  </threadedComment>
  <threadedComment ref="AM142" dT="2023-02-08T11:43:29.06" personId="{6777EDD4-E46F-4979-A7E7-6FC0A82E0C8E}" id="{B23F0850-FBCA-4687-98F6-AB30495F5B08}">
    <text>Positions are on hold</text>
  </threadedComment>
  <threadedComment ref="AN142" dT="2023-02-08T11:43:29.06" personId="{6777EDD4-E46F-4979-A7E7-6FC0A82E0C8E}" id="{D77DE950-2DAE-46AF-B645-F6CF3C62DEAB}">
    <text>Positions are on hold</text>
  </threadedComment>
  <threadedComment ref="AO142" dT="2023-02-08T11:43:29.06" personId="{6777EDD4-E46F-4979-A7E7-6FC0A82E0C8E}" id="{988A8BFD-3A59-42AD-834B-79582D9BB73F}">
    <text>Positions are on hold</text>
  </threadedComment>
  <threadedComment ref="AP142" dT="2023-02-08T11:43:29.06" personId="{6777EDD4-E46F-4979-A7E7-6FC0A82E0C8E}" id="{456D825D-EC42-40C7-8EF9-53AC7511E308}">
    <text>Positions are on hold</text>
  </threadedComment>
  <threadedComment ref="AQ142" dT="2024-10-18T04:54:46.00" personId="{6777EDD4-E46F-4979-A7E7-6FC0A82E0C8E}" id="{50FB2D91-0009-4860-BA06-6CFFC2136606}">
    <text>Project On-Hold</text>
  </threadedComment>
  <threadedComment ref="AR142" dT="2024-10-18T04:54:46.00" personId="{6777EDD4-E46F-4979-A7E7-6FC0A82E0C8E}" id="{17CC7BDB-7E7D-450B-9CE1-AB0C8ADCDDA8}">
    <text>Project On-Hold</text>
  </threadedComment>
  <threadedComment ref="AS142" dT="2024-10-18T04:54:46.00" personId="{6777EDD4-E46F-4979-A7E7-6FC0A82E0C8E}" id="{AF7A2169-DA63-4887-8454-8C937C05362E}">
    <text>Project On-Hold</text>
  </threadedComment>
  <threadedComment ref="AT142" dT="2024-10-18T04:54:46.00" personId="{6777EDD4-E46F-4979-A7E7-6FC0A82E0C8E}" id="{A4D5CED7-427E-4054-AC8F-E2AB83BC357D}">
    <text>Project On-Hold</text>
  </threadedComment>
  <threadedComment ref="AU142" dT="2024-10-18T04:54:46.00" personId="{6777EDD4-E46F-4979-A7E7-6FC0A82E0C8E}" id="{D02B7639-4788-4C1F-A01C-2E215A92C551}">
    <text>Project On-Hold</text>
  </threadedComment>
  <threadedComment ref="AV142" dT="2024-10-18T04:54:46.00" personId="{6777EDD4-E46F-4979-A7E7-6FC0A82E0C8E}" id="{4D6071DC-CEA0-4B59-9901-6F4FAC027625}">
    <text>Project On-Hold</text>
  </threadedComment>
  <threadedComment ref="AW142" dT="2024-10-18T04:54:46.00" personId="{6777EDD4-E46F-4979-A7E7-6FC0A82E0C8E}" id="{9E0EACC5-7A9B-4954-A88F-8CB9220BD2EB}">
    <text>Project On-Hold</text>
  </threadedComment>
  <threadedComment ref="AX142" dT="2024-10-18T04:54:46.00" personId="{6777EDD4-E46F-4979-A7E7-6FC0A82E0C8E}" id="{39F6FDD6-9A6E-496D-8CEF-22B4510F6C6D}">
    <text>Project On-Hold</text>
  </threadedComment>
  <threadedComment ref="AY142" dT="2024-10-18T04:54:46.00" personId="{6777EDD4-E46F-4979-A7E7-6FC0A82E0C8E}" id="{B46C1E29-413D-4CEF-BF48-F7B1BC523450}">
    <text>Project On-Hold</text>
  </threadedComment>
  <threadedComment ref="AZ142" dT="2024-10-18T04:54:46.00" personId="{6777EDD4-E46F-4979-A7E7-6FC0A82E0C8E}" id="{1E971634-20B7-4259-B3F3-9DC17E659AEB}">
    <text>Project On-Hold</text>
  </threadedComment>
  <threadedComment ref="BA142" dT="2024-10-18T04:54:46.00" personId="{6777EDD4-E46F-4979-A7E7-6FC0A82E0C8E}" id="{976A065F-06A8-4AF8-9B5F-0ADF1ED4A08B}">
    <text>Project On-Hold</text>
  </threadedComment>
  <threadedComment ref="BB142" dT="2024-10-18T04:54:46.00" personId="{6777EDD4-E46F-4979-A7E7-6FC0A82E0C8E}" id="{0D56F109-91D1-4E63-8ED3-92F965564A48}">
    <text>Project On-Hold</text>
  </threadedComment>
  <threadedComment ref="BC142" dT="2024-10-18T04:54:46.00" personId="{6777EDD4-E46F-4979-A7E7-6FC0A82E0C8E}" id="{3EDF2778-81DD-4388-9832-8E2391B781A8}">
    <text>Project On-Hold</text>
  </threadedComment>
  <threadedComment ref="BD142" dT="2024-10-18T04:54:46.00" personId="{6777EDD4-E46F-4979-A7E7-6FC0A82E0C8E}" id="{5D197B63-3E12-4980-92DB-1D733A3A3635}">
    <text>Project On-Hold</text>
  </threadedComment>
  <threadedComment ref="BE142" dT="2024-10-18T04:54:46.00" personId="{6777EDD4-E46F-4979-A7E7-6FC0A82E0C8E}" id="{C378F9EE-283F-42ED-97A2-12ED70B97954}">
    <text>Project On-Hold</text>
  </threadedComment>
  <threadedComment ref="BF142" dT="2024-10-18T04:54:46.00" personId="{6777EDD4-E46F-4979-A7E7-6FC0A82E0C8E}" id="{1C0E2A24-EEC9-4AE0-94D0-C9B7F70452C3}">
    <text>Project On-Hold</text>
  </threadedComment>
  <threadedComment ref="Q143" dT="2023-02-08T11:43:29.06" personId="{6777EDD4-E46F-4979-A7E7-6FC0A82E0C8E}" id="{062D92EC-48BB-4A76-94A8-79E21AD23908}">
    <text>Positions are on hold</text>
  </threadedComment>
  <threadedComment ref="R143" dT="2023-02-08T11:43:29.06" personId="{6777EDD4-E46F-4979-A7E7-6FC0A82E0C8E}" id="{DB09B922-F60B-4993-88A6-E501DDFED4A3}">
    <text>Positions are on hold</text>
  </threadedComment>
  <threadedComment ref="S143" dT="2023-02-08T11:43:29.06" personId="{6777EDD4-E46F-4979-A7E7-6FC0A82E0C8E}" id="{24415BAE-9255-4C84-9DB3-7E773F5CD964}">
    <text>Positions are on hold</text>
  </threadedComment>
  <threadedComment ref="T143" dT="2023-02-08T11:43:29.06" personId="{6777EDD4-E46F-4979-A7E7-6FC0A82E0C8E}" id="{38A65729-6C02-4ED3-A073-71ADA0AFDD2A}">
    <text>Positions are on hold</text>
  </threadedComment>
  <threadedComment ref="U143" dT="2023-02-08T11:43:29.06" personId="{6777EDD4-E46F-4979-A7E7-6FC0A82E0C8E}" id="{8D23CCF6-5779-4110-A07C-218D829E83F0}">
    <text>Positions are on hold</text>
  </threadedComment>
  <threadedComment ref="V143" dT="2023-02-08T11:43:29.06" personId="{6777EDD4-E46F-4979-A7E7-6FC0A82E0C8E}" id="{27670C6E-A5DF-41C5-AC91-86DAEA0E590B}">
    <text>Positions are on hold</text>
  </threadedComment>
  <threadedComment ref="W143" dT="2023-02-08T11:43:29.06" personId="{6777EDD4-E46F-4979-A7E7-6FC0A82E0C8E}" id="{145F3EFF-6056-4B8D-B938-92D3135A906F}">
    <text>Positions are on hold</text>
  </threadedComment>
  <threadedComment ref="X143" dT="2023-02-08T11:43:29.06" personId="{6777EDD4-E46F-4979-A7E7-6FC0A82E0C8E}" id="{3562FDD1-2B4E-4DE1-BF7B-3F2186B25958}">
    <text>Positions are on hold</text>
  </threadedComment>
  <threadedComment ref="Y143" dT="2023-02-08T11:43:29.06" personId="{6777EDD4-E46F-4979-A7E7-6FC0A82E0C8E}" id="{9EA822B1-4115-46AC-8BD2-3D7F6355D5D3}">
    <text>Positions are on hold</text>
  </threadedComment>
  <threadedComment ref="Z143" dT="2023-02-08T11:43:29.06" personId="{6777EDD4-E46F-4979-A7E7-6FC0A82E0C8E}" id="{25BFF859-2055-4A40-9B75-45798EA30A16}">
    <text>Positions are on hold</text>
  </threadedComment>
  <threadedComment ref="AA143" dT="2023-02-08T11:43:29.06" personId="{6777EDD4-E46F-4979-A7E7-6FC0A82E0C8E}" id="{923ED572-C106-41E8-954D-C476635F880A}">
    <text>Positions are on hold</text>
  </threadedComment>
  <threadedComment ref="AB143" dT="2023-02-08T11:43:29.06" personId="{6777EDD4-E46F-4979-A7E7-6FC0A82E0C8E}" id="{A1996176-F558-4808-9028-13B0CCDEE522}">
    <text>Positions are on hold</text>
  </threadedComment>
  <threadedComment ref="AC143" dT="2023-02-08T11:43:29.06" personId="{6777EDD4-E46F-4979-A7E7-6FC0A82E0C8E}" id="{D2F28A33-CAB2-45DA-B165-E7DCB5C82C66}">
    <text>Positions are on hold</text>
  </threadedComment>
  <threadedComment ref="AD143" dT="2023-02-08T11:43:29.06" personId="{6777EDD4-E46F-4979-A7E7-6FC0A82E0C8E}" id="{D25EB5D5-6ED7-4D73-92B9-D7206F0D81FA}">
    <text>Positions are on hold</text>
  </threadedComment>
  <threadedComment ref="AE143" dT="2023-02-08T11:43:29.06" personId="{6777EDD4-E46F-4979-A7E7-6FC0A82E0C8E}" id="{BE99A1BF-EEDF-440F-9C50-7F7213B7D86B}">
    <text>Positions are on hold</text>
  </threadedComment>
  <threadedComment ref="AF143" dT="2023-02-08T11:43:29.06" personId="{6777EDD4-E46F-4979-A7E7-6FC0A82E0C8E}" id="{CCCD5EA3-E4B5-45F8-83DC-075BD679721B}">
    <text>Positions are on hold</text>
  </threadedComment>
  <threadedComment ref="AG143" dT="2023-02-08T11:43:29.06" personId="{6777EDD4-E46F-4979-A7E7-6FC0A82E0C8E}" id="{9CA4BAE9-980C-49D7-B146-8BFA26D9F5C9}">
    <text>Positions are on hold</text>
  </threadedComment>
  <threadedComment ref="AH143" dT="2023-02-08T11:43:29.06" personId="{6777EDD4-E46F-4979-A7E7-6FC0A82E0C8E}" id="{01DB3FFE-BE63-48E5-81CD-3D013F8338FB}">
    <text>Positions are on hold</text>
  </threadedComment>
  <threadedComment ref="AI143" dT="2023-02-08T11:43:29.06" personId="{6777EDD4-E46F-4979-A7E7-6FC0A82E0C8E}" id="{EF3DCE70-10C8-4D99-AFFF-03F6EFF1840E}">
    <text>Positions are on hold</text>
  </threadedComment>
  <threadedComment ref="AJ143" dT="2023-02-08T11:43:29.06" personId="{6777EDD4-E46F-4979-A7E7-6FC0A82E0C8E}" id="{6E833CBF-B51D-4360-A211-01BFB31DB609}">
    <text>Positions are on hold</text>
  </threadedComment>
  <threadedComment ref="AK143" dT="2023-02-08T11:43:29.06" personId="{6777EDD4-E46F-4979-A7E7-6FC0A82E0C8E}" id="{5176CAB6-3BBB-4530-9936-74B786FF53CB}">
    <text>Positions are on hold</text>
  </threadedComment>
  <threadedComment ref="AL143" dT="2023-02-08T11:43:29.06" personId="{6777EDD4-E46F-4979-A7E7-6FC0A82E0C8E}" id="{989158F9-CEEE-481D-B2AC-0C34B058F89B}">
    <text>Positions are on hold</text>
  </threadedComment>
  <threadedComment ref="AM143" dT="2023-02-08T11:43:29.06" personId="{6777EDD4-E46F-4979-A7E7-6FC0A82E0C8E}" id="{F1665684-50DA-4442-8F77-ACEAC7710D42}">
    <text>Positions are on hold</text>
  </threadedComment>
  <threadedComment ref="AN143" dT="2023-02-08T11:43:29.06" personId="{6777EDD4-E46F-4979-A7E7-6FC0A82E0C8E}" id="{4269B8C8-FFCF-4848-B561-33FDB0A0D909}">
    <text>Positions are on hold</text>
  </threadedComment>
  <threadedComment ref="AO143" dT="2023-02-08T11:43:29.06" personId="{6777EDD4-E46F-4979-A7E7-6FC0A82E0C8E}" id="{9CA771FC-B3FB-4D52-B599-0BDA2FD6E1D3}">
    <text>Positions are on hold</text>
  </threadedComment>
  <threadedComment ref="AP143" dT="2023-02-08T11:43:29.06" personId="{6777EDD4-E46F-4979-A7E7-6FC0A82E0C8E}" id="{6890FC22-94ED-4D01-BE59-4D3CDE7F9B95}">
    <text>Positions are on hold</text>
  </threadedComment>
  <threadedComment ref="AQ143" dT="2024-10-18T04:54:46.00" personId="{6777EDD4-E46F-4979-A7E7-6FC0A82E0C8E}" id="{022D082D-623A-4EEC-A781-3D8D11270CAE}">
    <text>Project On-Hold</text>
  </threadedComment>
  <threadedComment ref="AR143" dT="2024-10-18T04:54:46.00" personId="{6777EDD4-E46F-4979-A7E7-6FC0A82E0C8E}" id="{2C5F35AA-0295-4763-9D87-D99F1E29E9F2}">
    <text>Project On-Hold</text>
  </threadedComment>
  <threadedComment ref="AS143" dT="2024-10-18T04:54:46.00" personId="{6777EDD4-E46F-4979-A7E7-6FC0A82E0C8E}" id="{3A04798F-640F-445E-B2BB-02B20E35B60C}">
    <text>Project On-Hold</text>
  </threadedComment>
  <threadedComment ref="AT143" dT="2024-10-18T04:54:46.00" personId="{6777EDD4-E46F-4979-A7E7-6FC0A82E0C8E}" id="{79DAD702-FE4E-4A52-80B5-CF22FEB79378}">
    <text>Project On-Hold</text>
  </threadedComment>
  <threadedComment ref="AU143" dT="2024-10-18T04:54:46.00" personId="{6777EDD4-E46F-4979-A7E7-6FC0A82E0C8E}" id="{CD9F8C77-006F-45E3-A3AA-D48C6FAF7578}">
    <text>Project On-Hold</text>
  </threadedComment>
  <threadedComment ref="AV143" dT="2024-10-18T04:54:46.00" personId="{6777EDD4-E46F-4979-A7E7-6FC0A82E0C8E}" id="{D5CB71AE-E38A-4B30-87BC-745A5C14B85C}">
    <text>Project On-Hold</text>
  </threadedComment>
  <threadedComment ref="AW143" dT="2024-10-18T04:54:46.00" personId="{6777EDD4-E46F-4979-A7E7-6FC0A82E0C8E}" id="{B16437A2-1DE1-47E5-9F1C-0E0043ACE866}">
    <text>Project On-Hold</text>
  </threadedComment>
  <threadedComment ref="AX143" dT="2024-10-18T04:54:46.00" personId="{6777EDD4-E46F-4979-A7E7-6FC0A82E0C8E}" id="{2BC177B7-D937-4307-9D80-28A72855C4F8}">
    <text>Project On-Hold</text>
  </threadedComment>
  <threadedComment ref="AY143" dT="2024-10-18T04:54:46.00" personId="{6777EDD4-E46F-4979-A7E7-6FC0A82E0C8E}" id="{52B971F4-AFEC-4F95-AF1E-741C5A50A45B}">
    <text>Project On-Hold</text>
  </threadedComment>
  <threadedComment ref="AZ143" dT="2024-10-18T04:54:46.00" personId="{6777EDD4-E46F-4979-A7E7-6FC0A82E0C8E}" id="{532040DB-4867-469C-BC70-CDF9A136CF3A}">
    <text>Project On-Hold</text>
  </threadedComment>
  <threadedComment ref="BA143" dT="2024-10-18T04:54:46.00" personId="{6777EDD4-E46F-4979-A7E7-6FC0A82E0C8E}" id="{37EBBC81-909F-46AE-B2D7-E3CA20918672}">
    <text>Project On-Hold</text>
  </threadedComment>
  <threadedComment ref="BB143" dT="2024-10-18T04:54:46.00" personId="{6777EDD4-E46F-4979-A7E7-6FC0A82E0C8E}" id="{2131AA85-0A0E-4F74-BFAA-C7BFA9CDC79A}">
    <text>Project On-Hold</text>
  </threadedComment>
  <threadedComment ref="BC143" dT="2024-10-18T04:54:46.00" personId="{6777EDD4-E46F-4979-A7E7-6FC0A82E0C8E}" id="{B665239B-63F9-4601-BB26-C2A11DCF758B}">
    <text>Project On-Hold</text>
  </threadedComment>
  <threadedComment ref="BD143" dT="2024-10-18T04:54:46.00" personId="{6777EDD4-E46F-4979-A7E7-6FC0A82E0C8E}" id="{B4606CCF-8D8A-46F8-9B0E-54D886C8AAB4}">
    <text>Project On-Hold</text>
  </threadedComment>
  <threadedComment ref="BE143" dT="2024-10-18T04:54:46.00" personId="{6777EDD4-E46F-4979-A7E7-6FC0A82E0C8E}" id="{822D7D5D-2D03-4A4E-A70D-24D31C8303E9}">
    <text>Project On-Hold</text>
  </threadedComment>
  <threadedComment ref="BF143" dT="2024-10-18T04:54:46.00" personId="{6777EDD4-E46F-4979-A7E7-6FC0A82E0C8E}" id="{A4777F2E-5FB2-4636-A6AA-257EC6A0A833}">
    <text>Project On-Hold</text>
  </threadedComment>
  <threadedComment ref="Q144" dT="2023-02-08T11:43:29.06" personId="{6777EDD4-E46F-4979-A7E7-6FC0A82E0C8E}" id="{A1F637FE-8A10-44D5-98ED-F8CE187DA373}">
    <text>Positions are on hold</text>
  </threadedComment>
  <threadedComment ref="R144" dT="2023-02-08T11:43:29.06" personId="{6777EDD4-E46F-4979-A7E7-6FC0A82E0C8E}" id="{97AF41BA-345D-432C-9A86-E1C985FC0455}">
    <text>Positions are on hold</text>
  </threadedComment>
  <threadedComment ref="S144" dT="2023-02-08T11:43:29.06" personId="{6777EDD4-E46F-4979-A7E7-6FC0A82E0C8E}" id="{9B42FCE6-D065-4014-B48A-1EA6CB40D085}">
    <text>Positions are on hold</text>
  </threadedComment>
  <threadedComment ref="T144" dT="2023-02-08T11:43:29.06" personId="{6777EDD4-E46F-4979-A7E7-6FC0A82E0C8E}" id="{1056880D-2B39-4E99-8B77-E9E7B9680C45}">
    <text>Positions are on hold</text>
  </threadedComment>
  <threadedComment ref="U144" dT="2023-02-08T11:43:29.06" personId="{6777EDD4-E46F-4979-A7E7-6FC0A82E0C8E}" id="{33E30C24-2C77-4424-9819-9560D79685A7}">
    <text>Positions are on hold</text>
  </threadedComment>
  <threadedComment ref="V144" dT="2023-02-08T11:43:29.06" personId="{6777EDD4-E46F-4979-A7E7-6FC0A82E0C8E}" id="{D283AB07-731D-429E-AA9B-7B3F02CA08EF}">
    <text>Positions are on hold</text>
  </threadedComment>
  <threadedComment ref="W144" dT="2023-02-08T11:43:29.06" personId="{6777EDD4-E46F-4979-A7E7-6FC0A82E0C8E}" id="{CE41E035-BACD-4054-84EF-348614805B52}">
    <text>Positions are on hold</text>
  </threadedComment>
  <threadedComment ref="X144" dT="2023-02-08T11:43:29.06" personId="{6777EDD4-E46F-4979-A7E7-6FC0A82E0C8E}" id="{9635D72D-AF67-4069-9A49-84E214F9BD21}">
    <text>Positions are on hold</text>
  </threadedComment>
  <threadedComment ref="Y144" dT="2023-02-08T11:43:29.06" personId="{6777EDD4-E46F-4979-A7E7-6FC0A82E0C8E}" id="{839D0B92-9506-471C-BE98-4CFA30A334D4}">
    <text>Positions are on hold</text>
  </threadedComment>
  <threadedComment ref="Z144" dT="2023-02-08T11:43:29.06" personId="{6777EDD4-E46F-4979-A7E7-6FC0A82E0C8E}" id="{F322E264-6BB5-44A1-83EC-B313FEF94B1B}">
    <text>Positions are on hold</text>
  </threadedComment>
  <threadedComment ref="AA144" dT="2023-02-08T11:43:29.06" personId="{6777EDD4-E46F-4979-A7E7-6FC0A82E0C8E}" id="{FBB7C086-BA52-4154-809E-18F4CAD12425}">
    <text>Positions are on hold</text>
  </threadedComment>
  <threadedComment ref="AB144" dT="2023-02-08T11:43:29.06" personId="{6777EDD4-E46F-4979-A7E7-6FC0A82E0C8E}" id="{759D8C5E-C5B8-446A-AF8D-B59C6C23C1D4}">
    <text>Positions are on hold</text>
  </threadedComment>
  <threadedComment ref="AC144" dT="2023-02-08T11:43:29.06" personId="{6777EDD4-E46F-4979-A7E7-6FC0A82E0C8E}" id="{CB7D0FFB-A682-4FD3-AD08-CCAF94ABA9B3}">
    <text>Positions are on hold</text>
  </threadedComment>
  <threadedComment ref="AD144" dT="2023-02-08T11:43:29.06" personId="{6777EDD4-E46F-4979-A7E7-6FC0A82E0C8E}" id="{0B4D9C47-2948-4455-A5B1-6B89769FD2DE}">
    <text>Positions are on hold</text>
  </threadedComment>
  <threadedComment ref="AE144" dT="2023-02-08T11:43:29.06" personId="{6777EDD4-E46F-4979-A7E7-6FC0A82E0C8E}" id="{7AAF310E-E45F-42CF-954F-6E5399079FBC}">
    <text>Positions are on hold</text>
  </threadedComment>
  <threadedComment ref="AF144" dT="2023-02-08T11:43:29.06" personId="{6777EDD4-E46F-4979-A7E7-6FC0A82E0C8E}" id="{351C4408-254A-43D2-B16C-42A874F8CD9C}">
    <text>Positions are on hold</text>
  </threadedComment>
  <threadedComment ref="AG144" dT="2023-02-08T11:43:29.06" personId="{6777EDD4-E46F-4979-A7E7-6FC0A82E0C8E}" id="{91B3D6E5-541C-4450-B51A-F6612580A148}">
    <text>Positions are on hold</text>
  </threadedComment>
  <threadedComment ref="AH144" dT="2023-02-08T11:43:29.06" personId="{6777EDD4-E46F-4979-A7E7-6FC0A82E0C8E}" id="{EB9AC5A5-45B1-4A25-A552-E7A2633BE931}">
    <text>Positions are on hold</text>
  </threadedComment>
  <threadedComment ref="AI144" dT="2023-02-08T11:43:29.06" personId="{6777EDD4-E46F-4979-A7E7-6FC0A82E0C8E}" id="{19CA4E03-C79B-418D-A245-2910833C24B9}">
    <text>Positions are on hold</text>
  </threadedComment>
  <threadedComment ref="AJ144" dT="2023-02-08T11:43:29.06" personId="{6777EDD4-E46F-4979-A7E7-6FC0A82E0C8E}" id="{41C48C60-DA21-43D9-A0D0-D68058F87C46}">
    <text>Positions are on hold</text>
  </threadedComment>
  <threadedComment ref="AK144" dT="2023-02-08T11:43:29.06" personId="{6777EDD4-E46F-4979-A7E7-6FC0A82E0C8E}" id="{86072278-C216-4037-A312-18B59A970D38}">
    <text>Positions are on hold</text>
  </threadedComment>
  <threadedComment ref="AL144" dT="2023-02-08T11:43:29.06" personId="{6777EDD4-E46F-4979-A7E7-6FC0A82E0C8E}" id="{FB771DFE-0397-43FC-BB9F-BA0EE017A62F}">
    <text>Positions are on hold</text>
  </threadedComment>
  <threadedComment ref="AM144" dT="2023-02-08T11:43:29.06" personId="{6777EDD4-E46F-4979-A7E7-6FC0A82E0C8E}" id="{7053A207-3CD4-4060-8DD1-CAC61111611F}">
    <text>Positions are on hold</text>
  </threadedComment>
  <threadedComment ref="AN144" dT="2023-02-08T11:43:29.06" personId="{6777EDD4-E46F-4979-A7E7-6FC0A82E0C8E}" id="{58FA9074-91B5-48C0-B793-AFD312015A5F}">
    <text>Positions are on hold</text>
  </threadedComment>
  <threadedComment ref="AO144" dT="2023-02-08T11:43:29.06" personId="{6777EDD4-E46F-4979-A7E7-6FC0A82E0C8E}" id="{FBCC81B5-9AAD-4602-A60A-26A888FC9EF8}">
    <text>Positions are on hold</text>
  </threadedComment>
  <threadedComment ref="AP144" dT="2023-02-08T11:43:29.06" personId="{6777EDD4-E46F-4979-A7E7-6FC0A82E0C8E}" id="{7FB04550-6E82-4A09-AEC8-826DF2CE7AD7}">
    <text>Positions are on hold</text>
  </threadedComment>
  <threadedComment ref="AQ144" dT="2024-10-18T04:54:46.00" personId="{6777EDD4-E46F-4979-A7E7-6FC0A82E0C8E}" id="{53D09169-EE95-4907-8278-B5E3A7F9AA61}">
    <text>Project On-Hold</text>
  </threadedComment>
  <threadedComment ref="AR144" dT="2024-10-18T04:54:46.00" personId="{6777EDD4-E46F-4979-A7E7-6FC0A82E0C8E}" id="{CC256C64-46B0-424B-A887-111992DBE52C}">
    <text>Project On-Hold</text>
  </threadedComment>
  <threadedComment ref="AS144" dT="2024-10-18T04:54:46.00" personId="{6777EDD4-E46F-4979-A7E7-6FC0A82E0C8E}" id="{52C1ABC2-5E2E-4131-A912-E044C47D971E}">
    <text>Project On-Hold</text>
  </threadedComment>
  <threadedComment ref="AT144" dT="2024-10-18T04:54:46.00" personId="{6777EDD4-E46F-4979-A7E7-6FC0A82E0C8E}" id="{E329AEA8-8980-4FB9-A467-18922CAA2B84}">
    <text>Project On-Hold</text>
  </threadedComment>
  <threadedComment ref="AU144" dT="2024-10-18T04:54:46.00" personId="{6777EDD4-E46F-4979-A7E7-6FC0A82E0C8E}" id="{D219C817-CBBC-4A86-A817-FD393D913BDC}">
    <text>Project On-Hold</text>
  </threadedComment>
  <threadedComment ref="AV144" dT="2024-10-18T04:54:46.00" personId="{6777EDD4-E46F-4979-A7E7-6FC0A82E0C8E}" id="{BA6BED4B-7CD0-4C5B-AF66-1919ECC69B9F}">
    <text>Project On-Hold</text>
  </threadedComment>
  <threadedComment ref="AW144" dT="2024-10-18T04:54:46.00" personId="{6777EDD4-E46F-4979-A7E7-6FC0A82E0C8E}" id="{9EBA6017-6377-4390-9ED6-ECD59B55D2E5}">
    <text>Project On-Hold</text>
  </threadedComment>
  <threadedComment ref="AX144" dT="2024-10-18T04:54:46.00" personId="{6777EDD4-E46F-4979-A7E7-6FC0A82E0C8E}" id="{D9E91B31-3A23-45BA-8330-E5FE59AC4C1F}">
    <text>Project On-Hold</text>
  </threadedComment>
  <threadedComment ref="AY144" dT="2024-10-18T04:54:46.00" personId="{6777EDD4-E46F-4979-A7E7-6FC0A82E0C8E}" id="{96B8DAC1-8830-4582-8794-43FAABF71E61}">
    <text>Project On-Hold</text>
  </threadedComment>
  <threadedComment ref="AZ144" dT="2024-10-18T04:54:46.00" personId="{6777EDD4-E46F-4979-A7E7-6FC0A82E0C8E}" id="{B4AFFE6E-2464-4841-A2DD-40E205B10200}">
    <text>Project On-Hold</text>
  </threadedComment>
  <threadedComment ref="BA144" dT="2024-10-18T04:54:46.00" personId="{6777EDD4-E46F-4979-A7E7-6FC0A82E0C8E}" id="{B8D51499-010F-4532-8E01-D27287889604}">
    <text>Project On-Hold</text>
  </threadedComment>
  <threadedComment ref="BB144" dT="2024-10-18T04:54:46.00" personId="{6777EDD4-E46F-4979-A7E7-6FC0A82E0C8E}" id="{BCF43F16-0A21-4B45-A8BB-641FA6554FF3}">
    <text>Project On-Hold</text>
  </threadedComment>
  <threadedComment ref="BC144" dT="2024-10-18T04:54:46.00" personId="{6777EDD4-E46F-4979-A7E7-6FC0A82E0C8E}" id="{AEAB9934-1877-4C02-993B-48EF2CE27CDA}">
    <text>Project On-Hold</text>
  </threadedComment>
  <threadedComment ref="BD144" dT="2024-10-18T04:54:46.00" personId="{6777EDD4-E46F-4979-A7E7-6FC0A82E0C8E}" id="{841A6A72-9776-4792-990D-512C44AA8AFA}">
    <text>Project On-Hold</text>
  </threadedComment>
  <threadedComment ref="BE144" dT="2024-10-18T04:54:46.00" personId="{6777EDD4-E46F-4979-A7E7-6FC0A82E0C8E}" id="{6E839C02-7F38-4091-BACB-85E5263F166C}">
    <text>Project On-Hold</text>
  </threadedComment>
  <threadedComment ref="BF144" dT="2024-10-18T04:54:46.00" personId="{6777EDD4-E46F-4979-A7E7-6FC0A82E0C8E}" id="{1E54DC31-1FDE-4123-8064-FE3797B967C7}">
    <text>Project On-Hold</text>
  </threadedComment>
  <threadedComment ref="Q145" dT="2023-02-08T11:43:29.06" personId="{6777EDD4-E46F-4979-A7E7-6FC0A82E0C8E}" id="{7B6CD39F-1C66-440E-BC6F-EC811F109C92}">
    <text>Positions are on hold</text>
  </threadedComment>
  <threadedComment ref="R145" dT="2023-02-08T11:43:29.06" personId="{6777EDD4-E46F-4979-A7E7-6FC0A82E0C8E}" id="{85319026-42AB-40A7-B7B8-015AB678AA5A}">
    <text>Positions are on hold</text>
  </threadedComment>
  <threadedComment ref="S145" dT="2023-02-08T11:43:29.06" personId="{6777EDD4-E46F-4979-A7E7-6FC0A82E0C8E}" id="{98AEC95B-FBBA-4BA5-90D3-F4F06DFEDE88}">
    <text>Positions are on hold</text>
  </threadedComment>
  <threadedComment ref="T145" dT="2023-02-08T11:43:29.06" personId="{6777EDD4-E46F-4979-A7E7-6FC0A82E0C8E}" id="{EC7753A2-CF33-41E7-9CA8-7B4E7341526F}">
    <text>Positions are on hold</text>
  </threadedComment>
  <threadedComment ref="U145" dT="2023-02-08T11:43:29.06" personId="{6777EDD4-E46F-4979-A7E7-6FC0A82E0C8E}" id="{EE79538C-C9AB-4D05-9AFF-3FAF336CEE2E}">
    <text>Positions are on hold</text>
  </threadedComment>
  <threadedComment ref="V145" dT="2023-02-08T11:43:29.06" personId="{6777EDD4-E46F-4979-A7E7-6FC0A82E0C8E}" id="{E1DE138F-060E-480D-A4D3-F409A6C02C9B}">
    <text>Positions are on hold</text>
  </threadedComment>
  <threadedComment ref="W145" dT="2023-02-08T11:43:29.06" personId="{6777EDD4-E46F-4979-A7E7-6FC0A82E0C8E}" id="{FF4CC1CB-5D6A-4B00-B0D5-D467286ED87A}">
    <text>Positions are on hold</text>
  </threadedComment>
  <threadedComment ref="X145" dT="2023-02-08T11:43:29.06" personId="{6777EDD4-E46F-4979-A7E7-6FC0A82E0C8E}" id="{74BFCFBB-B958-458B-AD91-9CF76E78B661}">
    <text>Positions are on hold</text>
  </threadedComment>
  <threadedComment ref="Y145" dT="2023-02-08T11:43:29.06" personId="{6777EDD4-E46F-4979-A7E7-6FC0A82E0C8E}" id="{38F983BD-1D45-4C49-B41E-B02AE49269D6}">
    <text>Positions are on hold</text>
  </threadedComment>
  <threadedComment ref="Z145" dT="2023-02-08T11:43:29.06" personId="{6777EDD4-E46F-4979-A7E7-6FC0A82E0C8E}" id="{138A2FE2-F999-45E1-AB14-5E9B729BB7C7}">
    <text>Positions are on hold</text>
  </threadedComment>
  <threadedComment ref="AA145" dT="2023-02-08T11:43:29.06" personId="{6777EDD4-E46F-4979-A7E7-6FC0A82E0C8E}" id="{FA00C1B7-A3CD-4A75-98CD-A2A670E7BFE9}">
    <text>Positions are on hold</text>
  </threadedComment>
  <threadedComment ref="AB145" dT="2023-02-08T11:43:29.06" personId="{6777EDD4-E46F-4979-A7E7-6FC0A82E0C8E}" id="{D568B417-B2D8-4F52-922B-716C7A044541}">
    <text>Positions are on hold</text>
  </threadedComment>
  <threadedComment ref="AC145" dT="2023-02-08T11:43:29.06" personId="{6777EDD4-E46F-4979-A7E7-6FC0A82E0C8E}" id="{D860074A-F9E1-4538-B54D-37B3F196A3E0}">
    <text>Positions are on hold</text>
  </threadedComment>
  <threadedComment ref="AD145" dT="2023-02-08T11:43:29.06" personId="{6777EDD4-E46F-4979-A7E7-6FC0A82E0C8E}" id="{32481DD1-12DE-4146-B97B-676FC179A26B}">
    <text>Positions are on hold</text>
  </threadedComment>
  <threadedComment ref="AE145" dT="2023-02-08T11:43:29.06" personId="{6777EDD4-E46F-4979-A7E7-6FC0A82E0C8E}" id="{CA7091F4-1A9A-453A-BE6C-D72BCDCCA150}">
    <text>Positions are on hold</text>
  </threadedComment>
  <threadedComment ref="AF145" dT="2023-02-08T11:43:29.06" personId="{6777EDD4-E46F-4979-A7E7-6FC0A82E0C8E}" id="{4662686D-5A8D-431E-941F-A964BC5DD63B}">
    <text>Positions are on hold</text>
  </threadedComment>
  <threadedComment ref="AG145" dT="2023-02-08T11:43:29.06" personId="{6777EDD4-E46F-4979-A7E7-6FC0A82E0C8E}" id="{72A6FD45-27DD-489A-8B82-B9175803FFB2}">
    <text>Positions are on hold</text>
  </threadedComment>
  <threadedComment ref="AH145" dT="2023-02-08T11:43:29.06" personId="{6777EDD4-E46F-4979-A7E7-6FC0A82E0C8E}" id="{9FBD3D19-EDFE-4967-BBAE-A48CBC5A2490}">
    <text>Positions are on hold</text>
  </threadedComment>
  <threadedComment ref="AI145" dT="2023-02-08T11:43:29.06" personId="{6777EDD4-E46F-4979-A7E7-6FC0A82E0C8E}" id="{B8F705FA-4F09-48BE-A91A-2F4564125911}">
    <text>Positions are on hold</text>
  </threadedComment>
  <threadedComment ref="AJ145" dT="2023-02-08T11:43:29.06" personId="{6777EDD4-E46F-4979-A7E7-6FC0A82E0C8E}" id="{FAC04C0E-C297-4079-B9C0-E61F75D7D3F3}">
    <text>Positions are on hold</text>
  </threadedComment>
  <threadedComment ref="AK145" dT="2023-02-08T11:43:29.06" personId="{6777EDD4-E46F-4979-A7E7-6FC0A82E0C8E}" id="{7A1A8F9D-D062-4940-8F36-B0F7972E8078}">
    <text>Positions are on hold</text>
  </threadedComment>
  <threadedComment ref="AL145" dT="2023-02-08T11:43:29.06" personId="{6777EDD4-E46F-4979-A7E7-6FC0A82E0C8E}" id="{AF3ECE4A-2E91-472A-BEBF-AF32B3AE9503}">
    <text>Positions are on hold</text>
  </threadedComment>
  <threadedComment ref="AM145" dT="2023-02-08T11:43:29.06" personId="{6777EDD4-E46F-4979-A7E7-6FC0A82E0C8E}" id="{F13E61D5-72F7-49D7-8249-D8ED31BF1526}">
    <text>Positions are on hold</text>
  </threadedComment>
  <threadedComment ref="AN145" dT="2023-02-08T11:43:29.06" personId="{6777EDD4-E46F-4979-A7E7-6FC0A82E0C8E}" id="{1C4D660E-D656-4D3D-AC4B-B590524E7996}">
    <text>Positions are on hold</text>
  </threadedComment>
  <threadedComment ref="AO145" dT="2023-02-08T11:43:29.06" personId="{6777EDD4-E46F-4979-A7E7-6FC0A82E0C8E}" id="{87C5F530-A0EF-4B6B-BA21-EBCE4E6E468D}">
    <text>Positions are on hold</text>
  </threadedComment>
  <threadedComment ref="AP145" dT="2023-02-08T11:43:29.06" personId="{6777EDD4-E46F-4979-A7E7-6FC0A82E0C8E}" id="{2CECAC05-A719-4005-AA87-667F50F5341A}">
    <text>Positions are on hold</text>
  </threadedComment>
  <threadedComment ref="AQ145" dT="2024-10-18T04:54:46.00" personId="{6777EDD4-E46F-4979-A7E7-6FC0A82E0C8E}" id="{52E9B864-C442-4DC4-83C6-DF587DF1701F}">
    <text>Project On-Hold</text>
  </threadedComment>
  <threadedComment ref="AR145" dT="2024-10-18T04:54:46.00" personId="{6777EDD4-E46F-4979-A7E7-6FC0A82E0C8E}" id="{46D04EBA-9504-4AF0-BFEC-F82FF6D4E55D}">
    <text>Project On-Hold</text>
  </threadedComment>
  <threadedComment ref="AS145" dT="2024-10-18T04:54:46.00" personId="{6777EDD4-E46F-4979-A7E7-6FC0A82E0C8E}" id="{E7B4ED15-DA55-4F7E-A701-EA58A345412B}">
    <text>Project On-Hold</text>
  </threadedComment>
  <threadedComment ref="AT145" dT="2024-10-18T04:54:46.00" personId="{6777EDD4-E46F-4979-A7E7-6FC0A82E0C8E}" id="{4EA1D829-9EA9-4C76-9990-1870905234D2}">
    <text>Project On-Hold</text>
  </threadedComment>
  <threadedComment ref="AU145" dT="2024-10-18T04:54:46.00" personId="{6777EDD4-E46F-4979-A7E7-6FC0A82E0C8E}" id="{641C8E9F-E0D9-410B-9CA2-196EE9F7712C}">
    <text>Project On-Hold</text>
  </threadedComment>
  <threadedComment ref="AV145" dT="2024-10-18T04:54:46.00" personId="{6777EDD4-E46F-4979-A7E7-6FC0A82E0C8E}" id="{16CF94DB-1654-4DDC-8A05-1273714C310A}">
    <text>Project On-Hold</text>
  </threadedComment>
  <threadedComment ref="AW145" dT="2024-10-18T04:54:46.00" personId="{6777EDD4-E46F-4979-A7E7-6FC0A82E0C8E}" id="{036017A0-46E2-4505-8539-152E8326B215}">
    <text>Project On-Hold</text>
  </threadedComment>
  <threadedComment ref="AX145" dT="2024-10-18T04:54:46.00" personId="{6777EDD4-E46F-4979-A7E7-6FC0A82E0C8E}" id="{D4C3E7AA-71FE-48A9-8382-E00102873A8E}">
    <text>Project On-Hold</text>
  </threadedComment>
  <threadedComment ref="AY145" dT="2024-10-18T04:54:46.00" personId="{6777EDD4-E46F-4979-A7E7-6FC0A82E0C8E}" id="{87D1C5CC-A6F8-4097-AE24-8B91307BEBE4}">
    <text>Project On-Hold</text>
  </threadedComment>
  <threadedComment ref="AZ145" dT="2024-10-18T04:54:46.00" personId="{6777EDD4-E46F-4979-A7E7-6FC0A82E0C8E}" id="{DE5E70DA-0E58-4B0C-AC85-C25D95C47E60}">
    <text>Project On-Hold</text>
  </threadedComment>
  <threadedComment ref="BA145" dT="2024-10-18T04:54:46.00" personId="{6777EDD4-E46F-4979-A7E7-6FC0A82E0C8E}" id="{9A632DC5-9AE2-4BBA-A298-6D86CE2C36DF}">
    <text>Project On-Hold</text>
  </threadedComment>
  <threadedComment ref="BB145" dT="2024-10-18T04:54:46.00" personId="{6777EDD4-E46F-4979-A7E7-6FC0A82E0C8E}" id="{FA82DA22-70BE-4653-BEB4-362280FF5E3C}">
    <text>Project On-Hold</text>
  </threadedComment>
  <threadedComment ref="BC145" dT="2024-10-18T04:54:46.00" personId="{6777EDD4-E46F-4979-A7E7-6FC0A82E0C8E}" id="{389283D2-20A1-4023-BFE2-2695C0A7B11A}">
    <text>Project On-Hold</text>
  </threadedComment>
  <threadedComment ref="BD145" dT="2024-10-18T04:54:46.00" personId="{6777EDD4-E46F-4979-A7E7-6FC0A82E0C8E}" id="{95A107FC-1E8C-474B-9BD6-7E98663F18E5}">
    <text>Project On-Hold</text>
  </threadedComment>
  <threadedComment ref="BE145" dT="2024-10-18T04:54:46.00" personId="{6777EDD4-E46F-4979-A7E7-6FC0A82E0C8E}" id="{924E77A4-AF92-4C4D-9C35-16FE4C47FFFB}">
    <text>Project On-Hold</text>
  </threadedComment>
  <threadedComment ref="BF145" dT="2024-10-18T04:54:46.00" personId="{6777EDD4-E46F-4979-A7E7-6FC0A82E0C8E}" id="{B154803D-9397-4911-9100-F1ECE7473EC7}">
    <text>Project On-Hold</text>
  </threadedComment>
  <threadedComment ref="Q146" dT="2023-02-08T11:43:29.06" personId="{6777EDD4-E46F-4979-A7E7-6FC0A82E0C8E}" id="{F1EDDC82-2A2E-497F-B7C2-40ADA35B7FB7}">
    <text>Positions are on hold</text>
  </threadedComment>
  <threadedComment ref="R146" dT="2023-02-08T11:43:29.06" personId="{6777EDD4-E46F-4979-A7E7-6FC0A82E0C8E}" id="{1722FDC1-3D0F-4CD9-B457-4ADF911C2416}">
    <text>Positions are on hold</text>
  </threadedComment>
  <threadedComment ref="S146" dT="2023-02-08T11:43:29.06" personId="{6777EDD4-E46F-4979-A7E7-6FC0A82E0C8E}" id="{914494D5-CDCC-4CE0-B6DF-0AD15278D76F}">
    <text>Positions are on hold</text>
  </threadedComment>
  <threadedComment ref="T146" dT="2023-02-08T11:43:29.06" personId="{6777EDD4-E46F-4979-A7E7-6FC0A82E0C8E}" id="{C52F702A-1CF2-4E65-9C01-A4A57BD6BD5D}">
    <text>Positions are on hold</text>
  </threadedComment>
  <threadedComment ref="U146" dT="2023-02-08T11:43:29.06" personId="{6777EDD4-E46F-4979-A7E7-6FC0A82E0C8E}" id="{679972DF-A93F-46E6-87D5-741A3173729B}">
    <text>Positions are on hold</text>
  </threadedComment>
  <threadedComment ref="V146" dT="2023-02-08T11:43:29.06" personId="{6777EDD4-E46F-4979-A7E7-6FC0A82E0C8E}" id="{076A9153-0FF5-4947-BC58-6F2CF44070F6}">
    <text>Positions are on hold</text>
  </threadedComment>
  <threadedComment ref="W146" dT="2023-02-08T11:43:29.06" personId="{6777EDD4-E46F-4979-A7E7-6FC0A82E0C8E}" id="{EF750055-DF50-4EF9-BE13-C16CE6585E25}">
    <text>Positions are on hold</text>
  </threadedComment>
  <threadedComment ref="X146" dT="2023-02-08T11:43:29.06" personId="{6777EDD4-E46F-4979-A7E7-6FC0A82E0C8E}" id="{77262847-3F0F-47EE-8096-E8CBF80C1C24}">
    <text>Positions are on hold</text>
  </threadedComment>
  <threadedComment ref="Y146" dT="2023-02-08T11:43:29.06" personId="{6777EDD4-E46F-4979-A7E7-6FC0A82E0C8E}" id="{C60A5981-4A35-45E5-9E9B-918CB78A8F4D}">
    <text>Positions are on hold</text>
  </threadedComment>
  <threadedComment ref="Z146" dT="2023-02-08T11:43:29.06" personId="{6777EDD4-E46F-4979-A7E7-6FC0A82E0C8E}" id="{4062D328-CE05-452F-A54C-F975CB714ECD}">
    <text>Positions are on hold</text>
  </threadedComment>
  <threadedComment ref="AA146" dT="2023-02-08T11:43:29.06" personId="{6777EDD4-E46F-4979-A7E7-6FC0A82E0C8E}" id="{5A895D76-410B-4727-8D63-65421B21542A}">
    <text>Positions are on hold</text>
  </threadedComment>
  <threadedComment ref="AB146" dT="2023-02-08T11:43:29.06" personId="{6777EDD4-E46F-4979-A7E7-6FC0A82E0C8E}" id="{B841CA22-4FE6-4A66-A2C9-C9EC6B57E7EE}">
    <text>Positions are on hold</text>
  </threadedComment>
  <threadedComment ref="AC146" dT="2023-02-08T11:43:29.06" personId="{6777EDD4-E46F-4979-A7E7-6FC0A82E0C8E}" id="{EB06E7E9-A461-4C04-9D2E-BF2D6F5117BA}">
    <text>Positions are on hold</text>
  </threadedComment>
  <threadedComment ref="AD146" dT="2023-02-08T11:43:29.06" personId="{6777EDD4-E46F-4979-A7E7-6FC0A82E0C8E}" id="{7C27D0AE-A8BD-49B9-BEE6-C7E1E40C9342}">
    <text>Positions are on hold</text>
  </threadedComment>
  <threadedComment ref="AE146" dT="2023-02-08T11:43:29.06" personId="{6777EDD4-E46F-4979-A7E7-6FC0A82E0C8E}" id="{CCA9FA5C-E8A1-46E4-80DD-9977104FBC31}">
    <text>Positions are on hold</text>
  </threadedComment>
  <threadedComment ref="AF146" dT="2023-02-08T11:43:29.06" personId="{6777EDD4-E46F-4979-A7E7-6FC0A82E0C8E}" id="{D42FFF44-1A92-4D25-A8F5-6AF3410E0BE9}">
    <text>Positions are on hold</text>
  </threadedComment>
  <threadedComment ref="AG146" dT="2023-02-08T11:43:29.06" personId="{6777EDD4-E46F-4979-A7E7-6FC0A82E0C8E}" id="{72C0F5DE-3F7D-40A9-B9CB-48689B139C66}">
    <text>Positions are on hold</text>
  </threadedComment>
  <threadedComment ref="AH146" dT="2023-02-08T11:43:29.06" personId="{6777EDD4-E46F-4979-A7E7-6FC0A82E0C8E}" id="{F151CD82-9A01-420A-B994-57CE3AA36723}">
    <text>Positions are on hold</text>
  </threadedComment>
  <threadedComment ref="AI146" dT="2023-02-08T11:43:29.06" personId="{6777EDD4-E46F-4979-A7E7-6FC0A82E0C8E}" id="{82DA6046-15A3-475A-B5F5-91B68E2D6FB1}">
    <text>Positions are on hold</text>
  </threadedComment>
  <threadedComment ref="AJ146" dT="2023-02-08T11:43:29.06" personId="{6777EDD4-E46F-4979-A7E7-6FC0A82E0C8E}" id="{6544019D-E7BA-4D11-B55A-030E56D93E97}">
    <text>Positions are on hold</text>
  </threadedComment>
  <threadedComment ref="AK146" dT="2023-02-08T11:43:29.06" personId="{6777EDD4-E46F-4979-A7E7-6FC0A82E0C8E}" id="{24D261DF-E23D-4279-ACE2-BF6EF9C1C8F4}">
    <text>Positions are on hold</text>
  </threadedComment>
  <threadedComment ref="AL146" dT="2023-02-08T11:43:29.06" personId="{6777EDD4-E46F-4979-A7E7-6FC0A82E0C8E}" id="{B816A782-2EE4-4BCF-A9A5-FBE83B5DE1F9}">
    <text>Positions are on hold</text>
  </threadedComment>
  <threadedComment ref="AM146" dT="2023-02-08T11:43:29.06" personId="{6777EDD4-E46F-4979-A7E7-6FC0A82E0C8E}" id="{1594B533-7E01-4243-B685-565107D60590}">
    <text>Positions are on hold</text>
  </threadedComment>
  <threadedComment ref="AN146" dT="2023-02-08T11:43:29.06" personId="{6777EDD4-E46F-4979-A7E7-6FC0A82E0C8E}" id="{0080F789-D21A-435E-A0DD-BC7C4BA04C47}">
    <text>Positions are on hold</text>
  </threadedComment>
  <threadedComment ref="AO146" dT="2023-02-08T11:43:29.06" personId="{6777EDD4-E46F-4979-A7E7-6FC0A82E0C8E}" id="{D0BF3377-1082-4DE2-B948-4618B07233D3}">
    <text>Positions are on hold</text>
  </threadedComment>
  <threadedComment ref="AP146" dT="2023-02-08T11:43:29.06" personId="{6777EDD4-E46F-4979-A7E7-6FC0A82E0C8E}" id="{895BC7CC-2A22-4E24-AC4E-779D6DABC429}">
    <text>Positions are on hold</text>
  </threadedComment>
  <threadedComment ref="AQ146" dT="2024-10-18T04:54:46.00" personId="{6777EDD4-E46F-4979-A7E7-6FC0A82E0C8E}" id="{C6AC277F-BF89-4EDC-BBAA-03F40D8E1B31}">
    <text>Project On-Hold</text>
  </threadedComment>
  <threadedComment ref="AR146" dT="2024-10-18T04:54:46.00" personId="{6777EDD4-E46F-4979-A7E7-6FC0A82E0C8E}" id="{EA341540-0643-4F12-92EA-64256EA53BF4}">
    <text>Project On-Hold</text>
  </threadedComment>
  <threadedComment ref="AS146" dT="2024-10-18T04:54:46.00" personId="{6777EDD4-E46F-4979-A7E7-6FC0A82E0C8E}" id="{DC000F16-CC1B-45C1-87C5-E520FC99DEBD}">
    <text>Project On-Hold</text>
  </threadedComment>
  <threadedComment ref="AT146" dT="2024-10-18T04:54:46.00" personId="{6777EDD4-E46F-4979-A7E7-6FC0A82E0C8E}" id="{80D3263F-EE00-4BBD-A3C8-64D4D5F1317C}">
    <text>Project On-Hold</text>
  </threadedComment>
  <threadedComment ref="AU146" dT="2024-10-18T04:54:46.00" personId="{6777EDD4-E46F-4979-A7E7-6FC0A82E0C8E}" id="{686CCD2E-A6E7-466B-BEBA-4BAC29DAA1FA}">
    <text>Project On-Hold</text>
  </threadedComment>
  <threadedComment ref="AV146" dT="2024-10-18T04:54:46.00" personId="{6777EDD4-E46F-4979-A7E7-6FC0A82E0C8E}" id="{C1666A12-3B18-4F9E-A433-B795716E6AD1}">
    <text>Project On-Hold</text>
  </threadedComment>
  <threadedComment ref="AW146" dT="2024-10-18T04:54:46.00" personId="{6777EDD4-E46F-4979-A7E7-6FC0A82E0C8E}" id="{0B00D12F-15ED-4972-9001-3977602C21BE}">
    <text>Project On-Hold</text>
  </threadedComment>
  <threadedComment ref="AX146" dT="2024-10-18T04:54:46.00" personId="{6777EDD4-E46F-4979-A7E7-6FC0A82E0C8E}" id="{44F79FCA-F5C5-47C9-AB29-66E92C98E10D}">
    <text>Project On-Hold</text>
  </threadedComment>
  <threadedComment ref="AY146" dT="2024-10-18T04:54:46.00" personId="{6777EDD4-E46F-4979-A7E7-6FC0A82E0C8E}" id="{364CB6F5-D42C-42AE-9EA5-0272464214F2}">
    <text>Project On-Hold</text>
  </threadedComment>
  <threadedComment ref="AZ146" dT="2024-10-18T04:54:46.00" personId="{6777EDD4-E46F-4979-A7E7-6FC0A82E0C8E}" id="{BE4C09B8-EC6C-41A8-82E0-D3B07AF16B6C}">
    <text>Project On-Hold</text>
  </threadedComment>
  <threadedComment ref="BA146" dT="2024-10-18T04:54:46.00" personId="{6777EDD4-E46F-4979-A7E7-6FC0A82E0C8E}" id="{76574908-F700-4025-A251-1EDD59C742D4}">
    <text>Project On-Hold</text>
  </threadedComment>
  <threadedComment ref="BB146" dT="2024-10-18T04:54:46.00" personId="{6777EDD4-E46F-4979-A7E7-6FC0A82E0C8E}" id="{6D4E99C9-138C-4ADC-9A60-8D55C2DDF771}">
    <text>Project On-Hold</text>
  </threadedComment>
  <threadedComment ref="BC146" dT="2024-10-18T04:54:46.00" personId="{6777EDD4-E46F-4979-A7E7-6FC0A82E0C8E}" id="{0355E47C-E2D1-4E5D-8E7A-527FE20FAFA7}">
    <text>Project On-Hold</text>
  </threadedComment>
  <threadedComment ref="BD146" dT="2024-10-18T04:54:46.00" personId="{6777EDD4-E46F-4979-A7E7-6FC0A82E0C8E}" id="{430D98EC-F0BE-44BF-A0F0-6A03E2033230}">
    <text>Project On-Hold</text>
  </threadedComment>
  <threadedComment ref="BE146" dT="2024-10-18T04:54:46.00" personId="{6777EDD4-E46F-4979-A7E7-6FC0A82E0C8E}" id="{6CF8F20A-8C93-490A-9C25-0C7E64DA1267}">
    <text>Project On-Hold</text>
  </threadedComment>
  <threadedComment ref="BF146" dT="2024-10-18T04:54:46.00" personId="{6777EDD4-E46F-4979-A7E7-6FC0A82E0C8E}" id="{BFA36648-7163-4F12-BAA8-7CA4B6B6FE0B}">
    <text>Project On-Hold</text>
  </threadedComment>
  <threadedComment ref="W147" dT="2024-08-12T10:09:41.23" personId="{728803BD-3A25-4F6F-BA7C-1EDF8A148B73}" id="{2A1E811A-4DFD-48DA-A4AA-17AC66D08B58}">
    <text xml:space="preserve">Not Validated , Supporting Data not available </text>
  </threadedComment>
  <threadedComment ref="W148" dT="2024-08-12T10:09:53.73" personId="{728803BD-3A25-4F6F-BA7C-1EDF8A148B73}" id="{6B60C2C2-0DC9-475A-8D07-B3AD1D09E1AD}">
    <text xml:space="preserve">Not Validated , Supporting Data not available 
</text>
  </threadedComment>
  <threadedComment ref="L149" dT="2023-10-10T08:48:18.44" personId="{1798D1B1-3098-46B1-91A2-D4C92B7E122A}" id="{0A5752AE-0720-4D3D-B9DA-5DD8B58C6BA2}">
    <text>Target has been changed as per Shweta approval</text>
  </threadedComment>
  <threadedComment ref="M149" dT="2023-10-10T08:48:18.44" personId="{1798D1B1-3098-46B1-91A2-D4C92B7E122A}" id="{545CD80A-AD23-434E-A7AD-C4D7360C172C}">
    <text>Target has been changed as per Shweta approval</text>
  </threadedComment>
  <threadedComment ref="W149" dT="2024-08-12T10:09:58.05" personId="{728803BD-3A25-4F6F-BA7C-1EDF8A148B73}" id="{AB8FDE3B-E07C-45FE-92F9-B04D0AF64F69}">
    <text xml:space="preserve">Not Validated , Supporting Data not available 
</text>
  </threadedComment>
  <threadedComment ref="W150" dT="2024-08-12T10:10:03.05" personId="{728803BD-3A25-4F6F-BA7C-1EDF8A148B73}" id="{652E95AC-2505-4370-A054-A17A9350098C}">
    <text xml:space="preserve">Not Validated , Supporting Data not available 
</text>
  </threadedComment>
  <threadedComment ref="W151" dT="2024-08-12T10:10:07.14" personId="{728803BD-3A25-4F6F-BA7C-1EDF8A148B73}" id="{7762DAAA-906E-49F4-93C6-E38DB0D53AD5}">
    <text xml:space="preserve">Not Validated , Supporting Data not available 
</text>
  </threadedComment>
  <threadedComment ref="W152" dT="2024-08-12T10:10:16.68" personId="{728803BD-3A25-4F6F-BA7C-1EDF8A148B73}" id="{A5B87777-5950-48A7-AA4C-84EF2ABF1BB7}">
    <text xml:space="preserve">Not Validated , Supporting Data not available 
</text>
  </threadedComment>
  <threadedComment ref="W153" dT="2024-08-12T10:10:20.85" personId="{728803BD-3A25-4F6F-BA7C-1EDF8A148B73}" id="{933E71FC-B3D6-40CE-8587-EAB9C3051D04}">
    <text xml:space="preserve">Not Validated , Supporting Data not available 
</text>
  </threadedComment>
  <threadedComment ref="W154" dT="2024-08-12T10:10:24.74" personId="{728803BD-3A25-4F6F-BA7C-1EDF8A148B73}" id="{AE2FF9F2-6674-48E0-9C1E-45FCBF850DA9}">
    <text xml:space="preserve">Not Validated , Supporting Data not available 
</text>
  </threadedComment>
  <threadedComment ref="AM155" dT="2025-02-13T11:09:47.42" personId="{E64216F0-4450-479D-85DE-7DC73CB6BF16}" id="{9BA71311-5B71-4831-A62E-6CE6791F2298}">
    <text>Validated</text>
  </threadedComment>
  <threadedComment ref="AU155" dT="2025-05-21T12:58:27.16" personId="{32192656-80C8-4310-B142-9CF98FC9C0EF}" id="{0EDE56A9-CF5D-4E45-8C2B-65276541E27F}">
    <text>Validated</text>
  </threadedComment>
  <threadedComment ref="AW155" dT="2025-05-21T12:58:27.16" personId="{32192656-80C8-4310-B142-9CF98FC9C0EF}" id="{F5814B2C-D608-429C-B122-5A6DF54F5887}">
    <text>Validated</text>
  </threadedComment>
  <threadedComment ref="AY155" dT="2025-07-23T05:32:52.67" personId="{32192656-80C8-4310-B142-9CF98FC9C0EF}" id="{2B39DAA5-3365-472C-8630-A3F015AEF52E}">
    <text>Validated</text>
  </threadedComment>
  <threadedComment ref="BA155" dT="2025-07-23T05:32:52.67" personId="{32192656-80C8-4310-B142-9CF98FC9C0EF}" id="{A4062CD6-A007-4E56-9002-183DD01A8FC1}">
    <text>Validated</text>
  </threadedComment>
  <threadedComment ref="BC155" dT="2025-08-24T12:26:46.38" personId="{32192656-80C8-4310-B142-9CF98FC9C0EF}" id="{010320F1-E5E7-4B2E-9F41-313EDF093E14}">
    <text>Validated</text>
  </threadedComment>
  <threadedComment ref="BE155" dT="2025-09-29T07:56:50.31" personId="{32192656-80C8-4310-B142-9CF98FC9C0EF}" id="{4143C475-6D80-4C52-AD59-4557CE3F4326}">
    <text>Validated</text>
  </threadedComment>
  <threadedComment ref="BG155" dT="2025-10-21T10:19:09.65" personId="{32192656-80C8-4310-B142-9CF98FC9C0EF}" id="{4DCC41F7-D005-4620-8FB2-CA7615370D53}">
    <text>Validated</text>
  </threadedComment>
  <threadedComment ref="BI155" dT="2025-10-21T10:19:09.65" personId="{32192656-80C8-4310-B142-9CF98FC9C0EF}" id="{4DAD3395-0A56-47B0-820E-0107790A47D3}">
    <text>Validated</text>
  </threadedComment>
  <threadedComment ref="BM155" dT="2025-12-23T10:49:30.45" personId="{1798D1B1-3098-46B1-91A2-D4C92B7E122A}" id="{8E06E173-19FB-4CF7-B7AC-AA53C78689E4}">
    <text xml:space="preserve">No joiners, no offers released, and no profiles sourced during the month of Nov’25.
</text>
  </threadedComment>
  <threadedComment ref="BU155" dT="2025-10-21T10:19:09.65" personId="{32192656-80C8-4310-B142-9CF98FC9C0EF}" id="{451A430E-D3FA-49EF-9DB6-F770951BE032}">
    <text>Validated</text>
  </threadedComment>
  <threadedComment ref="AM156" dT="2025-02-13T11:09:54.86" personId="{E64216F0-4450-479D-85DE-7DC73CB6BF16}" id="{1DCE1AFA-72DA-4C70-9E9E-2ADD213A12FC}">
    <text>Validated</text>
  </threadedComment>
  <threadedComment ref="BC156" dT="2025-08-24T12:51:19.91" personId="{32192656-80C8-4310-B142-9CF98FC9C0EF}" id="{8B8704F4-E555-4E84-89F6-C87392DE7325}">
    <text>Standard Number</text>
  </threadedComment>
  <threadedComment ref="BE156" dT="2025-09-29T07:55:08.54" personId="{32192656-80C8-4310-B142-9CF98FC9C0EF}" id="{3F72FF83-14ED-4BC9-A735-4C7BC3EB00F3}">
    <text>Standard Number</text>
  </threadedComment>
  <threadedComment ref="BG156" dT="2025-10-21T10:19:45.75" personId="{32192656-80C8-4310-B142-9CF98FC9C0EF}" id="{635648E7-3D92-413A-A24F-667D04B3CFAA}">
    <text>Standard Number</text>
  </threadedComment>
  <threadedComment ref="BI156" dT="2025-10-21T10:19:45.75" personId="{32192656-80C8-4310-B142-9CF98FC9C0EF}" id="{C2CA39A7-2897-4376-921C-352CCD47DC32}">
    <text>Standard Number</text>
  </threadedComment>
  <threadedComment ref="BM156" dT="2025-12-23T10:49:36.69" personId="{1798D1B1-3098-46B1-91A2-D4C92B7E122A}" id="{D1444BD5-064C-4B79-87FF-6D785D8900E9}">
    <text>No joiners, no offers released, and no profiles sourced during the month of Nov’25.</text>
  </threadedComment>
  <threadedComment ref="BU156" dT="2025-10-21T10:19:45.75" personId="{32192656-80C8-4310-B142-9CF98FC9C0EF}" id="{ADF59284-A7DC-472C-944D-14DBB18CFE1A}">
    <text>Standard Number</text>
  </threadedComment>
  <threadedComment ref="AU157" dT="2025-05-21T12:59:16.35" personId="{32192656-80C8-4310-B142-9CF98FC9C0EF}" id="{1F8CD0A2-52FB-4691-AB65-90DB36C482BE}">
    <text>Validated</text>
  </threadedComment>
  <threadedComment ref="AW157" dT="2025-05-21T12:58:27.16" personId="{32192656-80C8-4310-B142-9CF98FC9C0EF}" id="{6E0591A2-95FF-4FBE-BD2C-B6F438C6A6C3}">
    <text>Validated</text>
  </threadedComment>
  <threadedComment ref="BC157" dT="2025-08-24T12:51:19.91" personId="{32192656-80C8-4310-B142-9CF98FC9C0EF}" id="{69D0EEC0-80E0-440D-BBC3-D826C249E13B}">
    <text>Standard Number</text>
  </threadedComment>
  <threadedComment ref="BE157" dT="2025-09-29T07:55:08.54" personId="{32192656-80C8-4310-B142-9CF98FC9C0EF}" id="{CE5BA848-AD8E-4FE3-939A-9E92FE061D19}">
    <text>Standard Number</text>
  </threadedComment>
  <threadedComment ref="BG157" dT="2025-10-21T10:19:45.75" personId="{32192656-80C8-4310-B142-9CF98FC9C0EF}" id="{EC8059A4-5CE1-4BB7-8D9D-8508D16240B4}">
    <text>Standard Number</text>
  </threadedComment>
  <threadedComment ref="BI157" dT="2025-10-21T10:19:45.75" personId="{32192656-80C8-4310-B142-9CF98FC9C0EF}" id="{266A494F-DA40-422F-A64D-EC21C14CC66E}">
    <text>Standard Number</text>
  </threadedComment>
  <threadedComment ref="BM157" dT="2025-12-23T10:49:40.96" personId="{1798D1B1-3098-46B1-91A2-D4C92B7E122A}" id="{D2B8E01C-0E10-4D4E-AA52-28D05FFACA9A}">
    <text>No joiners, no offers released, and no profiles sourced during the month of Nov’25.</text>
  </threadedComment>
  <threadedComment ref="BU157" dT="2025-10-21T10:19:45.75" personId="{32192656-80C8-4310-B142-9CF98FC9C0EF}" id="{6CDC948A-A0A1-4920-B01B-6E823B3A4AAE}">
    <text>Standard Number</text>
  </threadedComment>
  <threadedComment ref="AU158" dT="2025-05-21T12:59:27.57" personId="{32192656-80C8-4310-B142-9CF98FC9C0EF}" id="{2B13BE41-E870-42A7-A999-F68CC5774AF3}">
    <text>Validated</text>
  </threadedComment>
  <threadedComment ref="AW158" dT="2025-05-21T12:58:27.16" personId="{32192656-80C8-4310-B142-9CF98FC9C0EF}" id="{3A0CCF5B-9608-4582-AC41-8227E85B94CD}">
    <text>Validated</text>
  </threadedComment>
  <threadedComment ref="AY158" dT="2025-07-23T05:33:07.79" personId="{32192656-80C8-4310-B142-9CF98FC9C0EF}" id="{88E9DD00-662F-4AA1-A30F-AC759746AC5B}">
    <text>Validated</text>
  </threadedComment>
  <threadedComment ref="BA158" dT="2025-07-23T05:32:52.67" personId="{32192656-80C8-4310-B142-9CF98FC9C0EF}" id="{21DCBAE7-1A97-4010-B22C-CE6C20D92BE5}">
    <text>Validated</text>
  </threadedComment>
  <threadedComment ref="BC158" dT="2025-08-24T12:26:46.38" personId="{32192656-80C8-4310-B142-9CF98FC9C0EF}" id="{8BAD114D-E1A1-44E7-A1C2-5F16857F5559}">
    <text>Validated</text>
  </threadedComment>
  <threadedComment ref="BE158" dT="2025-09-29T07:56:50.31" personId="{32192656-80C8-4310-B142-9CF98FC9C0EF}" id="{5AB06B94-49EE-440C-B3EA-8A8C68E1BB10}">
    <text>Validated</text>
  </threadedComment>
  <threadedComment ref="BG158" dT="2025-10-21T10:19:09.65" personId="{32192656-80C8-4310-B142-9CF98FC9C0EF}" id="{1273FFB6-609D-429A-988E-9178E976A94B}">
    <text>Validated</text>
  </threadedComment>
  <threadedComment ref="BI158" dT="2025-10-21T10:19:09.65" personId="{32192656-80C8-4310-B142-9CF98FC9C0EF}" id="{A74B1A96-C491-4450-8ACD-1A83FFFFD8F0}">
    <text>Validated</text>
  </threadedComment>
  <threadedComment ref="BM158" dT="2025-12-23T10:49:44.15" personId="{1798D1B1-3098-46B1-91A2-D4C92B7E122A}" id="{C1C0218A-3482-4395-AD91-4EE0B3326E77}">
    <text>No joiners, no offers released, and no profiles sourced during the month of Nov’25.</text>
  </threadedComment>
  <threadedComment ref="BU158" dT="2025-10-21T10:19:09.65" personId="{32192656-80C8-4310-B142-9CF98FC9C0EF}" id="{D7DEE35A-60AC-4815-A85F-50ED1DE32019}">
    <text>Validated</text>
  </threadedComment>
  <threadedComment ref="AE159" dT="2024-11-20T10:27:59.04" personId="{E64216F0-4450-479D-85DE-7DC73CB6BF16}" id="{5F36C94C-593B-4BE3-8B44-E2C8AE3C841A}">
    <text>Validated</text>
  </threadedComment>
  <threadedComment ref="AU159" dT="2025-05-21T12:59:51.79" personId="{32192656-80C8-4310-B142-9CF98FC9C0EF}" id="{3B1A143A-B3EA-4310-B3B1-071D751A8497}">
    <text>Validated</text>
  </threadedComment>
  <threadedComment ref="AW159" dT="2025-06-24T11:39:42.72" personId="{32192656-80C8-4310-B142-9CF98FC9C0EF}" id="{FF3041AF-2566-4520-AA7A-E585BF6A3FCD}">
    <text>Validated</text>
  </threadedComment>
  <threadedComment ref="AY159" dT="2025-07-23T05:34:23.12" personId="{32192656-80C8-4310-B142-9CF98FC9C0EF}" id="{85E63BF8-0872-4592-90C0-6548B17615E6}">
    <text>Validated</text>
  </threadedComment>
  <threadedComment ref="BA159" dT="2025-07-23T05:32:52.67" personId="{32192656-80C8-4310-B142-9CF98FC9C0EF}" id="{9396B8C9-760F-48A0-9E79-FE6E31E54C09}">
    <text>Validated</text>
  </threadedComment>
  <threadedComment ref="BM159" dT="2025-12-23T10:50:18.13" personId="{1798D1B1-3098-46B1-91A2-D4C92B7E122A}" id="{2EB1EDCC-45EB-4699-9BD9-F531EC8D2C1F}">
    <text>No joiners, no offers released, and no profiles sourced during the month of Nov’25.</text>
  </threadedComment>
  <threadedComment ref="W160" dT="2024-08-14T08:34:32.62" personId="{6777EDD4-E46F-4979-A7E7-6FC0A82E0C8E}" id="{E210BB3E-9989-4FC0-97A1-041F9EE7BF28}">
    <text>customer is not concerned about Diversity and conversion% numbers</text>
  </threadedComment>
  <threadedComment ref="X160" dT="2024-08-14T08:34:32.62" personId="{6777EDD4-E46F-4979-A7E7-6FC0A82E0C8E}" id="{10041DB8-1273-49C4-9380-264CB5239C6A}">
    <text>customer is not concerned about Diversity and conversion% numbers</text>
  </threadedComment>
  <threadedComment ref="Y160" dT="2024-08-14T08:34:32.62" personId="{6777EDD4-E46F-4979-A7E7-6FC0A82E0C8E}" id="{8BACDE40-A0FF-4D8A-8447-09CB7C91C84E}">
    <text>customer is not concerned about Diversity and conversion% numbers</text>
  </threadedComment>
  <threadedComment ref="Z160" dT="2024-08-14T08:34:32.62" personId="{6777EDD4-E46F-4979-A7E7-6FC0A82E0C8E}" id="{F6F1E606-A29C-44D2-A768-E396462FB847}">
    <text>customer is not concerned about Diversity and conversion% numbers</text>
  </threadedComment>
  <threadedComment ref="AW160" dT="2025-05-21T12:58:27.16" personId="{32192656-80C8-4310-B142-9CF98FC9C0EF}" id="{21F1FC97-899D-435F-AE7F-F5F77CC8B848}">
    <text>Validated</text>
  </threadedComment>
  <threadedComment ref="BC160" dT="2025-08-24T12:53:35.31" personId="{32192656-80C8-4310-B142-9CF98FC9C0EF}" id="{6B17E308-3D0A-4EB3-AAE2-139CF0A23D5D}">
    <text>Not Validated Incomplete data</text>
  </threadedComment>
  <threadedComment ref="BE160" dT="2025-09-29T07:57:56.66" personId="{32192656-80C8-4310-B142-9CF98FC9C0EF}" id="{26B2B20F-A8B3-4676-ABCA-2A18CBD9A33D}">
    <text>Selection Tracker not available</text>
  </threadedComment>
  <threadedComment ref="BG160" dT="2025-10-21T10:23:09.34" personId="{32192656-80C8-4310-B142-9CF98FC9C0EF}" id="{CED3FF07-6AF8-4BE5-8F63-0F937E09EEA8}">
    <text>Selection data not available</text>
  </threadedComment>
  <threadedComment ref="BI160" dT="2025-10-21T10:23:09.34" personId="{32192656-80C8-4310-B142-9CF98FC9C0EF}" id="{88E20FBD-63C0-4694-995E-BB234B165BA2}">
    <text>Selection data not available</text>
  </threadedComment>
  <threadedComment ref="BM160" dT="2025-12-23T10:50:23.45" personId="{1798D1B1-3098-46B1-91A2-D4C92B7E122A}" id="{D702C755-56BC-41BC-8272-AB885BBA6345}">
    <text>No joiners, no offers released, and no profiles sourced during the month of Nov’25.</text>
  </threadedComment>
  <threadedComment ref="BU160" dT="2025-10-21T10:23:09.34" personId="{32192656-80C8-4310-B142-9CF98FC9C0EF}" id="{CC6C19B5-BA1F-4A6B-849D-4EFA52DEEE73}">
    <text>Selection data not available</text>
  </threadedComment>
  <threadedComment ref="AE161" dT="2024-11-20T10:01:41.33" personId="{E64216F0-4450-479D-85DE-7DC73CB6BF16}" id="{E5F89761-8BE1-461D-BE0C-48ECEA9908F4}">
    <text xml:space="preserve">Validated
</text>
  </threadedComment>
  <threadedComment ref="AI161" dT="2025-01-14T20:01:36.41" personId="{E64216F0-4450-479D-85DE-7DC73CB6BF16}" id="{8A403E8C-7373-4409-9A10-FB8665BB10E1}">
    <text>Validated</text>
  </threadedComment>
  <threadedComment ref="AK161" dT="2025-01-14T20:01:36.41" personId="{E64216F0-4450-479D-85DE-7DC73CB6BF16}" id="{6B9BD53D-2349-4326-9DB4-870F48597E6D}">
    <text>Validated</text>
  </threadedComment>
  <threadedComment ref="AW161" dT="2025-05-21T12:58:27.16" personId="{32192656-80C8-4310-B142-9CF98FC9C0EF}" id="{E6F43313-188C-4DE0-B93A-96CD38D4362B}">
    <text>Validated</text>
  </threadedComment>
  <threadedComment ref="BM161" dT="2025-12-23T10:50:28.01" personId="{1798D1B1-3098-46B1-91A2-D4C92B7E122A}" id="{B5DEFDC1-530F-425F-B08C-AB80998EE4AD}">
    <text>No joiners, no offers released, and no profiles sourced during the month of Nov’25.</text>
  </threadedComment>
  <threadedComment ref="AI162" dT="2025-01-15T05:56:24.42" personId="{E64216F0-4450-479D-85DE-7DC73CB6BF16}" id="{C8880BB1-24D1-4EFD-A93B-C0736C572CF8}">
    <text>Validated</text>
  </threadedComment>
  <threadedComment ref="AK162" dT="2025-01-15T05:56:24.42" personId="{E64216F0-4450-479D-85DE-7DC73CB6BF16}" id="{02FBBBEE-E1AA-4241-8D95-7C25F28B24E1}">
    <text>Validated</text>
  </threadedComment>
  <threadedComment ref="AW162" dT="2025-05-21T12:58:27.16" personId="{32192656-80C8-4310-B142-9CF98FC9C0EF}" id="{72F79AAB-3507-4693-A780-A0FDB5A3D96E}">
    <text>Validated</text>
  </threadedComment>
  <threadedComment ref="AY162" dT="2025-07-23T05:34:51.29" personId="{32192656-80C8-4310-B142-9CF98FC9C0EF}" id="{333F19D1-62FD-41B6-A399-F1AFB1D69767}">
    <text>Validated</text>
  </threadedComment>
  <threadedComment ref="BA162" dT="2025-07-23T05:32:52.67" personId="{32192656-80C8-4310-B142-9CF98FC9C0EF}" id="{DF293728-D90F-48EE-A983-9A83FEDA9CFF}">
    <text>Validated</text>
  </threadedComment>
  <threadedComment ref="BM162" dT="2025-12-23T10:50:32.18" personId="{1798D1B1-3098-46B1-91A2-D4C92B7E122A}" id="{9BA94208-D84D-4230-B909-AF660D79C9ED}">
    <text>No joiners, no offers released, and no profiles sourced during the month of Nov’25.</text>
  </threadedComment>
  <threadedComment ref="Q163" dT="2024-05-10T10:43:22.76" personId="{81349F11-00FE-4654-AB80-28AAFDB5B552}" id="{E8870250-B6D5-4D3A-BD60-2B234EDAD7C5}">
    <text xml:space="preserve">Numbers reported without target approval
</text>
  </threadedComment>
  <threadedComment ref="Y163" dT="2024-09-15T08:38:20.77" personId="{6777EDD4-E46F-4979-A7E7-6FC0A82E0C8E}" id="{283A69C9-D49C-4D1A-B7F6-BCDE12E7946B}">
    <text>The data has not been validated because the base file was incomplete. Therefore, I am reporting the same numbers that she provided.</text>
  </threadedComment>
  <threadedComment ref="AE163" dT="2024-11-20T09:18:59.50" personId="{E64216F0-4450-479D-85DE-7DC73CB6BF16}" id="{3496CAFE-1525-4941-9D9D-3A46B36F395A}">
    <text xml:space="preserve">Validated
</text>
  </threadedComment>
  <threadedComment ref="AI163" dT="2025-01-15T12:41:22.07" personId="{E64216F0-4450-479D-85DE-7DC73CB6BF16}" id="{4B71A27B-185B-47B8-93FD-86B13ED99691}">
    <text>Validated</text>
  </threadedComment>
  <threadedComment ref="AM163" dT="2025-02-17T08:51:33.18" personId="{E64216F0-4450-479D-85DE-7DC73CB6BF16}" id="{D0372802-2A98-41C6-83EF-B68695B02A0D}">
    <text>Validated</text>
  </threadedComment>
  <threadedComment ref="AW163" dT="2025-06-24T08:28:53.20" personId="{32192656-80C8-4310-B142-9CF98FC9C0EF}" id="{E5F119A4-907E-4CC4-A86F-F6711D57D78A}">
    <text>Validated</text>
  </threadedComment>
  <threadedComment ref="AY163" dT="2025-07-23T05:54:20.54" personId="{32192656-80C8-4310-B142-9CF98FC9C0EF}" id="{03B6ADD4-5CBE-450A-94DD-5D43AF6581AC}">
    <text>Validated</text>
  </threadedComment>
  <threadedComment ref="BA163" dT="2025-07-23T05:54:20.54" personId="{32192656-80C8-4310-B142-9CF98FC9C0EF}" id="{D7BE10A1-C21E-4B49-9503-D195ABA327EA}">
    <text>Validated</text>
  </threadedComment>
  <threadedComment ref="BK163" dT="2025-11-24T11:37:15.24" personId="{32192656-80C8-4310-B142-9CF98FC9C0EF}" id="{298F1800-518A-4CCA-BC49-BC77F06BDD78}">
    <text>Validated</text>
  </threadedComment>
  <threadedComment ref="BM163" dT="2025-12-30T09:13:54.24" personId="{32192656-80C8-4310-B142-9CF98FC9C0EF}" id="{3A621725-C017-40DD-9DF8-FB23E91B0FE1}">
    <text>Validated</text>
  </threadedComment>
  <threadedComment ref="BO163" dT="2026-01-21T10:41:53.70" personId="{32192656-80C8-4310-B142-9CF98FC9C0EF}" id="{8E803E95-F9D4-444E-86D7-BC7F56607C50}">
    <text>Validated</text>
  </threadedComment>
  <threadedComment ref="BQ163" dT="2026-01-21T10:41:53.70" personId="{32192656-80C8-4310-B142-9CF98FC9C0EF}" id="{F0A8F0E7-FEF5-4D34-84D8-27F4AEA545D0}">
    <text>Validated</text>
  </threadedComment>
  <threadedComment ref="BS163" dT="2026-01-21T10:41:53.70" personId="{32192656-80C8-4310-B142-9CF98FC9C0EF}" id="{E8B1774A-5833-4506-8BBB-0E39AA3E91F3}">
    <text>Validated</text>
  </threadedComment>
  <threadedComment ref="BU163" dT="2026-01-21T10:41:53.70" personId="{32192656-80C8-4310-B142-9CF98FC9C0EF}" id="{2BB4B998-4818-422D-A2D0-3FE940F47D09}">
    <text>Validated</text>
  </threadedComment>
  <threadedComment ref="BU163" dT="2026-01-21T10:52:06.77" personId="{32192656-80C8-4310-B142-9CF98FC9C0EF}" id="{7F43AF12-F4CC-4657-A4AA-6E293442FFA4}" parentId="{2BB4B998-4818-422D-A2D0-3FE940F47D09}">
    <text>Validated</text>
  </threadedComment>
  <threadedComment ref="Q164" dT="2024-05-10T10:43:29.63" personId="{81349F11-00FE-4654-AB80-28AAFDB5B552}" id="{63D2B4AE-48FE-4FCE-A981-259731908380}">
    <text xml:space="preserve">Numbers reported without target approval
</text>
  </threadedComment>
  <threadedComment ref="Y164" dT="2024-09-15T08:38:29.66" personId="{6777EDD4-E46F-4979-A7E7-6FC0A82E0C8E}" id="{EBFB3024-57E8-4BF5-8204-043E572A5C34}">
    <text>The data has not been validated because the base file was incomplete. Therefore, I am reporting the same numbers that she provided.</text>
  </threadedComment>
  <threadedComment ref="AE164" dT="2024-11-20T09:19:07.20" personId="{E64216F0-4450-479D-85DE-7DC73CB6BF16}" id="{978F9A22-3842-4E0D-B1C9-A363F616C93F}">
    <text xml:space="preserve">Validated
</text>
  </threadedComment>
  <threadedComment ref="AG164" dT="2024-12-17T12:11:23.94" personId="{E64216F0-4450-479D-85DE-7DC73CB6BF16}" id="{BA8EA880-2D54-4538-BAEE-DB7BDD1CDF53}">
    <text>Validated</text>
  </threadedComment>
  <threadedComment ref="AM164" dT="2025-02-17T08:55:03.22" personId="{E64216F0-4450-479D-85DE-7DC73CB6BF16}" id="{A9987CDB-72A9-4736-B4A6-A875A9F5F87F}">
    <text>Validated</text>
  </threadedComment>
  <threadedComment ref="AW164" dT="2025-06-24T08:29:05.67" personId="{32192656-80C8-4310-B142-9CF98FC9C0EF}" id="{1F2A4DDF-E14C-4BD7-9A6C-E893959E99D6}">
    <text>Validated</text>
  </threadedComment>
  <threadedComment ref="AY164" dT="2025-07-23T05:54:30.39" personId="{32192656-80C8-4310-B142-9CF98FC9C0EF}" id="{B96D7A3F-CB8B-4769-A4CC-C335438892D3}">
    <text>Validated</text>
  </threadedComment>
  <threadedComment ref="BA164" dT="2025-07-23T05:54:30.39" personId="{32192656-80C8-4310-B142-9CF98FC9C0EF}" id="{27BAFF08-6F95-415B-BB3C-A09590DF67D1}">
    <text>Validated</text>
  </threadedComment>
  <threadedComment ref="BK164" dT="2025-11-24T11:37:15.24" personId="{32192656-80C8-4310-B142-9CF98FC9C0EF}" id="{6D047495-F34F-49F6-A3E0-89A619C2EB16}">
    <text>Validated</text>
  </threadedComment>
  <threadedComment ref="BM164" dT="2025-12-30T09:13:54.24" personId="{32192656-80C8-4310-B142-9CF98FC9C0EF}" id="{25672225-4806-4FE8-844F-3BE3A4D695C5}">
    <text>Validated</text>
  </threadedComment>
  <threadedComment ref="BO164" dT="2026-01-21T10:41:53.70" personId="{32192656-80C8-4310-B142-9CF98FC9C0EF}" id="{7D79E726-8845-4C98-BB3C-A34554147FBA}">
    <text>Validated</text>
  </threadedComment>
  <threadedComment ref="BQ164" dT="2026-01-21T10:41:53.70" personId="{32192656-80C8-4310-B142-9CF98FC9C0EF}" id="{8D842576-832A-4197-927C-38BF5FA1297E}">
    <text>Validated</text>
  </threadedComment>
  <threadedComment ref="BS164" dT="2026-01-21T10:41:53.70" personId="{32192656-80C8-4310-B142-9CF98FC9C0EF}" id="{270EF813-0D32-41C7-85AE-6BE75E6B3902}">
    <text>Validated</text>
  </threadedComment>
  <threadedComment ref="BU164" dT="2026-01-21T10:41:53.70" personId="{32192656-80C8-4310-B142-9CF98FC9C0EF}" id="{6956D786-7F15-4A0C-A8BE-C3D535CF32A5}">
    <text>Validated</text>
  </threadedComment>
  <threadedComment ref="Q165" dT="2024-05-10T10:43:54.69" personId="{81349F11-00FE-4654-AB80-28AAFDB5B552}" id="{26EAC919-6067-4387-A701-4830D9FD4771}">
    <text xml:space="preserve">Numbers reported without target approval
</text>
  </threadedComment>
  <threadedComment ref="Y165" dT="2024-09-15T08:38:34.21" personId="{6777EDD4-E46F-4979-A7E7-6FC0A82E0C8E}" id="{16296CCA-1AA1-417F-B2A4-E8547BBEBB5C}">
    <text>The data has not been validated because the base file was incomplete. Therefore, I am reporting the same numbers that she provided.</text>
  </threadedComment>
  <threadedComment ref="AY165" dT="2025-07-23T05:55:31.56" personId="{32192656-80C8-4310-B142-9CF98FC9C0EF}" id="{21C4CEED-E31A-44DB-BB2F-515639A94474}">
    <text>Standard number reporting every month</text>
  </threadedComment>
  <threadedComment ref="BA165" dT="2025-07-23T05:55:31.56" personId="{32192656-80C8-4310-B142-9CF98FC9C0EF}" id="{8B689C84-B42E-4C81-BCFD-EF6F85F6EDB8}">
    <text>Standard number reporting every month</text>
  </threadedComment>
  <threadedComment ref="BK165" dT="2025-11-24T11:40:12.73" personId="{32192656-80C8-4310-B142-9CF98FC9C0EF}" id="{B6FF1FBC-3575-463F-A66A-6BCB712A71DE}">
    <text xml:space="preserve">Can’t be validated. Position created on real time basis
</text>
  </threadedComment>
  <threadedComment ref="BM165" dT="2025-11-24T11:40:12.73" personId="{32192656-80C8-4310-B142-9CF98FC9C0EF}" id="{597788F9-A6F5-4F5A-B22F-63E7CA9812DA}">
    <text xml:space="preserve">Can’t be validated. Position created on real time basis
</text>
  </threadedComment>
  <threadedComment ref="Q166" dT="2024-05-10T12:44:54.94" personId="{81349F11-00FE-4654-AB80-28AAFDB5B552}" id="{8A05CAD2-E504-463F-87CC-45DE51D5427E}">
    <text xml:space="preserve">Numbers reported without target approval
</text>
  </threadedComment>
  <threadedComment ref="AY166" dT="2025-07-23T05:55:52.01" personId="{32192656-80C8-4310-B142-9CF98FC9C0EF}" id="{D7443544-C692-4BC1-951B-3125FC71571B}">
    <text>Standard number reporting every month</text>
  </threadedComment>
  <threadedComment ref="BA166" dT="2025-07-23T05:55:52.01" personId="{32192656-80C8-4310-B142-9CF98FC9C0EF}" id="{A2F41CAA-7571-45C7-A0A8-7E5700DC1F66}">
    <text>Standard number reporting every month</text>
  </threadedComment>
  <threadedComment ref="BE166" dT="2025-09-29T08:40:54.81" personId="{32192656-80C8-4310-B142-9CF98FC9C0EF}" id="{F2D445B5-DF55-4E9C-8898-2681F5BA3774}">
    <text>Standard Number</text>
  </threadedComment>
  <threadedComment ref="BG166" dT="2025-10-21T09:49:03.56" personId="{32192656-80C8-4310-B142-9CF98FC9C0EF}" id="{36A8172A-AA05-4C96-8D11-7AAF73EC54E6}">
    <text>Standard Number Validation not required</text>
  </threadedComment>
  <threadedComment ref="BI166" dT="2025-10-21T09:49:03.56" personId="{32192656-80C8-4310-B142-9CF98FC9C0EF}" id="{4DC99BBC-DF37-4A01-AF93-A7AA0CCA2B39}">
    <text>Standard Number Validation not required</text>
  </threadedComment>
  <threadedComment ref="BK166" dT="2025-10-21T09:49:03.56" personId="{32192656-80C8-4310-B142-9CF98FC9C0EF}" id="{F5AF931A-14A5-46FE-945B-C514A43A7AC3}">
    <text>Standard Number Validation not required</text>
  </threadedComment>
  <threadedComment ref="BM166" dT="2025-10-21T09:49:03.56" personId="{32192656-80C8-4310-B142-9CF98FC9C0EF}" id="{4B8F8BD4-6E4D-4132-8B25-1BE08E124A38}">
    <text>Standard Number Validation not required</text>
  </threadedComment>
  <threadedComment ref="Q167" dT="2024-05-10T10:44:07.70" personId="{81349F11-00FE-4654-AB80-28AAFDB5B552}" id="{692BE434-63BE-4140-BA2D-2D48A0195E64}">
    <text xml:space="preserve">Numbers reported without target approval
</text>
  </threadedComment>
  <threadedComment ref="Y167" dT="2024-09-15T08:38:44.75" personId="{6777EDD4-E46F-4979-A7E7-6FC0A82E0C8E}" id="{E42F6645-3535-459B-A990-7E9B7F561065}">
    <text>The data has not been validated because the base file was incomplete. Therefore, I am reporting the same numbers that she provided.</text>
  </threadedComment>
  <threadedComment ref="BE167" dT="2025-09-29T08:40:54.81" personId="{32192656-80C8-4310-B142-9CF98FC9C0EF}" id="{A97E5779-55A7-4881-9709-E582B8BC076F}">
    <text>Standard Number</text>
  </threadedComment>
  <threadedComment ref="BG167" dT="2025-10-21T09:49:03.56" personId="{32192656-80C8-4310-B142-9CF98FC9C0EF}" id="{E54F9962-F640-4FEA-BBE9-F0BF8C932FB9}">
    <text>Standard Number Validation not required</text>
  </threadedComment>
  <threadedComment ref="BI167" dT="2025-10-21T09:49:03.56" personId="{32192656-80C8-4310-B142-9CF98FC9C0EF}" id="{CAFDDAE4-8D23-439C-82CC-F6CE0B127B09}">
    <text>Standard Number Validation not required</text>
  </threadedComment>
  <threadedComment ref="BK167" dT="2025-10-21T09:49:03.56" personId="{32192656-80C8-4310-B142-9CF98FC9C0EF}" id="{0A2C35DB-ED13-43C2-822C-301408C52735}">
    <text>Standard Number Validation not required</text>
  </threadedComment>
  <threadedComment ref="BM167" dT="2025-10-21T09:49:03.56" personId="{32192656-80C8-4310-B142-9CF98FC9C0EF}" id="{1207155A-60B3-4396-82F0-8B264ADF37BF}">
    <text>Standard Number Validation not required</text>
  </threadedComment>
  <threadedComment ref="L168" dT="2024-09-15T08:29:29.55" personId="{6777EDD4-E46F-4979-A7E7-6FC0A82E0C8E}" id="{369C3425-619E-4CF7-9E8F-06BEE17AA642}">
    <text>Target changed from 10% to 50%</text>
  </threadedComment>
  <threadedComment ref="M168" dT="2024-09-15T08:29:29.55" personId="{6777EDD4-E46F-4979-A7E7-6FC0A82E0C8E}" id="{22CDE9F7-941C-47BB-A340-AAE9191F6ED7}">
    <text>Target changed from 10% to 50%</text>
  </threadedComment>
  <threadedComment ref="Q168" dT="2024-05-10T10:44:29.40" personId="{81349F11-00FE-4654-AB80-28AAFDB5B552}" id="{04CB4DFE-23D0-499E-8F21-B9A24346462B}">
    <text xml:space="preserve">Numbers reported without target approval
</text>
  </threadedComment>
  <threadedComment ref="Y168" dT="2024-09-15T08:38:49.78" personId="{6777EDD4-E46F-4979-A7E7-6FC0A82E0C8E}" id="{A8E028CD-B458-41C8-899D-50CDE9534892}">
    <text>The data has not been validated because the base file was incomplete. Therefore, I am reporting the same numbers that she provided.</text>
  </threadedComment>
  <threadedComment ref="AE168" dT="2024-11-20T09:16:22.35" personId="{E64216F0-4450-479D-85DE-7DC73CB6BF16}" id="{8E86BCBC-EDC6-438F-80BB-F349121DB36E}">
    <text xml:space="preserve">Validated
</text>
  </threadedComment>
  <threadedComment ref="AG168" dT="2024-12-17T12:10:43.25" personId="{E64216F0-4450-479D-85DE-7DC73CB6BF16}" id="{CC83A375-DEB0-4A9A-AC86-141D612AE2E2}">
    <text>Validated</text>
  </threadedComment>
  <threadedComment ref="AI168" dT="2025-01-15T12:42:26.96" personId="{E64216F0-4450-479D-85DE-7DC73CB6BF16}" id="{4C666AD4-70B6-498D-A6F5-3C3351513E2D}">
    <text>Validated</text>
  </threadedComment>
  <threadedComment ref="AW168" dT="2025-06-24T08:29:58.01" personId="{32192656-80C8-4310-B142-9CF98FC9C0EF}" id="{A4B93147-943D-41B8-AE00-4BACF8D4B384}">
    <text>Validated</text>
  </threadedComment>
  <threadedComment ref="BK168" dT="2025-11-24T11:37:15.24" personId="{32192656-80C8-4310-B142-9CF98FC9C0EF}" id="{64DAC661-3D9F-48E2-8620-0B0CF5560354}">
    <text>Validated</text>
  </threadedComment>
  <threadedComment ref="BM168" dT="2025-12-30T09:25:18.62" personId="{32192656-80C8-4310-B142-9CF98FC9C0EF}" id="{15EC6D5E-2290-479C-BC52-5386FA5D8E1E}">
    <text>Validated</text>
  </threadedComment>
  <threadedComment ref="BO168" dT="2026-01-21T10:34:55.23" personId="{32192656-80C8-4310-B142-9CF98FC9C0EF}" id="{2D3F88F6-31D1-4BBC-ACFD-0E6C913E56AA}">
    <text>Validated</text>
  </threadedComment>
  <threadedComment ref="BQ168" dT="2026-01-21T10:34:55.23" personId="{32192656-80C8-4310-B142-9CF98FC9C0EF}" id="{9C94E218-3AE5-442C-A07D-6D103A63F248}">
    <text>Validated</text>
  </threadedComment>
  <threadedComment ref="L169" dT="2024-09-15T08:28:49.95" personId="{6777EDD4-E46F-4979-A7E7-6FC0A82E0C8E}" id="{DBFABEF4-837D-42C6-B490-A4329C68D2BC}">
    <text>Target changed from 50% to 60%</text>
  </threadedComment>
  <threadedComment ref="M169" dT="2024-09-15T08:28:49.95" personId="{6777EDD4-E46F-4979-A7E7-6FC0A82E0C8E}" id="{56F1E81E-8418-4E88-B142-24C010EE1653}">
    <text>Target changed from 50% to 60%</text>
  </threadedComment>
  <threadedComment ref="Q169" dT="2024-05-10T10:44:29.40" personId="{81349F11-00FE-4654-AB80-28AAFDB5B552}" id="{A3B2573E-DD08-4518-A442-AF37443633DC}">
    <text xml:space="preserve">Numbers reported without target approval
</text>
  </threadedComment>
  <threadedComment ref="Y169" dT="2024-09-15T08:38:56.98" personId="{6777EDD4-E46F-4979-A7E7-6FC0A82E0C8E}" id="{4E706D91-7E0A-4952-BD77-6C1151102414}">
    <text>The data has not been validated because the base file was incomplete. Therefore, I am reporting the same numbers that she provided.</text>
  </threadedComment>
  <threadedComment ref="AM169" dT="2025-02-17T09:14:41.85" personId="{E64216F0-4450-479D-85DE-7DC73CB6BF16}" id="{4027A674-F2FF-400D-8AAD-8B6E300C4B2B}">
    <text>Validated</text>
  </threadedComment>
  <threadedComment ref="BK169" dT="2025-11-24T11:41:32.27" personId="{32192656-80C8-4310-B142-9CF98FC9C0EF}" id="{7CBC8E2B-CD90-417C-A7BE-5A618665B00D}">
    <text>Can’t be validated. Position Tracker not available</text>
  </threadedComment>
  <threadedComment ref="BM169" dT="2025-12-31T08:37:57.11" personId="{6777EDD4-E46F-4979-A7E7-6FC0A82E0C8E}" id="{19643E89-50BD-472F-8346-98D358101A99}">
    <text>Not Validated. Open position data not available</text>
  </threadedComment>
  <threadedComment ref="W170" dT="2024-09-15T09:17:23.09" personId="{6777EDD4-E46F-4979-A7E7-6FC0A82E0C8E}" id="{C14ABA19-5FBE-4F6A-A0BB-C41196C09262}">
    <text>Start applicable from Aug'24</text>
  </threadedComment>
  <threadedComment ref="X170" dT="2024-09-15T09:17:23.09" personId="{6777EDD4-E46F-4979-A7E7-6FC0A82E0C8E}" id="{3B055A2B-5438-4F1B-922C-0F25A19AB79D}">
    <text>Start applicable from Aug'24</text>
  </threadedComment>
  <threadedComment ref="Y170" dT="2024-09-15T09:25:52.23" personId="{6777EDD4-E46F-4979-A7E7-6FC0A82E0C8E}" id="{45F17078-15FF-4A75-9245-7F30DAED054F}">
    <text>MG was 50 for Aug</text>
  </threadedComment>
  <threadedComment ref="AQ170" dT="2025-04-18T15:15:24.65" personId="{6777EDD4-E46F-4979-A7E7-6FC0A82E0C8E}" id="{44C72E8C-9439-434D-AA49-AB5669ADBE15}">
    <text>28 candidates joined against of target 27</text>
  </threadedComment>
  <threadedComment ref="AS170" dT="2025-04-18T15:24:36.38" personId="{6777EDD4-E46F-4979-A7E7-6FC0A82E0C8E}" id="{E2AE0BCE-CE92-4873-A99F-A84A5B9F65CD}">
    <text>Target - 80 MG and Jan-30, Feb-22 &amp; March-28 candidates joined</text>
  </threadedComment>
  <threadedComment ref="AU170" dT="2025-04-18T15:15:24.65" personId="{6777EDD4-E46F-4979-A7E7-6FC0A82E0C8E}" id="{2F12D265-D536-4BC5-B2DC-234BA53D5E22}">
    <text>42 candidates joined against of target 50</text>
  </threadedComment>
  <threadedComment ref="AW170" dT="2025-06-24T08:28:28.02" personId="{32192656-80C8-4310-B142-9CF98FC9C0EF}" id="{4697A3F2-81DC-4290-8673-69B4FEE0B804}">
    <text>39 Joined against of 23</text>
  </threadedComment>
  <threadedComment ref="AY170" dT="2025-07-23T05:54:45.47" personId="{32192656-80C8-4310-B142-9CF98FC9C0EF}" id="{3F0C1577-CB16-43E1-B488-5351FF4FA580}">
    <text>Validated</text>
  </threadedComment>
  <threadedComment ref="BA170" dT="2025-07-23T05:58:29.79" personId="{32192656-80C8-4310-B142-9CF98FC9C0EF}" id="{3388A4C1-2F05-4D8B-8024-5592A2A7796B}">
    <text>Validated</text>
  </threadedComment>
  <threadedComment ref="BE170" dT="2025-09-29T08:41:54.46" personId="{32192656-80C8-4310-B142-9CF98FC9C0EF}" id="{4D430FA6-7B01-44BA-A0FA-AAB8EAC7B6D4}">
    <text>No MG clause effective from July as per new contract</text>
  </threadedComment>
  <threadedComment ref="BF170" dT="2025-09-29T08:41:54.46" personId="{32192656-80C8-4310-B142-9CF98FC9C0EF}" id="{C215845A-CF7C-441B-AFDB-CBB3E36DF47A}">
    <text>No MG clause effective from July as per new contract</text>
  </threadedComment>
  <threadedComment ref="BG170" dT="2025-10-21T09:50:02.77" personId="{32192656-80C8-4310-B142-9CF98FC9C0EF}" id="{EDCC44A8-AFD5-4C49-B27A-0EC2738E0087}">
    <text>No MG clause effective from July as per new contract</text>
  </threadedComment>
  <threadedComment ref="BI170" dT="2025-10-21T09:50:02.77" personId="{32192656-80C8-4310-B142-9CF98FC9C0EF}" id="{193EDD26-F04B-4AAB-9400-EC64078C8696}">
    <text>No MG clause effective from July as per new contract</text>
  </threadedComment>
  <threadedComment ref="BK170" dT="2025-10-21T09:50:02.77" personId="{32192656-80C8-4310-B142-9CF98FC9C0EF}" id="{2C0D988D-EE0E-4070-A802-D77BEC0B1409}">
    <text>No MG clause effective from July as per new contract</text>
  </threadedComment>
  <threadedComment ref="BM170" dT="2025-10-21T09:50:02.77" personId="{32192656-80C8-4310-B142-9CF98FC9C0EF}" id="{B727D7E8-5545-4548-962D-57AC75EA9C70}">
    <text>No MG clause effective from July as per new contract</text>
  </threadedComment>
  <threadedComment ref="BO170" dT="2025-10-21T09:50:02.77" personId="{32192656-80C8-4310-B142-9CF98FC9C0EF}" id="{C828D973-A2D0-49C2-9773-CC7B2270796C}">
    <text>No MG clause effective from July as per new contract</text>
  </threadedComment>
  <threadedComment ref="BQ170" dT="2025-10-21T09:50:02.77" personId="{32192656-80C8-4310-B142-9CF98FC9C0EF}" id="{8AAD7C7B-69F3-43F9-AB6D-77EBEC4B43C2}">
    <text>No MG clause effective from July as per new contract</text>
  </threadedComment>
  <threadedComment ref="BS170" dT="2025-10-21T09:50:02.77" personId="{32192656-80C8-4310-B142-9CF98FC9C0EF}" id="{C565D260-1970-4953-B191-240656C8BF20}">
    <text>No MG clause effective from July as per new contract</text>
  </threadedComment>
  <threadedComment ref="BU170" dT="2025-10-21T09:50:02.77" personId="{32192656-80C8-4310-B142-9CF98FC9C0EF}" id="{923F4422-7663-4BB9-AD74-7AC5953DB12D}">
    <text>No MG clause effective from July as per new contract</text>
  </threadedComment>
  <threadedComment ref="L171" dT="2023-03-10T16:13:24.09" personId="{6777EDD4-E46F-4979-A7E7-6FC0A82E0C8E}" id="{A569E75B-BA32-46DA-B402-692216353811}">
    <text>Earlier we were measuring as a KPI and target was 90 Days till Dec'22</text>
  </threadedComment>
  <threadedComment ref="M171" dT="2023-03-10T16:13:24.09" personId="{6777EDD4-E46F-4979-A7E7-6FC0A82E0C8E}" id="{C4C1CC35-0D6E-475A-8494-A1E573CF2C70}">
    <text>Earlier we were measuring as a KPI and target was 90 Days till Dec'22</text>
  </threadedComment>
  <threadedComment ref="Q171" dT="2024-05-11T05:03:38.08" personId="{1798D1B1-3098-46B1-91A2-D4C92B7E122A}" id="{7B492017-664C-47A7-8E21-80669FA8ABF5}">
    <text>Validated</text>
  </threadedComment>
  <threadedComment ref="AU171" dT="2025-05-21T07:12:44.28" personId="{1798D1B1-3098-46B1-91A2-D4C92B7E122A}" id="{8233EBC9-C710-4B75-B245-CDAA56AAB2DF}">
    <text>Validated</text>
  </threadedComment>
  <threadedComment ref="AW171" dT="2025-06-19T08:27:30.65" personId="{1798D1B1-3098-46B1-91A2-D4C92B7E122A}" id="{75B32025-DC94-4F88-8DC5-D95D9E693E35}">
    <text>18 Joiners</text>
  </threadedComment>
  <threadedComment ref="AY171" dT="2025-07-21T11:11:22.10" personId="{1798D1B1-3098-46B1-91A2-D4C92B7E122A}" id="{D0B7B03E-328F-4AAB-93E2-29629EF3DCA0}">
    <text>19 joiners</text>
  </threadedComment>
  <threadedComment ref="L172" dT="2023-03-10T16:14:26.35" personId="{6777EDD4-E46F-4979-A7E7-6FC0A82E0C8E}" id="{C74C0D1B-5D42-4235-AE03-8742DA43981A}">
    <text>Earlier we were measuring as a KPI and target was 45 Days till Dec'22</text>
  </threadedComment>
  <threadedComment ref="M172" dT="2023-03-10T16:14:26.35" personId="{6777EDD4-E46F-4979-A7E7-6FC0A82E0C8E}" id="{75AE22BE-D9EB-4F01-9F40-8B2EE9B0AAEF}">
    <text>Earlier we were measuring as a KPI and target was 45 Days till Dec'22</text>
  </threadedComment>
  <threadedComment ref="Q172" dT="2024-05-11T05:03:46.16" personId="{1798D1B1-3098-46B1-91A2-D4C92B7E122A}" id="{9AD74769-9072-46DC-AD39-25657628872D}">
    <text>Validated</text>
  </threadedComment>
  <threadedComment ref="AU172" dT="2025-05-21T07:12:50.00" personId="{1798D1B1-3098-46B1-91A2-D4C92B7E122A}" id="{7798177C-54E7-427A-8CA1-0A477362679B}">
    <text>Validated</text>
  </threadedComment>
  <threadedComment ref="AW172" dT="2025-06-19T08:29:29.02" personId="{1798D1B1-3098-46B1-91A2-D4C92B7E122A}" id="{25646177-9838-4149-A50D-111786707F68}">
    <text>10 offers</text>
  </threadedComment>
  <threadedComment ref="AY172" dT="2025-07-21T11:14:51.22" personId="{1798D1B1-3098-46B1-91A2-D4C92B7E122A}" id="{3D0DE255-3FD5-42E1-8822-2383F9F7EBD0}">
    <text>27 offers</text>
  </threadedComment>
  <threadedComment ref="BA172" dT="2025-07-21T11:15:50.28" personId="{1798D1B1-3098-46B1-91A2-D4C92B7E122A}" id="{60D6E841-6329-4759-9860-BC71211E3C7B}">
    <text>66 offers</text>
  </threadedComment>
  <threadedComment ref="U173" dT="2024-07-12T13:16:09.65" personId="{1798D1B1-3098-46B1-91A2-D4C92B7E122A}" id="{21EB911C-E823-4681-BA43-641A0878A7B5}">
    <text>Validated</text>
  </threadedComment>
  <threadedComment ref="AW173" dT="2025-06-19T08:51:10.53" personId="{1798D1B1-3098-46B1-91A2-D4C92B7E122A}" id="{92BD999D-02C9-47F8-A271-19249FB79BD4}">
    <text>18 offers and 18 joined</text>
  </threadedComment>
  <threadedComment ref="AY173" dT="2025-07-21T11:19:42.10" personId="{1798D1B1-3098-46B1-91A2-D4C92B7E122A}" id="{2BC174F1-E616-4C7A-93DC-F5F570AEEA5B}">
    <text>19 offered and 22 joined</text>
  </threadedComment>
  <threadedComment ref="BA173" dT="2025-07-21T11:19:57.55" personId="{1798D1B1-3098-46B1-91A2-D4C92B7E122A}" id="{A97AF8D2-9AB3-4432-8A91-4D19F07AC8E5}">
    <text xml:space="preserve">43 offered and 47 joined
</text>
  </threadedComment>
  <threadedComment ref="L174" dT="2023-03-10T16:15:05.64" personId="{6777EDD4-E46F-4979-A7E7-6FC0A82E0C8E}" id="{1F2F59DF-CE46-4B30-A7B7-BF7BA0E6EF49}">
    <text>Earlier we were measuring as a KPI and target was 1:10 till Dec'22</text>
  </threadedComment>
  <threadedComment ref="M174" dT="2023-03-10T16:15:05.64" personId="{6777EDD4-E46F-4979-A7E7-6FC0A82E0C8E}" id="{C8F9570B-A3FF-402E-88E1-A7C4DA4D96AE}">
    <text>Earlier we were measuring as a KPI and target was 1:10 till Dec'22</text>
  </threadedComment>
  <threadedComment ref="S174" dT="2024-06-12T08:03:38.79" personId="{1798D1B1-3098-46B1-91A2-D4C92B7E122A}" id="{837FD4DE-6AFB-4D69-8C7F-71CCDC081F79}">
    <text>Validated</text>
  </threadedComment>
  <threadedComment ref="U175" dT="2024-07-12T13:16:22.62" personId="{1798D1B1-3098-46B1-91A2-D4C92B7E122A}" id="{4C6ABCAE-8727-45A9-89A4-AC77DD38693B}">
    <text>Validated</text>
  </threadedComment>
  <threadedComment ref="AY175" dT="2025-07-21T11:21:27.24" personId="{1798D1B1-3098-46B1-91A2-D4C92B7E122A}" id="{DC3F9D5C-EB93-47A3-94D4-3AED178C2682}">
    <text>5 referred cases out of 19 joiners</text>
  </threadedComment>
  <threadedComment ref="BA175" dT="2025-07-21T11:21:45.02" personId="{1798D1B1-3098-46B1-91A2-D4C92B7E122A}" id="{B557FDD2-09F6-44BE-9641-138D81E6B921}">
    <text xml:space="preserve">11 referred cases out of 43 joiners
</text>
  </threadedComment>
  <threadedComment ref="L176" dT="2024-05-11T05:08:18.08" personId="{1798D1B1-3098-46B1-91A2-D4C92B7E122A}" id="{70E7A3EE-ECAB-4BF0-A5B9-0D44C2253B53}">
    <text>Target not approved by PH</text>
  </threadedComment>
  <threadedComment ref="M176" dT="2024-05-11T05:08:18.08" personId="{1798D1B1-3098-46B1-91A2-D4C92B7E122A}" id="{8E43CF6F-1F11-4C9C-8EC0-747999FD7528}">
    <text>Target not approved by PH</text>
  </threadedComment>
  <threadedComment ref="Q176" dT="2024-05-11T05:13:07.82" personId="{1798D1B1-3098-46B1-91A2-D4C92B7E122A}" id="{CD0B05CA-7F02-4DF0-B864-BD7108ABBFC2}">
    <text xml:space="preserve">Not approved by PH
</text>
  </threadedComment>
  <threadedComment ref="AU176" dT="2025-05-21T07:15:48.15" personId="{1798D1B1-3098-46B1-91A2-D4C92B7E122A}" id="{1E89FEBE-3AB9-4EC4-9472-D085DC421B20}">
    <text>Validated</text>
  </threadedComment>
  <threadedComment ref="AW176" dT="2025-06-19T08:33:27.11" personId="{1798D1B1-3098-46B1-91A2-D4C92B7E122A}" id="{24222E27-E0BE-4E36-8F9E-34146C7110D5}">
    <text>11 position beyond TTF and 73 open positions</text>
  </threadedComment>
  <threadedComment ref="AY176" dT="2025-07-21T11:22:20.51" personId="{1798D1B1-3098-46B1-91A2-D4C92B7E122A}" id="{B1E5CB24-0321-46ED-9204-8216CAFAFF21}">
    <text>9 cases beyond TTF and 84 open positions</text>
  </threadedComment>
  <threadedComment ref="BA176" dT="2025-07-21T11:22:33.75" personId="{1798D1B1-3098-46B1-91A2-D4C92B7E122A}" id="{943C705E-EE08-4251-A11C-D45A283AEF01}">
    <text>26 cases beyond TTF and 218 open positions</text>
  </threadedComment>
  <threadedComment ref="L177" dT="2024-05-11T05:08:21.57" personId="{1798D1B1-3098-46B1-91A2-D4C92B7E122A}" id="{CDA3AC5F-457D-4D8B-BD6E-58D04DE2EB1D}">
    <text>Target not approved by PH</text>
  </threadedComment>
  <threadedComment ref="M177" dT="2024-05-11T05:08:21.57" personId="{1798D1B1-3098-46B1-91A2-D4C92B7E122A}" id="{C4928E83-46F0-45C1-B8B5-CDE586C45D61}">
    <text>Target not approved by PH</text>
  </threadedComment>
  <threadedComment ref="Q177" dT="2024-05-11T05:13:11.19" personId="{1798D1B1-3098-46B1-91A2-D4C92B7E122A}" id="{4AE92C41-A171-439F-A3BB-3D98CAC1A395}">
    <text xml:space="preserve">Not approved by PH
</text>
  </threadedComment>
  <threadedComment ref="W177" dT="2024-08-14T09:17:04.27" personId="{1798D1B1-3098-46B1-91A2-D4C92B7E122A}" id="{1123D2E6-0F15-41B0-9550-A431AC9D2C60}">
    <text>Not validated due to status not correctly updated</text>
  </threadedComment>
  <threadedComment ref="Y177" dT="2024-09-13T11:04:35.01" personId="{1798D1B1-3098-46B1-91A2-D4C92B7E122A}" id="{408661BE-7B9B-4FBB-B6E3-1BBD6D5CA1F1}">
    <text>validated</text>
  </threadedComment>
  <threadedComment ref="AA177" dT="2024-10-17T06:39:02.71" personId="{1798D1B1-3098-46B1-91A2-D4C92B7E122A}" id="{0C25EDF2-94BA-446D-BC51-5684968C5266}">
    <text>Validated</text>
  </threadedComment>
  <threadedComment ref="AW177" dT="2025-06-19T08:51:48.58" personId="{1798D1B1-3098-46B1-91A2-D4C92B7E122A}" id="{00ABC21B-B45A-4B72-9F75-864021CFF6FF}">
    <text>61 CV shortlisted and 102 CV shared</text>
  </threadedComment>
  <threadedComment ref="AY177" dT="2025-07-21T11:22:59.27" personId="{1798D1B1-3098-46B1-91A2-D4C92B7E122A}" id="{6337B217-3162-4D8E-817D-535ECA38EABA}">
    <text>74 CV shortlisted and 80 Cvs Shared</text>
  </threadedComment>
  <threadedComment ref="BA177" dT="2025-07-21T11:23:15.37" personId="{1798D1B1-3098-46B1-91A2-D4C92B7E122A}" id="{021DDFC8-8DAC-4B36-882E-5BA69157C094}">
    <text xml:space="preserve">197 CV shortlisted and 273 Cvs Shared
</text>
  </threadedComment>
  <threadedComment ref="BC177" dT="2025-08-21T13:17:33.76" personId="{1798D1B1-3098-46B1-91A2-D4C92B7E122A}" id="{4856F1A4-10F2-47E4-A253-C6C81C4EE9A9}">
    <text>Validated and 96/137</text>
  </threadedComment>
  <threadedComment ref="BE177" dT="2025-09-25T11:36:47.52" personId="{1798D1B1-3098-46B1-91A2-D4C92B7E122A}" id="{922EEDEF-E9E7-4530-B795-AFA074056C45}">
    <text>Validated</text>
  </threadedComment>
  <threadedComment ref="L178" dT="2024-05-11T05:08:24.67" personId="{1798D1B1-3098-46B1-91A2-D4C92B7E122A}" id="{955B01D8-2EF7-4229-B6BF-140EA8EAAD51}">
    <text>Target not approved by PH</text>
  </threadedComment>
  <threadedComment ref="M178" dT="2024-05-11T05:08:24.67" personId="{1798D1B1-3098-46B1-91A2-D4C92B7E122A}" id="{A797DF83-C73E-4BAA-9CB4-9053E2CCCAD5}">
    <text>Target not approved by PH</text>
  </threadedComment>
  <threadedComment ref="Q178" dT="2024-05-11T05:13:14.22" personId="{1798D1B1-3098-46B1-91A2-D4C92B7E122A}" id="{277DD9FA-9C22-4DE8-B679-D9A1D67FE480}">
    <text xml:space="preserve">Not approved by PH
</text>
  </threadedComment>
  <threadedComment ref="W178" dT="2024-08-14T09:17:38.46" personId="{1798D1B1-3098-46B1-91A2-D4C92B7E122A}" id="{7F024443-ABBA-409D-AEE3-6C00EF91C591}">
    <text>Not validated due to status not correctly updated</text>
  </threadedComment>
  <threadedComment ref="Y178" dT="2024-09-13T11:04:39.88" personId="{1798D1B1-3098-46B1-91A2-D4C92B7E122A}" id="{2ACF9FC5-0A57-450C-90E5-4F8A31F3B250}">
    <text>Validated</text>
  </threadedComment>
  <threadedComment ref="AA178" dT="2024-10-17T06:39:08.36" personId="{1798D1B1-3098-46B1-91A2-D4C92B7E122A}" id="{1D914A00-4F5E-4482-90EC-42BCFAD05500}">
    <text>Validated</text>
  </threadedComment>
  <threadedComment ref="AW178" dT="2025-06-19T08:53:55.43" personId="{1798D1B1-3098-46B1-91A2-D4C92B7E122A}" id="{4D527FB4-AD3F-425A-B237-59480A59C646}">
    <text>46 selected and 102 CVs shared</text>
  </threadedComment>
  <threadedComment ref="AY178" dT="2025-07-21T11:23:43.25" personId="{1798D1B1-3098-46B1-91A2-D4C92B7E122A}" id="{72CDE663-6733-442A-BB51-30C286D080D6}">
    <text>27 selected and 80 total Cv shared</text>
  </threadedComment>
  <threadedComment ref="BA178" dT="2025-07-21T11:23:57.63" personId="{1798D1B1-3098-46B1-91A2-D4C92B7E122A}" id="{F9320F5B-D556-4D14-B528-5DA19608B35B}">
    <text xml:space="preserve">110 selected and 273 total Cv shared
</text>
  </threadedComment>
  <threadedComment ref="BE178" dT="2025-09-25T11:36:52.44" personId="{1798D1B1-3098-46B1-91A2-D4C92B7E122A}" id="{2742711A-F0EE-4217-9066-18F756495560}">
    <text>Validated</text>
  </threadedComment>
  <threadedComment ref="L179" dT="2024-05-11T05:08:28.38" personId="{1798D1B1-3098-46B1-91A2-D4C92B7E122A}" id="{67C909E5-909B-4C60-9A07-7833B9BF96DF}">
    <text>Target not approved by PH</text>
  </threadedComment>
  <threadedComment ref="M179" dT="2024-05-11T05:08:28.38" personId="{1798D1B1-3098-46B1-91A2-D4C92B7E122A}" id="{A0173985-4F80-4C58-A7C3-F9E14AD5F953}">
    <text>Target not approved by PH</text>
  </threadedComment>
  <threadedComment ref="Q179" dT="2024-05-11T05:13:17.90" personId="{1798D1B1-3098-46B1-91A2-D4C92B7E122A}" id="{4B1B7D3B-BD78-4827-BDF3-D7375AF46132}">
    <text xml:space="preserve">Not approved by PH
</text>
  </threadedComment>
  <threadedComment ref="AW179" dT="2025-06-19T08:56:57.38" personId="{1798D1B1-3098-46B1-91A2-D4C92B7E122A}" id="{0966EECB-163A-49BC-92E3-FC0078A2B5E3}">
    <text>0 offer decline and 31 offer released</text>
  </threadedComment>
  <threadedComment ref="AY179" dT="2025-07-21T11:24:31.40" personId="{1798D1B1-3098-46B1-91A2-D4C92B7E122A}" id="{660E383E-6670-4DBC-AEF1-DB6174E8BFF4}">
    <text xml:space="preserve">2 offer declined and 32 offered
</text>
  </threadedComment>
  <threadedComment ref="BA179" dT="2025-07-21T11:24:41.38" personId="{1798D1B1-3098-46B1-91A2-D4C92B7E122A}" id="{BEB2F1E3-09E9-4DE0-8323-03AAF6DCDCCB}">
    <text xml:space="preserve">2 offer declined and 76 offered
</text>
  </threadedComment>
  <threadedComment ref="L180" dT="2024-05-11T05:08:31.63" personId="{1798D1B1-3098-46B1-91A2-D4C92B7E122A}" id="{443C8C13-9B36-4637-8651-D56EF21C6F76}">
    <text>Target not approved by PH</text>
  </threadedComment>
  <threadedComment ref="M180" dT="2024-05-11T05:08:31.63" personId="{1798D1B1-3098-46B1-91A2-D4C92B7E122A}" id="{D2FC9E57-1AF4-4B60-81F5-8872B31709E1}">
    <text>Target not approved by PH</text>
  </threadedComment>
  <threadedComment ref="Q180" dT="2024-05-11T05:13:21.13" personId="{1798D1B1-3098-46B1-91A2-D4C92B7E122A}" id="{7F5D57AC-4EE7-40B1-ACB6-AFE01114594E}">
    <text xml:space="preserve">Not approved by PH
</text>
  </threadedComment>
  <threadedComment ref="AM180" dT="2025-02-19T10:29:18.65" personId="{1798D1B1-3098-46B1-91A2-D4C92B7E122A}" id="{941CFB2C-5DD0-4EEC-91BB-C11549A4E5D4}">
    <text>Validated</text>
  </threadedComment>
  <threadedComment ref="AY180" dT="2025-07-21T11:25:13.85" personId="{1798D1B1-3098-46B1-91A2-D4C92B7E122A}" id="{B97B6041-F0EC-4E52-BE46-927AA898E26A}">
    <text xml:space="preserve">19 joiners and 84 open positions
</text>
  </threadedComment>
  <threadedComment ref="BA180" dT="2025-07-21T11:25:26.70" personId="{1798D1B1-3098-46B1-91A2-D4C92B7E122A}" id="{6DC9B35E-4567-4194-9362-829026F9DBFF}">
    <text xml:space="preserve">43 joiners and 218 open positions
</text>
  </threadedComment>
  <threadedComment ref="L181" dT="2024-05-11T05:08:35.32" personId="{1798D1B1-3098-46B1-91A2-D4C92B7E122A}" id="{AFD28316-A408-4A57-8ABA-98B46A033226}">
    <text>Target not approved by PH</text>
  </threadedComment>
  <threadedComment ref="M181" dT="2024-05-11T05:08:35.32" personId="{1798D1B1-3098-46B1-91A2-D4C92B7E122A}" id="{186E736D-203B-43D3-8469-67589C338343}">
    <text>Target not approved by PH</text>
  </threadedComment>
  <threadedComment ref="Q181" dT="2024-05-11T05:13:24.99" personId="{1798D1B1-3098-46B1-91A2-D4C92B7E122A}" id="{7B18AB7E-776C-43E0-BA2D-D4A22BFDE27D}">
    <text xml:space="preserve">Not approved by PH
</text>
  </threadedComment>
  <threadedComment ref="AY181" dT="2025-07-21T11:25:52.84" personId="{1798D1B1-3098-46B1-91A2-D4C92B7E122A}" id="{E062EDA6-76BF-4785-827C-6007D4EEB996}">
    <text xml:space="preserve">4 female out of 19 joiners
</text>
  </threadedComment>
  <threadedComment ref="BA181" dT="2025-07-21T11:26:04.52" personId="{1798D1B1-3098-46B1-91A2-D4C92B7E122A}" id="{00120400-9F15-44DA-8C37-6E7CA943928F}">
    <text xml:space="preserve">11 female out of 43 joiners
</text>
  </threadedComment>
  <threadedComment ref="Q182" dT="2024-05-11T17:51:14.49" personId="{1798D1B1-3098-46B1-91A2-D4C92B7E122A}" id="{1AAC4AB1-7B34-49E9-B2BB-74C19A5BFA4F}">
    <text>Validated</text>
  </threadedComment>
  <threadedComment ref="S182" dT="2024-05-11T17:51:14.49" personId="{1798D1B1-3098-46B1-91A2-D4C92B7E122A}" id="{2D764FE6-E209-41F2-A97F-DCFFC4D821C1}">
    <text>Validated</text>
  </threadedComment>
  <threadedComment ref="AK182" dT="2025-01-16T07:23:12.43" personId="{1798D1B1-3098-46B1-91A2-D4C92B7E122A}" id="{1EF71451-0EA6-4BBA-9B4B-56604B55CC97}">
    <text>HPE FY begins from Nov’24</text>
  </threadedComment>
  <threadedComment ref="AL182" dT="2025-01-16T07:23:12.43" personId="{1798D1B1-3098-46B1-91A2-D4C92B7E122A}" id="{6D3AAC14-BB50-482A-9A86-85F11305DBE4}">
    <text>HPE FY begins from Nov’24</text>
  </threadedComment>
  <threadedComment ref="AN182" dT="2025-02-19T07:08:34.13" personId="{1798D1B1-3098-46B1-91A2-D4C92B7E122A}" id="{9E70F32C-83DB-4C44-9D65-34EDE93FA020}">
    <text>Validated</text>
  </threadedComment>
  <threadedComment ref="AO182" dT="2025-03-19T07:07:52.45" personId="{1798D1B1-3098-46B1-91A2-D4C92B7E122A}" id="{6F17A808-88E2-4FC2-BCB3-6227E8E0078E}">
    <text>TA One view validation</text>
  </threadedComment>
  <threadedComment ref="AP182" dT="2025-02-19T07:08:34.13" personId="{1798D1B1-3098-46B1-91A2-D4C92B7E122A}" id="{4C4E740F-7BC7-4DB3-9CE0-B774CA857B68}">
    <text>Validated</text>
  </threadedComment>
  <threadedComment ref="AW182" dT="2025-06-19T09:17:31.86" personId="{1798D1B1-3098-46B1-91A2-D4C92B7E122A}" id="{8B4D1AFD-2D5E-45BA-89D4-09D7D4DE8CB5}">
    <text>No base file as data is from TA One view</text>
  </threadedComment>
  <threadedComment ref="BU182" dT="2025-06-19T09:17:43.88" personId="{1798D1B1-3098-46B1-91A2-D4C92B7E122A}" id="{B3A4B7B1-3AA8-4AE8-931E-776C55A1C3D2}">
    <text xml:space="preserve">No base file as data is from TA One view
</text>
  </threadedComment>
  <threadedComment ref="L183" dT="2023-02-09T10:16:20.32" personId="{6777EDD4-E46F-4979-A7E7-6FC0A82E0C8E}" id="{631645D5-F92C-4F1C-BE1E-BF70A1829556}">
    <text>In the month of Dec'22 target was changed from 35 Days to 45 Days</text>
  </threadedComment>
  <threadedComment ref="M183" dT="2023-02-09T10:16:20.32" personId="{6777EDD4-E46F-4979-A7E7-6FC0A82E0C8E}" id="{AF9FAB2E-984F-45EF-80BC-8588DF0A4F90}">
    <text>In the month of Dec'22 target was changed from 35 Days to 45 Days</text>
  </threadedComment>
  <threadedComment ref="Q183" dT="2024-05-11T17:51:17.87" personId="{1798D1B1-3098-46B1-91A2-D4C92B7E122A}" id="{0069E17D-9D3D-4127-9B4B-1D666484D946}">
    <text>Validated</text>
  </threadedComment>
  <threadedComment ref="S183" dT="2024-05-11T17:51:17.87" personId="{1798D1B1-3098-46B1-91A2-D4C92B7E122A}" id="{52671D4D-B2CB-4B20-94A1-49B306FE71EC}">
    <text>Validated</text>
  </threadedComment>
  <threadedComment ref="AK183" dT="2025-01-16T07:23:12.43" personId="{1798D1B1-3098-46B1-91A2-D4C92B7E122A}" id="{031A9A04-68BA-4B44-8841-4AE7E17E6923}">
    <text>HPE FY begins from Nov’24</text>
  </threadedComment>
  <threadedComment ref="AL183" dT="2025-01-16T07:23:12.43" personId="{1798D1B1-3098-46B1-91A2-D4C92B7E122A}" id="{BC13D063-CC26-4786-98AF-1ED8CFBC4E84}">
    <text>HPE FY begins from Nov’24</text>
  </threadedComment>
  <threadedComment ref="AN183" dT="2025-02-19T07:08:39.26" personId="{1798D1B1-3098-46B1-91A2-D4C92B7E122A}" id="{DEECA3AE-F8F3-4F5D-B767-F75E53A25C7D}">
    <text>Validated</text>
  </threadedComment>
  <threadedComment ref="AO183" dT="2025-03-19T07:08:11.01" personId="{1798D1B1-3098-46B1-91A2-D4C92B7E122A}" id="{705F9844-7DEA-4FA8-9A28-F503EAC73F06}">
    <text xml:space="preserve">TA One view validation
</text>
  </threadedComment>
  <threadedComment ref="AP183" dT="2025-02-19T07:08:34.13" personId="{1798D1B1-3098-46B1-91A2-D4C92B7E122A}" id="{BF85E6F2-F437-4D47-AADC-55CCF21B11BD}">
    <text>Validated</text>
  </threadedComment>
  <threadedComment ref="AW183" dT="2025-06-19T09:17:48.57" personId="{1798D1B1-3098-46B1-91A2-D4C92B7E122A}" id="{42062088-7466-4CC0-8956-D2524DC5D9C1}">
    <text xml:space="preserve">No base file as data is from TA One view
</text>
  </threadedComment>
  <threadedComment ref="BU183" dT="2025-06-19T09:17:52.26" personId="{1798D1B1-3098-46B1-91A2-D4C92B7E122A}" id="{C79E5097-2003-4BD6-A22A-D44D1047F4FF}">
    <text xml:space="preserve">No base file as data is from TA One view
</text>
  </threadedComment>
  <threadedComment ref="AK184" dT="2025-01-16T07:23:12.43" personId="{1798D1B1-3098-46B1-91A2-D4C92B7E122A}" id="{7EBA61AA-9301-451B-A847-B4875956F35E}">
    <text>HPE FY begins from Nov’24</text>
  </threadedComment>
  <threadedComment ref="AL184" dT="2025-01-16T07:23:12.43" personId="{1798D1B1-3098-46B1-91A2-D4C92B7E122A}" id="{F6352A2C-1263-49A0-B985-67519C10EA3E}">
    <text>HPE FY begins from Nov’24</text>
  </threadedComment>
  <threadedComment ref="AW184" dT="2025-06-19T09:17:56.15" personId="{1798D1B1-3098-46B1-91A2-D4C92B7E122A}" id="{91C6C1A8-2597-4785-B696-10BA7C27431A}">
    <text xml:space="preserve">No base file as data is from TA One view
</text>
  </threadedComment>
  <threadedComment ref="BL184" dT="2025-05-20T07:08:56.53" personId="{1798D1B1-3098-46B1-91A2-D4C92B7E122A}" id="{0F67F6DE-52CE-4848-A100-C2B669ADC338}">
    <text>Removed from SLA’s list</text>
  </threadedComment>
  <threadedComment ref="BN184" dT="2025-05-20T07:08:56.53" personId="{1798D1B1-3098-46B1-91A2-D4C92B7E122A}" id="{68D4CCE1-6C35-4A2F-8F78-4DAD162D0987}">
    <text>Removed from SLA’s list</text>
  </threadedComment>
  <threadedComment ref="BP184" dT="2025-05-20T07:08:56.53" personId="{1798D1B1-3098-46B1-91A2-D4C92B7E122A}" id="{80934D7B-F492-400C-9153-A6E2AD67CD35}">
    <text>Removed from SLA’s list</text>
  </threadedComment>
  <threadedComment ref="AK185" dT="2025-01-16T07:23:12.43" personId="{1798D1B1-3098-46B1-91A2-D4C92B7E122A}" id="{07E3A668-F228-4BF7-BEBA-A20DC65DAA31}">
    <text>HPE FY begins from Nov’24</text>
  </threadedComment>
  <threadedComment ref="AL185" dT="2025-01-16T07:23:12.43" personId="{1798D1B1-3098-46B1-91A2-D4C92B7E122A}" id="{50E92462-0CE5-4E52-8D1A-FF9D31749FC3}">
    <text>HPE FY begins from Nov’24</text>
  </threadedComment>
  <threadedComment ref="AW185" dT="2025-06-19T09:17:59.51" personId="{1798D1B1-3098-46B1-91A2-D4C92B7E122A}" id="{C22B16EF-BCF9-4382-9BDA-09A004795D98}">
    <text xml:space="preserve">No base file as data is from TA One view
</text>
  </threadedComment>
  <threadedComment ref="BL185" dT="2025-05-20T07:08:56.53" personId="{1798D1B1-3098-46B1-91A2-D4C92B7E122A}" id="{9333D6FE-6944-4FFC-B184-E994AEA0C037}">
    <text>Removed from SLA’s list</text>
  </threadedComment>
  <threadedComment ref="BN185" dT="2025-05-20T07:08:56.53" personId="{1798D1B1-3098-46B1-91A2-D4C92B7E122A}" id="{450CEC61-2ECA-4BFC-80AE-6DD552BBE23E}">
    <text>Removed from SLA’s list</text>
  </threadedComment>
  <threadedComment ref="BP185" dT="2025-05-20T07:08:56.53" personId="{1798D1B1-3098-46B1-91A2-D4C92B7E122A}" id="{9ABA9A00-1A5E-45DE-A252-B242FC2FDD9B}">
    <text>Removed from SLA’s list</text>
  </threadedComment>
  <threadedComment ref="AK186" dT="2025-01-16T07:23:12.43" personId="{1798D1B1-3098-46B1-91A2-D4C92B7E122A}" id="{1F9DAF4C-698F-4EE3-BDED-AA0AE7785C04}">
    <text>HPE FY begins from Nov’24</text>
  </threadedComment>
  <threadedComment ref="AL186" dT="2025-01-16T07:23:12.43" personId="{1798D1B1-3098-46B1-91A2-D4C92B7E122A}" id="{FD38C5D2-4F6D-468C-84DA-F4F4D468F4F6}">
    <text>HPE FY begins from Nov’24</text>
  </threadedComment>
  <threadedComment ref="BL186" dT="2025-05-20T07:08:56.53" personId="{1798D1B1-3098-46B1-91A2-D4C92B7E122A}" id="{79F898F6-6733-4BA1-9D74-35AF0C520F1E}">
    <text>Removed from SLA’s list</text>
  </threadedComment>
  <threadedComment ref="BN186" dT="2025-05-20T07:08:56.53" personId="{1798D1B1-3098-46B1-91A2-D4C92B7E122A}" id="{F9FAD435-4CD2-4344-B2F6-93B4D0CAE6F6}">
    <text>Removed from SLA’s list</text>
  </threadedComment>
  <threadedComment ref="BP186" dT="2025-05-20T07:08:56.53" personId="{1798D1B1-3098-46B1-91A2-D4C92B7E122A}" id="{83BCB9AD-F3F7-4A34-BF99-B15EBFDCDF79}">
    <text>Removed from SLA’s list</text>
  </threadedComment>
  <threadedComment ref="AK187" dT="2025-01-16T07:23:12.43" personId="{1798D1B1-3098-46B1-91A2-D4C92B7E122A}" id="{5798CEAD-DCAB-4D05-87F4-2FF949D8E5F6}">
    <text>HPE FY begins from Nov’24</text>
  </threadedComment>
  <threadedComment ref="AL187" dT="2025-01-16T07:23:12.43" personId="{1798D1B1-3098-46B1-91A2-D4C92B7E122A}" id="{B7D11CAD-E8F5-4E72-97FE-143957772A57}">
    <text>HPE FY begins from Nov’24</text>
  </threadedComment>
  <threadedComment ref="BL187" dT="2025-05-20T07:08:56.53" personId="{1798D1B1-3098-46B1-91A2-D4C92B7E122A}" id="{70DD440C-63B3-4176-9001-075198A37F9B}">
    <text>Removed from SLA’s list</text>
  </threadedComment>
  <threadedComment ref="BN187" dT="2025-05-20T07:08:56.53" personId="{1798D1B1-3098-46B1-91A2-D4C92B7E122A}" id="{D196DABE-5629-455B-8878-A23CD36BED6F}">
    <text>Removed from SLA’s list</text>
  </threadedComment>
  <threadedComment ref="BP187" dT="2025-05-20T07:08:56.53" personId="{1798D1B1-3098-46B1-91A2-D4C92B7E122A}" id="{EFE9C569-BC26-48A5-85BA-ED35B3EA6610}">
    <text>Removed from SLA’s list</text>
  </threadedComment>
  <threadedComment ref="AK188" dT="2025-01-16T07:23:12.43" personId="{1798D1B1-3098-46B1-91A2-D4C92B7E122A}" id="{9487C13E-8A4D-47CC-A4B0-ADC993AFDB2C}">
    <text>HPE FY begins from Nov’24</text>
  </threadedComment>
  <threadedComment ref="AL188" dT="2025-01-16T07:23:12.43" personId="{1798D1B1-3098-46B1-91A2-D4C92B7E122A}" id="{0DAE3141-4ACE-4592-88F1-CF5304329FF7}">
    <text>HPE FY begins from Nov’24</text>
  </threadedComment>
  <threadedComment ref="AN188" dT="2025-02-19T07:08:19.42" personId="{1798D1B1-3098-46B1-91A2-D4C92B7E122A}" id="{EA62BCE2-DC34-4854-AE47-A89676562A53}">
    <text>Validated</text>
  </threadedComment>
  <threadedComment ref="BL188" dT="2025-05-20T07:08:56.53" personId="{1798D1B1-3098-46B1-91A2-D4C92B7E122A}" id="{BDDDDB39-7370-4F03-B3B5-86448077531E}">
    <text>Removed from SLA’s list</text>
  </threadedComment>
  <threadedComment ref="BN188" dT="2025-05-20T07:08:56.53" personId="{1798D1B1-3098-46B1-91A2-D4C92B7E122A}" id="{A33FF6E4-1BD9-4F74-BBC9-8D96EC4EAD1A}">
    <text>Removed from SLA’s list</text>
  </threadedComment>
  <threadedComment ref="BP188" dT="2025-05-20T07:08:56.53" personId="{1798D1B1-3098-46B1-91A2-D4C92B7E122A}" id="{7A3A8A23-0BC7-4AE4-874C-544488639B1D}">
    <text>Removed from SLA’s list</text>
  </threadedComment>
  <threadedComment ref="AK189" dT="2025-01-16T07:23:12.43" personId="{1798D1B1-3098-46B1-91A2-D4C92B7E122A}" id="{9C67F575-6075-4D63-A6A3-9937E62EF32D}">
    <text>HPE FY begins from Nov’24</text>
  </threadedComment>
  <threadedComment ref="AL189" dT="2025-01-16T07:23:12.43" personId="{1798D1B1-3098-46B1-91A2-D4C92B7E122A}" id="{20156AF9-61E2-4A48-A79D-B5EF6A28D3E5}">
    <text>HPE FY begins from Nov’24</text>
  </threadedComment>
  <threadedComment ref="AN189" dT="2025-02-19T07:08:24.29" personId="{1798D1B1-3098-46B1-91A2-D4C92B7E122A}" id="{7B690806-B090-4CE6-B547-FFAD6FF3613A}">
    <text>Validated</text>
  </threadedComment>
  <threadedComment ref="BL189" dT="2025-05-20T07:08:56.53" personId="{1798D1B1-3098-46B1-91A2-D4C92B7E122A}" id="{D46E3D45-5B8E-4806-AE57-5EE128362B05}">
    <text>Removed from SLA’s list</text>
  </threadedComment>
  <threadedComment ref="BN189" dT="2025-05-20T07:08:56.53" personId="{1798D1B1-3098-46B1-91A2-D4C92B7E122A}" id="{657BB269-7957-4D0F-AF50-53C75F5CB5B7}">
    <text>Removed from SLA’s list</text>
  </threadedComment>
  <threadedComment ref="BP189" dT="2025-05-20T07:08:56.53" personId="{1798D1B1-3098-46B1-91A2-D4C92B7E122A}" id="{8B329C8A-B8E7-4188-8A05-99AFC895A1B6}">
    <text>Removed from SLA’s list</text>
  </threadedComment>
  <threadedComment ref="AK190" dT="2025-01-16T07:23:12.43" personId="{1798D1B1-3098-46B1-91A2-D4C92B7E122A}" id="{F2C78062-2DA5-4723-A34F-2EAE2F31C866}">
    <text>HPE FY begins from Nov’24</text>
  </threadedComment>
  <threadedComment ref="AL190" dT="2025-01-16T07:23:12.43" personId="{1798D1B1-3098-46B1-91A2-D4C92B7E122A}" id="{E00268A9-2C2C-4FF8-AAFD-4BE02C14D997}">
    <text>HPE FY begins from Nov’24</text>
  </threadedComment>
  <threadedComment ref="BL190" dT="2025-05-20T07:08:56.53" personId="{1798D1B1-3098-46B1-91A2-D4C92B7E122A}" id="{6B0A0BE8-2727-4BDA-AEFF-C57266E271BE}">
    <text>Removed from SLA’s list</text>
  </threadedComment>
  <threadedComment ref="BN190" dT="2025-05-20T07:08:56.53" personId="{1798D1B1-3098-46B1-91A2-D4C92B7E122A}" id="{CA616E78-4093-436A-839F-859FBD9971CA}">
    <text>Removed from SLA’s list</text>
  </threadedComment>
  <threadedComment ref="BP190" dT="2025-05-20T07:08:56.53" personId="{1798D1B1-3098-46B1-91A2-D4C92B7E122A}" id="{5DCB04EF-ABEF-49E2-9E23-03BF1C103CE4}">
    <text>Removed from SLA’s list</text>
  </threadedComment>
  <threadedComment ref="AK191" dT="2025-01-16T07:23:12.43" personId="{1798D1B1-3098-46B1-91A2-D4C92B7E122A}" id="{A5577259-0413-4B8D-81A8-1768841675EE}">
    <text>HPE FY begins from Nov’24</text>
  </threadedComment>
  <threadedComment ref="AL191" dT="2025-01-16T07:23:12.43" personId="{1798D1B1-3098-46B1-91A2-D4C92B7E122A}" id="{0C473354-DFCB-4498-920B-9EF3AA0BB881}">
    <text>HPE FY begins from Nov’24</text>
  </threadedComment>
  <threadedComment ref="BL191" dT="2025-05-20T07:08:56.53" personId="{1798D1B1-3098-46B1-91A2-D4C92B7E122A}" id="{2C46BE96-6B5F-4DD0-A77C-653947B1F4D4}">
    <text>Removed from SLA’s list</text>
  </threadedComment>
  <threadedComment ref="BN191" dT="2025-05-20T07:08:56.53" personId="{1798D1B1-3098-46B1-91A2-D4C92B7E122A}" id="{AF26AF07-5DB0-41CA-9BE2-87583B35EFA8}">
    <text>Removed from SLA’s list</text>
  </threadedComment>
  <threadedComment ref="BP191" dT="2025-05-20T07:08:56.53" personId="{1798D1B1-3098-46B1-91A2-D4C92B7E122A}" id="{8745A646-38FE-4FB8-9D6D-886D3B90F3EB}">
    <text>Removed from SLA’s list</text>
  </threadedComment>
  <threadedComment ref="AK192" dT="2025-01-16T07:23:12.43" personId="{1798D1B1-3098-46B1-91A2-D4C92B7E122A}" id="{AC6C41B6-D037-4AD1-B706-BA387BE01688}">
    <text>HPE FY begins from Nov’24</text>
  </threadedComment>
  <threadedComment ref="AL192" dT="2025-01-16T07:23:12.43" personId="{1798D1B1-3098-46B1-91A2-D4C92B7E122A}" id="{40CEF52C-3D99-4C3D-BAEB-3830A8CE4131}">
    <text>HPE FY begins from Nov’24</text>
  </threadedComment>
  <threadedComment ref="AU192" dT="2025-05-20T07:08:56.53" personId="{1798D1B1-3098-46B1-91A2-D4C92B7E122A}" id="{5FCC8255-25D7-42AC-A3E9-9DDC10CA4E48}">
    <text>Removed from SLA’s list</text>
  </threadedComment>
  <threadedComment ref="AV192" dT="2025-05-20T07:08:56.53" personId="{1798D1B1-3098-46B1-91A2-D4C92B7E122A}" id="{0DD0891D-0ECF-4213-B076-0143AE2F5631}">
    <text>Removed from SLA’s list</text>
  </threadedComment>
  <threadedComment ref="AW192" dT="2025-05-20T07:08:56.53" personId="{1798D1B1-3098-46B1-91A2-D4C92B7E122A}" id="{3AB632A2-CC8A-4706-BFDF-CE7DFEF93F71}">
    <text>Removed from SLA’s list</text>
  </threadedComment>
  <threadedComment ref="AX192" dT="2025-05-20T07:08:56.53" personId="{1798D1B1-3098-46B1-91A2-D4C92B7E122A}" id="{51C178FB-E156-4E40-A223-B41E688843D3}">
    <text>Removed from SLA’s list</text>
  </threadedComment>
  <threadedComment ref="AY192" dT="2025-05-20T07:08:56.53" personId="{1798D1B1-3098-46B1-91A2-D4C92B7E122A}" id="{1A48A692-220C-4A2D-BB42-E8A3FEE07979}">
    <text>Removed from SLA’s list</text>
  </threadedComment>
  <threadedComment ref="AZ192" dT="2025-05-20T07:08:56.53" personId="{1798D1B1-3098-46B1-91A2-D4C92B7E122A}" id="{2C1BB935-89B8-4AFF-83B5-BFE902D33C42}">
    <text>Removed from SLA’s list</text>
  </threadedComment>
  <threadedComment ref="BA192" dT="2025-05-20T07:08:56.53" personId="{1798D1B1-3098-46B1-91A2-D4C92B7E122A}" id="{AB09B217-E295-4D33-A2A1-86CB8666D343}">
    <text>Removed from SLA’s list</text>
  </threadedComment>
  <threadedComment ref="BB192" dT="2025-05-20T07:08:56.53" personId="{1798D1B1-3098-46B1-91A2-D4C92B7E122A}" id="{7B6890B8-16E7-4B74-8CE7-8ACB64954544}">
    <text>Removed from SLA’s list</text>
  </threadedComment>
  <threadedComment ref="BC192" dT="2025-05-20T07:08:56.53" personId="{1798D1B1-3098-46B1-91A2-D4C92B7E122A}" id="{6C065922-8117-41EF-AE6F-5C2C5604D448}">
    <text>Removed from SLA’s list</text>
  </threadedComment>
  <threadedComment ref="BD192" dT="2025-05-20T07:08:56.53" personId="{1798D1B1-3098-46B1-91A2-D4C92B7E122A}" id="{86C0CE64-824C-4BCD-9B7F-76C1A960F664}">
    <text>Removed from SLA’s list</text>
  </threadedComment>
  <threadedComment ref="BE192" dT="2025-05-20T07:08:56.53" personId="{1798D1B1-3098-46B1-91A2-D4C92B7E122A}" id="{630BB9AA-ACD2-412B-8F12-0E9D699D40AF}">
    <text>Removed from SLA’s list</text>
  </threadedComment>
  <threadedComment ref="BF192" dT="2025-05-20T07:08:56.53" personId="{1798D1B1-3098-46B1-91A2-D4C92B7E122A}" id="{B4988F39-DA0F-467B-B33B-AE580B08100D}">
    <text>Removed from SLA’s list</text>
  </threadedComment>
  <threadedComment ref="BG192" dT="2025-05-20T07:08:56.53" personId="{1798D1B1-3098-46B1-91A2-D4C92B7E122A}" id="{A7F51006-5C14-4D2A-8D69-FEAC5F0A6D0C}">
    <text>Removed from SLA’s list</text>
  </threadedComment>
  <threadedComment ref="BH192" dT="2025-05-20T07:08:56.53" personId="{1798D1B1-3098-46B1-91A2-D4C92B7E122A}" id="{95ADBB36-1782-43C8-B244-5453606FB1BE}">
    <text>Removed from SLA’s list</text>
  </threadedComment>
  <threadedComment ref="BI192" dT="2025-05-20T07:08:56.53" personId="{1798D1B1-3098-46B1-91A2-D4C92B7E122A}" id="{69735F4C-4CEB-48D5-877A-8AFE9D828B6D}">
    <text>Removed from SLA’s list</text>
  </threadedComment>
  <threadedComment ref="BJ192" dT="2025-05-20T07:08:56.53" personId="{1798D1B1-3098-46B1-91A2-D4C92B7E122A}" id="{32E9EC29-4BA7-45AF-96B5-B8032C97F1C0}">
    <text>Removed from SLA’s list</text>
  </threadedComment>
  <threadedComment ref="BK192" dT="2025-05-20T07:08:56.53" personId="{1798D1B1-3098-46B1-91A2-D4C92B7E122A}" id="{EEAFC4A6-47EB-49E7-9AD8-1CC7C6E9B648}">
    <text>Removed from SLA’s list</text>
  </threadedComment>
  <threadedComment ref="BL192" dT="2025-05-20T07:08:56.53" personId="{1798D1B1-3098-46B1-91A2-D4C92B7E122A}" id="{FE7BCA60-DD2C-4E1C-8C98-7E6B0B0E40C9}">
    <text>Removed from SLA’s list</text>
  </threadedComment>
  <threadedComment ref="BM192" dT="2025-05-20T07:08:56.53" personId="{1798D1B1-3098-46B1-91A2-D4C92B7E122A}" id="{C2BF2F21-90AC-4880-8BB8-0FF315944713}">
    <text>Removed from SLA’s list</text>
  </threadedComment>
  <threadedComment ref="BN192" dT="2025-05-20T07:08:56.53" personId="{1798D1B1-3098-46B1-91A2-D4C92B7E122A}" id="{577E65DD-02AB-4200-BE48-3A6B15F173C5}">
    <text>Removed from SLA’s list</text>
  </threadedComment>
  <threadedComment ref="BO192" dT="2025-05-20T07:08:56.53" personId="{1798D1B1-3098-46B1-91A2-D4C92B7E122A}" id="{3E4102AB-64D8-4198-B557-43F94B2F85EB}">
    <text>Removed from SLA’s list</text>
  </threadedComment>
  <threadedComment ref="BP192" dT="2025-05-20T07:08:56.53" personId="{1798D1B1-3098-46B1-91A2-D4C92B7E122A}" id="{CE03AA09-8AFE-4AEA-83D1-EFAE211DBFE5}">
    <text>Removed from SLA’s list</text>
  </threadedComment>
  <threadedComment ref="BS192" dT="2025-05-20T07:08:56.53" personId="{1798D1B1-3098-46B1-91A2-D4C92B7E122A}" id="{7D9F1E48-8142-4E10-977E-602FFF168400}">
    <text>Removed from SLA’s list</text>
  </threadedComment>
  <threadedComment ref="BU192" dT="2025-05-20T07:08:56.53" personId="{1798D1B1-3098-46B1-91A2-D4C92B7E122A}" id="{9D1D6D0C-0071-476E-A69F-8773EF43232A}">
    <text>Removed from SLA’s list</text>
  </threadedComment>
  <threadedComment ref="AK193" dT="2025-01-16T07:23:12.43" personId="{1798D1B1-3098-46B1-91A2-D4C92B7E122A}" id="{CCF2609B-9AD2-4844-924B-D2751E8B84AE}">
    <text>HPE FY begins from Nov’24</text>
  </threadedComment>
  <threadedComment ref="AL193" dT="2025-01-16T07:23:12.43" personId="{1798D1B1-3098-46B1-91A2-D4C92B7E122A}" id="{D54045FC-ABF6-45AC-9031-913A8E6C8E4D}">
    <text>HPE FY begins from Nov’24</text>
  </threadedComment>
  <threadedComment ref="AU193" dT="2025-05-20T07:08:56.53" personId="{1798D1B1-3098-46B1-91A2-D4C92B7E122A}" id="{24229C87-6A1F-4F77-99D3-25F376E40354}">
    <text>Removed from SLA’s list</text>
  </threadedComment>
  <threadedComment ref="AV193" dT="2025-05-20T07:08:56.53" personId="{1798D1B1-3098-46B1-91A2-D4C92B7E122A}" id="{51F3A20C-003A-4025-AE9D-39AFD488BCEB}">
    <text>Removed from SLA’s list</text>
  </threadedComment>
  <threadedComment ref="AW193" dT="2025-05-20T07:08:56.53" personId="{1798D1B1-3098-46B1-91A2-D4C92B7E122A}" id="{FC94D8DE-FAD1-44F9-AAE2-471BC4131101}">
    <text>Removed from SLA’s list</text>
  </threadedComment>
  <threadedComment ref="AX193" dT="2025-05-20T07:08:56.53" personId="{1798D1B1-3098-46B1-91A2-D4C92B7E122A}" id="{98740AFC-A4F3-4807-9352-495663689088}">
    <text>Removed from SLA’s list</text>
  </threadedComment>
  <threadedComment ref="AY193" dT="2025-05-20T07:08:56.53" personId="{1798D1B1-3098-46B1-91A2-D4C92B7E122A}" id="{E8658288-F176-4911-8AAE-2BD2F0CA0000}">
    <text>Removed from SLA’s list</text>
  </threadedComment>
  <threadedComment ref="AZ193" dT="2025-05-20T07:08:56.53" personId="{1798D1B1-3098-46B1-91A2-D4C92B7E122A}" id="{9BFDFF48-4E53-42A7-8566-488BD1562752}">
    <text>Removed from SLA’s list</text>
  </threadedComment>
  <threadedComment ref="BA193" dT="2025-05-20T07:08:56.53" personId="{1798D1B1-3098-46B1-91A2-D4C92B7E122A}" id="{12C043CC-9039-4186-9A9F-29D4FD6CCA7A}">
    <text>Removed from SLA’s list</text>
  </threadedComment>
  <threadedComment ref="BB193" dT="2025-05-20T07:08:56.53" personId="{1798D1B1-3098-46B1-91A2-D4C92B7E122A}" id="{5419481C-346C-44DB-89A5-112799B38347}">
    <text>Removed from SLA’s list</text>
  </threadedComment>
  <threadedComment ref="BC193" dT="2025-05-20T07:08:56.53" personId="{1798D1B1-3098-46B1-91A2-D4C92B7E122A}" id="{687CB6E2-D252-42CE-B76F-31F0C2734911}">
    <text>Removed from SLA’s list</text>
  </threadedComment>
  <threadedComment ref="BD193" dT="2025-05-20T07:08:56.53" personId="{1798D1B1-3098-46B1-91A2-D4C92B7E122A}" id="{DA437F69-6706-456F-AC4B-FECC40561304}">
    <text>Removed from SLA’s list</text>
  </threadedComment>
  <threadedComment ref="BE193" dT="2025-05-20T07:08:56.53" personId="{1798D1B1-3098-46B1-91A2-D4C92B7E122A}" id="{3E20B854-DD61-4D5B-8929-2E36714532EF}">
    <text>Removed from SLA’s list</text>
  </threadedComment>
  <threadedComment ref="BF193" dT="2025-05-20T07:08:56.53" personId="{1798D1B1-3098-46B1-91A2-D4C92B7E122A}" id="{64E6B64D-BB67-46A3-AB7E-777FDA5A20FB}">
    <text>Removed from SLA’s list</text>
  </threadedComment>
  <threadedComment ref="BG193" dT="2025-05-20T07:08:56.53" personId="{1798D1B1-3098-46B1-91A2-D4C92B7E122A}" id="{9F077AA5-CDB3-4E9B-B3F6-1499D3B31137}">
    <text>Removed from SLA’s list</text>
  </threadedComment>
  <threadedComment ref="BH193" dT="2025-05-20T07:08:56.53" personId="{1798D1B1-3098-46B1-91A2-D4C92B7E122A}" id="{AAFE1DEB-41C5-4C12-AA18-DC0383A998E4}">
    <text>Removed from SLA’s list</text>
  </threadedComment>
  <threadedComment ref="BI193" dT="2025-05-20T07:08:56.53" personId="{1798D1B1-3098-46B1-91A2-D4C92B7E122A}" id="{76E579D1-1541-4B9B-9054-2EF9B6F3D3D5}">
    <text>Removed from SLA’s list</text>
  </threadedComment>
  <threadedComment ref="BJ193" dT="2025-05-20T07:08:56.53" personId="{1798D1B1-3098-46B1-91A2-D4C92B7E122A}" id="{CE775400-30B8-40B5-B727-CAD59D63D865}">
    <text>Removed from SLA’s list</text>
  </threadedComment>
  <threadedComment ref="BK193" dT="2025-05-20T07:08:56.53" personId="{1798D1B1-3098-46B1-91A2-D4C92B7E122A}" id="{B9075CED-B738-41F7-9FE6-9EDC2BF1C0A4}">
    <text>Removed from SLA’s list</text>
  </threadedComment>
  <threadedComment ref="BL193" dT="2025-05-20T07:08:56.53" personId="{1798D1B1-3098-46B1-91A2-D4C92B7E122A}" id="{E85B84EB-6B8B-4307-BB40-28494FFB77D9}">
    <text>Removed from SLA’s list</text>
  </threadedComment>
  <threadedComment ref="BM193" dT="2025-05-20T07:08:56.53" personId="{1798D1B1-3098-46B1-91A2-D4C92B7E122A}" id="{14E17071-63C3-4DA1-832E-BF754CF42BC6}">
    <text>Removed from SLA’s list</text>
  </threadedComment>
  <threadedComment ref="BN193" dT="2025-05-20T07:08:56.53" personId="{1798D1B1-3098-46B1-91A2-D4C92B7E122A}" id="{772220FC-5D56-4685-B275-22B669BCB3B1}">
    <text>Removed from SLA’s list</text>
  </threadedComment>
  <threadedComment ref="BP193" dT="2025-05-20T07:08:56.53" personId="{1798D1B1-3098-46B1-91A2-D4C92B7E122A}" id="{9FA82A16-173D-4E94-A225-BAB7FBD225D8}">
    <text>Removed from SLA’s list</text>
  </threadedComment>
  <threadedComment ref="BS193" dT="2025-05-20T07:08:56.53" personId="{1798D1B1-3098-46B1-91A2-D4C92B7E122A}" id="{DAEA41B4-F690-4796-BB66-72979054657B}">
    <text>Removed from SLA’s list</text>
  </threadedComment>
  <threadedComment ref="BU193" dT="2025-05-20T07:08:56.53" personId="{1798D1B1-3098-46B1-91A2-D4C92B7E122A}" id="{CA3CFBDF-4B31-4193-A34F-F8115F3C7DBD}">
    <text>Removed from SLA’s list</text>
  </threadedComment>
  <threadedComment ref="AI194" dT="2025-01-16T07:13:52.45" personId="{1798D1B1-3098-46B1-91A2-D4C92B7E122A}" id="{52A4953B-7A9D-4053-A60B-43E80F437F8D}">
    <text>Report not available</text>
  </threadedComment>
  <threadedComment ref="AJ194" dT="2025-01-16T07:13:52.45" personId="{1798D1B1-3098-46B1-91A2-D4C92B7E122A}" id="{C6A5CAB2-A710-4173-AB28-52072450E24B}">
    <text>Report not available</text>
  </threadedComment>
  <threadedComment ref="AK194" dT="2025-01-16T07:13:52.45" personId="{1798D1B1-3098-46B1-91A2-D4C92B7E122A}" id="{B023630B-0E0F-4EB9-A46F-042769310B11}">
    <text>Report not available</text>
  </threadedComment>
  <threadedComment ref="AL194" dT="2025-01-16T07:13:52.45" personId="{1798D1B1-3098-46B1-91A2-D4C92B7E122A}" id="{F348F0AC-9516-4D0F-85AF-1BD5D14120ED}">
    <text>Report not available</text>
  </threadedComment>
  <threadedComment ref="AM194" dT="2025-01-16T07:13:52.45" personId="{1798D1B1-3098-46B1-91A2-D4C92B7E122A}" id="{E0363ED7-BB02-41C2-843F-2EAD381D06F6}">
    <text>Report not available</text>
  </threadedComment>
  <threadedComment ref="AN194" dT="2025-01-16T07:13:52.45" personId="{1798D1B1-3098-46B1-91A2-D4C92B7E122A}" id="{4DB025F9-D10D-4D46-BC37-78C9FB78FBC3}">
    <text>Report not available</text>
  </threadedComment>
  <threadedComment ref="AO194" dT="2025-01-16T07:13:52.45" personId="{1798D1B1-3098-46B1-91A2-D4C92B7E122A}" id="{9E19B9C7-FA4F-4416-A2E0-C0D2DF3649EF}">
    <text>Report not available</text>
  </threadedComment>
  <threadedComment ref="AP194" dT="2025-01-16T07:13:52.45" personId="{1798D1B1-3098-46B1-91A2-D4C92B7E122A}" id="{10944CDA-4614-41E9-A788-8BDB8088477C}">
    <text>Report not available</text>
  </threadedComment>
  <threadedComment ref="AQ194" dT="2025-01-16T07:13:52.45" personId="{1798D1B1-3098-46B1-91A2-D4C92B7E122A}" id="{4F2F0A14-DE30-4538-BF6F-F03FF11D975B}">
    <text>Report not available</text>
  </threadedComment>
  <threadedComment ref="AR194" dT="2025-01-16T07:13:52.45" personId="{1798D1B1-3098-46B1-91A2-D4C92B7E122A}" id="{62B172A8-8764-40D7-B829-04A141E4EA8B}">
    <text>Report not available</text>
  </threadedComment>
  <threadedComment ref="AS194" dT="2025-01-16T07:13:52.45" personId="{1798D1B1-3098-46B1-91A2-D4C92B7E122A}" id="{A3995DCB-FA04-4668-A31E-2E57DE08D05C}">
    <text>Report not available</text>
  </threadedComment>
  <threadedComment ref="AT194" dT="2025-01-16T07:13:52.45" personId="{1798D1B1-3098-46B1-91A2-D4C92B7E122A}" id="{994466C7-A351-4051-898E-31EF57C02E3A}">
    <text>Report not available</text>
  </threadedComment>
  <threadedComment ref="AU194" dT="2025-01-16T07:13:52.45" personId="{1798D1B1-3098-46B1-91A2-D4C92B7E122A}" id="{A61AB78D-53E0-4E5E-94E6-E1156A8D2C2A}">
    <text>Report not available</text>
  </threadedComment>
  <threadedComment ref="AV194" dT="2025-01-16T07:13:52.45" personId="{1798D1B1-3098-46B1-91A2-D4C92B7E122A}" id="{99263465-508A-4BF8-A717-64B7F55F8F34}">
    <text>Report not available</text>
  </threadedComment>
  <threadedComment ref="AW194" dT="2025-01-16T07:13:52.45" personId="{1798D1B1-3098-46B1-91A2-D4C92B7E122A}" id="{732AD7E4-D667-4768-8C7D-F027C5F35685}">
    <text>Report not available</text>
  </threadedComment>
  <threadedComment ref="AX194" dT="2025-01-16T07:13:52.45" personId="{1798D1B1-3098-46B1-91A2-D4C92B7E122A}" id="{10B55C61-4709-4EBC-966B-0E828A68CDBC}">
    <text>Report not available</text>
  </threadedComment>
  <threadedComment ref="AY194" dT="2025-01-16T07:13:52.45" personId="{1798D1B1-3098-46B1-91A2-D4C92B7E122A}" id="{62F6DC34-1C7A-4CFA-8E1F-BDA3AD7A8211}">
    <text>Report not available</text>
  </threadedComment>
  <threadedComment ref="AZ194" dT="2025-01-16T07:13:52.45" personId="{1798D1B1-3098-46B1-91A2-D4C92B7E122A}" id="{7B159F32-FE32-43AF-A84D-7EA74EE6397E}">
    <text>Report not available</text>
  </threadedComment>
  <threadedComment ref="BA194" dT="2025-01-16T07:13:52.45" personId="{1798D1B1-3098-46B1-91A2-D4C92B7E122A}" id="{2B472F88-99F4-455D-BE40-41CE0AB5C7AD}">
    <text>Report not available</text>
  </threadedComment>
  <threadedComment ref="BB194" dT="2025-01-16T07:13:52.45" personId="{1798D1B1-3098-46B1-91A2-D4C92B7E122A}" id="{A3D0B3E8-C765-4A44-BEF2-ACD0B5174059}">
    <text>Report not available</text>
  </threadedComment>
  <threadedComment ref="BC194" dT="2025-01-16T07:13:52.45" personId="{1798D1B1-3098-46B1-91A2-D4C92B7E122A}" id="{1B4CB6AF-442C-48F3-B3E8-1F88429DD4E1}">
    <text>Report not available</text>
  </threadedComment>
  <threadedComment ref="BD194" dT="2025-01-16T07:13:52.45" personId="{1798D1B1-3098-46B1-91A2-D4C92B7E122A}" id="{890EA50E-B99F-4937-B4DA-EF2409D0A503}">
    <text>Report not available</text>
  </threadedComment>
  <threadedComment ref="BE194" dT="2025-01-16T07:13:52.45" personId="{1798D1B1-3098-46B1-91A2-D4C92B7E122A}" id="{A466D48A-F9C0-4C85-B0C5-C8C7ED66D5D7}">
    <text>Report not available</text>
  </threadedComment>
  <threadedComment ref="BF194" dT="2025-01-16T07:13:52.45" personId="{1798D1B1-3098-46B1-91A2-D4C92B7E122A}" id="{BA8268F9-BB10-48ED-8CB2-F60AEEF8F180}">
    <text>Report not available</text>
  </threadedComment>
  <threadedComment ref="BG194" dT="2025-01-16T07:13:52.45" personId="{1798D1B1-3098-46B1-91A2-D4C92B7E122A}" id="{AC23805F-7858-4F69-A061-3711520EC8AB}">
    <text>Report not available</text>
  </threadedComment>
  <threadedComment ref="BH194" dT="2025-01-16T07:13:52.45" personId="{1798D1B1-3098-46B1-91A2-D4C92B7E122A}" id="{8890AD5C-D102-4A98-8712-76D8F3ACEBF3}">
    <text>Report not available</text>
  </threadedComment>
  <threadedComment ref="BI194" dT="2025-01-16T07:13:52.45" personId="{1798D1B1-3098-46B1-91A2-D4C92B7E122A}" id="{469290A9-D948-4ADB-BFCA-8CC1BD273CD9}">
    <text>Report not available</text>
  </threadedComment>
  <threadedComment ref="BJ194" dT="2025-01-16T07:13:52.45" personId="{1798D1B1-3098-46B1-91A2-D4C92B7E122A}" id="{149BFF59-D0AF-4BAC-AE5F-B592D1046159}">
    <text>Report not available</text>
  </threadedComment>
  <threadedComment ref="BK194" dT="2025-01-16T07:13:52.45" personId="{1798D1B1-3098-46B1-91A2-D4C92B7E122A}" id="{A9FB6B90-5C62-47BD-88CE-E98AD37F232B}">
    <text>Report not available</text>
  </threadedComment>
  <threadedComment ref="BL194" dT="2025-01-16T07:13:52.45" personId="{1798D1B1-3098-46B1-91A2-D4C92B7E122A}" id="{099018F2-14CE-48E7-8B72-B926683ED944}">
    <text>Report not available</text>
  </threadedComment>
  <threadedComment ref="BM194" dT="2025-01-16T07:13:52.45" personId="{1798D1B1-3098-46B1-91A2-D4C92B7E122A}" id="{ADF43BE0-A424-4C83-8605-F037F4380111}">
    <text>Report not available</text>
  </threadedComment>
  <threadedComment ref="BN194" dT="2025-01-16T07:13:52.45" personId="{1798D1B1-3098-46B1-91A2-D4C92B7E122A}" id="{E3E14C5F-1DA4-4E36-A778-22E5D1E0F170}">
    <text>Report not available</text>
  </threadedComment>
  <threadedComment ref="BP194" dT="2025-01-16T07:13:52.45" personId="{1798D1B1-3098-46B1-91A2-D4C92B7E122A}" id="{C0A48D1C-8A9A-4BDC-9343-979BD62C2978}">
    <text>Report not available</text>
  </threadedComment>
  <threadedComment ref="BS194" dT="2025-05-20T07:08:56.53" personId="{1798D1B1-3098-46B1-91A2-D4C92B7E122A}" id="{55882521-FFBE-45AD-AF08-4EE456DC9969}">
    <text>Removed from SLA’s list</text>
  </threadedComment>
  <threadedComment ref="BU194" dT="2025-01-16T07:13:52.45" personId="{1798D1B1-3098-46B1-91A2-D4C92B7E122A}" id="{41CD1C17-9430-4E2E-93F8-ABBEA20785AE}">
    <text>Report not available</text>
  </threadedComment>
  <threadedComment ref="AI195" dT="2025-01-16T07:13:52.45" personId="{1798D1B1-3098-46B1-91A2-D4C92B7E122A}" id="{D6714E9E-C6FC-44F5-9105-52AE851C8E8F}">
    <text>Report not available</text>
  </threadedComment>
  <threadedComment ref="AJ195" dT="2025-01-16T07:13:52.45" personId="{1798D1B1-3098-46B1-91A2-D4C92B7E122A}" id="{33C7DD5D-1F9B-4572-8176-015ADF393900}">
    <text>Report not available</text>
  </threadedComment>
  <threadedComment ref="AK195" dT="2025-01-16T07:13:52.45" personId="{1798D1B1-3098-46B1-91A2-D4C92B7E122A}" id="{BBEB8599-8308-413B-BC0D-F78E4C9A3C8C}">
    <text>Report not available</text>
  </threadedComment>
  <threadedComment ref="AL195" dT="2025-01-16T07:13:52.45" personId="{1798D1B1-3098-46B1-91A2-D4C92B7E122A}" id="{EE519DDE-DFA7-477B-BADE-4C72244D816B}">
    <text>Report not available</text>
  </threadedComment>
  <threadedComment ref="AM195" dT="2025-01-16T07:13:52.45" personId="{1798D1B1-3098-46B1-91A2-D4C92B7E122A}" id="{3D8FC83A-0842-4542-ADE5-120112952286}">
    <text>Report not available</text>
  </threadedComment>
  <threadedComment ref="AN195" dT="2025-01-16T07:13:52.45" personId="{1798D1B1-3098-46B1-91A2-D4C92B7E122A}" id="{0D72FB16-9858-4F87-8790-AA31CEE6059A}">
    <text>Report not available</text>
  </threadedComment>
  <threadedComment ref="AO195" dT="2025-01-16T07:13:52.45" personId="{1798D1B1-3098-46B1-91A2-D4C92B7E122A}" id="{D085630B-BA1D-41F5-AEBB-461447B81E9A}">
    <text>Report not available</text>
  </threadedComment>
  <threadedComment ref="AP195" dT="2025-01-16T07:13:52.45" personId="{1798D1B1-3098-46B1-91A2-D4C92B7E122A}" id="{C57E5A47-85F4-4B4A-B284-3C312A71FA29}">
    <text>Report not available</text>
  </threadedComment>
  <threadedComment ref="AQ195" dT="2025-01-16T07:13:52.45" personId="{1798D1B1-3098-46B1-91A2-D4C92B7E122A}" id="{A00E6BB0-112C-45A7-AE1B-3FFA7D385FED}">
    <text>Report not available</text>
  </threadedComment>
  <threadedComment ref="AR195" dT="2025-01-16T07:13:52.45" personId="{1798D1B1-3098-46B1-91A2-D4C92B7E122A}" id="{BA3AA559-6D9E-477F-AC55-FF8A22383C83}">
    <text>Report not available</text>
  </threadedComment>
  <threadedComment ref="AS195" dT="2025-01-16T07:13:52.45" personId="{1798D1B1-3098-46B1-91A2-D4C92B7E122A}" id="{DA5EFEFE-182C-4549-B222-E5C72633D847}">
    <text>Report not available</text>
  </threadedComment>
  <threadedComment ref="AT195" dT="2025-01-16T07:13:52.45" personId="{1798D1B1-3098-46B1-91A2-D4C92B7E122A}" id="{EB42C0DE-2EF7-4122-B290-2A46D23FCB8C}">
    <text>Report not available</text>
  </threadedComment>
  <threadedComment ref="AU195" dT="2025-01-16T07:13:52.45" personId="{1798D1B1-3098-46B1-91A2-D4C92B7E122A}" id="{6ED1CBB5-424E-4E4D-B097-D91AD0A11086}">
    <text>Report not available</text>
  </threadedComment>
  <threadedComment ref="AV195" dT="2025-01-16T07:13:52.45" personId="{1798D1B1-3098-46B1-91A2-D4C92B7E122A}" id="{5AB9DDAF-D8E6-4845-805A-E55992751DE7}">
    <text>Report not available</text>
  </threadedComment>
  <threadedComment ref="AW195" dT="2025-01-16T07:13:52.45" personId="{1798D1B1-3098-46B1-91A2-D4C92B7E122A}" id="{B6CD2B03-03EA-45C2-B3AE-8800EB8AED21}">
    <text>Report not available</text>
  </threadedComment>
  <threadedComment ref="AX195" dT="2025-01-16T07:13:52.45" personId="{1798D1B1-3098-46B1-91A2-D4C92B7E122A}" id="{34B6754D-8F0F-47D5-BAF7-7696303824DD}">
    <text>Report not available</text>
  </threadedComment>
  <threadedComment ref="AY195" dT="2025-01-16T07:13:52.45" personId="{1798D1B1-3098-46B1-91A2-D4C92B7E122A}" id="{8EDCFC95-1FCF-4506-904A-BE55E6DC1E55}">
    <text>Report not available</text>
  </threadedComment>
  <threadedComment ref="AZ195" dT="2025-01-16T07:13:52.45" personId="{1798D1B1-3098-46B1-91A2-D4C92B7E122A}" id="{B2D942E7-C2FD-48CC-B8FC-03E10198896D}">
    <text>Report not available</text>
  </threadedComment>
  <threadedComment ref="BA195" dT="2025-01-16T07:13:52.45" personId="{1798D1B1-3098-46B1-91A2-D4C92B7E122A}" id="{BF651A42-2886-4623-ABF5-1E0F7FA42C1A}">
    <text>Report not available</text>
  </threadedComment>
  <threadedComment ref="BB195" dT="2025-01-16T07:13:52.45" personId="{1798D1B1-3098-46B1-91A2-D4C92B7E122A}" id="{C3F13CF1-BA8D-4A8B-8504-B5C7A57C47D4}">
    <text>Report not available</text>
  </threadedComment>
  <threadedComment ref="BC195" dT="2025-01-16T07:13:52.45" personId="{1798D1B1-3098-46B1-91A2-D4C92B7E122A}" id="{EAF2D661-7386-4D16-996E-52BFDF167CF9}">
    <text>Report not available</text>
  </threadedComment>
  <threadedComment ref="BD195" dT="2025-01-16T07:13:52.45" personId="{1798D1B1-3098-46B1-91A2-D4C92B7E122A}" id="{7649B306-8747-49BE-8523-D243F8307165}">
    <text>Report not available</text>
  </threadedComment>
  <threadedComment ref="BE195" dT="2025-01-16T07:13:52.45" personId="{1798D1B1-3098-46B1-91A2-D4C92B7E122A}" id="{020F7928-1E8F-4E52-BC76-D1D84F386318}">
    <text>Report not available</text>
  </threadedComment>
  <threadedComment ref="BF195" dT="2025-01-16T07:13:52.45" personId="{1798D1B1-3098-46B1-91A2-D4C92B7E122A}" id="{C7D74AF2-3390-4A8B-996D-314756082D0B}">
    <text>Report not available</text>
  </threadedComment>
  <threadedComment ref="BG195" dT="2025-01-16T07:13:52.45" personId="{1798D1B1-3098-46B1-91A2-D4C92B7E122A}" id="{9BC0E8E2-59A5-4F7D-8B4D-8B6978EEE389}">
    <text>Report not available</text>
  </threadedComment>
  <threadedComment ref="BH195" dT="2025-01-16T07:13:52.45" personId="{1798D1B1-3098-46B1-91A2-D4C92B7E122A}" id="{3806F2F1-86A1-4AB7-897F-7303C5DBD255}">
    <text>Report not available</text>
  </threadedComment>
  <threadedComment ref="BI195" dT="2025-01-16T07:13:52.45" personId="{1798D1B1-3098-46B1-91A2-D4C92B7E122A}" id="{A29E2F23-1735-409E-ACBB-CA0C514FD655}">
    <text>Report not available</text>
  </threadedComment>
  <threadedComment ref="BJ195" dT="2025-01-16T07:13:52.45" personId="{1798D1B1-3098-46B1-91A2-D4C92B7E122A}" id="{68702C72-BE8D-43AB-8146-18E6E128F791}">
    <text>Report not available</text>
  </threadedComment>
  <threadedComment ref="BK195" dT="2025-01-16T07:13:52.45" personId="{1798D1B1-3098-46B1-91A2-D4C92B7E122A}" id="{7712C6A5-DB18-4396-8BAB-16A2F8ADE41B}">
    <text>Report not available</text>
  </threadedComment>
  <threadedComment ref="BL195" dT="2025-01-16T07:13:52.45" personId="{1798D1B1-3098-46B1-91A2-D4C92B7E122A}" id="{F73F0E5C-573B-4191-ABA4-A2F97A4E3D51}">
    <text>Report not available</text>
  </threadedComment>
  <threadedComment ref="BM195" dT="2025-01-16T07:13:52.45" personId="{1798D1B1-3098-46B1-91A2-D4C92B7E122A}" id="{AFCB26F1-2EA4-4B7E-998E-521536B1C294}">
    <text>Report not available</text>
  </threadedComment>
  <threadedComment ref="BN195" dT="2025-01-16T07:13:52.45" personId="{1798D1B1-3098-46B1-91A2-D4C92B7E122A}" id="{723CCDBC-FEB1-47AF-BAD3-77E2DF4FF1D7}">
    <text>Report not available</text>
  </threadedComment>
  <threadedComment ref="BP195" dT="2025-01-16T07:13:52.45" personId="{1798D1B1-3098-46B1-91A2-D4C92B7E122A}" id="{FA4ED377-E892-420D-8640-403679BF94DB}">
    <text>Report not available</text>
  </threadedComment>
  <threadedComment ref="BS195" dT="2025-05-20T07:08:56.53" personId="{1798D1B1-3098-46B1-91A2-D4C92B7E122A}" id="{4197151F-18D9-4E4C-BFB8-9A64AD32DDD8}">
    <text>Removed from SLA’s list</text>
  </threadedComment>
  <threadedComment ref="BU195" dT="2025-01-16T07:13:52.45" personId="{1798D1B1-3098-46B1-91A2-D4C92B7E122A}" id="{D4BC8F89-1876-4921-9A55-98416367FFEE}">
    <text>Report not available</text>
  </threadedComment>
  <threadedComment ref="AI196" dT="2025-01-16T07:13:52.45" personId="{1798D1B1-3098-46B1-91A2-D4C92B7E122A}" id="{F6EAEA99-0462-4855-A06F-0DFF29456CB0}">
    <text>Report not available</text>
  </threadedComment>
  <threadedComment ref="AJ196" dT="2025-01-16T07:13:52.45" personId="{1798D1B1-3098-46B1-91A2-D4C92B7E122A}" id="{B8966D68-48C9-4B94-BDEB-9055960EFAD9}">
    <text>Report not available</text>
  </threadedComment>
  <threadedComment ref="AK196" dT="2025-01-16T07:13:52.45" personId="{1798D1B1-3098-46B1-91A2-D4C92B7E122A}" id="{1AEE7D15-9859-4BE8-BFFC-A94054D04D93}">
    <text>Report not available</text>
  </threadedComment>
  <threadedComment ref="AL196" dT="2025-01-16T07:13:52.45" personId="{1798D1B1-3098-46B1-91A2-D4C92B7E122A}" id="{AB8F2232-B02C-4754-B684-A02FB0293C1F}">
    <text>Report not available</text>
  </threadedComment>
  <threadedComment ref="AM196" dT="2025-01-16T07:13:52.45" personId="{1798D1B1-3098-46B1-91A2-D4C92B7E122A}" id="{6EDF3E74-69EB-4379-84E5-407EECED2440}">
    <text>Report not available</text>
  </threadedComment>
  <threadedComment ref="AN196" dT="2025-01-16T07:13:52.45" personId="{1798D1B1-3098-46B1-91A2-D4C92B7E122A}" id="{8CA76726-5F45-40DF-9D8A-C15469267EA0}">
    <text>Report not available</text>
  </threadedComment>
  <threadedComment ref="AO196" dT="2025-01-16T07:13:52.45" personId="{1798D1B1-3098-46B1-91A2-D4C92B7E122A}" id="{0FF767B6-F657-4E19-AC9A-99517BD72674}">
    <text>Report not available</text>
  </threadedComment>
  <threadedComment ref="AP196" dT="2025-01-16T07:13:52.45" personId="{1798D1B1-3098-46B1-91A2-D4C92B7E122A}" id="{257FA89B-0F0D-432A-B80E-4902B19D120A}">
    <text>Report not available</text>
  </threadedComment>
  <threadedComment ref="AQ196" dT="2025-01-16T07:13:52.45" personId="{1798D1B1-3098-46B1-91A2-D4C92B7E122A}" id="{7F64C47E-0247-4A01-A160-70B767395A37}">
    <text>Report not available</text>
  </threadedComment>
  <threadedComment ref="AR196" dT="2025-01-16T07:13:52.45" personId="{1798D1B1-3098-46B1-91A2-D4C92B7E122A}" id="{FC0BDA24-4E97-48E7-851F-6572C7BD5DAE}">
    <text>Report not available</text>
  </threadedComment>
  <threadedComment ref="AS196" dT="2025-01-16T07:13:52.45" personId="{1798D1B1-3098-46B1-91A2-D4C92B7E122A}" id="{518A4DC6-2F49-4EE9-AF76-B8E327404DF0}">
    <text>Report not available</text>
  </threadedComment>
  <threadedComment ref="AT196" dT="2025-01-16T07:13:52.45" personId="{1798D1B1-3098-46B1-91A2-D4C92B7E122A}" id="{31B4C56A-D36A-45E1-8C12-35554A1CDA72}">
    <text>Report not available</text>
  </threadedComment>
  <threadedComment ref="AU196" dT="2025-01-16T07:13:52.45" personId="{1798D1B1-3098-46B1-91A2-D4C92B7E122A}" id="{7EFA3783-7F04-48D2-8904-4F46FBB34B08}">
    <text>Report not available</text>
  </threadedComment>
  <threadedComment ref="AV196" dT="2025-01-16T07:13:52.45" personId="{1798D1B1-3098-46B1-91A2-D4C92B7E122A}" id="{1B546CC8-23A2-4EC5-B517-116089AC4833}">
    <text>Report not available</text>
  </threadedComment>
  <threadedComment ref="AW196" dT="2025-01-16T07:13:52.45" personId="{1798D1B1-3098-46B1-91A2-D4C92B7E122A}" id="{6321065B-4F46-47BB-9E38-64220CDF8EF2}">
    <text>Report not available</text>
  </threadedComment>
  <threadedComment ref="AX196" dT="2025-01-16T07:13:52.45" personId="{1798D1B1-3098-46B1-91A2-D4C92B7E122A}" id="{22B286EC-7033-41DE-94AE-829D112EF94D}">
    <text>Report not available</text>
  </threadedComment>
  <threadedComment ref="AY196" dT="2025-01-16T07:13:52.45" personId="{1798D1B1-3098-46B1-91A2-D4C92B7E122A}" id="{26882DC1-8A29-4B92-97B6-F7D7859576EF}">
    <text>Report not available</text>
  </threadedComment>
  <threadedComment ref="AZ196" dT="2025-01-16T07:13:52.45" personId="{1798D1B1-3098-46B1-91A2-D4C92B7E122A}" id="{852811C1-EE1C-481C-AEC4-4F2CBA4F30B2}">
    <text>Report not available</text>
  </threadedComment>
  <threadedComment ref="BA196" dT="2025-01-16T07:13:52.45" personId="{1798D1B1-3098-46B1-91A2-D4C92B7E122A}" id="{A461A7A3-AA48-4B1B-A417-1D19C86D0C2C}">
    <text>Report not available</text>
  </threadedComment>
  <threadedComment ref="BB196" dT="2025-01-16T07:13:52.45" personId="{1798D1B1-3098-46B1-91A2-D4C92B7E122A}" id="{059045AA-E823-4FEB-88A1-1B1D5ABF3E25}">
    <text>Report not available</text>
  </threadedComment>
  <threadedComment ref="BC196" dT="2025-01-16T07:13:52.45" personId="{1798D1B1-3098-46B1-91A2-D4C92B7E122A}" id="{30FC73ED-2081-4C07-84C4-5894993B2BF6}">
    <text>Report not available</text>
  </threadedComment>
  <threadedComment ref="BD196" dT="2025-01-16T07:13:52.45" personId="{1798D1B1-3098-46B1-91A2-D4C92B7E122A}" id="{67C3A12C-6161-4275-ADFA-7B0B6A235E3D}">
    <text>Report not available</text>
  </threadedComment>
  <threadedComment ref="BE196" dT="2025-01-16T07:13:52.45" personId="{1798D1B1-3098-46B1-91A2-D4C92B7E122A}" id="{AC76C75B-421E-4606-9247-80A0003D021B}">
    <text>Report not available</text>
  </threadedComment>
  <threadedComment ref="BF196" dT="2025-01-16T07:13:52.45" personId="{1798D1B1-3098-46B1-91A2-D4C92B7E122A}" id="{6FC521F4-07EB-472F-82C9-BE3ED31BB13F}">
    <text>Report not available</text>
  </threadedComment>
  <threadedComment ref="BG196" dT="2025-01-16T07:13:52.45" personId="{1798D1B1-3098-46B1-91A2-D4C92B7E122A}" id="{48CCB7C5-DDF4-40F5-BC1B-8FE69002A51E}">
    <text>Report not available</text>
  </threadedComment>
  <threadedComment ref="BH196" dT="2025-01-16T07:13:52.45" personId="{1798D1B1-3098-46B1-91A2-D4C92B7E122A}" id="{2754E182-67BE-4419-B56A-4FBF3334F472}">
    <text>Report not available</text>
  </threadedComment>
  <threadedComment ref="BI196" dT="2025-01-16T07:13:52.45" personId="{1798D1B1-3098-46B1-91A2-D4C92B7E122A}" id="{91F12E9D-094E-44EE-BD6F-6A7937BC56E1}">
    <text>Report not available</text>
  </threadedComment>
  <threadedComment ref="BJ196" dT="2025-01-16T07:13:52.45" personId="{1798D1B1-3098-46B1-91A2-D4C92B7E122A}" id="{FF31845A-8970-49A5-AAEE-08ED74E561B6}">
    <text>Report not available</text>
  </threadedComment>
  <threadedComment ref="BK196" dT="2025-01-16T07:13:52.45" personId="{1798D1B1-3098-46B1-91A2-D4C92B7E122A}" id="{FF3C29CD-1F21-480C-8C7B-51F28F045768}">
    <text>Report not available</text>
  </threadedComment>
  <threadedComment ref="BL196" dT="2025-01-16T07:13:52.45" personId="{1798D1B1-3098-46B1-91A2-D4C92B7E122A}" id="{824876DE-5F7F-4C88-B1DC-9A657B4AF59C}">
    <text>Report not available</text>
  </threadedComment>
  <threadedComment ref="BM196" dT="2025-01-16T07:13:52.45" personId="{1798D1B1-3098-46B1-91A2-D4C92B7E122A}" id="{FFC1EECD-AEEB-4BAD-A3D0-ADE5F30FAB94}">
    <text>Report not available</text>
  </threadedComment>
  <threadedComment ref="BN196" dT="2025-01-16T07:13:52.45" personId="{1798D1B1-3098-46B1-91A2-D4C92B7E122A}" id="{55E2FDF2-5797-4EB3-A0D9-8A07DFD71CA9}">
    <text>Report not available</text>
  </threadedComment>
  <threadedComment ref="BP196" dT="2025-01-16T07:13:52.45" personId="{1798D1B1-3098-46B1-91A2-D4C92B7E122A}" id="{54A638D7-6839-4A59-9052-F24C03A3C60F}">
    <text>Report not available</text>
  </threadedComment>
  <threadedComment ref="BS196" dT="2025-05-20T07:08:56.53" personId="{1798D1B1-3098-46B1-91A2-D4C92B7E122A}" id="{175CB098-6301-47CC-B735-5CE5394E8F46}">
    <text>Removed from SLA’s list</text>
  </threadedComment>
  <threadedComment ref="BU196" dT="2025-01-16T07:13:52.45" personId="{1798D1B1-3098-46B1-91A2-D4C92B7E122A}" id="{602E774C-9298-46E1-8DCA-B220696F8C87}">
    <text>Report not available</text>
  </threadedComment>
  <threadedComment ref="AI197" dT="2025-01-16T07:13:52.45" personId="{1798D1B1-3098-46B1-91A2-D4C92B7E122A}" id="{37EA9C8A-D344-4AC8-AF67-3A92479A7D3E}">
    <text>Report not available</text>
  </threadedComment>
  <threadedComment ref="AJ197" dT="2025-01-16T07:13:52.45" personId="{1798D1B1-3098-46B1-91A2-D4C92B7E122A}" id="{E92A7301-6501-45F1-89CF-F25916724CC0}">
    <text>Report not available</text>
  </threadedComment>
  <threadedComment ref="AK197" dT="2025-01-16T07:13:52.45" personId="{1798D1B1-3098-46B1-91A2-D4C92B7E122A}" id="{175FBBAE-40DF-4A94-98D1-4DA7F323F3C2}">
    <text>Report not available</text>
  </threadedComment>
  <threadedComment ref="AL197" dT="2025-01-16T07:13:52.45" personId="{1798D1B1-3098-46B1-91A2-D4C92B7E122A}" id="{16C87A4E-AB8F-4388-9F84-4BDD430DDDB0}">
    <text>Report not available</text>
  </threadedComment>
  <threadedComment ref="AM197" dT="2025-01-16T07:13:52.45" personId="{1798D1B1-3098-46B1-91A2-D4C92B7E122A}" id="{EC33346F-F58C-4A38-BD63-662AC86D8171}">
    <text>Report not available</text>
  </threadedComment>
  <threadedComment ref="AN197" dT="2025-01-16T07:13:52.45" personId="{1798D1B1-3098-46B1-91A2-D4C92B7E122A}" id="{50BA2026-406C-4757-BC52-350579492D68}">
    <text>Report not available</text>
  </threadedComment>
  <threadedComment ref="AO197" dT="2025-01-16T07:13:52.45" personId="{1798D1B1-3098-46B1-91A2-D4C92B7E122A}" id="{A5DA4BB7-2747-4A19-9329-600B6B6A3529}">
    <text>Report not available</text>
  </threadedComment>
  <threadedComment ref="AP197" dT="2025-01-16T07:13:52.45" personId="{1798D1B1-3098-46B1-91A2-D4C92B7E122A}" id="{3716A2CE-C1CE-4A2B-871E-5492455294FB}">
    <text>Report not available</text>
  </threadedComment>
  <threadedComment ref="AQ197" dT="2025-01-16T07:13:52.45" personId="{1798D1B1-3098-46B1-91A2-D4C92B7E122A}" id="{6739EE6B-61B0-4B21-881E-91A31BE75B8A}">
    <text>Report not available</text>
  </threadedComment>
  <threadedComment ref="AR197" dT="2025-01-16T07:13:52.45" personId="{1798D1B1-3098-46B1-91A2-D4C92B7E122A}" id="{4025DAE5-5E60-4C36-86FB-730DB1065B25}">
    <text>Report not available</text>
  </threadedComment>
  <threadedComment ref="AS197" dT="2025-01-16T07:13:52.45" personId="{1798D1B1-3098-46B1-91A2-D4C92B7E122A}" id="{AA82E281-BD4D-494B-87E0-6AB3E9F22E27}">
    <text>Report not available</text>
  </threadedComment>
  <threadedComment ref="AT197" dT="2025-01-16T07:13:52.45" personId="{1798D1B1-3098-46B1-91A2-D4C92B7E122A}" id="{566299AB-E139-4F7D-AEAA-98B1C74E12E5}">
    <text>Report not available</text>
  </threadedComment>
  <threadedComment ref="AU197" dT="2025-01-16T07:13:52.45" personId="{1798D1B1-3098-46B1-91A2-D4C92B7E122A}" id="{3FDBC382-3289-4310-89C7-86407167562D}">
    <text>Report not available</text>
  </threadedComment>
  <threadedComment ref="AV197" dT="2025-01-16T07:13:52.45" personId="{1798D1B1-3098-46B1-91A2-D4C92B7E122A}" id="{4D8138AC-A25B-48F1-A925-5ECC3E55A262}">
    <text>Report not available</text>
  </threadedComment>
  <threadedComment ref="AW197" dT="2025-01-16T07:13:52.45" personId="{1798D1B1-3098-46B1-91A2-D4C92B7E122A}" id="{52E291DB-65E2-4519-AE46-2EAB7BC0802C}">
    <text>Report not available</text>
  </threadedComment>
  <threadedComment ref="AX197" dT="2025-01-16T07:13:52.45" personId="{1798D1B1-3098-46B1-91A2-D4C92B7E122A}" id="{7E3F2065-6941-4CA6-9D1D-24CF0F48610B}">
    <text>Report not available</text>
  </threadedComment>
  <threadedComment ref="AY197" dT="2025-01-16T07:13:52.45" personId="{1798D1B1-3098-46B1-91A2-D4C92B7E122A}" id="{F0D707C2-10F9-4164-A347-E42E515D2EBE}">
    <text>Report not available</text>
  </threadedComment>
  <threadedComment ref="AZ197" dT="2025-01-16T07:13:52.45" personId="{1798D1B1-3098-46B1-91A2-D4C92B7E122A}" id="{C30CF64D-00B3-435F-9D14-5164EF0ADE27}">
    <text>Report not available</text>
  </threadedComment>
  <threadedComment ref="BA197" dT="2025-01-16T07:13:52.45" personId="{1798D1B1-3098-46B1-91A2-D4C92B7E122A}" id="{B31465A8-02BE-4F5A-8EBA-8B18E917FD7B}">
    <text>Report not available</text>
  </threadedComment>
  <threadedComment ref="BB197" dT="2025-01-16T07:13:52.45" personId="{1798D1B1-3098-46B1-91A2-D4C92B7E122A}" id="{B3B2FDC3-6F59-45B7-89C1-0FDA1DCFFF3E}">
    <text>Report not available</text>
  </threadedComment>
  <threadedComment ref="BC197" dT="2025-01-16T07:13:52.45" personId="{1798D1B1-3098-46B1-91A2-D4C92B7E122A}" id="{1E367128-97AE-4533-ABE9-6E01DA8FD8B1}">
    <text>Report not available</text>
  </threadedComment>
  <threadedComment ref="BD197" dT="2025-01-16T07:13:52.45" personId="{1798D1B1-3098-46B1-91A2-D4C92B7E122A}" id="{E350C2CC-447B-4853-B800-FA5D797E4AA6}">
    <text>Report not available</text>
  </threadedComment>
  <threadedComment ref="BE197" dT="2025-01-16T07:13:52.45" personId="{1798D1B1-3098-46B1-91A2-D4C92B7E122A}" id="{D25C97FA-D7D2-4DE6-A302-050CC06A1A80}">
    <text>Report not available</text>
  </threadedComment>
  <threadedComment ref="BF197" dT="2025-01-16T07:13:52.45" personId="{1798D1B1-3098-46B1-91A2-D4C92B7E122A}" id="{488144B8-13DA-4451-9245-F2A71BB2103F}">
    <text>Report not available</text>
  </threadedComment>
  <threadedComment ref="BG197" dT="2025-01-16T07:13:52.45" personId="{1798D1B1-3098-46B1-91A2-D4C92B7E122A}" id="{C8414DC0-C998-486E-B4B8-BFE2A8658DFB}">
    <text>Report not available</text>
  </threadedComment>
  <threadedComment ref="BH197" dT="2025-01-16T07:13:52.45" personId="{1798D1B1-3098-46B1-91A2-D4C92B7E122A}" id="{1D08F4AB-A337-4EE0-B794-44F5A87466F7}">
    <text>Report not available</text>
  </threadedComment>
  <threadedComment ref="BI197" dT="2025-01-16T07:13:52.45" personId="{1798D1B1-3098-46B1-91A2-D4C92B7E122A}" id="{62DBE99B-48BF-46B0-9742-2DFEA4BA5B87}">
    <text>Report not available</text>
  </threadedComment>
  <threadedComment ref="BJ197" dT="2025-01-16T07:13:52.45" personId="{1798D1B1-3098-46B1-91A2-D4C92B7E122A}" id="{11F69588-38E6-4148-9D55-D7B6974F99A2}">
    <text>Report not available</text>
  </threadedComment>
  <threadedComment ref="BK197" dT="2025-01-16T07:13:52.45" personId="{1798D1B1-3098-46B1-91A2-D4C92B7E122A}" id="{FEFB0262-101D-472A-A5CC-D42CB3545797}">
    <text>Report not available</text>
  </threadedComment>
  <threadedComment ref="BL197" dT="2025-01-16T07:13:52.45" personId="{1798D1B1-3098-46B1-91A2-D4C92B7E122A}" id="{F254883C-B428-441F-9E86-A0EC25B08E39}">
    <text>Report not available</text>
  </threadedComment>
  <threadedComment ref="BM197" dT="2025-01-16T07:13:52.45" personId="{1798D1B1-3098-46B1-91A2-D4C92B7E122A}" id="{51F3B24D-0F72-4F97-8F8F-2F3F3A9C6651}">
    <text>Report not available</text>
  </threadedComment>
  <threadedComment ref="BN197" dT="2025-01-16T07:13:52.45" personId="{1798D1B1-3098-46B1-91A2-D4C92B7E122A}" id="{13031055-8E6F-48E8-9A48-10DCC3CF1B59}">
    <text>Report not available</text>
  </threadedComment>
  <threadedComment ref="BP197" dT="2025-01-16T07:13:52.45" personId="{1798D1B1-3098-46B1-91A2-D4C92B7E122A}" id="{43A51A2B-4BF1-443C-88C9-329338416356}">
    <text>Report not available</text>
  </threadedComment>
  <threadedComment ref="BS197" dT="2025-05-20T07:08:56.53" personId="{1798D1B1-3098-46B1-91A2-D4C92B7E122A}" id="{DF8D1B65-1070-4550-8C68-8C220B3B06DC}">
    <text>Removed from SLA’s list</text>
  </threadedComment>
  <threadedComment ref="BU197" dT="2025-01-16T07:13:52.45" personId="{1798D1B1-3098-46B1-91A2-D4C92B7E122A}" id="{5AD06799-D415-4105-AF9C-863EDF4AFCF2}">
    <text>Report not available</text>
  </threadedComment>
  <threadedComment ref="AI198" dT="2025-01-16T07:13:52.45" personId="{1798D1B1-3098-46B1-91A2-D4C92B7E122A}" id="{000F52E6-5CB6-40A6-B352-647BE51489C0}">
    <text>Report not available</text>
  </threadedComment>
  <threadedComment ref="AJ198" dT="2025-01-16T07:13:52.45" personId="{1798D1B1-3098-46B1-91A2-D4C92B7E122A}" id="{962A6459-1A80-4C94-81AF-2EC1946F1E4C}">
    <text>Report not available</text>
  </threadedComment>
  <threadedComment ref="AK198" dT="2025-01-16T07:13:52.45" personId="{1798D1B1-3098-46B1-91A2-D4C92B7E122A}" id="{C1667216-4DAA-4EF3-8B71-D61BA7EC1135}">
    <text>Report not available</text>
  </threadedComment>
  <threadedComment ref="AL198" dT="2025-01-16T07:13:52.45" personId="{1798D1B1-3098-46B1-91A2-D4C92B7E122A}" id="{C3809E71-EF8D-43EE-A32F-8113EB64FD17}">
    <text>Report not available</text>
  </threadedComment>
  <threadedComment ref="AM198" dT="2025-01-16T07:13:52.45" personId="{1798D1B1-3098-46B1-91A2-D4C92B7E122A}" id="{B918D984-4AB8-4151-88E9-A2F74822AF38}">
    <text>Report not available</text>
  </threadedComment>
  <threadedComment ref="AN198" dT="2025-01-16T07:13:52.45" personId="{1798D1B1-3098-46B1-91A2-D4C92B7E122A}" id="{78820F41-F2D9-48B2-9742-D4A4CE109E17}">
    <text>Report not available</text>
  </threadedComment>
  <threadedComment ref="AO198" dT="2025-01-16T07:13:52.45" personId="{1798D1B1-3098-46B1-91A2-D4C92B7E122A}" id="{ED77DEF6-F651-4148-B842-06A8FB1276A4}">
    <text>Report not available</text>
  </threadedComment>
  <threadedComment ref="AP198" dT="2025-01-16T07:13:52.45" personId="{1798D1B1-3098-46B1-91A2-D4C92B7E122A}" id="{89835411-830B-40A3-874E-BE3E54D4A51E}">
    <text>Report not available</text>
  </threadedComment>
  <threadedComment ref="AQ198" dT="2025-01-16T07:13:52.45" personId="{1798D1B1-3098-46B1-91A2-D4C92B7E122A}" id="{87228CDF-B520-4A66-BA71-2F28DD184B7F}">
    <text>Report not available</text>
  </threadedComment>
  <threadedComment ref="AR198" dT="2025-01-16T07:13:52.45" personId="{1798D1B1-3098-46B1-91A2-D4C92B7E122A}" id="{45235AFE-829C-45D3-9EB5-722F7E884C55}">
    <text>Report not available</text>
  </threadedComment>
  <threadedComment ref="AS198" dT="2025-01-16T07:13:52.45" personId="{1798D1B1-3098-46B1-91A2-D4C92B7E122A}" id="{7F1AD2E6-EABE-4547-B70B-9D56876576EF}">
    <text>Report not available</text>
  </threadedComment>
  <threadedComment ref="AT198" dT="2025-01-16T07:13:52.45" personId="{1798D1B1-3098-46B1-91A2-D4C92B7E122A}" id="{7275C76E-BF11-46FE-AA8B-568CD57CC4C5}">
    <text>Report not available</text>
  </threadedComment>
  <threadedComment ref="AU198" dT="2025-01-16T07:13:52.45" personId="{1798D1B1-3098-46B1-91A2-D4C92B7E122A}" id="{0B9191DB-49A5-40B0-AA69-DC044A3581A8}">
    <text>Report not available</text>
  </threadedComment>
  <threadedComment ref="AV198" dT="2025-01-16T07:13:52.45" personId="{1798D1B1-3098-46B1-91A2-D4C92B7E122A}" id="{D378D54D-3C42-4E75-A9A5-481DDD6FCB69}">
    <text>Report not available</text>
  </threadedComment>
  <threadedComment ref="AW198" dT="2025-01-16T07:13:52.45" personId="{1798D1B1-3098-46B1-91A2-D4C92B7E122A}" id="{51EE69E2-E4B0-467D-AF9C-0AB34C8FCD32}">
    <text>Report not available</text>
  </threadedComment>
  <threadedComment ref="AX198" dT="2025-01-16T07:13:52.45" personId="{1798D1B1-3098-46B1-91A2-D4C92B7E122A}" id="{EE011DF8-397F-446E-8839-07372DAA0627}">
    <text>Report not available</text>
  </threadedComment>
  <threadedComment ref="AY198" dT="2025-01-16T07:13:52.45" personId="{1798D1B1-3098-46B1-91A2-D4C92B7E122A}" id="{F599BBD5-F3B0-4CA7-B028-DBB94855B728}">
    <text>Report not available</text>
  </threadedComment>
  <threadedComment ref="AZ198" dT="2025-01-16T07:13:52.45" personId="{1798D1B1-3098-46B1-91A2-D4C92B7E122A}" id="{605656A3-211F-4B25-9808-39173EFB03A7}">
    <text>Report not available</text>
  </threadedComment>
  <threadedComment ref="BA198" dT="2025-01-16T07:13:52.45" personId="{1798D1B1-3098-46B1-91A2-D4C92B7E122A}" id="{69131091-5D16-4462-91E9-336191ABC098}">
    <text>Report not available</text>
  </threadedComment>
  <threadedComment ref="BB198" dT="2025-01-16T07:13:52.45" personId="{1798D1B1-3098-46B1-91A2-D4C92B7E122A}" id="{65BE44F0-192A-4233-BE9D-ACF3932E8942}">
    <text>Report not available</text>
  </threadedComment>
  <threadedComment ref="BC198" dT="2025-01-16T07:13:52.45" personId="{1798D1B1-3098-46B1-91A2-D4C92B7E122A}" id="{B8CA43B8-B240-4D02-9B95-0EE092C66D93}">
    <text>Report not available</text>
  </threadedComment>
  <threadedComment ref="BD198" dT="2025-01-16T07:13:52.45" personId="{1798D1B1-3098-46B1-91A2-D4C92B7E122A}" id="{CDBDCB6C-8394-4D91-A19C-584871239632}">
    <text>Report not available</text>
  </threadedComment>
  <threadedComment ref="BE198" dT="2025-01-16T07:13:52.45" personId="{1798D1B1-3098-46B1-91A2-D4C92B7E122A}" id="{A70F9589-9817-4C2D-A5B7-63745BE23B41}">
    <text>Report not available</text>
  </threadedComment>
  <threadedComment ref="BF198" dT="2025-01-16T07:13:52.45" personId="{1798D1B1-3098-46B1-91A2-D4C92B7E122A}" id="{C92D5A97-0C03-45D4-AD9C-5386D1D91858}">
    <text>Report not available</text>
  </threadedComment>
  <threadedComment ref="BG198" dT="2025-01-16T07:13:52.45" personId="{1798D1B1-3098-46B1-91A2-D4C92B7E122A}" id="{8AACED8B-79F8-416E-AED6-2E4831DBBFF3}">
    <text>Report not available</text>
  </threadedComment>
  <threadedComment ref="BH198" dT="2025-01-16T07:13:52.45" personId="{1798D1B1-3098-46B1-91A2-D4C92B7E122A}" id="{780BADF9-D24C-45F3-A1D8-27E1C506999C}">
    <text>Report not available</text>
  </threadedComment>
  <threadedComment ref="BI198" dT="2025-01-16T07:13:52.45" personId="{1798D1B1-3098-46B1-91A2-D4C92B7E122A}" id="{61F0E3EB-D1B2-42A8-A453-800D10E046B2}">
    <text>Report not available</text>
  </threadedComment>
  <threadedComment ref="BJ198" dT="2025-01-16T07:13:52.45" personId="{1798D1B1-3098-46B1-91A2-D4C92B7E122A}" id="{D8C598DF-DF00-4CD8-B027-F29D50BFE479}">
    <text>Report not available</text>
  </threadedComment>
  <threadedComment ref="BK198" dT="2025-01-16T07:13:52.45" personId="{1798D1B1-3098-46B1-91A2-D4C92B7E122A}" id="{2F258BA0-1B17-49EF-B6B5-7ADCBED8A99C}">
    <text>Report not available</text>
  </threadedComment>
  <threadedComment ref="BL198" dT="2025-01-16T07:13:52.45" personId="{1798D1B1-3098-46B1-91A2-D4C92B7E122A}" id="{96C47512-8B33-45D9-A947-43F400676FDF}">
    <text>Report not available</text>
  </threadedComment>
  <threadedComment ref="BM198" dT="2025-01-16T07:13:52.45" personId="{1798D1B1-3098-46B1-91A2-D4C92B7E122A}" id="{EE1C3909-45E9-4686-A637-C7815D515F4C}">
    <text>Report not available</text>
  </threadedComment>
  <threadedComment ref="BN198" dT="2025-01-16T07:13:52.45" personId="{1798D1B1-3098-46B1-91A2-D4C92B7E122A}" id="{543493A6-9C88-4FBD-9583-732012D49C05}">
    <text>Report not available</text>
  </threadedComment>
  <threadedComment ref="BP198" dT="2025-01-16T07:13:52.45" personId="{1798D1B1-3098-46B1-91A2-D4C92B7E122A}" id="{7CAF1C62-1429-4235-A865-3EE80DC7B238}">
    <text>Report not available</text>
  </threadedComment>
  <threadedComment ref="BS198" dT="2025-05-20T07:08:56.53" personId="{1798D1B1-3098-46B1-91A2-D4C92B7E122A}" id="{53E0D119-281B-48DB-8641-E99548AC35B0}">
    <text>Removed from SLA’s list</text>
  </threadedComment>
  <threadedComment ref="BU198" dT="2025-01-16T07:13:52.45" personId="{1798D1B1-3098-46B1-91A2-D4C92B7E122A}" id="{9C6C013B-7056-44D7-9BF6-60600EC6ABA2}">
    <text>Report not available</text>
  </threadedComment>
  <threadedComment ref="AI199" dT="2025-01-16T07:13:52.45" personId="{1798D1B1-3098-46B1-91A2-D4C92B7E122A}" id="{7F2AEA8D-5D2A-4839-8A08-AD00587482BF}">
    <text>Report not available</text>
  </threadedComment>
  <threadedComment ref="AJ199" dT="2025-01-16T07:13:52.45" personId="{1798D1B1-3098-46B1-91A2-D4C92B7E122A}" id="{483A83E4-5601-45F1-865C-BC06C917534D}">
    <text>Report not available</text>
  </threadedComment>
  <threadedComment ref="AK199" dT="2025-01-16T07:13:52.45" personId="{1798D1B1-3098-46B1-91A2-D4C92B7E122A}" id="{36176397-41CF-4E1A-A0E6-A91BFA92609D}">
    <text>Report not available</text>
  </threadedComment>
  <threadedComment ref="AL199" dT="2025-01-16T07:13:52.45" personId="{1798D1B1-3098-46B1-91A2-D4C92B7E122A}" id="{FAB92507-77FB-42C2-90DF-9800FD6FA865}">
    <text>Report not available</text>
  </threadedComment>
  <threadedComment ref="AM199" dT="2025-01-16T07:13:52.45" personId="{1798D1B1-3098-46B1-91A2-D4C92B7E122A}" id="{C9400640-784E-41E6-AA91-CBB81F6BC44C}">
    <text>Report not available</text>
  </threadedComment>
  <threadedComment ref="AN199" dT="2025-01-16T07:13:52.45" personId="{1798D1B1-3098-46B1-91A2-D4C92B7E122A}" id="{DF8EBC62-AB27-49A5-AD00-F0AD7CD702C5}">
    <text>Report not available</text>
  </threadedComment>
  <threadedComment ref="AO199" dT="2025-01-16T07:13:52.45" personId="{1798D1B1-3098-46B1-91A2-D4C92B7E122A}" id="{07F3E0F2-7FA2-484A-8B3F-56E15EE89DB1}">
    <text>Report not available</text>
  </threadedComment>
  <threadedComment ref="AP199" dT="2025-01-16T07:13:52.45" personId="{1798D1B1-3098-46B1-91A2-D4C92B7E122A}" id="{4C2994A2-B405-419D-8B47-65DC97B317C0}">
    <text>Report not available</text>
  </threadedComment>
  <threadedComment ref="AQ199" dT="2025-01-16T07:13:52.45" personId="{1798D1B1-3098-46B1-91A2-D4C92B7E122A}" id="{FF602350-057A-45ED-90CF-8677A8D4AE7B}">
    <text>Report not available</text>
  </threadedComment>
  <threadedComment ref="AR199" dT="2025-01-16T07:13:52.45" personId="{1798D1B1-3098-46B1-91A2-D4C92B7E122A}" id="{0E5D89B2-A580-4485-894E-4F1540807A24}">
    <text>Report not available</text>
  </threadedComment>
  <threadedComment ref="AS199" dT="2025-01-16T07:13:52.45" personId="{1798D1B1-3098-46B1-91A2-D4C92B7E122A}" id="{9A975291-33B2-4589-80AA-4A174394D444}">
    <text>Report not available</text>
  </threadedComment>
  <threadedComment ref="AT199" dT="2025-01-16T07:13:52.45" personId="{1798D1B1-3098-46B1-91A2-D4C92B7E122A}" id="{532C9FBF-C212-46F7-BF07-98A5F501D0E9}">
    <text>Report not available</text>
  </threadedComment>
  <threadedComment ref="AU199" dT="2025-01-16T07:13:52.45" personId="{1798D1B1-3098-46B1-91A2-D4C92B7E122A}" id="{CDDD0FEB-A16D-4AF2-A763-7E037E46A395}">
    <text>Report not available</text>
  </threadedComment>
  <threadedComment ref="AV199" dT="2025-01-16T07:13:52.45" personId="{1798D1B1-3098-46B1-91A2-D4C92B7E122A}" id="{2027CFA0-85F5-4C6A-AC16-0A61D717CC73}">
    <text>Report not available</text>
  </threadedComment>
  <threadedComment ref="AW199" dT="2025-01-16T07:13:52.45" personId="{1798D1B1-3098-46B1-91A2-D4C92B7E122A}" id="{ADA69372-1C2D-4073-996D-29EB917D95B0}">
    <text>Report not available</text>
  </threadedComment>
  <threadedComment ref="AX199" dT="2025-01-16T07:13:52.45" personId="{1798D1B1-3098-46B1-91A2-D4C92B7E122A}" id="{19A4732D-5E5E-4395-B957-66BB29C7C300}">
    <text>Report not available</text>
  </threadedComment>
  <threadedComment ref="AY199" dT="2025-01-16T07:13:52.45" personId="{1798D1B1-3098-46B1-91A2-D4C92B7E122A}" id="{220C205B-95E7-4B45-8860-C32DC3312928}">
    <text>Report not available</text>
  </threadedComment>
  <threadedComment ref="AZ199" dT="2025-01-16T07:13:52.45" personId="{1798D1B1-3098-46B1-91A2-D4C92B7E122A}" id="{4B18AA41-B444-4938-A867-57F391D336E3}">
    <text>Report not available</text>
  </threadedComment>
  <threadedComment ref="BA199" dT="2025-01-16T07:13:52.45" personId="{1798D1B1-3098-46B1-91A2-D4C92B7E122A}" id="{45EC96AF-3525-4755-B443-8C7D037A14E2}">
    <text>Report not available</text>
  </threadedComment>
  <threadedComment ref="BB199" dT="2025-01-16T07:13:52.45" personId="{1798D1B1-3098-46B1-91A2-D4C92B7E122A}" id="{D527E090-592B-418C-96C1-F22E2D034C8C}">
    <text>Report not available</text>
  </threadedComment>
  <threadedComment ref="BC199" dT="2025-01-16T07:13:52.45" personId="{1798D1B1-3098-46B1-91A2-D4C92B7E122A}" id="{20E6D81B-EDA6-46BE-AA8C-05272B26988D}">
    <text>Report not available</text>
  </threadedComment>
  <threadedComment ref="BD199" dT="2025-01-16T07:13:52.45" personId="{1798D1B1-3098-46B1-91A2-D4C92B7E122A}" id="{7844CE45-548E-423D-B4F9-4A763B53C551}">
    <text>Report not available</text>
  </threadedComment>
  <threadedComment ref="BE199" dT="2025-01-16T07:13:52.45" personId="{1798D1B1-3098-46B1-91A2-D4C92B7E122A}" id="{9237684A-B891-41F5-B46F-0EA2CAAA0616}">
    <text>Report not available</text>
  </threadedComment>
  <threadedComment ref="BF199" dT="2025-01-16T07:13:52.45" personId="{1798D1B1-3098-46B1-91A2-D4C92B7E122A}" id="{8E2281EA-0C97-4250-A25B-7BF20BD220F2}">
    <text>Report not available</text>
  </threadedComment>
  <threadedComment ref="BG199" dT="2025-01-16T07:13:52.45" personId="{1798D1B1-3098-46B1-91A2-D4C92B7E122A}" id="{B94497F1-9A75-411E-8334-834B6452135F}">
    <text>Report not available</text>
  </threadedComment>
  <threadedComment ref="BH199" dT="2025-01-16T07:13:52.45" personId="{1798D1B1-3098-46B1-91A2-D4C92B7E122A}" id="{953A93E8-653E-48A2-81FC-E294E8DD2D7D}">
    <text>Report not available</text>
  </threadedComment>
  <threadedComment ref="BI199" dT="2025-01-16T07:13:52.45" personId="{1798D1B1-3098-46B1-91A2-D4C92B7E122A}" id="{7458B841-E3EA-46FE-95D3-27DC48CEF4B2}">
    <text>Report not available</text>
  </threadedComment>
  <threadedComment ref="BJ199" dT="2025-01-16T07:13:52.45" personId="{1798D1B1-3098-46B1-91A2-D4C92B7E122A}" id="{049E4533-443C-4ED1-98D5-2892902FB7AF}">
    <text>Report not available</text>
  </threadedComment>
  <threadedComment ref="BK199" dT="2025-01-16T07:13:52.45" personId="{1798D1B1-3098-46B1-91A2-D4C92B7E122A}" id="{8A80D2B2-10BB-4D33-9977-0C9140C3EC1A}">
    <text>Report not available</text>
  </threadedComment>
  <threadedComment ref="BL199" dT="2025-01-16T07:13:52.45" personId="{1798D1B1-3098-46B1-91A2-D4C92B7E122A}" id="{EF19FE31-1EC9-4EA9-B714-BAD8C13F64BA}">
    <text>Report not available</text>
  </threadedComment>
  <threadedComment ref="BM199" dT="2025-01-16T07:13:52.45" personId="{1798D1B1-3098-46B1-91A2-D4C92B7E122A}" id="{47E01D13-7BD8-4E88-911A-25314D61544A}">
    <text>Report not available</text>
  </threadedComment>
  <threadedComment ref="BN199" dT="2025-01-16T07:13:52.45" personId="{1798D1B1-3098-46B1-91A2-D4C92B7E122A}" id="{B0D990E9-5B32-4F13-A529-F407E9ED181E}">
    <text>Report not available</text>
  </threadedComment>
  <threadedComment ref="BP199" dT="2025-01-16T07:13:52.45" personId="{1798D1B1-3098-46B1-91A2-D4C92B7E122A}" id="{120E839A-8ECE-4554-A6B1-E36FB0932986}">
    <text>Report not available</text>
  </threadedComment>
  <threadedComment ref="BS199" dT="2025-05-20T07:08:56.53" personId="{1798D1B1-3098-46B1-91A2-D4C92B7E122A}" id="{18A055DB-D294-4A48-BF3B-EE1EF5A1F47D}">
    <text>Removed from SLA’s list</text>
  </threadedComment>
  <threadedComment ref="BU199" dT="2025-01-16T07:13:52.45" personId="{1798D1B1-3098-46B1-91A2-D4C92B7E122A}" id="{9D289296-153E-4AC8-9A2E-3473D0416257}">
    <text>Report not available</text>
  </threadedComment>
  <threadedComment ref="AI200" dT="2025-01-16T07:13:52.45" personId="{1798D1B1-3098-46B1-91A2-D4C92B7E122A}" id="{11D3496C-5D5F-4BCD-BA7E-548637C27D7B}">
    <text>Report not available</text>
  </threadedComment>
  <threadedComment ref="AJ200" dT="2025-01-16T07:13:52.45" personId="{1798D1B1-3098-46B1-91A2-D4C92B7E122A}" id="{967DF03C-FE26-42FB-A75D-F9D71909279B}">
    <text>Report not available</text>
  </threadedComment>
  <threadedComment ref="AK200" dT="2025-01-16T07:13:52.45" personId="{1798D1B1-3098-46B1-91A2-D4C92B7E122A}" id="{3858BC52-0EB8-4AEE-9D19-200EE9CD8F2D}">
    <text>Report not available</text>
  </threadedComment>
  <threadedComment ref="AL200" dT="2025-01-16T07:13:52.45" personId="{1798D1B1-3098-46B1-91A2-D4C92B7E122A}" id="{27186F54-5457-435E-A9C3-84B268EA3225}">
    <text>Report not available</text>
  </threadedComment>
  <threadedComment ref="AM200" dT="2025-01-16T07:13:52.45" personId="{1798D1B1-3098-46B1-91A2-D4C92B7E122A}" id="{8F5E669C-3CD7-4E9F-A46F-1952573B2738}">
    <text>Report not available</text>
  </threadedComment>
  <threadedComment ref="AN200" dT="2025-01-16T07:13:52.45" personId="{1798D1B1-3098-46B1-91A2-D4C92B7E122A}" id="{650C43FD-2BEF-4FEF-BFEA-0F77DCBDDD45}">
    <text>Report not available</text>
  </threadedComment>
  <threadedComment ref="AO200" dT="2025-01-16T07:13:52.45" personId="{1798D1B1-3098-46B1-91A2-D4C92B7E122A}" id="{BEC4C278-31E3-4D56-A34A-2A6433F3B91C}">
    <text>Report not available</text>
  </threadedComment>
  <threadedComment ref="AP200" dT="2025-01-16T07:13:52.45" personId="{1798D1B1-3098-46B1-91A2-D4C92B7E122A}" id="{D4A8792E-C237-48E9-B0EB-3FAF7E3B83B0}">
    <text>Report not available</text>
  </threadedComment>
  <threadedComment ref="AQ200" dT="2025-01-16T07:13:52.45" personId="{1798D1B1-3098-46B1-91A2-D4C92B7E122A}" id="{54F7A8BD-52DE-49E7-88D7-DC43FEBB1F73}">
    <text>Report not available</text>
  </threadedComment>
  <threadedComment ref="AR200" dT="2025-01-16T07:13:52.45" personId="{1798D1B1-3098-46B1-91A2-D4C92B7E122A}" id="{88DD6A8E-78A2-4210-8974-50F39D6C46E9}">
    <text>Report not available</text>
  </threadedComment>
  <threadedComment ref="AS200" dT="2025-01-16T07:13:52.45" personId="{1798D1B1-3098-46B1-91A2-D4C92B7E122A}" id="{69FAB410-7014-4954-8CC2-132F9F30D156}">
    <text>Report not available</text>
  </threadedComment>
  <threadedComment ref="AT200" dT="2025-01-16T07:13:52.45" personId="{1798D1B1-3098-46B1-91A2-D4C92B7E122A}" id="{C879865A-ABA4-4D4C-9CAC-4E8F23873A39}">
    <text>Report not available</text>
  </threadedComment>
  <threadedComment ref="AU200" dT="2025-01-16T07:13:52.45" personId="{1798D1B1-3098-46B1-91A2-D4C92B7E122A}" id="{45268E69-5982-4205-9945-9CED84C188E0}">
    <text>Report not available</text>
  </threadedComment>
  <threadedComment ref="AV200" dT="2025-01-16T07:13:52.45" personId="{1798D1B1-3098-46B1-91A2-D4C92B7E122A}" id="{72166393-AC3E-4900-9EB4-05AE972D6F5B}">
    <text>Report not available</text>
  </threadedComment>
  <threadedComment ref="AW200" dT="2025-01-16T07:13:52.45" personId="{1798D1B1-3098-46B1-91A2-D4C92B7E122A}" id="{ACE9D498-C88E-4254-AF33-EA00AD07F01C}">
    <text>Report not available</text>
  </threadedComment>
  <threadedComment ref="AX200" dT="2025-01-16T07:13:52.45" personId="{1798D1B1-3098-46B1-91A2-D4C92B7E122A}" id="{C2AFAFE5-973C-4C1D-A25D-043A8ED3D12F}">
    <text>Report not available</text>
  </threadedComment>
  <threadedComment ref="AY200" dT="2025-01-16T07:13:52.45" personId="{1798D1B1-3098-46B1-91A2-D4C92B7E122A}" id="{A8CEFB79-A7F0-419D-B3F6-EF35185C1E19}">
    <text>Report not available</text>
  </threadedComment>
  <threadedComment ref="AZ200" dT="2025-01-16T07:13:52.45" personId="{1798D1B1-3098-46B1-91A2-D4C92B7E122A}" id="{FB867FFD-0176-4DB8-B1C9-D7B8615DF91D}">
    <text>Report not available</text>
  </threadedComment>
  <threadedComment ref="BA200" dT="2025-01-16T07:13:52.45" personId="{1798D1B1-3098-46B1-91A2-D4C92B7E122A}" id="{365ED58F-6511-47F9-95BA-660BD572DE67}">
    <text>Report not available</text>
  </threadedComment>
  <threadedComment ref="BB200" dT="2025-01-16T07:13:52.45" personId="{1798D1B1-3098-46B1-91A2-D4C92B7E122A}" id="{339562F7-8B47-456E-AB64-6AF42A40F1C2}">
    <text>Report not available</text>
  </threadedComment>
  <threadedComment ref="BC200" dT="2025-01-16T07:13:52.45" personId="{1798D1B1-3098-46B1-91A2-D4C92B7E122A}" id="{29B6F9D5-0731-43F0-89F9-7D592C0C6C28}">
    <text>Report not available</text>
  </threadedComment>
  <threadedComment ref="BD200" dT="2025-01-16T07:13:52.45" personId="{1798D1B1-3098-46B1-91A2-D4C92B7E122A}" id="{BE27A9E3-3CE7-4FE3-A85A-A4136B002EF0}">
    <text>Report not available</text>
  </threadedComment>
  <threadedComment ref="BE200" dT="2025-01-16T07:13:52.45" personId="{1798D1B1-3098-46B1-91A2-D4C92B7E122A}" id="{C7BC7205-4A8E-4831-8523-0A0825C2C91F}">
    <text>Report not available</text>
  </threadedComment>
  <threadedComment ref="BF200" dT="2025-01-16T07:13:52.45" personId="{1798D1B1-3098-46B1-91A2-D4C92B7E122A}" id="{4AD83470-52FE-4EBD-89F3-0D3B6F34C8F8}">
    <text>Report not available</text>
  </threadedComment>
  <threadedComment ref="BG200" dT="2025-01-16T07:13:52.45" personId="{1798D1B1-3098-46B1-91A2-D4C92B7E122A}" id="{D770366E-3EFB-4126-8537-31F805E4F24A}">
    <text>Report not available</text>
  </threadedComment>
  <threadedComment ref="BH200" dT="2025-01-16T07:13:52.45" personId="{1798D1B1-3098-46B1-91A2-D4C92B7E122A}" id="{1F506365-3C9C-4AA7-B353-D78630498C1D}">
    <text>Report not available</text>
  </threadedComment>
  <threadedComment ref="BI200" dT="2025-01-16T07:13:52.45" personId="{1798D1B1-3098-46B1-91A2-D4C92B7E122A}" id="{A4C7D1CF-7EB9-4023-BC20-A624FD023B81}">
    <text>Report not available</text>
  </threadedComment>
  <threadedComment ref="BJ200" dT="2025-01-16T07:13:52.45" personId="{1798D1B1-3098-46B1-91A2-D4C92B7E122A}" id="{8B14DE13-4F90-4E9B-9CF9-0CC9AEBFE72A}">
    <text>Report not available</text>
  </threadedComment>
  <threadedComment ref="BK200" dT="2025-01-16T07:13:52.45" personId="{1798D1B1-3098-46B1-91A2-D4C92B7E122A}" id="{46F55885-80AB-40B7-9F08-09263255CE1F}">
    <text>Report not available</text>
  </threadedComment>
  <threadedComment ref="BL200" dT="2025-01-16T07:13:52.45" personId="{1798D1B1-3098-46B1-91A2-D4C92B7E122A}" id="{6AC84CA2-F7F8-44A1-A184-DA5F22A20C92}">
    <text>Report not available</text>
  </threadedComment>
  <threadedComment ref="BM200" dT="2025-01-16T07:13:52.45" personId="{1798D1B1-3098-46B1-91A2-D4C92B7E122A}" id="{1B6F6EB8-C901-4C15-9D61-2A7448B4DD4E}">
    <text>Report not available</text>
  </threadedComment>
  <threadedComment ref="BN200" dT="2025-01-16T07:13:52.45" personId="{1798D1B1-3098-46B1-91A2-D4C92B7E122A}" id="{9626241C-39F2-4A74-90D5-C1385330B545}">
    <text>Report not available</text>
  </threadedComment>
  <threadedComment ref="BP200" dT="2025-01-16T07:13:52.45" personId="{1798D1B1-3098-46B1-91A2-D4C92B7E122A}" id="{1513A08C-059D-412E-87F2-4BE5BED354BD}">
    <text>Report not available</text>
  </threadedComment>
  <threadedComment ref="BS200" dT="2025-05-20T07:08:56.53" personId="{1798D1B1-3098-46B1-91A2-D4C92B7E122A}" id="{1D78BA36-3091-428D-AD98-554373848679}">
    <text>Removed from SLA’s list</text>
  </threadedComment>
  <threadedComment ref="BU200" dT="2025-01-16T07:13:52.45" personId="{1798D1B1-3098-46B1-91A2-D4C92B7E122A}" id="{459A55C0-B1F9-4DBB-A4E8-098E68202A93}">
    <text>Report not available</text>
  </threadedComment>
  <threadedComment ref="AI201" dT="2025-01-16T07:13:52.45" personId="{1798D1B1-3098-46B1-91A2-D4C92B7E122A}" id="{F2AE2B3A-8D92-4B62-837F-84BE95BE61F2}">
    <text>Report not available</text>
  </threadedComment>
  <threadedComment ref="AJ201" dT="2025-01-16T07:13:52.45" personId="{1798D1B1-3098-46B1-91A2-D4C92B7E122A}" id="{73FC03F1-7740-45C4-884C-A05DDFDED989}">
    <text>Report not available</text>
  </threadedComment>
  <threadedComment ref="AK201" dT="2025-01-16T07:13:52.45" personId="{1798D1B1-3098-46B1-91A2-D4C92B7E122A}" id="{21928236-4BEB-483C-A964-CE7B0C7021AD}">
    <text>Report not available</text>
  </threadedComment>
  <threadedComment ref="AL201" dT="2025-01-16T07:13:52.45" personId="{1798D1B1-3098-46B1-91A2-D4C92B7E122A}" id="{4E805CF8-A8C7-46C1-9BF7-06B35905386C}">
    <text>Report not available</text>
  </threadedComment>
  <threadedComment ref="AM201" dT="2025-01-16T07:13:52.45" personId="{1798D1B1-3098-46B1-91A2-D4C92B7E122A}" id="{DE8D356D-0665-42FA-9BFE-30DFF357ABE6}">
    <text>Report not available</text>
  </threadedComment>
  <threadedComment ref="AN201" dT="2025-01-16T07:13:52.45" personId="{1798D1B1-3098-46B1-91A2-D4C92B7E122A}" id="{C7FDED17-AF27-43BA-8E11-56E1C81B5CCE}">
    <text>Report not available</text>
  </threadedComment>
  <threadedComment ref="AO201" dT="2025-01-16T07:13:52.45" personId="{1798D1B1-3098-46B1-91A2-D4C92B7E122A}" id="{2F89E793-0FCD-4238-9BBF-3F875D3DA436}">
    <text>Report not available</text>
  </threadedComment>
  <threadedComment ref="AP201" dT="2025-01-16T07:13:52.45" personId="{1798D1B1-3098-46B1-91A2-D4C92B7E122A}" id="{C1875961-498F-4E03-8995-45237CC25613}">
    <text>Report not available</text>
  </threadedComment>
  <threadedComment ref="AQ201" dT="2025-01-16T07:13:52.45" personId="{1798D1B1-3098-46B1-91A2-D4C92B7E122A}" id="{072C3BB0-0AAC-4A18-8615-DD677AB1CF32}">
    <text>Report not available</text>
  </threadedComment>
  <threadedComment ref="AR201" dT="2025-01-16T07:13:52.45" personId="{1798D1B1-3098-46B1-91A2-D4C92B7E122A}" id="{610C96BB-8054-4E8B-BC88-76CCD52F3EE7}">
    <text>Report not available</text>
  </threadedComment>
  <threadedComment ref="AS201" dT="2025-01-16T07:13:52.45" personId="{1798D1B1-3098-46B1-91A2-D4C92B7E122A}" id="{8ED8258D-2296-4E77-9DA4-1DD78C70F37D}">
    <text>Report not available</text>
  </threadedComment>
  <threadedComment ref="AT201" dT="2025-01-16T07:13:52.45" personId="{1798D1B1-3098-46B1-91A2-D4C92B7E122A}" id="{70AE1F77-4613-4E1E-B051-3F9CF2A812C3}">
    <text>Report not available</text>
  </threadedComment>
  <threadedComment ref="AU201" dT="2025-01-16T07:13:52.45" personId="{1798D1B1-3098-46B1-91A2-D4C92B7E122A}" id="{D716E51C-B5BE-468B-886E-F6E07D831A9E}">
    <text>Report not available</text>
  </threadedComment>
  <threadedComment ref="AV201" dT="2025-01-16T07:13:52.45" personId="{1798D1B1-3098-46B1-91A2-D4C92B7E122A}" id="{00B7807D-9767-40F8-9FB5-ED151B6F21E2}">
    <text>Report not available</text>
  </threadedComment>
  <threadedComment ref="AW201" dT="2025-01-16T07:13:52.45" personId="{1798D1B1-3098-46B1-91A2-D4C92B7E122A}" id="{CDBC5032-371F-4BCD-970D-D41BE0EAB5DE}">
    <text>Report not available</text>
  </threadedComment>
  <threadedComment ref="AX201" dT="2025-01-16T07:13:52.45" personId="{1798D1B1-3098-46B1-91A2-D4C92B7E122A}" id="{B74AF3B2-CEAB-49E6-9C61-67A949176D6E}">
    <text>Report not available</text>
  </threadedComment>
  <threadedComment ref="AY201" dT="2025-01-16T07:13:52.45" personId="{1798D1B1-3098-46B1-91A2-D4C92B7E122A}" id="{3055B160-C9ED-4F5A-9643-3B49852ADF19}">
    <text>Report not available</text>
  </threadedComment>
  <threadedComment ref="AZ201" dT="2025-01-16T07:13:52.45" personId="{1798D1B1-3098-46B1-91A2-D4C92B7E122A}" id="{3F347F6A-2520-4B86-9126-1B4E9C04942D}">
    <text>Report not available</text>
  </threadedComment>
  <threadedComment ref="BA201" dT="2025-01-16T07:13:52.45" personId="{1798D1B1-3098-46B1-91A2-D4C92B7E122A}" id="{03372148-3583-4E4E-997B-D8C89FB3B7EA}">
    <text>Report not available</text>
  </threadedComment>
  <threadedComment ref="BB201" dT="2025-01-16T07:13:52.45" personId="{1798D1B1-3098-46B1-91A2-D4C92B7E122A}" id="{A8594C45-229B-4FA7-9202-E8DFD9620192}">
    <text>Report not available</text>
  </threadedComment>
  <threadedComment ref="BC201" dT="2025-01-16T07:13:52.45" personId="{1798D1B1-3098-46B1-91A2-D4C92B7E122A}" id="{8663CAC2-0706-4187-8855-F09E9AF2633D}">
    <text>Report not available</text>
  </threadedComment>
  <threadedComment ref="BD201" dT="2025-01-16T07:13:52.45" personId="{1798D1B1-3098-46B1-91A2-D4C92B7E122A}" id="{8A025546-F776-404F-899E-46A015C7BE15}">
    <text>Report not available</text>
  </threadedComment>
  <threadedComment ref="BE201" dT="2025-01-16T07:13:52.45" personId="{1798D1B1-3098-46B1-91A2-D4C92B7E122A}" id="{C9A5A504-04C0-4452-A9F7-14F9A1DDF7A8}">
    <text>Report not available</text>
  </threadedComment>
  <threadedComment ref="BF201" dT="2025-01-16T07:13:52.45" personId="{1798D1B1-3098-46B1-91A2-D4C92B7E122A}" id="{7BD596FA-7AD8-42A6-BC34-47F2FB07F51D}">
    <text>Report not available</text>
  </threadedComment>
  <threadedComment ref="BG201" dT="2025-01-16T07:13:52.45" personId="{1798D1B1-3098-46B1-91A2-D4C92B7E122A}" id="{A9FACDD6-02C8-47D6-947C-BC933D6C389C}">
    <text>Report not available</text>
  </threadedComment>
  <threadedComment ref="BH201" dT="2025-01-16T07:13:52.45" personId="{1798D1B1-3098-46B1-91A2-D4C92B7E122A}" id="{DB54BB9B-C55B-4941-BC90-2F92510AEA08}">
    <text>Report not available</text>
  </threadedComment>
  <threadedComment ref="BI201" dT="2025-01-16T07:13:52.45" personId="{1798D1B1-3098-46B1-91A2-D4C92B7E122A}" id="{7D20796D-2665-48A8-9532-E8B156488D3F}">
    <text>Report not available</text>
  </threadedComment>
  <threadedComment ref="BJ201" dT="2025-01-16T07:13:52.45" personId="{1798D1B1-3098-46B1-91A2-D4C92B7E122A}" id="{5904553E-9090-405A-A183-187D445F7EAA}">
    <text>Report not available</text>
  </threadedComment>
  <threadedComment ref="BK201" dT="2025-01-16T07:13:52.45" personId="{1798D1B1-3098-46B1-91A2-D4C92B7E122A}" id="{371D118E-D573-4C72-94A4-E7FA481B8E27}">
    <text>Report not available</text>
  </threadedComment>
  <threadedComment ref="BL201" dT="2025-01-16T07:13:52.45" personId="{1798D1B1-3098-46B1-91A2-D4C92B7E122A}" id="{F625D644-DC42-4A91-ACAD-3C879002240B}">
    <text>Report not available</text>
  </threadedComment>
  <threadedComment ref="BM201" dT="2025-01-16T07:13:52.45" personId="{1798D1B1-3098-46B1-91A2-D4C92B7E122A}" id="{0D6460D3-071F-4002-B8D2-EC88AA8F0948}">
    <text>Report not available</text>
  </threadedComment>
  <threadedComment ref="BN201" dT="2025-01-16T07:13:52.45" personId="{1798D1B1-3098-46B1-91A2-D4C92B7E122A}" id="{DBD06691-45B1-468A-BA79-AF651E99BEB5}">
    <text>Report not available</text>
  </threadedComment>
  <threadedComment ref="BP201" dT="2025-01-16T07:13:52.45" personId="{1798D1B1-3098-46B1-91A2-D4C92B7E122A}" id="{632A026D-03A7-43A0-98EF-6325186BE9F4}">
    <text>Report not available</text>
  </threadedComment>
  <threadedComment ref="BS201" dT="2025-05-20T07:08:56.53" personId="{1798D1B1-3098-46B1-91A2-D4C92B7E122A}" id="{826F8ED0-6BF3-4420-9A22-D8DE6A7C6699}">
    <text>Removed from SLA’s list</text>
  </threadedComment>
  <threadedComment ref="BU201" dT="2025-01-16T07:13:52.45" personId="{1798D1B1-3098-46B1-91A2-D4C92B7E122A}" id="{5AC5D1E9-3189-43B2-8A57-FDCD4532E7CD}">
    <text>Report not available</text>
  </threadedComment>
  <threadedComment ref="S202" dT="2024-06-11T11:57:32.49" personId="{1798D1B1-3098-46B1-91A2-D4C92B7E122A}" id="{F443B7AC-22E9-4113-AD38-6D195051D726}">
    <text>Not validated</text>
  </threadedComment>
  <threadedComment ref="Y202" dT="2024-09-15T12:50:58.60" personId="{6777EDD4-E46F-4979-A7E7-6FC0A82E0C8E}" id="{88D90328-840E-4E6D-A52C-C6EC5D09CF0C}">
    <text>Not having base data to measure</text>
  </threadedComment>
  <threadedComment ref="Z202" dT="2024-09-15T12:50:58.60" personId="{6777EDD4-E46F-4979-A7E7-6FC0A82E0C8E}" id="{CEE45C7B-0FE5-4627-BB21-2370BC95CC45}">
    <text>Not having base data to measure</text>
  </threadedComment>
  <threadedComment ref="AA202" dT="2024-09-15T12:50:58.60" personId="{6777EDD4-E46F-4979-A7E7-6FC0A82E0C8E}" id="{4BE2D722-17D2-4F04-8730-8610196EAFDB}">
    <text>Not having base data to measure</text>
  </threadedComment>
  <threadedComment ref="AB202" dT="2024-09-15T12:50:58.60" personId="{6777EDD4-E46F-4979-A7E7-6FC0A82E0C8E}" id="{DB9FE1DD-3D21-4DCE-BFDE-9C016DC1D467}">
    <text>Not having base data to measure</text>
  </threadedComment>
  <threadedComment ref="AC202" dT="2024-09-15T12:50:58.60" personId="{6777EDD4-E46F-4979-A7E7-6FC0A82E0C8E}" id="{4CBBC2FA-F814-4056-99BD-486DBAF55A75}">
    <text>Not having base data to measure</text>
  </threadedComment>
  <threadedComment ref="AD202" dT="2024-09-15T12:50:58.60" personId="{6777EDD4-E46F-4979-A7E7-6FC0A82E0C8E}" id="{D7635FE4-7F2C-4672-86BE-4772BBE71FA3}">
    <text>Not having base data to measure</text>
  </threadedComment>
  <threadedComment ref="AE202" dT="2024-09-15T12:50:58.60" personId="{6777EDD4-E46F-4979-A7E7-6FC0A82E0C8E}" id="{EDC4AAF3-4D25-4256-B3FD-445D947259CC}">
    <text>Not having base data to measure</text>
  </threadedComment>
  <threadedComment ref="AF202" dT="2024-09-15T12:50:58.60" personId="{6777EDD4-E46F-4979-A7E7-6FC0A82E0C8E}" id="{8C327754-4FF1-4C0C-9B32-FCCED79086FA}">
    <text>Not having base data to measure</text>
  </threadedComment>
  <threadedComment ref="AG202" dT="2024-09-15T12:50:58.60" personId="{6777EDD4-E46F-4979-A7E7-6FC0A82E0C8E}" id="{831EB04B-013F-4AA9-8B80-8515DCEEC2C1}">
    <text>Not having base data to measure</text>
  </threadedComment>
  <threadedComment ref="AH202" dT="2024-09-15T12:50:58.60" personId="{6777EDD4-E46F-4979-A7E7-6FC0A82E0C8E}" id="{333C0D9F-BCBE-4CB6-A5FE-BE2782A0353C}">
    <text>Not having base data to measure</text>
  </threadedComment>
  <threadedComment ref="AI202" dT="2024-09-15T12:50:58.60" personId="{6777EDD4-E46F-4979-A7E7-6FC0A82E0C8E}" id="{1697CA5F-06DF-45C2-BD94-1DB16F5C6134}">
    <text>Not having base data to measure</text>
  </threadedComment>
  <threadedComment ref="AJ202" dT="2024-09-15T12:50:58.60" personId="{6777EDD4-E46F-4979-A7E7-6FC0A82E0C8E}" id="{12DC9AA4-1FE0-4A7F-8457-562D51738755}">
    <text>Not having base data to measure</text>
  </threadedComment>
  <threadedComment ref="AK202" dT="2024-09-15T12:50:58.60" personId="{6777EDD4-E46F-4979-A7E7-6FC0A82E0C8E}" id="{DDFB49E9-4F6F-4144-986B-F5269D34D549}">
    <text>Not having base data to measure</text>
  </threadedComment>
  <threadedComment ref="AL202" dT="2024-09-15T12:50:58.60" personId="{6777EDD4-E46F-4979-A7E7-6FC0A82E0C8E}" id="{4A28C5F2-CB0B-442B-988F-1835B7E5EC70}">
    <text>Not having base data to measure</text>
  </threadedComment>
  <threadedComment ref="AM202" dT="2025-01-16T07:13:52.45" personId="{1798D1B1-3098-46B1-91A2-D4C92B7E122A}" id="{6BCE1550-BACE-4F01-9AD9-05819F94347D}">
    <text>Report not available</text>
  </threadedComment>
  <threadedComment ref="AN202" dT="2025-01-16T07:13:52.45" personId="{1798D1B1-3098-46B1-91A2-D4C92B7E122A}" id="{1C00B58C-92AF-4F34-909D-D9ABEAFCE92F}">
    <text>Report not available</text>
  </threadedComment>
  <threadedComment ref="AO202" dT="2025-01-16T07:13:52.45" personId="{1798D1B1-3098-46B1-91A2-D4C92B7E122A}" id="{347874A1-9791-4F52-A3A8-92C55A3E45EE}">
    <text>Report not available</text>
  </threadedComment>
  <threadedComment ref="AP202" dT="2025-01-16T07:13:52.45" personId="{1798D1B1-3098-46B1-91A2-D4C92B7E122A}" id="{14815CF3-E4FA-426B-8B78-1830D7EF2AC4}">
    <text>Report not available</text>
  </threadedComment>
  <threadedComment ref="AQ202" dT="2025-01-16T07:13:52.45" personId="{1798D1B1-3098-46B1-91A2-D4C92B7E122A}" id="{E7D398BD-0234-458E-ADC1-453BD698A7EE}">
    <text>Report not available</text>
  </threadedComment>
  <threadedComment ref="AR202" dT="2025-01-16T07:13:52.45" personId="{1798D1B1-3098-46B1-91A2-D4C92B7E122A}" id="{F1376645-26AA-4A99-8B1B-18CC1836BB0D}">
    <text>Report not available</text>
  </threadedComment>
  <threadedComment ref="AS202" dT="2025-01-16T07:13:52.45" personId="{1798D1B1-3098-46B1-91A2-D4C92B7E122A}" id="{8CFEF8BB-A68D-4818-B3E5-07244D41EBC1}">
    <text>Report not available</text>
  </threadedComment>
  <threadedComment ref="AT202" dT="2025-01-16T07:13:52.45" personId="{1798D1B1-3098-46B1-91A2-D4C92B7E122A}" id="{32586613-300C-4DD0-867B-75B5DFF17EF2}">
    <text>Report not available</text>
  </threadedComment>
  <threadedComment ref="AU202" dT="2025-01-16T07:13:52.45" personId="{1798D1B1-3098-46B1-91A2-D4C92B7E122A}" id="{59840A1C-65F5-4079-BFDC-0412FB11B430}">
    <text>Report not available</text>
  </threadedComment>
  <threadedComment ref="AV202" dT="2025-01-16T07:13:52.45" personId="{1798D1B1-3098-46B1-91A2-D4C92B7E122A}" id="{783CEA0A-6AB3-47C0-A2C1-641FF4F3A172}">
    <text>Report not available</text>
  </threadedComment>
  <threadedComment ref="AW202" dT="2025-01-16T07:13:52.45" personId="{1798D1B1-3098-46B1-91A2-D4C92B7E122A}" id="{67F5296E-4A81-4BFA-9093-1A5649F03C6D}">
    <text>Report not available</text>
  </threadedComment>
  <threadedComment ref="AX202" dT="2025-01-16T07:13:52.45" personId="{1798D1B1-3098-46B1-91A2-D4C92B7E122A}" id="{3F79F2DE-A86B-4908-ACA3-C4C69CA34BF8}">
    <text>Report not available</text>
  </threadedComment>
  <threadedComment ref="AY202" dT="2025-01-16T07:13:52.45" personId="{1798D1B1-3098-46B1-91A2-D4C92B7E122A}" id="{1771458E-D5AE-43A5-AB88-CC0FDBD276A2}">
    <text>Report not available</text>
  </threadedComment>
  <threadedComment ref="AZ202" dT="2025-01-16T07:13:52.45" personId="{1798D1B1-3098-46B1-91A2-D4C92B7E122A}" id="{5BF5D87F-44E1-4A02-A09C-307F1F6BD067}">
    <text>Report not available</text>
  </threadedComment>
  <threadedComment ref="BA202" dT="2025-01-16T07:13:52.45" personId="{1798D1B1-3098-46B1-91A2-D4C92B7E122A}" id="{6BD391C8-26B5-4CB7-A1C3-E5790955180C}">
    <text>Report not available</text>
  </threadedComment>
  <threadedComment ref="BB202" dT="2025-01-16T07:13:52.45" personId="{1798D1B1-3098-46B1-91A2-D4C92B7E122A}" id="{A08AD26F-998F-468F-A2FB-466A207502F4}">
    <text>Report not available</text>
  </threadedComment>
  <threadedComment ref="BC202" dT="2025-01-16T07:13:52.45" personId="{1798D1B1-3098-46B1-91A2-D4C92B7E122A}" id="{31088524-5B1A-45FE-8BA8-BEE39DBBB1F0}">
    <text>Report not available</text>
  </threadedComment>
  <threadedComment ref="BD202" dT="2025-01-16T07:13:52.45" personId="{1798D1B1-3098-46B1-91A2-D4C92B7E122A}" id="{EC860416-4454-40EB-BCD3-EB9A48DB1C2A}">
    <text>Report not available</text>
  </threadedComment>
  <threadedComment ref="BE202" dT="2025-01-16T07:13:52.45" personId="{1798D1B1-3098-46B1-91A2-D4C92B7E122A}" id="{553AA8DE-5584-40FD-BDB6-65D9D8C7A32B}">
    <text>Report not available</text>
  </threadedComment>
  <threadedComment ref="BF202" dT="2025-01-16T07:13:52.45" personId="{1798D1B1-3098-46B1-91A2-D4C92B7E122A}" id="{6741BC34-2532-4D14-88DF-A4E48C0EBFDF}">
    <text>Report not available</text>
  </threadedComment>
  <threadedComment ref="BG202" dT="2025-01-16T07:13:52.45" personId="{1798D1B1-3098-46B1-91A2-D4C92B7E122A}" id="{7BDE61DE-27A5-473A-8458-A0B365B02215}">
    <text>Report not available</text>
  </threadedComment>
  <threadedComment ref="BH202" dT="2025-01-16T07:13:52.45" personId="{1798D1B1-3098-46B1-91A2-D4C92B7E122A}" id="{19430DCD-E908-42FB-9908-EDCCC5FF2B96}">
    <text>Report not available</text>
  </threadedComment>
  <threadedComment ref="BI202" dT="2025-01-16T07:13:52.45" personId="{1798D1B1-3098-46B1-91A2-D4C92B7E122A}" id="{2F597921-51CB-41D2-B340-CD28D5AB99E8}">
    <text>Report not available</text>
  </threadedComment>
  <threadedComment ref="BJ202" dT="2025-01-16T07:13:52.45" personId="{1798D1B1-3098-46B1-91A2-D4C92B7E122A}" id="{BF4ECE17-6BF0-48EC-9DF0-41D92C5A42F9}">
    <text>Report not available</text>
  </threadedComment>
  <threadedComment ref="BK202" dT="2025-01-16T07:13:52.45" personId="{1798D1B1-3098-46B1-91A2-D4C92B7E122A}" id="{0F6BD030-EB20-4F20-8A47-EDE5A91587AE}">
    <text>Report not available</text>
  </threadedComment>
  <threadedComment ref="BL202" dT="2025-01-16T07:13:52.45" personId="{1798D1B1-3098-46B1-91A2-D4C92B7E122A}" id="{F96A9AF5-CC79-43B4-8607-A38AB14E84E4}">
    <text>Report not available</text>
  </threadedComment>
  <threadedComment ref="BM202" dT="2025-01-16T07:13:52.45" personId="{1798D1B1-3098-46B1-91A2-D4C92B7E122A}" id="{23D0518C-74FE-434B-9743-C891917D4D9C}">
    <text>Report not available</text>
  </threadedComment>
  <threadedComment ref="BN202" dT="2025-01-16T07:13:52.45" personId="{1798D1B1-3098-46B1-91A2-D4C92B7E122A}" id="{9949FE53-0F19-451D-9E44-FC0BE796DE2A}">
    <text>Report not available</text>
  </threadedComment>
  <threadedComment ref="BP202" dT="2025-01-16T07:13:52.45" personId="{1798D1B1-3098-46B1-91A2-D4C92B7E122A}" id="{7247B684-3254-4CEA-8131-00744DC93C5A}">
    <text>Report not available</text>
  </threadedComment>
  <threadedComment ref="BS202" dT="2025-05-20T07:08:56.53" personId="{1798D1B1-3098-46B1-91A2-D4C92B7E122A}" id="{42029C79-B348-4ABF-891B-0CCF4E15035F}">
    <text>Removed from SLA’s list</text>
  </threadedComment>
  <threadedComment ref="BU202" dT="2025-01-16T07:13:52.45" personId="{1798D1B1-3098-46B1-91A2-D4C92B7E122A}" id="{C33C07B0-CB73-4F0F-B414-552D49A9AB53}">
    <text>Report not available</text>
  </threadedComment>
  <threadedComment ref="S203" dT="2024-06-11T11:58:31.27" personId="{1798D1B1-3098-46B1-91A2-D4C92B7E122A}" id="{5B95480D-FC72-4EB4-BD76-7AD7BBF7F33C}">
    <text>Not validated</text>
  </threadedComment>
  <threadedComment ref="Y203" dT="2024-09-15T12:50:58.60" personId="{6777EDD4-E46F-4979-A7E7-6FC0A82E0C8E}" id="{E61B0F97-421B-46A8-9482-62283015A3AE}">
    <text>Not having base data to measure</text>
  </threadedComment>
  <threadedComment ref="Z203" dT="2024-09-15T12:50:58.60" personId="{6777EDD4-E46F-4979-A7E7-6FC0A82E0C8E}" id="{4BE581D7-9338-4B65-8156-DA885BA9B65B}">
    <text>Not having base data to measure</text>
  </threadedComment>
  <threadedComment ref="AA203" dT="2024-09-15T12:50:58.60" personId="{6777EDD4-E46F-4979-A7E7-6FC0A82E0C8E}" id="{D3AC3660-E8CE-4E29-AA32-E3813E489084}">
    <text>Not having base data to measure</text>
  </threadedComment>
  <threadedComment ref="AB203" dT="2024-09-15T12:50:58.60" personId="{6777EDD4-E46F-4979-A7E7-6FC0A82E0C8E}" id="{E3FB3C95-2154-4BCA-BB52-5280CAEDC396}">
    <text>Not having base data to measure</text>
  </threadedComment>
  <threadedComment ref="AC203" dT="2024-09-15T12:50:58.60" personId="{6777EDD4-E46F-4979-A7E7-6FC0A82E0C8E}" id="{ADD4DC51-C040-4A20-96F2-0491DA4A13F7}">
    <text>Not having base data to measure</text>
  </threadedComment>
  <threadedComment ref="AD203" dT="2024-09-15T12:50:58.60" personId="{6777EDD4-E46F-4979-A7E7-6FC0A82E0C8E}" id="{DD836BDB-B68A-4421-B1FC-FCCED3210C7D}">
    <text>Not having base data to measure</text>
  </threadedComment>
  <threadedComment ref="AE203" dT="2024-09-15T12:50:58.60" personId="{6777EDD4-E46F-4979-A7E7-6FC0A82E0C8E}" id="{811B7787-D98F-4EB4-BEB1-8F0FD76B7FA8}">
    <text>Not having base data to measure</text>
  </threadedComment>
  <threadedComment ref="AF203" dT="2024-09-15T12:50:58.60" personId="{6777EDD4-E46F-4979-A7E7-6FC0A82E0C8E}" id="{A888BEA4-5938-4E87-B907-91C5D4688972}">
    <text>Not having base data to measure</text>
  </threadedComment>
  <threadedComment ref="AG203" dT="2024-09-15T12:50:58.60" personId="{6777EDD4-E46F-4979-A7E7-6FC0A82E0C8E}" id="{F19C94B1-D65B-4412-BFDD-F402EE0F4472}">
    <text>Not having base data to measure</text>
  </threadedComment>
  <threadedComment ref="AH203" dT="2024-09-15T12:50:58.60" personId="{6777EDD4-E46F-4979-A7E7-6FC0A82E0C8E}" id="{EC2DA8CC-0A51-4445-B6FB-AD6CBE88F64C}">
    <text>Not having base data to measure</text>
  </threadedComment>
  <threadedComment ref="AI203" dT="2024-09-15T12:50:58.60" personId="{6777EDD4-E46F-4979-A7E7-6FC0A82E0C8E}" id="{8244A065-CC40-44D8-A7D7-C38EF2F19F22}">
    <text>Not having base data to measure</text>
  </threadedComment>
  <threadedComment ref="AJ203" dT="2024-09-15T12:50:58.60" personId="{6777EDD4-E46F-4979-A7E7-6FC0A82E0C8E}" id="{9166C34C-1802-4931-880D-E5265A0426A6}">
    <text>Not having base data to measure</text>
  </threadedComment>
  <threadedComment ref="AK203" dT="2024-09-15T12:50:58.60" personId="{6777EDD4-E46F-4979-A7E7-6FC0A82E0C8E}" id="{D08ED4EA-1E40-4ED3-8397-2631C327F25F}">
    <text>Not having base data to measure</text>
  </threadedComment>
  <threadedComment ref="AL203" dT="2024-09-15T12:50:58.60" personId="{6777EDD4-E46F-4979-A7E7-6FC0A82E0C8E}" id="{10A03A41-5328-43BC-B499-957C7A16C190}">
    <text>Not having base data to measure</text>
  </threadedComment>
  <threadedComment ref="AM203" dT="2025-01-16T07:13:52.45" personId="{1798D1B1-3098-46B1-91A2-D4C92B7E122A}" id="{3A2538F2-9FCD-4D6B-A88E-03806FE71707}">
    <text>Report not available</text>
  </threadedComment>
  <threadedComment ref="AN203" dT="2025-01-16T07:13:52.45" personId="{1798D1B1-3098-46B1-91A2-D4C92B7E122A}" id="{5E5840DF-41C4-4656-B8C0-DD71F09F8E89}">
    <text>Report not available</text>
  </threadedComment>
  <threadedComment ref="AO203" dT="2025-01-16T07:13:52.45" personId="{1798D1B1-3098-46B1-91A2-D4C92B7E122A}" id="{F5C0B4E0-AF88-4BA1-8D76-663BE11250CE}">
    <text>Report not available</text>
  </threadedComment>
  <threadedComment ref="AP203" dT="2025-01-16T07:13:52.45" personId="{1798D1B1-3098-46B1-91A2-D4C92B7E122A}" id="{59E1FA4D-AD64-47C3-8C4B-DF864DCDCE56}">
    <text>Report not available</text>
  </threadedComment>
  <threadedComment ref="AQ203" dT="2025-01-16T07:13:52.45" personId="{1798D1B1-3098-46B1-91A2-D4C92B7E122A}" id="{131AFF2F-0461-46D4-B0A3-030E023BD275}">
    <text>Report not available</text>
  </threadedComment>
  <threadedComment ref="AR203" dT="2025-01-16T07:13:52.45" personId="{1798D1B1-3098-46B1-91A2-D4C92B7E122A}" id="{EBF2F787-3E68-4143-8E3B-73DB1B43B859}">
    <text>Report not available</text>
  </threadedComment>
  <threadedComment ref="AS203" dT="2025-01-16T07:13:52.45" personId="{1798D1B1-3098-46B1-91A2-D4C92B7E122A}" id="{E9E27F91-CF92-4FE4-8A47-479C17551850}">
    <text>Report not available</text>
  </threadedComment>
  <threadedComment ref="AT203" dT="2025-01-16T07:13:52.45" personId="{1798D1B1-3098-46B1-91A2-D4C92B7E122A}" id="{4B4FD292-9A0C-4A0A-91A7-C649CECCE149}">
    <text>Report not available</text>
  </threadedComment>
  <threadedComment ref="AU203" dT="2025-01-16T07:13:52.45" personId="{1798D1B1-3098-46B1-91A2-D4C92B7E122A}" id="{3EDCC0CF-93F7-4B8A-8C13-799C5A3110EB}">
    <text>Report not available</text>
  </threadedComment>
  <threadedComment ref="AV203" dT="2025-01-16T07:13:52.45" personId="{1798D1B1-3098-46B1-91A2-D4C92B7E122A}" id="{788DFBB2-657A-4DB6-AE14-F919965A4094}">
    <text>Report not available</text>
  </threadedComment>
  <threadedComment ref="AW203" dT="2025-01-16T07:13:52.45" personId="{1798D1B1-3098-46B1-91A2-D4C92B7E122A}" id="{9122318A-3B64-44CF-BA6A-10B6D0072368}">
    <text>Report not available</text>
  </threadedComment>
  <threadedComment ref="AX203" dT="2025-01-16T07:13:52.45" personId="{1798D1B1-3098-46B1-91A2-D4C92B7E122A}" id="{6D993F39-ADFD-44D2-A023-B5A3280DED52}">
    <text>Report not available</text>
  </threadedComment>
  <threadedComment ref="AY203" dT="2025-01-16T07:13:52.45" personId="{1798D1B1-3098-46B1-91A2-D4C92B7E122A}" id="{57E1856D-11D8-4B7F-BA41-BBE4BBD1249D}">
    <text>Report not available</text>
  </threadedComment>
  <threadedComment ref="AZ203" dT="2025-01-16T07:13:52.45" personId="{1798D1B1-3098-46B1-91A2-D4C92B7E122A}" id="{64842401-D4D2-4DEA-A43E-4BB46CE39500}">
    <text>Report not available</text>
  </threadedComment>
  <threadedComment ref="BA203" dT="2025-01-16T07:13:52.45" personId="{1798D1B1-3098-46B1-91A2-D4C92B7E122A}" id="{D399FFF1-FF80-4F95-9B1E-A28D0A99D39D}">
    <text>Report not available</text>
  </threadedComment>
  <threadedComment ref="BB203" dT="2025-01-16T07:13:52.45" personId="{1798D1B1-3098-46B1-91A2-D4C92B7E122A}" id="{4F19BB9A-DBF9-4CE2-A822-0DD849E98672}">
    <text>Report not available</text>
  </threadedComment>
  <threadedComment ref="BC203" dT="2025-01-16T07:13:52.45" personId="{1798D1B1-3098-46B1-91A2-D4C92B7E122A}" id="{B6761D1C-7122-4240-8C47-6150DE65195A}">
    <text>Report not available</text>
  </threadedComment>
  <threadedComment ref="BD203" dT="2025-01-16T07:13:52.45" personId="{1798D1B1-3098-46B1-91A2-D4C92B7E122A}" id="{82A0B5C4-D200-43AE-BB64-1CB95007744D}">
    <text>Report not available</text>
  </threadedComment>
  <threadedComment ref="BE203" dT="2025-01-16T07:13:52.45" personId="{1798D1B1-3098-46B1-91A2-D4C92B7E122A}" id="{97361049-2E19-412C-AD78-D6254F2BD0F1}">
    <text>Report not available</text>
  </threadedComment>
  <threadedComment ref="BF203" dT="2025-01-16T07:13:52.45" personId="{1798D1B1-3098-46B1-91A2-D4C92B7E122A}" id="{AEEFD733-A9E5-4975-9766-D1590984EEB0}">
    <text>Report not available</text>
  </threadedComment>
  <threadedComment ref="BG203" dT="2025-01-16T07:13:52.45" personId="{1798D1B1-3098-46B1-91A2-D4C92B7E122A}" id="{05D999BC-C66E-4D2A-8F7A-94788E09F06E}">
    <text>Report not available</text>
  </threadedComment>
  <threadedComment ref="BH203" dT="2025-01-16T07:13:52.45" personId="{1798D1B1-3098-46B1-91A2-D4C92B7E122A}" id="{3E548D34-D94C-4BF7-8229-1F222E71053A}">
    <text>Report not available</text>
  </threadedComment>
  <threadedComment ref="BI203" dT="2025-01-16T07:13:52.45" personId="{1798D1B1-3098-46B1-91A2-D4C92B7E122A}" id="{EF16E2DB-3A0D-4E97-8D4A-8CE2CD217637}">
    <text>Report not available</text>
  </threadedComment>
  <threadedComment ref="BJ203" dT="2025-01-16T07:13:52.45" personId="{1798D1B1-3098-46B1-91A2-D4C92B7E122A}" id="{2319960C-0070-4CF9-8177-646A9D5BE885}">
    <text>Report not available</text>
  </threadedComment>
  <threadedComment ref="BK203" dT="2025-01-16T07:13:52.45" personId="{1798D1B1-3098-46B1-91A2-D4C92B7E122A}" id="{EE5ABC1D-ED51-4358-8D50-4C67808B4D70}">
    <text>Report not available</text>
  </threadedComment>
  <threadedComment ref="BL203" dT="2025-01-16T07:13:52.45" personId="{1798D1B1-3098-46B1-91A2-D4C92B7E122A}" id="{B8DED17D-285A-439F-9CFF-F81AC19175EC}">
    <text>Report not available</text>
  </threadedComment>
  <threadedComment ref="BM203" dT="2025-01-16T07:13:52.45" personId="{1798D1B1-3098-46B1-91A2-D4C92B7E122A}" id="{25556D20-7E0E-4A0B-A7FC-F8BD2332D033}">
    <text>Report not available</text>
  </threadedComment>
  <threadedComment ref="BN203" dT="2025-01-16T07:13:52.45" personId="{1798D1B1-3098-46B1-91A2-D4C92B7E122A}" id="{24ECDD93-DA80-45E5-8DC4-10A6AA0EBCD1}">
    <text>Report not available</text>
  </threadedComment>
  <threadedComment ref="BP203" dT="2025-01-16T07:13:52.45" personId="{1798D1B1-3098-46B1-91A2-D4C92B7E122A}" id="{66853D75-E66E-4B28-AD7E-78C2B1E561AC}">
    <text>Report not available</text>
  </threadedComment>
  <threadedComment ref="BS203" dT="2025-05-20T07:08:56.53" personId="{1798D1B1-3098-46B1-91A2-D4C92B7E122A}" id="{27D815CF-DB3A-4540-95BB-140ABD7EFC4C}">
    <text>Removed from SLA’s list</text>
  </threadedComment>
  <threadedComment ref="BU203" dT="2025-01-16T07:13:52.45" personId="{1798D1B1-3098-46B1-91A2-D4C92B7E122A}" id="{1FA4E4E5-86D7-43FA-983C-B051A87BC6D1}">
    <text>Report not available</text>
  </threadedComment>
  <threadedComment ref="S204" dT="2024-06-11T11:55:01.61" personId="{1798D1B1-3098-46B1-91A2-D4C92B7E122A}" id="{56C5F17B-1A33-4884-BC1E-AD1D037E6261}">
    <text>No workday report</text>
  </threadedComment>
  <threadedComment ref="Y204" dT="2024-09-15T12:50:58.60" personId="{6777EDD4-E46F-4979-A7E7-6FC0A82E0C8E}" id="{F5674B70-D41F-4F12-9049-38824FA167F3}">
    <text>Not having base data to measure</text>
  </threadedComment>
  <threadedComment ref="Z204" dT="2024-09-15T12:50:58.60" personId="{6777EDD4-E46F-4979-A7E7-6FC0A82E0C8E}" id="{DF48D073-19F2-4D85-9AA5-F7F80D73E64B}">
    <text>Not having base data to measure</text>
  </threadedComment>
  <threadedComment ref="AA204" dT="2024-09-15T12:50:58.60" personId="{6777EDD4-E46F-4979-A7E7-6FC0A82E0C8E}" id="{5C83065A-D0EC-4E3F-9023-E64EC5E895B4}">
    <text>Not having base data to measure</text>
  </threadedComment>
  <threadedComment ref="AB204" dT="2024-09-15T12:50:58.60" personId="{6777EDD4-E46F-4979-A7E7-6FC0A82E0C8E}" id="{3C6DC662-8E7F-4D4F-8736-754840A4415C}">
    <text>Not having base data to measure</text>
  </threadedComment>
  <threadedComment ref="AC204" dT="2024-09-15T12:50:58.60" personId="{6777EDD4-E46F-4979-A7E7-6FC0A82E0C8E}" id="{B83AEA26-333C-45B7-9EE0-3F0B936250FB}">
    <text>Not having base data to measure</text>
  </threadedComment>
  <threadedComment ref="AD204" dT="2024-09-15T12:50:58.60" personId="{6777EDD4-E46F-4979-A7E7-6FC0A82E0C8E}" id="{A29461D5-4E02-4524-9481-16FA3068A828}">
    <text>Not having base data to measure</text>
  </threadedComment>
  <threadedComment ref="AE204" dT="2024-09-15T12:50:58.60" personId="{6777EDD4-E46F-4979-A7E7-6FC0A82E0C8E}" id="{079E1F05-9704-4819-86C0-BC25DE0271C9}">
    <text>Not having base data to measure</text>
  </threadedComment>
  <threadedComment ref="AF204" dT="2024-09-15T12:50:58.60" personId="{6777EDD4-E46F-4979-A7E7-6FC0A82E0C8E}" id="{537EA187-41B5-4FF4-B22E-0363CD07AEC3}">
    <text>Not having base data to measure</text>
  </threadedComment>
  <threadedComment ref="AG204" dT="2024-09-15T12:50:58.60" personId="{6777EDD4-E46F-4979-A7E7-6FC0A82E0C8E}" id="{0D022CFE-7390-48A6-9830-977BB72AC76F}">
    <text>Not having base data to measure</text>
  </threadedComment>
  <threadedComment ref="AH204" dT="2024-09-15T12:50:58.60" personId="{6777EDD4-E46F-4979-A7E7-6FC0A82E0C8E}" id="{D57DD492-61A5-441B-A3F6-7309A5533606}">
    <text>Not having base data to measure</text>
  </threadedComment>
  <threadedComment ref="AI204" dT="2024-09-15T12:50:58.60" personId="{6777EDD4-E46F-4979-A7E7-6FC0A82E0C8E}" id="{C9CA2EC8-A455-44AD-8AB2-6984DAAA1EAD}">
    <text>Not having base data to measure</text>
  </threadedComment>
  <threadedComment ref="AJ204" dT="2024-09-15T12:50:58.60" personId="{6777EDD4-E46F-4979-A7E7-6FC0A82E0C8E}" id="{7B8DB71F-90CE-448D-83A6-9699785F6A57}">
    <text>Not having base data to measure</text>
  </threadedComment>
  <threadedComment ref="AK204" dT="2024-09-15T12:50:58.60" personId="{6777EDD4-E46F-4979-A7E7-6FC0A82E0C8E}" id="{88E103D5-6C6F-472A-8D55-5BCFEBFA1EAB}">
    <text>Not having base data to measure</text>
  </threadedComment>
  <threadedComment ref="AL204" dT="2024-09-15T12:50:58.60" personId="{6777EDD4-E46F-4979-A7E7-6FC0A82E0C8E}" id="{355CEAAD-5F46-4C22-B3D5-6ACF4BA64326}">
    <text>Not having base data to measure</text>
  </threadedComment>
  <threadedComment ref="AM204" dT="2025-01-16T07:13:52.45" personId="{1798D1B1-3098-46B1-91A2-D4C92B7E122A}" id="{B695AD45-FCDB-4907-84DE-13F537B1D98A}">
    <text>Report not available</text>
  </threadedComment>
  <threadedComment ref="AN204" dT="2025-01-16T07:13:52.45" personId="{1798D1B1-3098-46B1-91A2-D4C92B7E122A}" id="{CB21E1A0-9B5D-4435-A7A7-6C982C44B4EF}">
    <text>Report not available</text>
  </threadedComment>
  <threadedComment ref="AO204" dT="2025-01-16T07:13:52.45" personId="{1798D1B1-3098-46B1-91A2-D4C92B7E122A}" id="{9BB98CE5-BC02-4779-8B62-21D54FD3266D}">
    <text>Report not available</text>
  </threadedComment>
  <threadedComment ref="AP204" dT="2025-01-16T07:13:52.45" personId="{1798D1B1-3098-46B1-91A2-D4C92B7E122A}" id="{C5ADBE3C-C2DB-4511-96B5-24641AB82C3B}">
    <text>Report not available</text>
  </threadedComment>
  <threadedComment ref="AQ204" dT="2025-01-16T07:13:52.45" personId="{1798D1B1-3098-46B1-91A2-D4C92B7E122A}" id="{09062E7A-179F-45A2-9FEA-0DA07752764F}">
    <text>Report not available</text>
  </threadedComment>
  <threadedComment ref="AR204" dT="2025-01-16T07:13:52.45" personId="{1798D1B1-3098-46B1-91A2-D4C92B7E122A}" id="{FD0B93E8-C0D1-43BB-B206-CC30DC945173}">
    <text>Report not available</text>
  </threadedComment>
  <threadedComment ref="AS204" dT="2025-01-16T07:13:52.45" personId="{1798D1B1-3098-46B1-91A2-D4C92B7E122A}" id="{0ACA067A-572A-4960-BFE2-E6B9C65086C9}">
    <text>Report not available</text>
  </threadedComment>
  <threadedComment ref="AT204" dT="2025-01-16T07:13:52.45" personId="{1798D1B1-3098-46B1-91A2-D4C92B7E122A}" id="{748C298B-B0F3-4827-BB9A-B6686D0F9EA3}">
    <text>Report not available</text>
  </threadedComment>
  <threadedComment ref="AU204" dT="2025-01-16T07:13:52.45" personId="{1798D1B1-3098-46B1-91A2-D4C92B7E122A}" id="{001894D0-D008-46D8-9A2B-C7AE44D5FB05}">
    <text>Report not available</text>
  </threadedComment>
  <threadedComment ref="AV204" dT="2025-01-16T07:13:52.45" personId="{1798D1B1-3098-46B1-91A2-D4C92B7E122A}" id="{6C35CDF4-2E19-4A93-BF38-DD163FC8687B}">
    <text>Report not available</text>
  </threadedComment>
  <threadedComment ref="AW204" dT="2025-01-16T07:13:52.45" personId="{1798D1B1-3098-46B1-91A2-D4C92B7E122A}" id="{6888E321-F27A-471C-B600-0DDEDCE129C1}">
    <text>Report not available</text>
  </threadedComment>
  <threadedComment ref="AX204" dT="2025-01-16T07:13:52.45" personId="{1798D1B1-3098-46B1-91A2-D4C92B7E122A}" id="{DBF0A7F2-7BDE-4411-9863-0FB24E2BEB40}">
    <text>Report not available</text>
  </threadedComment>
  <threadedComment ref="AY204" dT="2025-01-16T07:13:52.45" personId="{1798D1B1-3098-46B1-91A2-D4C92B7E122A}" id="{20F32CB6-8B38-466A-8776-000F5C69AB3F}">
    <text>Report not available</text>
  </threadedComment>
  <threadedComment ref="AZ204" dT="2025-01-16T07:13:52.45" personId="{1798D1B1-3098-46B1-91A2-D4C92B7E122A}" id="{4C795462-66D6-4931-95DB-A9ED89FC63BD}">
    <text>Report not available</text>
  </threadedComment>
  <threadedComment ref="BA204" dT="2025-01-16T07:13:52.45" personId="{1798D1B1-3098-46B1-91A2-D4C92B7E122A}" id="{10F6C30C-79BE-4707-9116-E73B07895BFD}">
    <text>Report not available</text>
  </threadedComment>
  <threadedComment ref="BB204" dT="2025-01-16T07:13:52.45" personId="{1798D1B1-3098-46B1-91A2-D4C92B7E122A}" id="{B3FCDA5D-B418-4428-A25F-E66AF07C2BF6}">
    <text>Report not available</text>
  </threadedComment>
  <threadedComment ref="BC204" dT="2025-01-16T07:13:52.45" personId="{1798D1B1-3098-46B1-91A2-D4C92B7E122A}" id="{916708AE-6F56-4457-8CAB-3632D41A1FD3}">
    <text>Report not available</text>
  </threadedComment>
  <threadedComment ref="BD204" dT="2025-01-16T07:13:52.45" personId="{1798D1B1-3098-46B1-91A2-D4C92B7E122A}" id="{A853E446-C913-484A-9930-689A8F2BE3CA}">
    <text>Report not available</text>
  </threadedComment>
  <threadedComment ref="BE204" dT="2025-01-16T07:13:52.45" personId="{1798D1B1-3098-46B1-91A2-D4C92B7E122A}" id="{27BEB39B-CD42-4E31-80D9-FBF54BD5712B}">
    <text>Report not available</text>
  </threadedComment>
  <threadedComment ref="BF204" dT="2025-01-16T07:13:52.45" personId="{1798D1B1-3098-46B1-91A2-D4C92B7E122A}" id="{8C2FFF56-6339-4CD6-B36E-8B7B786FEBD9}">
    <text>Report not available</text>
  </threadedComment>
  <threadedComment ref="BG204" dT="2025-01-16T07:13:52.45" personId="{1798D1B1-3098-46B1-91A2-D4C92B7E122A}" id="{2DF49976-4456-4AC1-867F-7488BCB7F21A}">
    <text>Report not available</text>
  </threadedComment>
  <threadedComment ref="BH204" dT="2025-01-16T07:13:52.45" personId="{1798D1B1-3098-46B1-91A2-D4C92B7E122A}" id="{2AA6D6DB-64E3-4828-A8C3-0AAC86CA82C3}">
    <text>Report not available</text>
  </threadedComment>
  <threadedComment ref="BI204" dT="2025-01-16T07:13:52.45" personId="{1798D1B1-3098-46B1-91A2-D4C92B7E122A}" id="{AD03086A-8B5A-4D45-8492-21132F2B426D}">
    <text>Report not available</text>
  </threadedComment>
  <threadedComment ref="BJ204" dT="2025-01-16T07:13:52.45" personId="{1798D1B1-3098-46B1-91A2-D4C92B7E122A}" id="{7437F22E-62BF-48FF-AB9C-78D39B1F6FDD}">
    <text>Report not available</text>
  </threadedComment>
  <threadedComment ref="BK204" dT="2025-01-16T07:13:52.45" personId="{1798D1B1-3098-46B1-91A2-D4C92B7E122A}" id="{6A86CDCD-B01A-4524-836B-6ED004E8CB62}">
    <text>Report not available</text>
  </threadedComment>
  <threadedComment ref="BL204" dT="2025-01-16T07:13:52.45" personId="{1798D1B1-3098-46B1-91A2-D4C92B7E122A}" id="{D0B5681C-077F-4EE2-B0A5-FD9E576488F9}">
    <text>Report not available</text>
  </threadedComment>
  <threadedComment ref="BM204" dT="2025-01-16T07:13:52.45" personId="{1798D1B1-3098-46B1-91A2-D4C92B7E122A}" id="{A802D638-C6D4-43F9-BE2B-0CC0D3A279B7}">
    <text>Report not available</text>
  </threadedComment>
  <threadedComment ref="BN204" dT="2025-01-16T07:13:52.45" personId="{1798D1B1-3098-46B1-91A2-D4C92B7E122A}" id="{4CB2F97C-FAB7-4687-89C2-398E67AE3020}">
    <text>Report not available</text>
  </threadedComment>
  <threadedComment ref="BP204" dT="2025-01-16T07:13:52.45" personId="{1798D1B1-3098-46B1-91A2-D4C92B7E122A}" id="{077680B6-1148-4B6F-B99D-F89097739D6B}">
    <text>Report not available</text>
  </threadedComment>
  <threadedComment ref="BS204" dT="2025-05-20T07:08:56.53" personId="{1798D1B1-3098-46B1-91A2-D4C92B7E122A}" id="{F5BC8C4C-231A-4D54-B94B-13E0F2AC9BF3}">
    <text>Removed from SLA’s list</text>
  </threadedComment>
  <threadedComment ref="BU204" dT="2025-01-16T07:13:52.45" personId="{1798D1B1-3098-46B1-91A2-D4C92B7E122A}" id="{2743F7C2-6896-40E7-99B2-FAEC86936C86}">
    <text>Report not available</text>
  </threadedComment>
  <threadedComment ref="S205" dT="2024-06-11T11:55:05.60" personId="{1798D1B1-3098-46B1-91A2-D4C92B7E122A}" id="{AE7D6422-3F57-42D4-AB81-58C9BA101079}">
    <text>No workday report</text>
  </threadedComment>
  <threadedComment ref="Y205" dT="2024-09-15T12:50:58.60" personId="{6777EDD4-E46F-4979-A7E7-6FC0A82E0C8E}" id="{15D0E2F1-FB86-4B76-91B3-28245F5C4E3A}">
    <text>Not having base data to measure</text>
  </threadedComment>
  <threadedComment ref="Z205" dT="2024-09-15T12:50:58.60" personId="{6777EDD4-E46F-4979-A7E7-6FC0A82E0C8E}" id="{D7283C0D-6794-47D2-B6EE-395A3FDFD63E}">
    <text>Not having base data to measure</text>
  </threadedComment>
  <threadedComment ref="AA205" dT="2024-09-15T12:50:58.60" personId="{6777EDD4-E46F-4979-A7E7-6FC0A82E0C8E}" id="{9DE1FF14-AEF3-4165-82E0-B15031397925}">
    <text>Not having base data to measure</text>
  </threadedComment>
  <threadedComment ref="AB205" dT="2024-09-15T12:50:58.60" personId="{6777EDD4-E46F-4979-A7E7-6FC0A82E0C8E}" id="{D45DC28D-60F3-47E1-BB7C-801D92E0BB27}">
    <text>Not having base data to measure</text>
  </threadedComment>
  <threadedComment ref="AC205" dT="2024-09-15T12:50:58.60" personId="{6777EDD4-E46F-4979-A7E7-6FC0A82E0C8E}" id="{5CD2C124-7BC2-454C-970F-4D967F635C1A}">
    <text>Not having base data to measure</text>
  </threadedComment>
  <threadedComment ref="AD205" dT="2024-09-15T12:50:58.60" personId="{6777EDD4-E46F-4979-A7E7-6FC0A82E0C8E}" id="{BABDE8FB-4244-4B43-A38F-B8C2E2896040}">
    <text>Not having base data to measure</text>
  </threadedComment>
  <threadedComment ref="AE205" dT="2024-09-15T12:50:58.60" personId="{6777EDD4-E46F-4979-A7E7-6FC0A82E0C8E}" id="{B7FF7652-9273-484F-A83A-AD7D56C43EF7}">
    <text>Not having base data to measure</text>
  </threadedComment>
  <threadedComment ref="AF205" dT="2024-09-15T12:50:58.60" personId="{6777EDD4-E46F-4979-A7E7-6FC0A82E0C8E}" id="{F6AB9E83-08D5-47DC-8D6D-4B5871F62F0F}">
    <text>Not having base data to measure</text>
  </threadedComment>
  <threadedComment ref="AG205" dT="2024-09-15T12:50:58.60" personId="{6777EDD4-E46F-4979-A7E7-6FC0A82E0C8E}" id="{2CACA152-3D6A-4450-B8C2-FDB5E2CD2541}">
    <text>Not having base data to measure</text>
  </threadedComment>
  <threadedComment ref="AH205" dT="2024-09-15T12:50:58.60" personId="{6777EDD4-E46F-4979-A7E7-6FC0A82E0C8E}" id="{1EA6CBEC-D43E-4FF9-B865-C6978619EDA1}">
    <text>Not having base data to measure</text>
  </threadedComment>
  <threadedComment ref="AI205" dT="2024-09-15T12:50:58.60" personId="{6777EDD4-E46F-4979-A7E7-6FC0A82E0C8E}" id="{772F4539-E897-46E6-BB5E-91EBA5905269}">
    <text>Not having base data to measure</text>
  </threadedComment>
  <threadedComment ref="AJ205" dT="2024-09-15T12:50:58.60" personId="{6777EDD4-E46F-4979-A7E7-6FC0A82E0C8E}" id="{F6B01655-11F1-4B80-B7C8-47745214D13F}">
    <text>Not having base data to measure</text>
  </threadedComment>
  <threadedComment ref="AK205" dT="2024-09-15T12:50:58.60" personId="{6777EDD4-E46F-4979-A7E7-6FC0A82E0C8E}" id="{ABC77FE8-30EB-4FA1-A5CC-6042D305D8E5}">
    <text>Not having base data to measure</text>
  </threadedComment>
  <threadedComment ref="AL205" dT="2024-09-15T12:50:58.60" personId="{6777EDD4-E46F-4979-A7E7-6FC0A82E0C8E}" id="{A2C7EECA-D511-4B5C-B215-DB8D05C058D5}">
    <text>Not having base data to measure</text>
  </threadedComment>
  <threadedComment ref="AM205" dT="2025-01-16T07:13:52.45" personId="{1798D1B1-3098-46B1-91A2-D4C92B7E122A}" id="{73F7DF6E-B5A3-4E1D-9077-6AE11CFDDD4A}">
    <text>Report not available</text>
  </threadedComment>
  <threadedComment ref="AN205" dT="2025-01-16T07:13:52.45" personId="{1798D1B1-3098-46B1-91A2-D4C92B7E122A}" id="{64E5B8B8-A97C-4E27-95DC-F9B0131C70FE}">
    <text>Report not available</text>
  </threadedComment>
  <threadedComment ref="AO205" dT="2025-01-16T07:13:52.45" personId="{1798D1B1-3098-46B1-91A2-D4C92B7E122A}" id="{45186D61-C9DD-495D-86F8-F73FD3FA5DBD}">
    <text>Report not available</text>
  </threadedComment>
  <threadedComment ref="AP205" dT="2025-01-16T07:13:52.45" personId="{1798D1B1-3098-46B1-91A2-D4C92B7E122A}" id="{7D4F85DA-4BF5-4D54-A821-2A6540579443}">
    <text>Report not available</text>
  </threadedComment>
  <threadedComment ref="AQ205" dT="2025-01-16T07:13:52.45" personId="{1798D1B1-3098-46B1-91A2-D4C92B7E122A}" id="{9DE8DE7E-7FA2-403C-B367-0D5CDBD72134}">
    <text>Report not available</text>
  </threadedComment>
  <threadedComment ref="AR205" dT="2025-01-16T07:13:52.45" personId="{1798D1B1-3098-46B1-91A2-D4C92B7E122A}" id="{0621D4C7-C170-4056-A555-BE68814B7A6F}">
    <text>Report not available</text>
  </threadedComment>
  <threadedComment ref="AS205" dT="2025-01-16T07:13:52.45" personId="{1798D1B1-3098-46B1-91A2-D4C92B7E122A}" id="{B2944770-B486-449A-B48E-F139595726F5}">
    <text>Report not available</text>
  </threadedComment>
  <threadedComment ref="AT205" dT="2025-01-16T07:13:52.45" personId="{1798D1B1-3098-46B1-91A2-D4C92B7E122A}" id="{31E837CE-7605-458E-AE58-3056380A2AFB}">
    <text>Report not available</text>
  </threadedComment>
  <threadedComment ref="AU205" dT="2025-01-16T07:13:52.45" personId="{1798D1B1-3098-46B1-91A2-D4C92B7E122A}" id="{80053C2F-478D-47A2-9B8F-BD5376DEE059}">
    <text>Report not available</text>
  </threadedComment>
  <threadedComment ref="AV205" dT="2025-01-16T07:13:52.45" personId="{1798D1B1-3098-46B1-91A2-D4C92B7E122A}" id="{5D01212E-9C83-4F58-A5D4-B8D8DFA7F999}">
    <text>Report not available</text>
  </threadedComment>
  <threadedComment ref="AW205" dT="2025-01-16T07:13:52.45" personId="{1798D1B1-3098-46B1-91A2-D4C92B7E122A}" id="{EABFFFB6-26DD-4E4E-9D6C-61F6DA15986D}">
    <text>Report not available</text>
  </threadedComment>
  <threadedComment ref="AX205" dT="2025-01-16T07:13:52.45" personId="{1798D1B1-3098-46B1-91A2-D4C92B7E122A}" id="{1864E7B5-47AF-461E-AA7E-22A9DCAA04AE}">
    <text>Report not available</text>
  </threadedComment>
  <threadedComment ref="AY205" dT="2025-01-16T07:13:52.45" personId="{1798D1B1-3098-46B1-91A2-D4C92B7E122A}" id="{47F5EEC2-DB5A-47DA-BF58-CB421D43B2AE}">
    <text>Report not available</text>
  </threadedComment>
  <threadedComment ref="AZ205" dT="2025-01-16T07:13:52.45" personId="{1798D1B1-3098-46B1-91A2-D4C92B7E122A}" id="{0CA8C733-2C59-40BC-ADDF-66DB477AA0F8}">
    <text>Report not available</text>
  </threadedComment>
  <threadedComment ref="BA205" dT="2025-01-16T07:13:52.45" personId="{1798D1B1-3098-46B1-91A2-D4C92B7E122A}" id="{FB8790DC-2260-4089-8A4B-8F6643C02F48}">
    <text>Report not available</text>
  </threadedComment>
  <threadedComment ref="BB205" dT="2025-01-16T07:13:52.45" personId="{1798D1B1-3098-46B1-91A2-D4C92B7E122A}" id="{B723FC2B-763B-4853-9D7A-2A4D3B8A0D5D}">
    <text>Report not available</text>
  </threadedComment>
  <threadedComment ref="BC205" dT="2025-01-16T07:13:52.45" personId="{1798D1B1-3098-46B1-91A2-D4C92B7E122A}" id="{78B0D8D3-804C-4B5F-B2C3-DDCA0E73CF79}">
    <text>Report not available</text>
  </threadedComment>
  <threadedComment ref="BD205" dT="2025-01-16T07:13:52.45" personId="{1798D1B1-3098-46B1-91A2-D4C92B7E122A}" id="{1FD2894A-5D6A-4B24-BFD8-F22668E63EDC}">
    <text>Report not available</text>
  </threadedComment>
  <threadedComment ref="BE205" dT="2025-01-16T07:13:52.45" personId="{1798D1B1-3098-46B1-91A2-D4C92B7E122A}" id="{5B272982-99D1-4312-8973-A380C9D7719B}">
    <text>Report not available</text>
  </threadedComment>
  <threadedComment ref="BF205" dT="2025-01-16T07:13:52.45" personId="{1798D1B1-3098-46B1-91A2-D4C92B7E122A}" id="{4F9AF585-FFBE-4189-BADF-490427996A46}">
    <text>Report not available</text>
  </threadedComment>
  <threadedComment ref="BG205" dT="2025-01-16T07:13:52.45" personId="{1798D1B1-3098-46B1-91A2-D4C92B7E122A}" id="{1386B7A8-F329-4391-8DBB-8DE4B0A0C894}">
    <text>Report not available</text>
  </threadedComment>
  <threadedComment ref="BH205" dT="2025-01-16T07:13:52.45" personId="{1798D1B1-3098-46B1-91A2-D4C92B7E122A}" id="{2A4E2326-0090-4C7B-B1A6-651567CDB7FC}">
    <text>Report not available</text>
  </threadedComment>
  <threadedComment ref="BI205" dT="2025-01-16T07:13:52.45" personId="{1798D1B1-3098-46B1-91A2-D4C92B7E122A}" id="{6C721AD4-83AA-4383-ACF9-3F6BB5D94D91}">
    <text>Report not available</text>
  </threadedComment>
  <threadedComment ref="BJ205" dT="2025-01-16T07:13:52.45" personId="{1798D1B1-3098-46B1-91A2-D4C92B7E122A}" id="{FA8FC76A-6301-4D17-AADF-7FB289D88DDF}">
    <text>Report not available</text>
  </threadedComment>
  <threadedComment ref="BK205" dT="2025-01-16T07:13:52.45" personId="{1798D1B1-3098-46B1-91A2-D4C92B7E122A}" id="{2052CBA7-BFC5-4C98-9CBE-0A1E4A371F58}">
    <text>Report not available</text>
  </threadedComment>
  <threadedComment ref="BL205" dT="2025-01-16T07:13:52.45" personId="{1798D1B1-3098-46B1-91A2-D4C92B7E122A}" id="{E5ABFC20-6823-4B98-933E-1CB39AD838D8}">
    <text>Report not available</text>
  </threadedComment>
  <threadedComment ref="BM205" dT="2025-01-16T07:13:52.45" personId="{1798D1B1-3098-46B1-91A2-D4C92B7E122A}" id="{CDA54767-C8AB-4E03-8314-5793F3DBA572}">
    <text>Report not available</text>
  </threadedComment>
  <threadedComment ref="BN205" dT="2025-01-16T07:13:52.45" personId="{1798D1B1-3098-46B1-91A2-D4C92B7E122A}" id="{89DF47E0-3C38-4B34-B488-315BD838CAE1}">
    <text>Report not available</text>
  </threadedComment>
  <threadedComment ref="BP205" dT="2025-01-16T07:13:52.45" personId="{1798D1B1-3098-46B1-91A2-D4C92B7E122A}" id="{FBE1A528-3A5B-47B7-A598-51773E434873}">
    <text>Report not available</text>
  </threadedComment>
  <threadedComment ref="BS205" dT="2025-05-20T07:08:56.53" personId="{1798D1B1-3098-46B1-91A2-D4C92B7E122A}" id="{6045891A-ADF4-46CA-8BD1-E4DBC18A2566}">
    <text>Removed from SLA’s list</text>
  </threadedComment>
  <threadedComment ref="BU205" dT="2025-01-16T07:13:52.45" personId="{1798D1B1-3098-46B1-91A2-D4C92B7E122A}" id="{938B8996-9D24-4010-9880-30333FD43CF8}">
    <text>Report not available</text>
  </threadedComment>
  <threadedComment ref="S206" dT="2024-06-12T08:18:24.90" personId="{1798D1B1-3098-46B1-91A2-D4C92B7E122A}" id="{2BED59D2-87A3-4D51-8246-74F52DE5C28E}">
    <text>No base file</text>
  </threadedComment>
  <threadedComment ref="Y206" dT="2024-09-15T12:50:58.60" personId="{6777EDD4-E46F-4979-A7E7-6FC0A82E0C8E}" id="{FB8A478C-1BAD-445C-B8D7-A49CB74ED1D0}">
    <text>Not having base data to measure</text>
  </threadedComment>
  <threadedComment ref="Z206" dT="2024-09-15T12:50:58.60" personId="{6777EDD4-E46F-4979-A7E7-6FC0A82E0C8E}" id="{9F196607-88DA-440F-920C-1905EE4476D8}">
    <text>Not having base data to measure</text>
  </threadedComment>
  <threadedComment ref="AA206" dT="2024-09-15T12:50:58.60" personId="{6777EDD4-E46F-4979-A7E7-6FC0A82E0C8E}" id="{C69C436A-B563-4282-AB32-71A1F96E3E79}">
    <text>Not having base data to measure</text>
  </threadedComment>
  <threadedComment ref="AB206" dT="2024-09-15T12:50:58.60" personId="{6777EDD4-E46F-4979-A7E7-6FC0A82E0C8E}" id="{22A463FE-0905-4478-847A-C7EBB95860B7}">
    <text>Not having base data to measure</text>
  </threadedComment>
  <threadedComment ref="AC206" dT="2024-09-15T12:50:58.60" personId="{6777EDD4-E46F-4979-A7E7-6FC0A82E0C8E}" id="{35A61461-489E-404B-845E-1348E50E5EED}">
    <text>Not having base data to measure</text>
  </threadedComment>
  <threadedComment ref="AD206" dT="2024-09-15T12:50:58.60" personId="{6777EDD4-E46F-4979-A7E7-6FC0A82E0C8E}" id="{54F2C8E5-2601-47C2-8FBD-0CA6B0464431}">
    <text>Not having base data to measure</text>
  </threadedComment>
  <threadedComment ref="AE206" dT="2024-09-15T12:50:58.60" personId="{6777EDD4-E46F-4979-A7E7-6FC0A82E0C8E}" id="{6AE51674-C1EC-46E3-A89E-88214AEA24C6}">
    <text>Not having base data to measure</text>
  </threadedComment>
  <threadedComment ref="AF206" dT="2024-09-15T12:50:58.60" personId="{6777EDD4-E46F-4979-A7E7-6FC0A82E0C8E}" id="{B5380528-8551-4C22-BBA7-4D0AC3D28B7A}">
    <text>Not having base data to measure</text>
  </threadedComment>
  <threadedComment ref="AG206" dT="2024-09-15T12:50:58.60" personId="{6777EDD4-E46F-4979-A7E7-6FC0A82E0C8E}" id="{A11E5CDC-C20A-4E81-8ABD-9A44D48DE7E3}">
    <text>Not having base data to measure</text>
  </threadedComment>
  <threadedComment ref="AH206" dT="2024-09-15T12:50:58.60" personId="{6777EDD4-E46F-4979-A7E7-6FC0A82E0C8E}" id="{6D46C58F-15F6-4C3B-A317-C54336DF178B}">
    <text>Not having base data to measure</text>
  </threadedComment>
  <threadedComment ref="AI206" dT="2024-09-15T12:50:58.60" personId="{6777EDD4-E46F-4979-A7E7-6FC0A82E0C8E}" id="{305625F6-AC0A-4E71-8FB0-CB67ACDD8361}">
    <text>Not having base data to measure</text>
  </threadedComment>
  <threadedComment ref="AJ206" dT="2024-09-15T12:50:58.60" personId="{6777EDD4-E46F-4979-A7E7-6FC0A82E0C8E}" id="{2876C38D-A2D4-455B-A77A-8D8BCE838152}">
    <text>Not having base data to measure</text>
  </threadedComment>
  <threadedComment ref="AK206" dT="2024-09-15T12:50:58.60" personId="{6777EDD4-E46F-4979-A7E7-6FC0A82E0C8E}" id="{6181BE73-4F17-4D94-BD7F-B6769619DC5F}">
    <text>Not having base data to measure</text>
  </threadedComment>
  <threadedComment ref="AL206" dT="2024-09-15T12:50:58.60" personId="{6777EDD4-E46F-4979-A7E7-6FC0A82E0C8E}" id="{2D35737E-90ED-49F3-B85C-059F42556C30}">
    <text>Not having base data to measure</text>
  </threadedComment>
  <threadedComment ref="AM206" dT="2025-01-16T07:13:52.45" personId="{1798D1B1-3098-46B1-91A2-D4C92B7E122A}" id="{5727151B-D83C-4935-8579-F168E2EAF854}">
    <text>Report not available</text>
  </threadedComment>
  <threadedComment ref="AN206" dT="2025-01-16T07:13:52.45" personId="{1798D1B1-3098-46B1-91A2-D4C92B7E122A}" id="{E444D0B3-D1D3-4F06-B2B2-FC5621042D92}">
    <text>Report not available</text>
  </threadedComment>
  <threadedComment ref="AO206" dT="2025-01-16T07:13:52.45" personId="{1798D1B1-3098-46B1-91A2-D4C92B7E122A}" id="{FCBDD5E2-EFF1-4745-89AA-9FBB33879952}">
    <text>Report not available</text>
  </threadedComment>
  <threadedComment ref="AP206" dT="2025-01-16T07:13:52.45" personId="{1798D1B1-3098-46B1-91A2-D4C92B7E122A}" id="{82DA14E5-91C1-4A5E-82B9-6376851F2C41}">
    <text>Report not available</text>
  </threadedComment>
  <threadedComment ref="AQ206" dT="2025-01-16T07:13:52.45" personId="{1798D1B1-3098-46B1-91A2-D4C92B7E122A}" id="{D933C0B0-45A0-4B99-A03A-C77D86F197EA}">
    <text>Report not available</text>
  </threadedComment>
  <threadedComment ref="AR206" dT="2025-01-16T07:13:52.45" personId="{1798D1B1-3098-46B1-91A2-D4C92B7E122A}" id="{292E71E0-4DF6-4682-AE6B-610695EEBBD5}">
    <text>Report not available</text>
  </threadedComment>
  <threadedComment ref="AS206" dT="2025-01-16T07:13:52.45" personId="{1798D1B1-3098-46B1-91A2-D4C92B7E122A}" id="{CF1A3BCF-7398-4316-BD8C-C5125032921E}">
    <text>Report not available</text>
  </threadedComment>
  <threadedComment ref="AT206" dT="2025-01-16T07:13:52.45" personId="{1798D1B1-3098-46B1-91A2-D4C92B7E122A}" id="{47E09159-BE50-4DE6-8BAB-673CC8EB426C}">
    <text>Report not available</text>
  </threadedComment>
  <threadedComment ref="AU206" dT="2025-01-16T07:13:52.45" personId="{1798D1B1-3098-46B1-91A2-D4C92B7E122A}" id="{6F0FF1BF-04E8-41B0-90D3-EFB414E9B191}">
    <text>Report not available</text>
  </threadedComment>
  <threadedComment ref="AV206" dT="2025-01-16T07:13:52.45" personId="{1798D1B1-3098-46B1-91A2-D4C92B7E122A}" id="{BD1F4447-E7C8-4C16-9153-08C43BAE8B90}">
    <text>Report not available</text>
  </threadedComment>
  <threadedComment ref="AW206" dT="2025-01-16T07:13:52.45" personId="{1798D1B1-3098-46B1-91A2-D4C92B7E122A}" id="{9A931B98-FE43-475C-BC1D-AFE34B3880F7}">
    <text>Report not available</text>
  </threadedComment>
  <threadedComment ref="AX206" dT="2025-01-16T07:13:52.45" personId="{1798D1B1-3098-46B1-91A2-D4C92B7E122A}" id="{F457FDE8-ADC3-47F8-AD3F-739448632907}">
    <text>Report not available</text>
  </threadedComment>
  <threadedComment ref="AY206" dT="2025-01-16T07:13:52.45" personId="{1798D1B1-3098-46B1-91A2-D4C92B7E122A}" id="{89C261B6-BF61-43AC-8507-8A2F78684A39}">
    <text>Report not available</text>
  </threadedComment>
  <threadedComment ref="AZ206" dT="2025-01-16T07:13:52.45" personId="{1798D1B1-3098-46B1-91A2-D4C92B7E122A}" id="{85671B34-F965-4D16-8941-5E83D39DD848}">
    <text>Report not available</text>
  </threadedComment>
  <threadedComment ref="BA206" dT="2025-01-16T07:13:52.45" personId="{1798D1B1-3098-46B1-91A2-D4C92B7E122A}" id="{27B6DEF1-8B11-4DD2-8FDB-E8CB38862465}">
    <text>Report not available</text>
  </threadedComment>
  <threadedComment ref="BB206" dT="2025-01-16T07:13:52.45" personId="{1798D1B1-3098-46B1-91A2-D4C92B7E122A}" id="{B136F78D-E84F-48C5-A0EF-14A4A1EBAB31}">
    <text>Report not available</text>
  </threadedComment>
  <threadedComment ref="BC206" dT="2025-01-16T07:13:52.45" personId="{1798D1B1-3098-46B1-91A2-D4C92B7E122A}" id="{AAAFA09B-838D-4D95-A476-9BEFCB9D22CE}">
    <text>Report not available</text>
  </threadedComment>
  <threadedComment ref="BD206" dT="2025-01-16T07:13:52.45" personId="{1798D1B1-3098-46B1-91A2-D4C92B7E122A}" id="{172B7E37-CB8E-469F-A815-08386664126D}">
    <text>Report not available</text>
  </threadedComment>
  <threadedComment ref="BE206" dT="2025-01-16T07:13:52.45" personId="{1798D1B1-3098-46B1-91A2-D4C92B7E122A}" id="{D6F43A7E-0659-4679-A6A3-4C5B1AD678DA}">
    <text>Report not available</text>
  </threadedComment>
  <threadedComment ref="BF206" dT="2025-01-16T07:13:52.45" personId="{1798D1B1-3098-46B1-91A2-D4C92B7E122A}" id="{15038E7F-0D99-488D-9A1C-4CF9CC25C819}">
    <text>Report not available</text>
  </threadedComment>
  <threadedComment ref="BG206" dT="2025-01-16T07:13:52.45" personId="{1798D1B1-3098-46B1-91A2-D4C92B7E122A}" id="{24F80D34-FC61-497B-BB9B-C8DD92145B27}">
    <text>Report not available</text>
  </threadedComment>
  <threadedComment ref="BH206" dT="2025-01-16T07:13:52.45" personId="{1798D1B1-3098-46B1-91A2-D4C92B7E122A}" id="{4D8A2C9B-26BD-467E-A32C-49F4BF8D6A03}">
    <text>Report not available</text>
  </threadedComment>
  <threadedComment ref="BI206" dT="2025-01-16T07:13:52.45" personId="{1798D1B1-3098-46B1-91A2-D4C92B7E122A}" id="{819431D0-18E1-4E41-8E1C-8D268AB9FE52}">
    <text>Report not available</text>
  </threadedComment>
  <threadedComment ref="BJ206" dT="2025-01-16T07:13:52.45" personId="{1798D1B1-3098-46B1-91A2-D4C92B7E122A}" id="{E666F6F1-ECDE-49CB-A6BE-47767F7F7F10}">
    <text>Report not available</text>
  </threadedComment>
  <threadedComment ref="BK206" dT="2025-01-16T07:13:52.45" personId="{1798D1B1-3098-46B1-91A2-D4C92B7E122A}" id="{80273C9A-59A9-46DA-A166-B8A352F2733A}">
    <text>Report not available</text>
  </threadedComment>
  <threadedComment ref="BL206" dT="2025-01-16T07:13:52.45" personId="{1798D1B1-3098-46B1-91A2-D4C92B7E122A}" id="{F16A1D9A-C2B6-44D5-B6D5-DD268FE49572}">
    <text>Report not available</text>
  </threadedComment>
  <threadedComment ref="BM206" dT="2025-01-16T07:13:52.45" personId="{1798D1B1-3098-46B1-91A2-D4C92B7E122A}" id="{0601CB7C-9A78-4286-B4B0-90DF5B2A45DC}">
    <text>Report not available</text>
  </threadedComment>
  <threadedComment ref="BN206" dT="2025-01-16T07:13:52.45" personId="{1798D1B1-3098-46B1-91A2-D4C92B7E122A}" id="{99E6D192-18C2-42B9-8A25-A96F2BFB9EF4}">
    <text>Report not available</text>
  </threadedComment>
  <threadedComment ref="BP206" dT="2025-01-16T07:13:52.45" personId="{1798D1B1-3098-46B1-91A2-D4C92B7E122A}" id="{A861850E-028D-48D0-892E-49EA26FC6D79}">
    <text>Report not available</text>
  </threadedComment>
  <threadedComment ref="BS206" dT="2025-05-20T07:08:56.53" personId="{1798D1B1-3098-46B1-91A2-D4C92B7E122A}" id="{943DB9EF-7F81-4F8A-A95C-33CDB76FCFD5}">
    <text>Removed from SLA’s list</text>
  </threadedComment>
  <threadedComment ref="BU206" dT="2025-01-16T07:13:52.45" personId="{1798D1B1-3098-46B1-91A2-D4C92B7E122A}" id="{2C67AC50-A7DE-4DCA-B338-371161D3F49E}">
    <text>Report not available</text>
  </threadedComment>
  <threadedComment ref="S207" dT="2024-06-12T08:18:18.96" personId="{1798D1B1-3098-46B1-91A2-D4C92B7E122A}" id="{8B8F59DF-BD7A-4469-A845-12860362BEB1}">
    <text>No base file</text>
  </threadedComment>
  <threadedComment ref="Y207" dT="2024-09-15T12:50:58.60" personId="{6777EDD4-E46F-4979-A7E7-6FC0A82E0C8E}" id="{30C4F02A-D116-44B1-BA6B-7AC4FB3265AD}">
    <text>Not having base data to measure</text>
  </threadedComment>
  <threadedComment ref="Z207" dT="2024-09-15T12:50:58.60" personId="{6777EDD4-E46F-4979-A7E7-6FC0A82E0C8E}" id="{2953F327-5C33-4BF5-8701-A70D5F13770E}">
    <text>Not having base data to measure</text>
  </threadedComment>
  <threadedComment ref="AA207" dT="2024-09-15T12:50:58.60" personId="{6777EDD4-E46F-4979-A7E7-6FC0A82E0C8E}" id="{B60EB329-D565-4E7E-8E73-7BF9E7F0DF88}">
    <text>Not having base data to measure</text>
  </threadedComment>
  <threadedComment ref="AB207" dT="2024-09-15T12:50:58.60" personId="{6777EDD4-E46F-4979-A7E7-6FC0A82E0C8E}" id="{1C7CAA6C-F204-4D24-8DBE-2CCE1FA360CB}">
    <text>Not having base data to measure</text>
  </threadedComment>
  <threadedComment ref="AC207" dT="2024-09-15T12:50:58.60" personId="{6777EDD4-E46F-4979-A7E7-6FC0A82E0C8E}" id="{E383B642-4624-4814-8E51-0E5F3D48D2BE}">
    <text>Not having base data to measure</text>
  </threadedComment>
  <threadedComment ref="AD207" dT="2024-09-15T12:50:58.60" personId="{6777EDD4-E46F-4979-A7E7-6FC0A82E0C8E}" id="{F4DCA2DE-60A0-438E-AC99-276D0FCA7969}">
    <text>Not having base data to measure</text>
  </threadedComment>
  <threadedComment ref="AE207" dT="2024-09-15T12:50:58.60" personId="{6777EDD4-E46F-4979-A7E7-6FC0A82E0C8E}" id="{29C6CAFB-822B-469E-B2D9-3D99CB78301E}">
    <text>Not having base data to measure</text>
  </threadedComment>
  <threadedComment ref="AF207" dT="2024-09-15T12:50:58.60" personId="{6777EDD4-E46F-4979-A7E7-6FC0A82E0C8E}" id="{C30FE382-AA65-468A-A4C1-3ABA0586AA2D}">
    <text>Not having base data to measure</text>
  </threadedComment>
  <threadedComment ref="AG207" dT="2024-09-15T12:50:58.60" personId="{6777EDD4-E46F-4979-A7E7-6FC0A82E0C8E}" id="{89B80E55-6785-48C0-8F5E-5948F6667700}">
    <text>Not having base data to measure</text>
  </threadedComment>
  <threadedComment ref="AH207" dT="2024-09-15T12:50:58.60" personId="{6777EDD4-E46F-4979-A7E7-6FC0A82E0C8E}" id="{A9620937-719C-48C7-88C1-88AF7D98E5F3}">
    <text>Not having base data to measure</text>
  </threadedComment>
  <threadedComment ref="AI207" dT="2024-09-15T12:50:58.60" personId="{6777EDD4-E46F-4979-A7E7-6FC0A82E0C8E}" id="{25C89A06-61DE-4AD8-AD4C-62BB13246A05}">
    <text>Not having base data to measure</text>
  </threadedComment>
  <threadedComment ref="AJ207" dT="2024-09-15T12:50:58.60" personId="{6777EDD4-E46F-4979-A7E7-6FC0A82E0C8E}" id="{183B97BE-5987-4BD6-8454-A582B348D3F3}">
    <text>Not having base data to measure</text>
  </threadedComment>
  <threadedComment ref="AK207" dT="2024-09-15T12:50:58.60" personId="{6777EDD4-E46F-4979-A7E7-6FC0A82E0C8E}" id="{0A7B71AE-DB7F-4AED-BEF7-CE7A256D73E2}">
    <text>Not having base data to measure</text>
  </threadedComment>
  <threadedComment ref="AL207" dT="2024-09-15T12:50:58.60" personId="{6777EDD4-E46F-4979-A7E7-6FC0A82E0C8E}" id="{1240AAA1-EEA6-4F8A-9D53-76FB96CA875C}">
    <text>Not having base data to measure</text>
  </threadedComment>
  <threadedComment ref="AM207" dT="2025-01-16T07:13:52.45" personId="{1798D1B1-3098-46B1-91A2-D4C92B7E122A}" id="{561FBD39-66F7-43B6-8F82-9F15DDA5241A}">
    <text>Report not available</text>
  </threadedComment>
  <threadedComment ref="AN207" dT="2025-01-16T07:13:52.45" personId="{1798D1B1-3098-46B1-91A2-D4C92B7E122A}" id="{AE9DF711-B0D3-4028-AC90-6DFC82CE2238}">
    <text>Report not available</text>
  </threadedComment>
  <threadedComment ref="AO207" dT="2025-01-16T07:13:52.45" personId="{1798D1B1-3098-46B1-91A2-D4C92B7E122A}" id="{253C83B5-C1DF-4BFD-85B7-642764AA44C3}">
    <text>Report not available</text>
  </threadedComment>
  <threadedComment ref="AP207" dT="2025-01-16T07:13:52.45" personId="{1798D1B1-3098-46B1-91A2-D4C92B7E122A}" id="{1CAC0B51-7DC2-4603-B236-784C8F555396}">
    <text>Report not available</text>
  </threadedComment>
  <threadedComment ref="AQ207" dT="2025-01-16T07:13:52.45" personId="{1798D1B1-3098-46B1-91A2-D4C92B7E122A}" id="{837DB9A8-7E26-4308-A774-1349F773A00C}">
    <text>Report not available</text>
  </threadedComment>
  <threadedComment ref="AR207" dT="2025-01-16T07:13:52.45" personId="{1798D1B1-3098-46B1-91A2-D4C92B7E122A}" id="{FD06C536-EAEF-45EE-B8C1-EEC39A44B375}">
    <text>Report not available</text>
  </threadedComment>
  <threadedComment ref="AS207" dT="2025-01-16T07:13:52.45" personId="{1798D1B1-3098-46B1-91A2-D4C92B7E122A}" id="{4D9D2A45-E8B6-41D1-BD74-7865DF585910}">
    <text>Report not available</text>
  </threadedComment>
  <threadedComment ref="AT207" dT="2025-01-16T07:13:52.45" personId="{1798D1B1-3098-46B1-91A2-D4C92B7E122A}" id="{52B57787-7742-4F07-B90A-C1F337031DAC}">
    <text>Report not available</text>
  </threadedComment>
  <threadedComment ref="AU207" dT="2025-01-16T07:13:52.45" personId="{1798D1B1-3098-46B1-91A2-D4C92B7E122A}" id="{36A7A7AE-A243-4D52-A98C-806625A13505}">
    <text>Report not available</text>
  </threadedComment>
  <threadedComment ref="AV207" dT="2025-01-16T07:13:52.45" personId="{1798D1B1-3098-46B1-91A2-D4C92B7E122A}" id="{0638E3F0-5040-4618-A41B-EEFBF20A8FD6}">
    <text>Report not available</text>
  </threadedComment>
  <threadedComment ref="AW207" dT="2025-01-16T07:13:52.45" personId="{1798D1B1-3098-46B1-91A2-D4C92B7E122A}" id="{E74F812B-BA96-4668-8A5C-08D687D80048}">
    <text>Report not available</text>
  </threadedComment>
  <threadedComment ref="AX207" dT="2025-01-16T07:13:52.45" personId="{1798D1B1-3098-46B1-91A2-D4C92B7E122A}" id="{F9AF34AD-1CF1-415B-BD8A-D7EB3C195977}">
    <text>Report not available</text>
  </threadedComment>
  <threadedComment ref="AY207" dT="2025-01-16T07:13:52.45" personId="{1798D1B1-3098-46B1-91A2-D4C92B7E122A}" id="{C75C38F1-4001-49D6-90F8-505B7284BF6B}">
    <text>Report not available</text>
  </threadedComment>
  <threadedComment ref="AZ207" dT="2025-01-16T07:13:52.45" personId="{1798D1B1-3098-46B1-91A2-D4C92B7E122A}" id="{D5FFCB19-A21C-44D9-A253-8F7E7520E274}">
    <text>Report not available</text>
  </threadedComment>
  <threadedComment ref="BA207" dT="2025-01-16T07:13:52.45" personId="{1798D1B1-3098-46B1-91A2-D4C92B7E122A}" id="{6750431A-5F2F-4EA5-A1E1-0B856C3B8DA1}">
    <text>Report not available</text>
  </threadedComment>
  <threadedComment ref="BB207" dT="2025-01-16T07:13:52.45" personId="{1798D1B1-3098-46B1-91A2-D4C92B7E122A}" id="{084CD0EE-77FA-4F82-88BD-2E2D5EB393B8}">
    <text>Report not available</text>
  </threadedComment>
  <threadedComment ref="BC207" dT="2025-01-16T07:13:52.45" personId="{1798D1B1-3098-46B1-91A2-D4C92B7E122A}" id="{782A9806-58AB-429C-9728-55F4DD8EA5BC}">
    <text>Report not available</text>
  </threadedComment>
  <threadedComment ref="BD207" dT="2025-01-16T07:13:52.45" personId="{1798D1B1-3098-46B1-91A2-D4C92B7E122A}" id="{C869EB3D-6440-48AA-B650-8274A649A9CE}">
    <text>Report not available</text>
  </threadedComment>
  <threadedComment ref="BE207" dT="2025-01-16T07:13:52.45" personId="{1798D1B1-3098-46B1-91A2-D4C92B7E122A}" id="{318B93B3-C7F6-48A6-B17E-CF94BEF10D05}">
    <text>Report not available</text>
  </threadedComment>
  <threadedComment ref="BF207" dT="2025-01-16T07:13:52.45" personId="{1798D1B1-3098-46B1-91A2-D4C92B7E122A}" id="{5B605D9D-A4A8-4865-97A1-65E8DE3EC18A}">
    <text>Report not available</text>
  </threadedComment>
  <threadedComment ref="BG207" dT="2025-01-16T07:13:52.45" personId="{1798D1B1-3098-46B1-91A2-D4C92B7E122A}" id="{25BD8581-1860-4D03-8D5B-4707EC9389FF}">
    <text>Report not available</text>
  </threadedComment>
  <threadedComment ref="BH207" dT="2025-01-16T07:13:52.45" personId="{1798D1B1-3098-46B1-91A2-D4C92B7E122A}" id="{7D3EB2E9-17E3-47E9-9D1F-942CD0FF1BEB}">
    <text>Report not available</text>
  </threadedComment>
  <threadedComment ref="BI207" dT="2025-01-16T07:13:52.45" personId="{1798D1B1-3098-46B1-91A2-D4C92B7E122A}" id="{F2BB1C24-D05D-480B-B775-1800E87E17C6}">
    <text>Report not available</text>
  </threadedComment>
  <threadedComment ref="BJ207" dT="2025-01-16T07:13:52.45" personId="{1798D1B1-3098-46B1-91A2-D4C92B7E122A}" id="{EF947636-0545-47BA-9759-89880EA44F1A}">
    <text>Report not available</text>
  </threadedComment>
  <threadedComment ref="BK207" dT="2025-01-16T07:13:52.45" personId="{1798D1B1-3098-46B1-91A2-D4C92B7E122A}" id="{8290987F-E2C9-487C-9DFD-C92CBF01455D}">
    <text>Report not available</text>
  </threadedComment>
  <threadedComment ref="BL207" dT="2025-01-16T07:13:52.45" personId="{1798D1B1-3098-46B1-91A2-D4C92B7E122A}" id="{FB9B3520-B51E-4E2E-96C9-B438FCF4115A}">
    <text>Report not available</text>
  </threadedComment>
  <threadedComment ref="BM207" dT="2025-01-16T07:13:52.45" personId="{1798D1B1-3098-46B1-91A2-D4C92B7E122A}" id="{F0FD3CF3-B302-46D0-9384-415FE164509F}">
    <text>Report not available</text>
  </threadedComment>
  <threadedComment ref="BN207" dT="2025-01-16T07:13:52.45" personId="{1798D1B1-3098-46B1-91A2-D4C92B7E122A}" id="{1F2E7A5B-D85C-408C-AF8A-A2EB88989A44}">
    <text>Report not available</text>
  </threadedComment>
  <threadedComment ref="BP207" dT="2025-01-16T07:13:52.45" personId="{1798D1B1-3098-46B1-91A2-D4C92B7E122A}" id="{FAE3FC31-D66B-463E-BDC7-3BA61DB75FDB}">
    <text>Report not available</text>
  </threadedComment>
  <threadedComment ref="BS207" dT="2025-05-20T07:08:56.53" personId="{1798D1B1-3098-46B1-91A2-D4C92B7E122A}" id="{2EC22EAD-BD2C-4C77-BC4C-63B48CE60DD9}">
    <text>Removed from SLA’s list</text>
  </threadedComment>
  <threadedComment ref="BU207" dT="2025-01-16T07:13:52.45" personId="{1798D1B1-3098-46B1-91A2-D4C92B7E122A}" id="{58503E8D-13D9-4ECA-B471-78AE10ED1D53}">
    <text>Report not available</text>
  </threadedComment>
  <threadedComment ref="S208" dT="2024-06-11T11:55:01.61" personId="{1798D1B1-3098-46B1-91A2-D4C92B7E122A}" id="{6888EC31-1C7F-4449-B425-07E823761DD7}">
    <text>No workday report</text>
  </threadedComment>
  <threadedComment ref="Y208" dT="2024-09-15T12:50:58.60" personId="{6777EDD4-E46F-4979-A7E7-6FC0A82E0C8E}" id="{FB5D0ED4-28C3-4A0C-BA0C-37ECEA2ABF69}">
    <text>Not having base data to measure</text>
  </threadedComment>
  <threadedComment ref="Z208" dT="2024-09-15T12:50:58.60" personId="{6777EDD4-E46F-4979-A7E7-6FC0A82E0C8E}" id="{BBF14820-381F-4E54-82C7-37CE476DCC79}">
    <text>Not having base data to measure</text>
  </threadedComment>
  <threadedComment ref="AA208" dT="2024-09-15T12:50:58.60" personId="{6777EDD4-E46F-4979-A7E7-6FC0A82E0C8E}" id="{915D98B9-88E6-4255-9F62-ED32082A7E54}">
    <text>Not having base data to measure</text>
  </threadedComment>
  <threadedComment ref="AB208" dT="2024-09-15T12:50:58.60" personId="{6777EDD4-E46F-4979-A7E7-6FC0A82E0C8E}" id="{51590524-ECB3-4F88-AB27-8E8DD2014F6F}">
    <text>Not having base data to measure</text>
  </threadedComment>
  <threadedComment ref="AC208" dT="2024-09-15T12:50:58.60" personId="{6777EDD4-E46F-4979-A7E7-6FC0A82E0C8E}" id="{F6561FF9-6800-405D-875F-AB4A69E9D8D0}">
    <text>Not having base data to measure</text>
  </threadedComment>
  <threadedComment ref="AD208" dT="2024-09-15T12:50:58.60" personId="{6777EDD4-E46F-4979-A7E7-6FC0A82E0C8E}" id="{4C7917C6-C992-426E-A441-797CBFDEAFEF}">
    <text>Not having base data to measure</text>
  </threadedComment>
  <threadedComment ref="AE208" dT="2024-09-15T12:50:58.60" personId="{6777EDD4-E46F-4979-A7E7-6FC0A82E0C8E}" id="{EF21E9D1-F50D-4D14-9CEF-F48AE09C3CC6}">
    <text>Not having base data to measure</text>
  </threadedComment>
  <threadedComment ref="AF208" dT="2024-09-15T12:50:58.60" personId="{6777EDD4-E46F-4979-A7E7-6FC0A82E0C8E}" id="{48958D01-2B9E-4C41-9B7E-0DE8EEA68759}">
    <text>Not having base data to measure</text>
  </threadedComment>
  <threadedComment ref="AG208" dT="2024-09-15T12:50:58.60" personId="{6777EDD4-E46F-4979-A7E7-6FC0A82E0C8E}" id="{7571D383-799E-4403-847F-F9849C2DDD42}">
    <text>Not having base data to measure</text>
  </threadedComment>
  <threadedComment ref="AH208" dT="2024-09-15T12:50:58.60" personId="{6777EDD4-E46F-4979-A7E7-6FC0A82E0C8E}" id="{90D00B40-1FC7-44AA-9A48-7E6506A904C7}">
    <text>Not having base data to measure</text>
  </threadedComment>
  <threadedComment ref="AI208" dT="2024-09-15T12:50:58.60" personId="{6777EDD4-E46F-4979-A7E7-6FC0A82E0C8E}" id="{5686C53C-037A-41E0-A305-86581A6BF3CC}">
    <text>Not having base data to measure</text>
  </threadedComment>
  <threadedComment ref="AJ208" dT="2024-09-15T12:50:58.60" personId="{6777EDD4-E46F-4979-A7E7-6FC0A82E0C8E}" id="{1EC3AF67-35F6-4261-8D9B-1D07AE14DECC}">
    <text>Not having base data to measure</text>
  </threadedComment>
  <threadedComment ref="AK208" dT="2024-09-15T12:50:58.60" personId="{6777EDD4-E46F-4979-A7E7-6FC0A82E0C8E}" id="{A02AE614-8314-4B34-BAB9-1BA6209CA76E}">
    <text>Not having base data to measure</text>
  </threadedComment>
  <threadedComment ref="AL208" dT="2024-09-15T12:50:58.60" personId="{6777EDD4-E46F-4979-A7E7-6FC0A82E0C8E}" id="{D8777D5B-696E-4C58-A21B-E9E5F0CC9123}">
    <text>Not having base data to measure</text>
  </threadedComment>
  <threadedComment ref="AM208" dT="2025-01-16T07:13:52.45" personId="{1798D1B1-3098-46B1-91A2-D4C92B7E122A}" id="{41A299FE-6624-4B28-9516-2CB269DCE9D0}">
    <text>Report not available</text>
  </threadedComment>
  <threadedComment ref="AN208" dT="2025-01-16T07:13:52.45" personId="{1798D1B1-3098-46B1-91A2-D4C92B7E122A}" id="{CE305D14-B9C8-4775-BCAE-178607B95254}">
    <text>Report not available</text>
  </threadedComment>
  <threadedComment ref="AO208" dT="2025-01-16T07:13:52.45" personId="{1798D1B1-3098-46B1-91A2-D4C92B7E122A}" id="{8C3BE1FF-C731-46E2-91B0-03FEDC03DC93}">
    <text>Report not available</text>
  </threadedComment>
  <threadedComment ref="AP208" dT="2025-01-16T07:13:52.45" personId="{1798D1B1-3098-46B1-91A2-D4C92B7E122A}" id="{63C14D11-CDE9-45C6-A550-C95B10D85252}">
    <text>Report not available</text>
  </threadedComment>
  <threadedComment ref="AQ208" dT="2025-01-16T07:13:52.45" personId="{1798D1B1-3098-46B1-91A2-D4C92B7E122A}" id="{DE9140B9-60A5-4C67-B4D4-CE6961DC1F0B}">
    <text>Report not available</text>
  </threadedComment>
  <threadedComment ref="AR208" dT="2025-01-16T07:13:52.45" personId="{1798D1B1-3098-46B1-91A2-D4C92B7E122A}" id="{7360D816-1285-4F45-A6CE-CB1AE34A775C}">
    <text>Report not available</text>
  </threadedComment>
  <threadedComment ref="AS208" dT="2025-01-16T07:13:52.45" personId="{1798D1B1-3098-46B1-91A2-D4C92B7E122A}" id="{2FC83F25-6C51-479C-A244-2C9B47EA9667}">
    <text>Report not available</text>
  </threadedComment>
  <threadedComment ref="AT208" dT="2025-01-16T07:13:52.45" personId="{1798D1B1-3098-46B1-91A2-D4C92B7E122A}" id="{E94BCA51-40C7-4D16-B8AC-D54478052E75}">
    <text>Report not available</text>
  </threadedComment>
  <threadedComment ref="AU208" dT="2025-01-16T07:13:52.45" personId="{1798D1B1-3098-46B1-91A2-D4C92B7E122A}" id="{F388102C-70EC-4A18-A86E-122769E72D27}">
    <text>Report not available</text>
  </threadedComment>
  <threadedComment ref="AV208" dT="2025-01-16T07:13:52.45" personId="{1798D1B1-3098-46B1-91A2-D4C92B7E122A}" id="{2A1170B9-31F2-438D-9900-251C28E83A1C}">
    <text>Report not available</text>
  </threadedComment>
  <threadedComment ref="AW208" dT="2025-01-16T07:13:52.45" personId="{1798D1B1-3098-46B1-91A2-D4C92B7E122A}" id="{80F0F4AB-7180-4BF9-AAAE-57EE09065B4E}">
    <text>Report not available</text>
  </threadedComment>
  <threadedComment ref="AX208" dT="2025-01-16T07:13:52.45" personId="{1798D1B1-3098-46B1-91A2-D4C92B7E122A}" id="{817DF13F-6F53-4219-AD5D-04634706D2AF}">
    <text>Report not available</text>
  </threadedComment>
  <threadedComment ref="AY208" dT="2025-01-16T07:13:52.45" personId="{1798D1B1-3098-46B1-91A2-D4C92B7E122A}" id="{022C8D00-6FE3-4242-ADBB-D7B0179973B1}">
    <text>Report not available</text>
  </threadedComment>
  <threadedComment ref="AZ208" dT="2025-01-16T07:13:52.45" personId="{1798D1B1-3098-46B1-91A2-D4C92B7E122A}" id="{7BB93C53-1032-449C-A340-2716C98DA25B}">
    <text>Report not available</text>
  </threadedComment>
  <threadedComment ref="BA208" dT="2025-01-16T07:13:52.45" personId="{1798D1B1-3098-46B1-91A2-D4C92B7E122A}" id="{00E3438C-5E7D-47C6-9B86-BC324AD343F1}">
    <text>Report not available</text>
  </threadedComment>
  <threadedComment ref="BB208" dT="2025-01-16T07:13:52.45" personId="{1798D1B1-3098-46B1-91A2-D4C92B7E122A}" id="{048BE6EA-715F-4B61-9D87-FD11725C4A26}">
    <text>Report not available</text>
  </threadedComment>
  <threadedComment ref="BC208" dT="2025-01-16T07:13:52.45" personId="{1798D1B1-3098-46B1-91A2-D4C92B7E122A}" id="{0274A2D5-A2C5-4A5B-B6F1-ED20C1DA9655}">
    <text>Report not available</text>
  </threadedComment>
  <threadedComment ref="BD208" dT="2025-01-16T07:13:52.45" personId="{1798D1B1-3098-46B1-91A2-D4C92B7E122A}" id="{3C8EABD6-0140-4582-BA03-4EE1F6D9301F}">
    <text>Report not available</text>
  </threadedComment>
  <threadedComment ref="BE208" dT="2025-01-16T07:13:52.45" personId="{1798D1B1-3098-46B1-91A2-D4C92B7E122A}" id="{8BFB9B56-8F6D-4BB6-B461-872FAAC765F5}">
    <text>Report not available</text>
  </threadedComment>
  <threadedComment ref="BF208" dT="2025-01-16T07:13:52.45" personId="{1798D1B1-3098-46B1-91A2-D4C92B7E122A}" id="{96A1AC06-0B01-43A2-9EBF-E510FB6F32FE}">
    <text>Report not available</text>
  </threadedComment>
  <threadedComment ref="BG208" dT="2025-01-16T07:13:52.45" personId="{1798D1B1-3098-46B1-91A2-D4C92B7E122A}" id="{39209FFB-2206-4F9C-B0A2-A75EC8B8AEAD}">
    <text>Report not available</text>
  </threadedComment>
  <threadedComment ref="BH208" dT="2025-01-16T07:13:52.45" personId="{1798D1B1-3098-46B1-91A2-D4C92B7E122A}" id="{5B8BAC25-B09C-41FF-9123-616836A6ADB9}">
    <text>Report not available</text>
  </threadedComment>
  <threadedComment ref="BI208" dT="2025-01-16T07:13:52.45" personId="{1798D1B1-3098-46B1-91A2-D4C92B7E122A}" id="{3A8A30A6-F435-457A-8C49-35D7FF072DC4}">
    <text>Report not available</text>
  </threadedComment>
  <threadedComment ref="BJ208" dT="2025-01-16T07:13:52.45" personId="{1798D1B1-3098-46B1-91A2-D4C92B7E122A}" id="{1F6CB73A-4026-4437-94B4-08F0251368A5}">
    <text>Report not available</text>
  </threadedComment>
  <threadedComment ref="BK208" dT="2025-01-16T07:13:52.45" personId="{1798D1B1-3098-46B1-91A2-D4C92B7E122A}" id="{112C745B-D328-40FC-9CD5-493F9E27382A}">
    <text>Report not available</text>
  </threadedComment>
  <threadedComment ref="BL208" dT="2025-01-16T07:13:52.45" personId="{1798D1B1-3098-46B1-91A2-D4C92B7E122A}" id="{12F40113-6D96-4901-A5FE-68AC92329F9B}">
    <text>Report not available</text>
  </threadedComment>
  <threadedComment ref="BM208" dT="2025-01-16T07:13:52.45" personId="{1798D1B1-3098-46B1-91A2-D4C92B7E122A}" id="{DDC2AF77-3734-4826-B8D5-154EA43D7461}">
    <text>Report not available</text>
  </threadedComment>
  <threadedComment ref="BN208" dT="2025-01-16T07:13:52.45" personId="{1798D1B1-3098-46B1-91A2-D4C92B7E122A}" id="{ED49750E-5427-405E-A281-409C213638F5}">
    <text>Report not available</text>
  </threadedComment>
  <threadedComment ref="BP208" dT="2025-01-16T07:13:52.45" personId="{1798D1B1-3098-46B1-91A2-D4C92B7E122A}" id="{BF22D128-33FF-4B4F-8526-1967FF4AB3FD}">
    <text>Report not available</text>
  </threadedComment>
  <threadedComment ref="BS208" dT="2025-05-20T07:08:56.53" personId="{1798D1B1-3098-46B1-91A2-D4C92B7E122A}" id="{7091BB68-7B2F-426E-8812-3C2007DE8695}">
    <text>Removed from SLA’s list</text>
  </threadedComment>
  <threadedComment ref="BU208" dT="2025-01-16T07:13:52.45" personId="{1798D1B1-3098-46B1-91A2-D4C92B7E122A}" id="{831C9875-E678-411A-9650-CDAC98EEE8DC}">
    <text>Report not available</text>
  </threadedComment>
  <threadedComment ref="S209" dT="2024-06-11T11:55:05.60" personId="{1798D1B1-3098-46B1-91A2-D4C92B7E122A}" id="{6A68B88D-C020-41FE-BCBD-27D0B5A112F8}">
    <text>No workday report</text>
  </threadedComment>
  <threadedComment ref="Y209" dT="2024-09-15T12:50:58.60" personId="{6777EDD4-E46F-4979-A7E7-6FC0A82E0C8E}" id="{FA9768A4-5D0F-4695-99C2-50E94793207B}">
    <text>Not having base data to measure</text>
  </threadedComment>
  <threadedComment ref="Z209" dT="2024-09-15T12:50:58.60" personId="{6777EDD4-E46F-4979-A7E7-6FC0A82E0C8E}" id="{762787ED-DC7F-4AE7-88E4-378DF1511DA6}">
    <text>Not having base data to measure</text>
  </threadedComment>
  <threadedComment ref="AA209" dT="2024-09-15T12:50:58.60" personId="{6777EDD4-E46F-4979-A7E7-6FC0A82E0C8E}" id="{A13F8974-CC5E-4319-AD8C-8C6E89D9C953}">
    <text>Not having base data to measure</text>
  </threadedComment>
  <threadedComment ref="AB209" dT="2024-09-15T12:50:58.60" personId="{6777EDD4-E46F-4979-A7E7-6FC0A82E0C8E}" id="{4CD9BE22-2095-4B86-8FBA-06E9D55B9A74}">
    <text>Not having base data to measure</text>
  </threadedComment>
  <threadedComment ref="AC209" dT="2024-09-15T12:50:58.60" personId="{6777EDD4-E46F-4979-A7E7-6FC0A82E0C8E}" id="{7A2CB3E0-4713-4364-B8FC-DC3C4496942D}">
    <text>Not having base data to measure</text>
  </threadedComment>
  <threadedComment ref="AD209" dT="2024-09-15T12:50:58.60" personId="{6777EDD4-E46F-4979-A7E7-6FC0A82E0C8E}" id="{4119C9CC-A554-4CE7-B5E4-E01EEECA7176}">
    <text>Not having base data to measure</text>
  </threadedComment>
  <threadedComment ref="AE209" dT="2024-09-15T12:50:58.60" personId="{6777EDD4-E46F-4979-A7E7-6FC0A82E0C8E}" id="{40578E20-2B92-480D-96E3-D4D121E04613}">
    <text>Not having base data to measure</text>
  </threadedComment>
  <threadedComment ref="AF209" dT="2024-09-15T12:50:58.60" personId="{6777EDD4-E46F-4979-A7E7-6FC0A82E0C8E}" id="{7096904B-AC13-4157-805A-25BA6628256F}">
    <text>Not having base data to measure</text>
  </threadedComment>
  <threadedComment ref="AG209" dT="2024-09-15T12:50:58.60" personId="{6777EDD4-E46F-4979-A7E7-6FC0A82E0C8E}" id="{2D7E146C-1507-446F-A667-A39FB6436CC7}">
    <text>Not having base data to measure</text>
  </threadedComment>
  <threadedComment ref="AH209" dT="2024-09-15T12:50:58.60" personId="{6777EDD4-E46F-4979-A7E7-6FC0A82E0C8E}" id="{CA16D9F8-60FC-4DC5-A691-CE97559EC599}">
    <text>Not having base data to measure</text>
  </threadedComment>
  <threadedComment ref="AI209" dT="2024-09-15T12:50:58.60" personId="{6777EDD4-E46F-4979-A7E7-6FC0A82E0C8E}" id="{887C8081-B5CD-4841-81C5-DA5172540D08}">
    <text>Not having base data to measure</text>
  </threadedComment>
  <threadedComment ref="AJ209" dT="2024-09-15T12:50:58.60" personId="{6777EDD4-E46F-4979-A7E7-6FC0A82E0C8E}" id="{D8919206-BCE3-45CC-ACE3-5C5A5E858F07}">
    <text>Not having base data to measure</text>
  </threadedComment>
  <threadedComment ref="AK209" dT="2024-09-15T12:50:58.60" personId="{6777EDD4-E46F-4979-A7E7-6FC0A82E0C8E}" id="{CB93B753-1ED9-42B1-8124-090799225227}">
    <text>Not having base data to measure</text>
  </threadedComment>
  <threadedComment ref="AL209" dT="2024-09-15T12:50:58.60" personId="{6777EDD4-E46F-4979-A7E7-6FC0A82E0C8E}" id="{8890E9B1-65AF-4D2D-B581-DBB559F2D0B9}">
    <text>Not having base data to measure</text>
  </threadedComment>
  <threadedComment ref="AM209" dT="2025-01-16T07:13:52.45" personId="{1798D1B1-3098-46B1-91A2-D4C92B7E122A}" id="{56B041F5-BB94-486B-B5CE-A14AD345C586}">
    <text>Report not available</text>
  </threadedComment>
  <threadedComment ref="AN209" dT="2025-01-16T07:13:52.45" personId="{1798D1B1-3098-46B1-91A2-D4C92B7E122A}" id="{33980F58-A4C7-4D4E-8927-FCBD6ECEBD0D}">
    <text>Report not available</text>
  </threadedComment>
  <threadedComment ref="AO209" dT="2025-01-16T07:13:52.45" personId="{1798D1B1-3098-46B1-91A2-D4C92B7E122A}" id="{4232C5C5-8DEC-4C5C-A40A-784582EDC9E9}">
    <text>Report not available</text>
  </threadedComment>
  <threadedComment ref="AP209" dT="2025-01-16T07:13:52.45" personId="{1798D1B1-3098-46B1-91A2-D4C92B7E122A}" id="{41E6EE32-4552-49AB-A59B-660373ECE927}">
    <text>Report not available</text>
  </threadedComment>
  <threadedComment ref="AQ209" dT="2025-01-16T07:13:52.45" personId="{1798D1B1-3098-46B1-91A2-D4C92B7E122A}" id="{9583075F-010A-4646-B31D-284D543B3C64}">
    <text>Report not available</text>
  </threadedComment>
  <threadedComment ref="AR209" dT="2025-01-16T07:13:52.45" personId="{1798D1B1-3098-46B1-91A2-D4C92B7E122A}" id="{ECC33E9F-4636-4664-879C-7D04E0039244}">
    <text>Report not available</text>
  </threadedComment>
  <threadedComment ref="AS209" dT="2025-01-16T07:13:52.45" personId="{1798D1B1-3098-46B1-91A2-D4C92B7E122A}" id="{66239651-43F6-45AE-8CCE-4FA54BD8A5A1}">
    <text>Report not available</text>
  </threadedComment>
  <threadedComment ref="AT209" dT="2025-01-16T07:13:52.45" personId="{1798D1B1-3098-46B1-91A2-D4C92B7E122A}" id="{CB25F510-1C0A-4535-8E23-2BCB7AE5C550}">
    <text>Report not available</text>
  </threadedComment>
  <threadedComment ref="AU209" dT="2025-01-16T07:13:52.45" personId="{1798D1B1-3098-46B1-91A2-D4C92B7E122A}" id="{F7A78EEA-2CCF-4F36-9616-EB5FC39C45C2}">
    <text>Report not available</text>
  </threadedComment>
  <threadedComment ref="AV209" dT="2025-01-16T07:13:52.45" personId="{1798D1B1-3098-46B1-91A2-D4C92B7E122A}" id="{82C0ECE7-544A-4A63-98C9-0C33F62DBFD1}">
    <text>Report not available</text>
  </threadedComment>
  <threadedComment ref="AW209" dT="2025-01-16T07:13:52.45" personId="{1798D1B1-3098-46B1-91A2-D4C92B7E122A}" id="{B05D4EDC-00BF-4272-ACB1-E40E7F3EA9F9}">
    <text>Report not available</text>
  </threadedComment>
  <threadedComment ref="AX209" dT="2025-01-16T07:13:52.45" personId="{1798D1B1-3098-46B1-91A2-D4C92B7E122A}" id="{14317BC8-9F41-404A-BB89-E83416993204}">
    <text>Report not available</text>
  </threadedComment>
  <threadedComment ref="AY209" dT="2025-01-16T07:13:52.45" personId="{1798D1B1-3098-46B1-91A2-D4C92B7E122A}" id="{72766959-AACF-4BFF-9C43-BB477DAAEAA0}">
    <text>Report not available</text>
  </threadedComment>
  <threadedComment ref="AZ209" dT="2025-01-16T07:13:52.45" personId="{1798D1B1-3098-46B1-91A2-D4C92B7E122A}" id="{0ABB1814-43CA-4893-B028-552CE553E392}">
    <text>Report not available</text>
  </threadedComment>
  <threadedComment ref="BA209" dT="2025-01-16T07:13:52.45" personId="{1798D1B1-3098-46B1-91A2-D4C92B7E122A}" id="{3136A730-E73E-4B5C-8345-5117FD2CA93E}">
    <text>Report not available</text>
  </threadedComment>
  <threadedComment ref="BB209" dT="2025-01-16T07:13:52.45" personId="{1798D1B1-3098-46B1-91A2-D4C92B7E122A}" id="{F829448E-6FC8-42B9-830D-44CC6AF38BF7}">
    <text>Report not available</text>
  </threadedComment>
  <threadedComment ref="BC209" dT="2025-01-16T07:13:52.45" personId="{1798D1B1-3098-46B1-91A2-D4C92B7E122A}" id="{3A2BF88F-5220-418F-A907-6B3332F4F6F2}">
    <text>Report not available</text>
  </threadedComment>
  <threadedComment ref="BD209" dT="2025-01-16T07:13:52.45" personId="{1798D1B1-3098-46B1-91A2-D4C92B7E122A}" id="{2D928347-875A-4BBA-97C2-5FAEA241D07C}">
    <text>Report not available</text>
  </threadedComment>
  <threadedComment ref="BE209" dT="2025-01-16T07:13:52.45" personId="{1798D1B1-3098-46B1-91A2-D4C92B7E122A}" id="{AC30C79C-7A58-4A8B-839D-DBE351007D0F}">
    <text>Report not available</text>
  </threadedComment>
  <threadedComment ref="BF209" dT="2025-01-16T07:13:52.45" personId="{1798D1B1-3098-46B1-91A2-D4C92B7E122A}" id="{03C2E73A-13E9-46DC-98A0-42C3B8CA3723}">
    <text>Report not available</text>
  </threadedComment>
  <threadedComment ref="BG209" dT="2025-01-16T07:13:52.45" personId="{1798D1B1-3098-46B1-91A2-D4C92B7E122A}" id="{1DBE8E99-CE45-4FDA-99AB-F848AED27F2F}">
    <text>Report not available</text>
  </threadedComment>
  <threadedComment ref="BH209" dT="2025-01-16T07:13:52.45" personId="{1798D1B1-3098-46B1-91A2-D4C92B7E122A}" id="{8622ED1D-538D-45BA-9D48-422CDF92E99C}">
    <text>Report not available</text>
  </threadedComment>
  <threadedComment ref="BI209" dT="2025-01-16T07:13:52.45" personId="{1798D1B1-3098-46B1-91A2-D4C92B7E122A}" id="{CE9524E3-D6CE-4F25-9577-3B54222C4778}">
    <text>Report not available</text>
  </threadedComment>
  <threadedComment ref="BJ209" dT="2025-01-16T07:13:52.45" personId="{1798D1B1-3098-46B1-91A2-D4C92B7E122A}" id="{ED16E47F-9FA6-4610-883D-3A049F633E50}">
    <text>Report not available</text>
  </threadedComment>
  <threadedComment ref="BK209" dT="2025-01-16T07:13:52.45" personId="{1798D1B1-3098-46B1-91A2-D4C92B7E122A}" id="{F7A3AEE0-E715-4DE1-8DD9-B8CCD7F406D5}">
    <text>Report not available</text>
  </threadedComment>
  <threadedComment ref="BL209" dT="2025-01-16T07:13:52.45" personId="{1798D1B1-3098-46B1-91A2-D4C92B7E122A}" id="{3D0375C2-9C73-40B4-BE3E-DAFED62F234A}">
    <text>Report not available</text>
  </threadedComment>
  <threadedComment ref="BM209" dT="2025-01-16T07:13:52.45" personId="{1798D1B1-3098-46B1-91A2-D4C92B7E122A}" id="{7CF50C18-F49D-4F6C-83CE-BA8ECD19F42E}">
    <text>Report not available</text>
  </threadedComment>
  <threadedComment ref="BN209" dT="2025-01-16T07:13:52.45" personId="{1798D1B1-3098-46B1-91A2-D4C92B7E122A}" id="{E34DFD85-8F34-4D83-A69B-4600DA808055}">
    <text>Report not available</text>
  </threadedComment>
  <threadedComment ref="BP209" dT="2025-01-16T07:13:52.45" personId="{1798D1B1-3098-46B1-91A2-D4C92B7E122A}" id="{125AAE1E-E144-402F-B745-6E0A9D35FF73}">
    <text>Report not available</text>
  </threadedComment>
  <threadedComment ref="BS209" dT="2025-05-20T07:08:56.53" personId="{1798D1B1-3098-46B1-91A2-D4C92B7E122A}" id="{EEF130A1-6ADB-49C5-9411-1A2158ADF33D}">
    <text>Removed from SLA’s list</text>
  </threadedComment>
  <threadedComment ref="BU209" dT="2025-01-16T07:13:52.45" personId="{1798D1B1-3098-46B1-91A2-D4C92B7E122A}" id="{86A762A9-9B7E-4BEB-B595-0A7996B420F7}">
    <text>Report not available</text>
  </threadedComment>
  <threadedComment ref="S210" dT="2024-06-11T12:18:00.67" personId="{1798D1B1-3098-46B1-91A2-D4C92B7E122A}" id="{8731496C-5235-4D7F-8691-362F18B7F8AA}">
    <text>Hiring freeze</text>
  </threadedComment>
  <threadedComment ref="Y210" dT="2024-09-15T12:50:58.60" personId="{6777EDD4-E46F-4979-A7E7-6FC0A82E0C8E}" id="{0A2327C8-7D18-409A-8000-ADD4AF8EEB75}">
    <text>Not having base data to measure</text>
  </threadedComment>
  <threadedComment ref="Z210" dT="2024-09-15T12:50:58.60" personId="{6777EDD4-E46F-4979-A7E7-6FC0A82E0C8E}" id="{35E944BA-DCD5-492B-8B07-93123E49699A}">
    <text>Not having base data to measure</text>
  </threadedComment>
  <threadedComment ref="AA210" dT="2024-09-15T12:50:58.60" personId="{6777EDD4-E46F-4979-A7E7-6FC0A82E0C8E}" id="{805C9F52-A8AE-490B-8F7D-5B8BA047E799}">
    <text>Not having base data to measure</text>
  </threadedComment>
  <threadedComment ref="AB210" dT="2024-09-15T12:50:58.60" personId="{6777EDD4-E46F-4979-A7E7-6FC0A82E0C8E}" id="{0FB01837-499E-4BF8-8F20-275526ECC9BB}">
    <text>Not having base data to measure</text>
  </threadedComment>
  <threadedComment ref="AC210" dT="2024-09-15T12:50:58.60" personId="{6777EDD4-E46F-4979-A7E7-6FC0A82E0C8E}" id="{3681CC47-79D7-4A2C-B2F6-EFC18C250E14}">
    <text>Not having base data to measure</text>
  </threadedComment>
  <threadedComment ref="AD210" dT="2024-09-15T12:50:58.60" personId="{6777EDD4-E46F-4979-A7E7-6FC0A82E0C8E}" id="{DB4DE964-6F5E-4E8F-A965-E51A2B080B32}">
    <text>Not having base data to measure</text>
  </threadedComment>
  <threadedComment ref="AE210" dT="2024-09-15T12:50:58.60" personId="{6777EDD4-E46F-4979-A7E7-6FC0A82E0C8E}" id="{D792B3D5-C9CA-4B4D-B632-6D7B5FC04CE5}">
    <text>Not having base data to measure</text>
  </threadedComment>
  <threadedComment ref="AF210" dT="2024-09-15T12:50:58.60" personId="{6777EDD4-E46F-4979-A7E7-6FC0A82E0C8E}" id="{F30B1142-D5D0-4955-B491-9FE2AB210AEE}">
    <text>Not having base data to measure</text>
  </threadedComment>
  <threadedComment ref="AG210" dT="2024-09-15T12:50:58.60" personId="{6777EDD4-E46F-4979-A7E7-6FC0A82E0C8E}" id="{183CE20D-EFBE-47D3-9473-A2E9A98B4B80}">
    <text>Not having base data to measure</text>
  </threadedComment>
  <threadedComment ref="AH210" dT="2024-09-15T12:50:58.60" personId="{6777EDD4-E46F-4979-A7E7-6FC0A82E0C8E}" id="{8C5FA0E1-7E67-4F89-89DE-AF23B9D51EBD}">
    <text>Not having base data to measure</text>
  </threadedComment>
  <threadedComment ref="AI210" dT="2024-09-15T12:50:58.60" personId="{6777EDD4-E46F-4979-A7E7-6FC0A82E0C8E}" id="{8BD7C274-5FD9-43FE-884D-60C92FB44819}">
    <text>Not having base data to measure</text>
  </threadedComment>
  <threadedComment ref="AJ210" dT="2024-09-15T12:50:58.60" personId="{6777EDD4-E46F-4979-A7E7-6FC0A82E0C8E}" id="{0F6CA59E-0679-410F-9FD8-9F27C6915B08}">
    <text>Not having base data to measure</text>
  </threadedComment>
  <threadedComment ref="AK210" dT="2024-09-15T12:50:58.60" personId="{6777EDD4-E46F-4979-A7E7-6FC0A82E0C8E}" id="{F8176F44-8798-415C-92F2-B6BB1F188D3A}">
    <text>Not having base data to measure</text>
  </threadedComment>
  <threadedComment ref="AL210" dT="2024-09-15T12:50:58.60" personId="{6777EDD4-E46F-4979-A7E7-6FC0A82E0C8E}" id="{34E63E89-2E77-448C-B94E-770131FB5C45}">
    <text>Not having base data to measure</text>
  </threadedComment>
  <threadedComment ref="AM210" dT="2025-01-16T07:13:52.45" personId="{1798D1B1-3098-46B1-91A2-D4C92B7E122A}" id="{57D2915F-AAB9-4DA9-BF15-46591261DBEC}">
    <text>Report not available</text>
  </threadedComment>
  <threadedComment ref="AN210" dT="2025-01-16T07:13:52.45" personId="{1798D1B1-3098-46B1-91A2-D4C92B7E122A}" id="{F022B9D6-BFDF-43FA-8CA0-5AD90F883DCE}">
    <text>Report not available</text>
  </threadedComment>
  <threadedComment ref="AO210" dT="2025-01-16T07:13:52.45" personId="{1798D1B1-3098-46B1-91A2-D4C92B7E122A}" id="{A6DB4A55-2D24-421D-AEBC-A2B7F69C7C0D}">
    <text>Report not available</text>
  </threadedComment>
  <threadedComment ref="AP210" dT="2025-01-16T07:13:52.45" personId="{1798D1B1-3098-46B1-91A2-D4C92B7E122A}" id="{E8EEBED8-CD7F-447C-9AE3-986DDFC306B5}">
    <text>Report not available</text>
  </threadedComment>
  <threadedComment ref="AQ210" dT="2025-01-16T07:13:52.45" personId="{1798D1B1-3098-46B1-91A2-D4C92B7E122A}" id="{BC1E5FA6-027C-42DB-92FF-01AE485FA8FF}">
    <text>Report not available</text>
  </threadedComment>
  <threadedComment ref="AR210" dT="2025-01-16T07:13:52.45" personId="{1798D1B1-3098-46B1-91A2-D4C92B7E122A}" id="{5E2E77C7-51C7-44E0-BFEB-0F44FDE199AA}">
    <text>Report not available</text>
  </threadedComment>
  <threadedComment ref="AS210" dT="2025-01-16T07:13:52.45" personId="{1798D1B1-3098-46B1-91A2-D4C92B7E122A}" id="{22107A44-16A0-4F78-9CCB-08C41EBE2D13}">
    <text>Report not available</text>
  </threadedComment>
  <threadedComment ref="AT210" dT="2025-01-16T07:13:52.45" personId="{1798D1B1-3098-46B1-91A2-D4C92B7E122A}" id="{52D5C8A1-17DE-4D7D-AE0E-FB020AC6FF7D}">
    <text>Report not available</text>
  </threadedComment>
  <threadedComment ref="AU210" dT="2025-01-16T07:13:52.45" personId="{1798D1B1-3098-46B1-91A2-D4C92B7E122A}" id="{DFAAA4C8-78BA-4B54-8AE1-2C4A753B6228}">
    <text>Report not available</text>
  </threadedComment>
  <threadedComment ref="AV210" dT="2025-01-16T07:13:52.45" personId="{1798D1B1-3098-46B1-91A2-D4C92B7E122A}" id="{1A33F0A4-DB1D-477D-9F98-13C6A08D810B}">
    <text>Report not available</text>
  </threadedComment>
  <threadedComment ref="AW210" dT="2025-01-16T07:13:52.45" personId="{1798D1B1-3098-46B1-91A2-D4C92B7E122A}" id="{AC1E5B8B-F3ED-480A-9320-F9120063999C}">
    <text>Report not available</text>
  </threadedComment>
  <threadedComment ref="AX210" dT="2025-01-16T07:13:52.45" personId="{1798D1B1-3098-46B1-91A2-D4C92B7E122A}" id="{DD1EF0F9-1621-493D-8649-93769F187842}">
    <text>Report not available</text>
  </threadedComment>
  <threadedComment ref="AY210" dT="2025-01-16T07:13:52.45" personId="{1798D1B1-3098-46B1-91A2-D4C92B7E122A}" id="{825D4F8E-05A4-4FFA-89B9-C0687A9798AF}">
    <text>Report not available</text>
  </threadedComment>
  <threadedComment ref="AZ210" dT="2025-01-16T07:13:52.45" personId="{1798D1B1-3098-46B1-91A2-D4C92B7E122A}" id="{5CCECD78-A76B-4133-AE83-D73A64B61A0D}">
    <text>Report not available</text>
  </threadedComment>
  <threadedComment ref="BA210" dT="2025-01-16T07:13:52.45" personId="{1798D1B1-3098-46B1-91A2-D4C92B7E122A}" id="{E6FB255D-0BEB-4EA5-B93D-4ACA04293E98}">
    <text>Report not available</text>
  </threadedComment>
  <threadedComment ref="BB210" dT="2025-01-16T07:13:52.45" personId="{1798D1B1-3098-46B1-91A2-D4C92B7E122A}" id="{06655E49-1989-4D06-A85D-F40B962F8352}">
    <text>Report not available</text>
  </threadedComment>
  <threadedComment ref="BC210" dT="2025-01-16T07:13:52.45" personId="{1798D1B1-3098-46B1-91A2-D4C92B7E122A}" id="{1E599A64-A648-40D7-B54A-9F1F884BDCC1}">
    <text>Report not available</text>
  </threadedComment>
  <threadedComment ref="BD210" dT="2025-01-16T07:13:52.45" personId="{1798D1B1-3098-46B1-91A2-D4C92B7E122A}" id="{C9E1EDED-7B3F-48C1-9F60-401F08E77BC8}">
    <text>Report not available</text>
  </threadedComment>
  <threadedComment ref="BE210" dT="2025-01-16T07:13:52.45" personId="{1798D1B1-3098-46B1-91A2-D4C92B7E122A}" id="{7005D126-CC50-47D9-B431-1A6AD28747AF}">
    <text>Report not available</text>
  </threadedComment>
  <threadedComment ref="BF210" dT="2025-01-16T07:13:52.45" personId="{1798D1B1-3098-46B1-91A2-D4C92B7E122A}" id="{61A32D96-775B-4A24-8407-23EDDA6FFFD6}">
    <text>Report not available</text>
  </threadedComment>
  <threadedComment ref="BG210" dT="2025-01-16T07:13:52.45" personId="{1798D1B1-3098-46B1-91A2-D4C92B7E122A}" id="{3D95AFDF-B9E6-4D41-86D5-FBF980850C4A}">
    <text>Report not available</text>
  </threadedComment>
  <threadedComment ref="BH210" dT="2025-01-16T07:13:52.45" personId="{1798D1B1-3098-46B1-91A2-D4C92B7E122A}" id="{A0BC7497-3E67-4E75-AAF7-AA3069B44E41}">
    <text>Report not available</text>
  </threadedComment>
  <threadedComment ref="BI210" dT="2025-01-16T07:13:52.45" personId="{1798D1B1-3098-46B1-91A2-D4C92B7E122A}" id="{0917449F-7963-483B-8117-CE97897E4D18}">
    <text>Report not available</text>
  </threadedComment>
  <threadedComment ref="BJ210" dT="2025-01-16T07:13:52.45" personId="{1798D1B1-3098-46B1-91A2-D4C92B7E122A}" id="{C011E748-EC1B-4A0E-A27C-6CDAFDF27B2D}">
    <text>Report not available</text>
  </threadedComment>
  <threadedComment ref="BK210" dT="2025-01-16T07:13:52.45" personId="{1798D1B1-3098-46B1-91A2-D4C92B7E122A}" id="{E1E7E52D-202C-4A71-A81F-EAD83D97D44D}">
    <text>Report not available</text>
  </threadedComment>
  <threadedComment ref="BL210" dT="2025-01-16T07:13:52.45" personId="{1798D1B1-3098-46B1-91A2-D4C92B7E122A}" id="{BDFCB0F3-F130-4E7A-B286-207996727556}">
    <text>Report not available</text>
  </threadedComment>
  <threadedComment ref="BM210" dT="2025-01-16T07:13:52.45" personId="{1798D1B1-3098-46B1-91A2-D4C92B7E122A}" id="{594A64FA-2A81-4784-9443-070E387CDCFB}">
    <text>Report not available</text>
  </threadedComment>
  <threadedComment ref="BN210" dT="2025-01-16T07:13:52.45" personId="{1798D1B1-3098-46B1-91A2-D4C92B7E122A}" id="{488EE657-B5A9-408D-812A-BCC5D4C04138}">
    <text>Report not available</text>
  </threadedComment>
  <threadedComment ref="BP210" dT="2025-01-16T07:13:52.45" personId="{1798D1B1-3098-46B1-91A2-D4C92B7E122A}" id="{6402065F-1EE3-4370-88B3-2D7B3FFB2CF3}">
    <text>Report not available</text>
  </threadedComment>
  <threadedComment ref="BS210" dT="2025-05-20T07:08:56.53" personId="{1798D1B1-3098-46B1-91A2-D4C92B7E122A}" id="{4240E8A5-D652-4D7C-B2CD-0BD3C6AB5F7F}">
    <text>Removed from SLA’s list</text>
  </threadedComment>
  <threadedComment ref="BU210" dT="2025-01-16T07:13:52.45" personId="{1798D1B1-3098-46B1-91A2-D4C92B7E122A}" id="{91C12962-62A5-4E26-B627-38B40012C431}">
    <text>Report not available</text>
  </threadedComment>
  <threadedComment ref="S211" dT="2024-06-11T12:15:53.26" personId="{1798D1B1-3098-46B1-91A2-D4C92B7E122A}" id="{1A8740EA-3E98-4CB8-88B9-AA66C4F04301}">
    <text>Hiring freeze</text>
  </threadedComment>
  <threadedComment ref="Y211" dT="2024-09-15T12:50:58.60" personId="{6777EDD4-E46F-4979-A7E7-6FC0A82E0C8E}" id="{EF83E192-EFB8-4F40-AE73-38991E6E5F3D}">
    <text>Not having base data to measure</text>
  </threadedComment>
  <threadedComment ref="Z211" dT="2024-09-15T12:50:58.60" personId="{6777EDD4-E46F-4979-A7E7-6FC0A82E0C8E}" id="{AA32C07C-38F6-41B9-94C8-A8A96FCD4120}">
    <text>Not having base data to measure</text>
  </threadedComment>
  <threadedComment ref="AA211" dT="2024-09-15T12:50:58.60" personId="{6777EDD4-E46F-4979-A7E7-6FC0A82E0C8E}" id="{2CD5F56B-E664-41DC-B048-E2200AA94855}">
    <text>Not having base data to measure</text>
  </threadedComment>
  <threadedComment ref="AB211" dT="2024-09-15T12:50:58.60" personId="{6777EDD4-E46F-4979-A7E7-6FC0A82E0C8E}" id="{274531B4-3C05-4862-A068-AF0C550A5EDF}">
    <text>Not having base data to measure</text>
  </threadedComment>
  <threadedComment ref="AC211" dT="2024-09-15T12:50:58.60" personId="{6777EDD4-E46F-4979-A7E7-6FC0A82E0C8E}" id="{56BF67FE-26CC-46D6-9211-8EA9DE461514}">
    <text>Not having base data to measure</text>
  </threadedComment>
  <threadedComment ref="AD211" dT="2024-09-15T12:50:58.60" personId="{6777EDD4-E46F-4979-A7E7-6FC0A82E0C8E}" id="{FC850725-9965-4F0F-A511-3F113178DD26}">
    <text>Not having base data to measure</text>
  </threadedComment>
  <threadedComment ref="AE211" dT="2024-09-15T12:50:58.60" personId="{6777EDD4-E46F-4979-A7E7-6FC0A82E0C8E}" id="{73BBABF3-0B60-4F01-9340-01D350716807}">
    <text>Not having base data to measure</text>
  </threadedComment>
  <threadedComment ref="AF211" dT="2024-09-15T12:50:58.60" personId="{6777EDD4-E46F-4979-A7E7-6FC0A82E0C8E}" id="{DEE0CF3B-F4B7-457A-8BFF-44678C5687A0}">
    <text>Not having base data to measure</text>
  </threadedComment>
  <threadedComment ref="AG211" dT="2024-09-15T12:50:58.60" personId="{6777EDD4-E46F-4979-A7E7-6FC0A82E0C8E}" id="{410716A7-EED0-41DF-903A-735EAA1BE1BE}">
    <text>Not having base data to measure</text>
  </threadedComment>
  <threadedComment ref="AH211" dT="2024-09-15T12:50:58.60" personId="{6777EDD4-E46F-4979-A7E7-6FC0A82E0C8E}" id="{6CAFA0EC-27D3-476F-9E48-CE692C63A93D}">
    <text>Not having base data to measure</text>
  </threadedComment>
  <threadedComment ref="AI211" dT="2024-09-15T12:50:58.60" personId="{6777EDD4-E46F-4979-A7E7-6FC0A82E0C8E}" id="{0CE593F0-3138-43C7-8D15-30A00F76E011}">
    <text>Not having base data to measure</text>
  </threadedComment>
  <threadedComment ref="AJ211" dT="2024-09-15T12:50:58.60" personId="{6777EDD4-E46F-4979-A7E7-6FC0A82E0C8E}" id="{FE86D460-0896-40C0-A302-4495AB18ECED}">
    <text>Not having base data to measure</text>
  </threadedComment>
  <threadedComment ref="AK211" dT="2024-09-15T12:50:58.60" personId="{6777EDD4-E46F-4979-A7E7-6FC0A82E0C8E}" id="{FAC2A49E-DBCE-429D-B8B5-0EF11797B44C}">
    <text>Not having base data to measure</text>
  </threadedComment>
  <threadedComment ref="AL211" dT="2024-09-15T12:50:58.60" personId="{6777EDD4-E46F-4979-A7E7-6FC0A82E0C8E}" id="{1E5FF8C6-7370-4E7A-9A59-D5756E3AF47E}">
    <text>Not having base data to measure</text>
  </threadedComment>
  <threadedComment ref="AM211" dT="2025-01-16T07:13:52.45" personId="{1798D1B1-3098-46B1-91A2-D4C92B7E122A}" id="{495A66BD-4EF3-46C7-B209-3F43011CAC63}">
    <text>Report not available</text>
  </threadedComment>
  <threadedComment ref="AN211" dT="2025-01-16T07:13:52.45" personId="{1798D1B1-3098-46B1-91A2-D4C92B7E122A}" id="{74C31FE1-94EF-47B9-B6E3-DF7C7352260E}">
    <text>Report not available</text>
  </threadedComment>
  <threadedComment ref="AO211" dT="2025-01-16T07:13:52.45" personId="{1798D1B1-3098-46B1-91A2-D4C92B7E122A}" id="{E603FD15-7604-4BF2-80B6-93F92DD4097B}">
    <text>Report not available</text>
  </threadedComment>
  <threadedComment ref="AP211" dT="2025-01-16T07:13:52.45" personId="{1798D1B1-3098-46B1-91A2-D4C92B7E122A}" id="{6F31E71E-AC98-49D6-96EF-CC206B80CA89}">
    <text>Report not available</text>
  </threadedComment>
  <threadedComment ref="AQ211" dT="2025-01-16T07:13:52.45" personId="{1798D1B1-3098-46B1-91A2-D4C92B7E122A}" id="{103D0AC1-2404-4A64-8362-292D19153B51}">
    <text>Report not available</text>
  </threadedComment>
  <threadedComment ref="AR211" dT="2025-01-16T07:13:52.45" personId="{1798D1B1-3098-46B1-91A2-D4C92B7E122A}" id="{F0B071F6-8F07-4D20-BD94-1C23A824B905}">
    <text>Report not available</text>
  </threadedComment>
  <threadedComment ref="AS211" dT="2025-01-16T07:13:52.45" personId="{1798D1B1-3098-46B1-91A2-D4C92B7E122A}" id="{C1AE27FF-8149-4279-9831-ABB47490A090}">
    <text>Report not available</text>
  </threadedComment>
  <threadedComment ref="AT211" dT="2025-01-16T07:13:52.45" personId="{1798D1B1-3098-46B1-91A2-D4C92B7E122A}" id="{404D1E60-30A2-445A-B15F-FD4F07FF86EC}">
    <text>Report not available</text>
  </threadedComment>
  <threadedComment ref="AU211" dT="2025-01-16T07:13:52.45" personId="{1798D1B1-3098-46B1-91A2-D4C92B7E122A}" id="{AC1FA66A-D50C-455C-BE02-141CB1605ADF}">
    <text>Report not available</text>
  </threadedComment>
  <threadedComment ref="AV211" dT="2025-01-16T07:13:52.45" personId="{1798D1B1-3098-46B1-91A2-D4C92B7E122A}" id="{2E2236B2-9686-4909-B7E5-F4140A3E661B}">
    <text>Report not available</text>
  </threadedComment>
  <threadedComment ref="AW211" dT="2025-01-16T07:13:52.45" personId="{1798D1B1-3098-46B1-91A2-D4C92B7E122A}" id="{4BC32912-7F9B-4870-A5E7-640D9EA4F4BE}">
    <text>Report not available</text>
  </threadedComment>
  <threadedComment ref="AX211" dT="2025-01-16T07:13:52.45" personId="{1798D1B1-3098-46B1-91A2-D4C92B7E122A}" id="{E5ED765C-CF59-4719-9433-1CB6385B62D3}">
    <text>Report not available</text>
  </threadedComment>
  <threadedComment ref="AY211" dT="2025-01-16T07:13:52.45" personId="{1798D1B1-3098-46B1-91A2-D4C92B7E122A}" id="{F631960B-FF72-4603-ADD4-2E8CF426F358}">
    <text>Report not available</text>
  </threadedComment>
  <threadedComment ref="AZ211" dT="2025-01-16T07:13:52.45" personId="{1798D1B1-3098-46B1-91A2-D4C92B7E122A}" id="{69FB99DB-DA3E-4618-8313-B483D07C8FBC}">
    <text>Report not available</text>
  </threadedComment>
  <threadedComment ref="BA211" dT="2025-01-16T07:13:52.45" personId="{1798D1B1-3098-46B1-91A2-D4C92B7E122A}" id="{8D850159-D400-45C2-A2E0-5986E1B0BAF9}">
    <text>Report not available</text>
  </threadedComment>
  <threadedComment ref="BB211" dT="2025-01-16T07:13:52.45" personId="{1798D1B1-3098-46B1-91A2-D4C92B7E122A}" id="{AFEC66BF-05B5-4B3E-8985-856F1E46A274}">
    <text>Report not available</text>
  </threadedComment>
  <threadedComment ref="BC211" dT="2025-01-16T07:13:52.45" personId="{1798D1B1-3098-46B1-91A2-D4C92B7E122A}" id="{6D38CF47-7BB4-4D29-9CF5-3E06CDD0ADCA}">
    <text>Report not available</text>
  </threadedComment>
  <threadedComment ref="BD211" dT="2025-01-16T07:13:52.45" personId="{1798D1B1-3098-46B1-91A2-D4C92B7E122A}" id="{9D64B2E5-7CD3-4373-9702-0421A8ACDC64}">
    <text>Report not available</text>
  </threadedComment>
  <threadedComment ref="BE211" dT="2025-01-16T07:13:52.45" personId="{1798D1B1-3098-46B1-91A2-D4C92B7E122A}" id="{F1E12011-FC31-4F5D-BC91-8AC6F1F540F3}">
    <text>Report not available</text>
  </threadedComment>
  <threadedComment ref="BF211" dT="2025-01-16T07:13:52.45" personId="{1798D1B1-3098-46B1-91A2-D4C92B7E122A}" id="{0F5E714D-1826-4836-B28B-1058B06B0CAD}">
    <text>Report not available</text>
  </threadedComment>
  <threadedComment ref="BG211" dT="2025-01-16T07:13:52.45" personId="{1798D1B1-3098-46B1-91A2-D4C92B7E122A}" id="{D246AB13-AFDC-4997-9555-1B5B46BF5CFC}">
    <text>Report not available</text>
  </threadedComment>
  <threadedComment ref="BH211" dT="2025-01-16T07:13:52.45" personId="{1798D1B1-3098-46B1-91A2-D4C92B7E122A}" id="{EED4DF45-AD78-49F6-96CD-56186510507D}">
    <text>Report not available</text>
  </threadedComment>
  <threadedComment ref="BI211" dT="2025-01-16T07:13:52.45" personId="{1798D1B1-3098-46B1-91A2-D4C92B7E122A}" id="{6216B066-F722-4DC6-B96A-A7B1346FA8AA}">
    <text>Report not available</text>
  </threadedComment>
  <threadedComment ref="BJ211" dT="2025-01-16T07:13:52.45" personId="{1798D1B1-3098-46B1-91A2-D4C92B7E122A}" id="{892E068A-0766-4171-A23A-FE922E2EAFC4}">
    <text>Report not available</text>
  </threadedComment>
  <threadedComment ref="BK211" dT="2025-01-16T07:13:52.45" personId="{1798D1B1-3098-46B1-91A2-D4C92B7E122A}" id="{2E3F0BDC-6A98-4026-8E97-C97B86F77E72}">
    <text>Report not available</text>
  </threadedComment>
  <threadedComment ref="BL211" dT="2025-01-16T07:13:52.45" personId="{1798D1B1-3098-46B1-91A2-D4C92B7E122A}" id="{039B0437-1FD3-4CB2-8E47-C7B64FCF6911}">
    <text>Report not available</text>
  </threadedComment>
  <threadedComment ref="BM211" dT="2025-01-16T07:13:52.45" personId="{1798D1B1-3098-46B1-91A2-D4C92B7E122A}" id="{FF04B5E8-5937-49E7-9D67-00B1A817F483}">
    <text>Report not available</text>
  </threadedComment>
  <threadedComment ref="BN211" dT="2025-01-16T07:13:52.45" personId="{1798D1B1-3098-46B1-91A2-D4C92B7E122A}" id="{69E48AD8-DF2D-40EA-925B-8CB343B9D77A}">
    <text>Report not available</text>
  </threadedComment>
  <threadedComment ref="BP211" dT="2025-01-16T07:13:52.45" personId="{1798D1B1-3098-46B1-91A2-D4C92B7E122A}" id="{06F84C58-189A-408F-9133-46DF103B73C6}">
    <text>Report not available</text>
  </threadedComment>
  <threadedComment ref="BS211" dT="2025-05-20T07:08:56.53" personId="{1798D1B1-3098-46B1-91A2-D4C92B7E122A}" id="{7DDBD608-C4C4-4C3B-A0E4-517B41CAA1DB}">
    <text>Removed from SLA’s list</text>
  </threadedComment>
  <threadedComment ref="BU211" dT="2025-01-16T07:13:52.45" personId="{1798D1B1-3098-46B1-91A2-D4C92B7E122A}" id="{CFB2E2F5-6DAF-47DE-84E7-653A1567C742}">
    <text>Report not available</text>
  </threadedComment>
  <threadedComment ref="W212" dT="2024-08-16T07:26:24.89" personId="{6777EDD4-E46F-4979-A7E7-6FC0A82E0C8E}" id="{C14906F7-354C-440B-A3EC-25AE5501F1FD}">
    <text>No Hiring demand</text>
  </threadedComment>
  <threadedComment ref="X212" dT="2024-08-16T07:26:24.89" personId="{6777EDD4-E46F-4979-A7E7-6FC0A82E0C8E}" id="{D2F9F566-4CA7-4E1F-8985-03E724577FC2}">
    <text>No Hiring demand</text>
  </threadedComment>
  <threadedComment ref="AA212" dT="2024-10-18T04:56:20.13" personId="{6777EDD4-E46F-4979-A7E7-6FC0A82E0C8E}" id="{8EB5AE9A-962C-4940-8559-FF4FE09B21A0}">
    <text>Project On-Hold</text>
  </threadedComment>
  <threadedComment ref="AB212" dT="2024-10-18T04:56:20.13" personId="{6777EDD4-E46F-4979-A7E7-6FC0A82E0C8E}" id="{D1681A9F-C95C-4ACC-ABBF-BE423CB4F4CB}">
    <text>Project On-Hold</text>
  </threadedComment>
  <threadedComment ref="AC212" dT="2024-10-18T04:56:20.13" personId="{6777EDD4-E46F-4979-A7E7-6FC0A82E0C8E}" id="{4C197E29-2747-4626-82C3-DD05E90B8917}">
    <text>Project On-Hold</text>
  </threadedComment>
  <threadedComment ref="AD212" dT="2024-10-18T04:56:20.13" personId="{6777EDD4-E46F-4979-A7E7-6FC0A82E0C8E}" id="{540F0EF5-A83F-4B74-8B17-57CD9AE62320}">
    <text>Project On-Hold</text>
  </threadedComment>
  <threadedComment ref="AE212" dT="2024-10-18T04:56:20.13" personId="{6777EDD4-E46F-4979-A7E7-6FC0A82E0C8E}" id="{687678E0-314A-4146-B625-CC65ACA726AD}">
    <text>Project On-Hold</text>
  </threadedComment>
  <threadedComment ref="AF212" dT="2024-10-18T04:56:20.13" personId="{6777EDD4-E46F-4979-A7E7-6FC0A82E0C8E}" id="{C75745BF-E928-4D74-BA6B-AA42F4249DB7}">
    <text>Project On-Hold</text>
  </threadedComment>
  <threadedComment ref="AG212" dT="2024-10-18T04:56:20.13" personId="{6777EDD4-E46F-4979-A7E7-6FC0A82E0C8E}" id="{684CCCA7-AC89-43F3-A04C-8FA2E922030B}">
    <text>Project On-Hold</text>
  </threadedComment>
  <threadedComment ref="AH212" dT="2024-10-18T04:56:20.13" personId="{6777EDD4-E46F-4979-A7E7-6FC0A82E0C8E}" id="{5DE07417-7D7B-4545-925B-387D45D950BB}">
    <text>Project On-Hold</text>
  </threadedComment>
  <threadedComment ref="AI212" dT="2024-10-18T04:56:20.13" personId="{6777EDD4-E46F-4979-A7E7-6FC0A82E0C8E}" id="{13C39641-9697-4CC9-918B-C48C090981DA}">
    <text>Project On-Hold</text>
  </threadedComment>
  <threadedComment ref="AJ212" dT="2024-10-18T04:56:20.13" personId="{6777EDD4-E46F-4979-A7E7-6FC0A82E0C8E}" id="{A63BB63B-483E-4DE4-BA35-3A9FDAB78C13}">
    <text>Project On-Hold</text>
  </threadedComment>
  <threadedComment ref="AK212" dT="2024-10-18T04:56:20.13" personId="{6777EDD4-E46F-4979-A7E7-6FC0A82E0C8E}" id="{C7712045-4CE5-4474-9A7C-173711F63F92}">
    <text>Project On-Hold</text>
  </threadedComment>
  <threadedComment ref="AL212" dT="2024-10-18T04:56:20.13" personId="{6777EDD4-E46F-4979-A7E7-6FC0A82E0C8E}" id="{62272320-103D-4B81-BB87-5C51A444CE1E}">
    <text>Project On-Hold</text>
  </threadedComment>
  <threadedComment ref="AM212" dT="2024-10-18T04:56:20.13" personId="{6777EDD4-E46F-4979-A7E7-6FC0A82E0C8E}" id="{873EB353-F207-4981-A77F-8FC567AAEC40}">
    <text>Project On-Hold</text>
  </threadedComment>
  <threadedComment ref="AN212" dT="2024-10-18T04:56:20.13" personId="{6777EDD4-E46F-4979-A7E7-6FC0A82E0C8E}" id="{3D2E7B06-A862-49FB-86D5-3ECCE6E9403D}">
    <text>Project On-Hold</text>
  </threadedComment>
  <threadedComment ref="AO212" dT="2024-10-18T04:54:46.00" personId="{6777EDD4-E46F-4979-A7E7-6FC0A82E0C8E}" id="{A60914A8-1944-4BAD-9278-4733D8D960AE}">
    <text>Project On-Hold</text>
  </threadedComment>
  <threadedComment ref="AP212" dT="2024-10-18T04:54:46.00" personId="{6777EDD4-E46F-4979-A7E7-6FC0A82E0C8E}" id="{95DC42E7-83A4-4750-B03B-C815C63C87A2}">
    <text>Project On-Hold</text>
  </threadedComment>
  <threadedComment ref="AQ212" dT="2024-10-18T04:54:46.00" personId="{6777EDD4-E46F-4979-A7E7-6FC0A82E0C8E}" id="{9A68510C-39F3-4624-8CC6-D6D233882877}">
    <text>Project On-Hold</text>
  </threadedComment>
  <threadedComment ref="AR212" dT="2024-10-18T04:54:46.00" personId="{6777EDD4-E46F-4979-A7E7-6FC0A82E0C8E}" id="{E0C1F425-0BBA-422C-8474-286740F5B65E}">
    <text>Project On-Hold</text>
  </threadedComment>
  <threadedComment ref="AS212" dT="2024-10-18T04:54:46.00" personId="{6777EDD4-E46F-4979-A7E7-6FC0A82E0C8E}" id="{C657F018-F3CB-4227-9ACE-B75B8DFE80CF}">
    <text>Project On-Hold</text>
  </threadedComment>
  <threadedComment ref="AT212" dT="2024-10-18T04:54:46.00" personId="{6777EDD4-E46F-4979-A7E7-6FC0A82E0C8E}" id="{CF6930A4-33B3-4C06-BECE-6562FB5466AD}">
    <text>Project On-Hold</text>
  </threadedComment>
  <threadedComment ref="AU212" dT="2024-10-18T04:54:46.00" personId="{6777EDD4-E46F-4979-A7E7-6FC0A82E0C8E}" id="{416C8A07-9DD0-4CB9-A908-406F9641DB24}">
    <text>Project On-Hold</text>
  </threadedComment>
  <threadedComment ref="AV212" dT="2024-10-18T04:54:46.00" personId="{6777EDD4-E46F-4979-A7E7-6FC0A82E0C8E}" id="{726AD5A3-1DBD-4952-8395-22EF54485C39}">
    <text>Project On-Hold</text>
  </threadedComment>
  <threadedComment ref="AW212" dT="2024-10-18T04:54:46.00" personId="{6777EDD4-E46F-4979-A7E7-6FC0A82E0C8E}" id="{00E472DA-543F-4D67-A792-FCF0E994E9ED}">
    <text>Project On-Hold</text>
  </threadedComment>
  <threadedComment ref="AX212" dT="2024-10-18T04:54:46.00" personId="{6777EDD4-E46F-4979-A7E7-6FC0A82E0C8E}" id="{507E5D90-6B6D-44DE-B9DD-901317671C67}">
    <text>Project On-Hold</text>
  </threadedComment>
  <threadedComment ref="AY212" dT="2024-10-18T04:54:46.00" personId="{6777EDD4-E46F-4979-A7E7-6FC0A82E0C8E}" id="{DEAA0A2C-A1FC-4884-A930-CD97D39126C4}">
    <text>Project On-Hold</text>
  </threadedComment>
  <threadedComment ref="AZ212" dT="2024-10-18T04:54:46.00" personId="{6777EDD4-E46F-4979-A7E7-6FC0A82E0C8E}" id="{AF1EA9DF-FC63-47B3-A6AF-7514A9E80D85}">
    <text>Project On-Hold</text>
  </threadedComment>
  <threadedComment ref="BA212" dT="2024-10-18T04:54:46.00" personId="{6777EDD4-E46F-4979-A7E7-6FC0A82E0C8E}" id="{2C064EF5-4131-441E-BC7F-D29E9FBB72BC}">
    <text>Project On-Hold</text>
  </threadedComment>
  <threadedComment ref="BB212" dT="2024-10-18T04:54:46.00" personId="{6777EDD4-E46F-4979-A7E7-6FC0A82E0C8E}" id="{E046EDED-0CE9-4C44-B474-DB71946204D8}">
    <text>Project On-Hold</text>
  </threadedComment>
  <threadedComment ref="BC212" dT="2024-10-18T04:54:46.00" personId="{6777EDD4-E46F-4979-A7E7-6FC0A82E0C8E}" id="{62137C76-A068-4687-9527-71ECCC6EBBC4}">
    <text>Project On-Hold</text>
  </threadedComment>
  <threadedComment ref="BD212" dT="2024-10-18T04:54:46.00" personId="{6777EDD4-E46F-4979-A7E7-6FC0A82E0C8E}" id="{D2C10832-A5AE-4D1E-BAC8-5E3E106D98C3}">
    <text>Project On-Hold</text>
  </threadedComment>
  <threadedComment ref="BE212" dT="2024-10-18T04:54:46.00" personId="{6777EDD4-E46F-4979-A7E7-6FC0A82E0C8E}" id="{FB01D7A8-31AB-4B10-A651-0E76BE352F8B}">
    <text>Project On-Hold</text>
  </threadedComment>
  <threadedComment ref="BF212" dT="2024-10-18T04:54:46.00" personId="{6777EDD4-E46F-4979-A7E7-6FC0A82E0C8E}" id="{686561CD-3264-4896-9C00-1BB45A8BBEA9}">
    <text>Project On-Hold</text>
  </threadedComment>
  <threadedComment ref="BG212" dT="2024-10-18T04:54:46.00" personId="{6777EDD4-E46F-4979-A7E7-6FC0A82E0C8E}" id="{24D8F83C-A16E-4893-BAFF-A2934EE2E309}">
    <text>Project On-Hold</text>
  </threadedComment>
  <threadedComment ref="BH212" dT="2024-10-18T04:54:46.00" personId="{6777EDD4-E46F-4979-A7E7-6FC0A82E0C8E}" id="{19F1416A-0020-44DA-A39B-2905859314AD}">
    <text>Project On-Hold</text>
  </threadedComment>
  <threadedComment ref="BI212" dT="2024-10-18T04:54:46.00" personId="{6777EDD4-E46F-4979-A7E7-6FC0A82E0C8E}" id="{E472F03B-ACA3-4823-8DF5-05971278AA02}">
    <text>Project On-Hold</text>
  </threadedComment>
  <threadedComment ref="BJ212" dT="2024-10-18T04:54:46.00" personId="{6777EDD4-E46F-4979-A7E7-6FC0A82E0C8E}" id="{9014B307-1C1C-40F4-9043-2166F4139E10}">
    <text>Project On-Hold</text>
  </threadedComment>
  <threadedComment ref="BK212" dT="2024-10-18T04:54:46.00" personId="{6777EDD4-E46F-4979-A7E7-6FC0A82E0C8E}" id="{63590E7B-B569-49B5-B626-27C04845BD2B}">
    <text>Project On-Hold</text>
  </threadedComment>
  <threadedComment ref="BL212" dT="2024-10-18T04:54:46.00" personId="{6777EDD4-E46F-4979-A7E7-6FC0A82E0C8E}" id="{34340028-2F2A-4198-B269-683D4594D9E0}">
    <text>Project On-Hold</text>
  </threadedComment>
  <threadedComment ref="BM212" dT="2024-10-18T04:54:46.00" personId="{6777EDD4-E46F-4979-A7E7-6FC0A82E0C8E}" id="{50D454DD-510B-4762-A7CF-A569325529A2}">
    <text>Project On-Hold</text>
  </threadedComment>
  <threadedComment ref="BN212" dT="2024-10-18T04:54:46.00" personId="{6777EDD4-E46F-4979-A7E7-6FC0A82E0C8E}" id="{9D0B275C-2789-4E72-9F0D-99DD8DE56D18}">
    <text>Project On-Hold</text>
  </threadedComment>
  <threadedComment ref="BP212" dT="2024-10-18T04:54:46.00" personId="{6777EDD4-E46F-4979-A7E7-6FC0A82E0C8E}" id="{225AA474-174D-47B0-BBB4-953342665833}">
    <text>Project On-Hold</text>
  </threadedComment>
  <threadedComment ref="BR212" dT="2024-10-18T04:54:46.00" personId="{6777EDD4-E46F-4979-A7E7-6FC0A82E0C8E}" id="{AA309D41-002D-4BBB-807C-1095B709C3DC}">
    <text>Project On-Hold</text>
  </threadedComment>
  <threadedComment ref="BS212" dT="2024-10-18T04:54:46.00" personId="{6777EDD4-E46F-4979-A7E7-6FC0A82E0C8E}" id="{F1BF7267-2405-4B2E-BCEA-6C4863032E26}">
    <text>Project On-Hold</text>
  </threadedComment>
  <threadedComment ref="BU212" dT="2024-10-18T04:54:46.00" personId="{6777EDD4-E46F-4979-A7E7-6FC0A82E0C8E}" id="{ACB9891D-0FD4-4A5B-A370-BBE184D1E5FF}">
    <text>Project On-Hold</text>
  </threadedComment>
  <threadedComment ref="W213" dT="2024-08-16T07:26:24.89" personId="{6777EDD4-E46F-4979-A7E7-6FC0A82E0C8E}" id="{1EDA8D99-1198-4B3C-A712-E009092D4208}">
    <text>No Hiring demand</text>
  </threadedComment>
  <threadedComment ref="X213" dT="2024-08-16T07:26:24.89" personId="{6777EDD4-E46F-4979-A7E7-6FC0A82E0C8E}" id="{C54A6794-E9B1-49B1-91A5-5C86804549D8}">
    <text>No Hiring demand</text>
  </threadedComment>
  <threadedComment ref="AA213" dT="2024-10-18T04:56:20.13" personId="{6777EDD4-E46F-4979-A7E7-6FC0A82E0C8E}" id="{F591C3C1-AB20-4F16-9D8A-E64794F1228F}">
    <text>Project On-Hold</text>
  </threadedComment>
  <threadedComment ref="AB213" dT="2024-10-18T04:56:20.13" personId="{6777EDD4-E46F-4979-A7E7-6FC0A82E0C8E}" id="{516201CC-FEEF-494F-B1BA-8097459C79A8}">
    <text>Project On-Hold</text>
  </threadedComment>
  <threadedComment ref="AC213" dT="2024-10-18T04:56:20.13" personId="{6777EDD4-E46F-4979-A7E7-6FC0A82E0C8E}" id="{541D7DA1-8103-406B-8A28-9EF7F403683C}">
    <text>Project On-Hold</text>
  </threadedComment>
  <threadedComment ref="AD213" dT="2024-10-18T04:56:20.13" personId="{6777EDD4-E46F-4979-A7E7-6FC0A82E0C8E}" id="{1272D006-C037-4EA6-AD1E-4D985B6BD016}">
    <text>Project On-Hold</text>
  </threadedComment>
  <threadedComment ref="AE213" dT="2024-10-18T04:56:20.13" personId="{6777EDD4-E46F-4979-A7E7-6FC0A82E0C8E}" id="{DC3DE0C8-72F3-4D62-A23B-EF2BD3A98D15}">
    <text>Project On-Hold</text>
  </threadedComment>
  <threadedComment ref="AF213" dT="2024-10-18T04:56:20.13" personId="{6777EDD4-E46F-4979-A7E7-6FC0A82E0C8E}" id="{6334B4CE-D7E3-45A1-8FDA-401EEC40F78E}">
    <text>Project On-Hold</text>
  </threadedComment>
  <threadedComment ref="AG213" dT="2024-10-18T04:56:20.13" personId="{6777EDD4-E46F-4979-A7E7-6FC0A82E0C8E}" id="{6DB4362F-5BFE-49FD-AA9C-643E52760190}">
    <text>Project On-Hold</text>
  </threadedComment>
  <threadedComment ref="AH213" dT="2024-10-18T04:56:20.13" personId="{6777EDD4-E46F-4979-A7E7-6FC0A82E0C8E}" id="{4418C93E-B634-4CFB-BAF9-CD2758201BC4}">
    <text>Project On-Hold</text>
  </threadedComment>
  <threadedComment ref="AI213" dT="2024-10-18T04:56:20.13" personId="{6777EDD4-E46F-4979-A7E7-6FC0A82E0C8E}" id="{4EB58F7A-9B88-4105-A5DD-5369BFC914EC}">
    <text>Project On-Hold</text>
  </threadedComment>
  <threadedComment ref="AJ213" dT="2024-10-18T04:56:20.13" personId="{6777EDD4-E46F-4979-A7E7-6FC0A82E0C8E}" id="{4CC5BBC5-25FF-49CD-BDB2-2E34D8E57E06}">
    <text>Project On-Hold</text>
  </threadedComment>
  <threadedComment ref="AK213" dT="2024-10-18T04:56:20.13" personId="{6777EDD4-E46F-4979-A7E7-6FC0A82E0C8E}" id="{3984A834-6E9F-4688-8624-E189BFA00384}">
    <text>Project On-Hold</text>
  </threadedComment>
  <threadedComment ref="AL213" dT="2024-10-18T04:56:20.13" personId="{6777EDD4-E46F-4979-A7E7-6FC0A82E0C8E}" id="{273882BA-99FC-4CE4-82F7-269D3827E500}">
    <text>Project On-Hold</text>
  </threadedComment>
  <threadedComment ref="AM213" dT="2024-10-18T04:56:20.13" personId="{6777EDD4-E46F-4979-A7E7-6FC0A82E0C8E}" id="{0346F079-31CD-45EF-A7E8-417B3821EFAD}">
    <text>Project On-Hold</text>
  </threadedComment>
  <threadedComment ref="AN213" dT="2024-10-18T04:56:20.13" personId="{6777EDD4-E46F-4979-A7E7-6FC0A82E0C8E}" id="{F74A40CE-7FCA-406D-800D-60E5EC03A0BC}">
    <text>Project On-Hold</text>
  </threadedComment>
  <threadedComment ref="AO213" dT="2024-10-18T04:54:46.00" personId="{6777EDD4-E46F-4979-A7E7-6FC0A82E0C8E}" id="{DB693B5B-41FE-4A13-89FA-CFBEC3A5FA58}">
    <text>Project On-Hold</text>
  </threadedComment>
  <threadedComment ref="AP213" dT="2024-10-18T04:54:46.00" personId="{6777EDD4-E46F-4979-A7E7-6FC0A82E0C8E}" id="{608E3F01-51D2-4ABB-80B7-AAF7C3FABADE}">
    <text>Project On-Hold</text>
  </threadedComment>
  <threadedComment ref="AQ213" dT="2024-10-18T04:54:46.00" personId="{6777EDD4-E46F-4979-A7E7-6FC0A82E0C8E}" id="{BF675F57-7934-420E-9EFB-347D64EC23C1}">
    <text>Project On-Hold</text>
  </threadedComment>
  <threadedComment ref="AR213" dT="2024-10-18T04:54:46.00" personId="{6777EDD4-E46F-4979-A7E7-6FC0A82E0C8E}" id="{A084AC9E-0E27-4386-A3D0-1D58B8BD228D}">
    <text>Project On-Hold</text>
  </threadedComment>
  <threadedComment ref="AS213" dT="2024-10-18T04:54:46.00" personId="{6777EDD4-E46F-4979-A7E7-6FC0A82E0C8E}" id="{62F42F4A-147B-4267-A3FB-E185395D2F55}">
    <text>Project On-Hold</text>
  </threadedComment>
  <threadedComment ref="AT213" dT="2024-10-18T04:54:46.00" personId="{6777EDD4-E46F-4979-A7E7-6FC0A82E0C8E}" id="{5EB0BBBE-34E5-4F56-9081-59C1E7477E19}">
    <text>Project On-Hold</text>
  </threadedComment>
  <threadedComment ref="AU213" dT="2024-10-18T04:54:46.00" personId="{6777EDD4-E46F-4979-A7E7-6FC0A82E0C8E}" id="{9758B58F-0DD2-4A94-8893-32281220CD43}">
    <text>Project On-Hold</text>
  </threadedComment>
  <threadedComment ref="AV213" dT="2024-10-18T04:54:46.00" personId="{6777EDD4-E46F-4979-A7E7-6FC0A82E0C8E}" id="{CF0D372C-3B41-40F0-9903-9A6B8796521F}">
    <text>Project On-Hold</text>
  </threadedComment>
  <threadedComment ref="AW213" dT="2024-10-18T04:54:46.00" personId="{6777EDD4-E46F-4979-A7E7-6FC0A82E0C8E}" id="{6233F428-EE02-4F8A-A848-F9BD9ED2F98C}">
    <text>Project On-Hold</text>
  </threadedComment>
  <threadedComment ref="AX213" dT="2024-10-18T04:54:46.00" personId="{6777EDD4-E46F-4979-A7E7-6FC0A82E0C8E}" id="{E17D725A-7F6F-4B1F-8B90-9D5579A2EC8D}">
    <text>Project On-Hold</text>
  </threadedComment>
  <threadedComment ref="AY213" dT="2024-10-18T04:54:46.00" personId="{6777EDD4-E46F-4979-A7E7-6FC0A82E0C8E}" id="{F99B897B-B554-4F04-99CF-D3E2769CACB7}">
    <text>Project On-Hold</text>
  </threadedComment>
  <threadedComment ref="AZ213" dT="2024-10-18T04:54:46.00" personId="{6777EDD4-E46F-4979-A7E7-6FC0A82E0C8E}" id="{87D0D057-61A0-48A2-A221-0E7F0D7A7767}">
    <text>Project On-Hold</text>
  </threadedComment>
  <threadedComment ref="BA213" dT="2024-10-18T04:54:46.00" personId="{6777EDD4-E46F-4979-A7E7-6FC0A82E0C8E}" id="{51A36D94-50E1-4BAE-8D6C-C156167EB121}">
    <text>Project On-Hold</text>
  </threadedComment>
  <threadedComment ref="BB213" dT="2024-10-18T04:54:46.00" personId="{6777EDD4-E46F-4979-A7E7-6FC0A82E0C8E}" id="{D2B1B231-FD65-49CD-AB40-7080A23846A2}">
    <text>Project On-Hold</text>
  </threadedComment>
  <threadedComment ref="BC213" dT="2024-10-18T04:54:46.00" personId="{6777EDD4-E46F-4979-A7E7-6FC0A82E0C8E}" id="{F51D2ACC-3AE1-48A5-BD79-B69D052D61FC}">
    <text>Project On-Hold</text>
  </threadedComment>
  <threadedComment ref="BD213" dT="2024-10-18T04:54:46.00" personId="{6777EDD4-E46F-4979-A7E7-6FC0A82E0C8E}" id="{57D649EE-378B-48BD-80E2-E1C1DED0DACE}">
    <text>Project On-Hold</text>
  </threadedComment>
  <threadedComment ref="BE213" dT="2024-10-18T04:54:46.00" personId="{6777EDD4-E46F-4979-A7E7-6FC0A82E0C8E}" id="{CE1A454D-CA6D-44BB-B57B-926AD3F95150}">
    <text>Project On-Hold</text>
  </threadedComment>
  <threadedComment ref="BF213" dT="2024-10-18T04:54:46.00" personId="{6777EDD4-E46F-4979-A7E7-6FC0A82E0C8E}" id="{1EB9D4F6-40BC-429F-B014-7F4171E7BB25}">
    <text>Project On-Hold</text>
  </threadedComment>
  <threadedComment ref="BG213" dT="2024-10-18T04:54:46.00" personId="{6777EDD4-E46F-4979-A7E7-6FC0A82E0C8E}" id="{909D16B0-B7ED-44ED-818C-57415D0983F0}">
    <text>Project On-Hold</text>
  </threadedComment>
  <threadedComment ref="BH213" dT="2024-10-18T04:54:46.00" personId="{6777EDD4-E46F-4979-A7E7-6FC0A82E0C8E}" id="{FFEF0651-F071-4D4E-BD45-A189AF10DFD1}">
    <text>Project On-Hold</text>
  </threadedComment>
  <threadedComment ref="BI213" dT="2024-10-18T04:54:46.00" personId="{6777EDD4-E46F-4979-A7E7-6FC0A82E0C8E}" id="{99E325DD-2BA1-4017-B23C-A5BA37F6659B}">
    <text>Project On-Hold</text>
  </threadedComment>
  <threadedComment ref="BJ213" dT="2024-10-18T04:54:46.00" personId="{6777EDD4-E46F-4979-A7E7-6FC0A82E0C8E}" id="{8C11A1AD-A227-4E66-A973-7B8ED578E9B3}">
    <text>Project On-Hold</text>
  </threadedComment>
  <threadedComment ref="BK213" dT="2024-10-18T04:54:46.00" personId="{6777EDD4-E46F-4979-A7E7-6FC0A82E0C8E}" id="{8DA313EE-C8D3-4645-998D-E17544624048}">
    <text>Project On-Hold</text>
  </threadedComment>
  <threadedComment ref="BL213" dT="2024-10-18T04:54:46.00" personId="{6777EDD4-E46F-4979-A7E7-6FC0A82E0C8E}" id="{1B762AA1-E749-4C3D-9FC4-CEE5B951A2FB}">
    <text>Project On-Hold</text>
  </threadedComment>
  <threadedComment ref="BM213" dT="2024-10-18T04:54:46.00" personId="{6777EDD4-E46F-4979-A7E7-6FC0A82E0C8E}" id="{8755B437-954E-4E08-B8E2-5A30106B78D9}">
    <text>Project On-Hold</text>
  </threadedComment>
  <threadedComment ref="BN213" dT="2024-10-18T04:54:46.00" personId="{6777EDD4-E46F-4979-A7E7-6FC0A82E0C8E}" id="{9D133474-8F23-4B41-8699-005B1D2FE6F1}">
    <text>Project On-Hold</text>
  </threadedComment>
  <threadedComment ref="BP213" dT="2024-10-18T04:54:46.00" personId="{6777EDD4-E46F-4979-A7E7-6FC0A82E0C8E}" id="{2F68578C-76F6-4263-B844-ED320F6CD80D}">
    <text>Project On-Hold</text>
  </threadedComment>
  <threadedComment ref="BR213" dT="2024-10-18T04:54:46.00" personId="{6777EDD4-E46F-4979-A7E7-6FC0A82E0C8E}" id="{D66BE932-3641-443A-B463-9828A32D51F0}">
    <text>Project On-Hold</text>
  </threadedComment>
  <threadedComment ref="BS213" dT="2024-10-18T04:54:46.00" personId="{6777EDD4-E46F-4979-A7E7-6FC0A82E0C8E}" id="{2C4EC528-5A8F-4998-973C-C8766ED0C70D}">
    <text>Project On-Hold</text>
  </threadedComment>
  <threadedComment ref="BU213" dT="2024-10-18T04:54:46.00" personId="{6777EDD4-E46F-4979-A7E7-6FC0A82E0C8E}" id="{84D3A9F4-1076-4A05-A31F-6E994FE00C0C}">
    <text>Project On-Hold</text>
  </threadedComment>
  <threadedComment ref="U214" dT="2024-07-12T10:54:03.13" personId="{728803BD-3A25-4F6F-BA7C-1EDF8A148B73}" id="{29DDE063-E517-48A7-AB60-8485851BDEF4}">
    <text>No offers made in Jun'24</text>
  </threadedComment>
  <threadedComment ref="V214" dT="2024-07-12T10:54:03.13" personId="{728803BD-3A25-4F6F-BA7C-1EDF8A148B73}" id="{408CD191-ECC1-46F3-96C4-98CDBDF1057F}">
    <text>No offers made in Jun'24</text>
  </threadedComment>
  <threadedComment ref="AA214" dT="2024-10-18T04:56:20.13" personId="{6777EDD4-E46F-4979-A7E7-6FC0A82E0C8E}" id="{F717C7E4-802B-4C84-A38D-904D9A681105}">
    <text>Project On-Hold</text>
  </threadedComment>
  <threadedComment ref="AB214" dT="2024-10-18T04:56:20.13" personId="{6777EDD4-E46F-4979-A7E7-6FC0A82E0C8E}" id="{6DDE818F-492E-4096-A8A0-5A731064B421}">
    <text>Project On-Hold</text>
  </threadedComment>
  <threadedComment ref="AC214" dT="2024-10-18T04:56:20.13" personId="{6777EDD4-E46F-4979-A7E7-6FC0A82E0C8E}" id="{1028216C-8477-4CDE-9420-D37D759F7F60}">
    <text>Project On-Hold</text>
  </threadedComment>
  <threadedComment ref="AD214" dT="2024-10-18T04:56:20.13" personId="{6777EDD4-E46F-4979-A7E7-6FC0A82E0C8E}" id="{726A3C56-370D-484D-8298-DEEC164EE151}">
    <text>Project On-Hold</text>
  </threadedComment>
  <threadedComment ref="AE214" dT="2024-10-18T04:56:20.13" personId="{6777EDD4-E46F-4979-A7E7-6FC0A82E0C8E}" id="{4C4A1B4C-7358-4905-AE87-717FA5EBD64D}">
    <text>Project On-Hold</text>
  </threadedComment>
  <threadedComment ref="AF214" dT="2024-10-18T04:56:20.13" personId="{6777EDD4-E46F-4979-A7E7-6FC0A82E0C8E}" id="{534A8682-0B08-49E1-8274-B195F3FE8AA3}">
    <text>Project On-Hold</text>
  </threadedComment>
  <threadedComment ref="AG214" dT="2024-10-18T04:56:20.13" personId="{6777EDD4-E46F-4979-A7E7-6FC0A82E0C8E}" id="{1D23D434-7FBA-43F1-ABE7-6889A4430B91}">
    <text>Project On-Hold</text>
  </threadedComment>
  <threadedComment ref="AH214" dT="2024-10-18T04:56:20.13" personId="{6777EDD4-E46F-4979-A7E7-6FC0A82E0C8E}" id="{E1C1F333-ADC7-4813-B296-DBECE117774A}">
    <text>Project On-Hold</text>
  </threadedComment>
  <threadedComment ref="AI214" dT="2024-10-18T04:56:20.13" personId="{6777EDD4-E46F-4979-A7E7-6FC0A82E0C8E}" id="{74FD6A71-5028-4489-9452-3D3F096215D4}">
    <text>Project On-Hold</text>
  </threadedComment>
  <threadedComment ref="AJ214" dT="2024-10-18T04:56:20.13" personId="{6777EDD4-E46F-4979-A7E7-6FC0A82E0C8E}" id="{33CFC279-EDBF-4AA0-9DED-89AEC8F492DE}">
    <text>Project On-Hold</text>
  </threadedComment>
  <threadedComment ref="AK214" dT="2024-10-18T04:56:20.13" personId="{6777EDD4-E46F-4979-A7E7-6FC0A82E0C8E}" id="{2A4172C0-CB4B-47E2-BB0C-8AD08035736A}">
    <text>Project On-Hold</text>
  </threadedComment>
  <threadedComment ref="AL214" dT="2024-10-18T04:56:20.13" personId="{6777EDD4-E46F-4979-A7E7-6FC0A82E0C8E}" id="{3A8D75C7-B73E-4E80-9F64-B1333D9393AC}">
    <text>Project On-Hold</text>
  </threadedComment>
  <threadedComment ref="AM214" dT="2024-10-18T04:56:20.13" personId="{6777EDD4-E46F-4979-A7E7-6FC0A82E0C8E}" id="{63DFA5F4-813F-4926-A08C-EC698AD92E32}">
    <text>Project On-Hold</text>
  </threadedComment>
  <threadedComment ref="AN214" dT="2024-10-18T04:56:20.13" personId="{6777EDD4-E46F-4979-A7E7-6FC0A82E0C8E}" id="{F60B8AB3-B4E7-4F03-BBD9-7F4B8E95F2D6}">
    <text>Project On-Hold</text>
  </threadedComment>
  <threadedComment ref="AO214" dT="2024-10-18T04:54:46.00" personId="{6777EDD4-E46F-4979-A7E7-6FC0A82E0C8E}" id="{F53757C7-C4B3-45BA-86A9-2482FBC929F8}">
    <text>Project On-Hold</text>
  </threadedComment>
  <threadedComment ref="AP214" dT="2024-10-18T04:54:46.00" personId="{6777EDD4-E46F-4979-A7E7-6FC0A82E0C8E}" id="{9AC4796C-12D1-4DA0-B440-2B2F8E08B81A}">
    <text>Project On-Hold</text>
  </threadedComment>
  <threadedComment ref="AQ214" dT="2024-10-18T04:54:46.00" personId="{6777EDD4-E46F-4979-A7E7-6FC0A82E0C8E}" id="{FD18E176-2BB0-4656-9079-CE568C36A787}">
    <text>Project On-Hold</text>
  </threadedComment>
  <threadedComment ref="AR214" dT="2024-10-18T04:54:46.00" personId="{6777EDD4-E46F-4979-A7E7-6FC0A82E0C8E}" id="{090435B8-51E4-431A-B07E-F609DE529BDE}">
    <text>Project On-Hold</text>
  </threadedComment>
  <threadedComment ref="AS214" dT="2024-10-18T04:54:46.00" personId="{6777EDD4-E46F-4979-A7E7-6FC0A82E0C8E}" id="{DFC34735-7D82-4570-BE82-D50738207C67}">
    <text>Project On-Hold</text>
  </threadedComment>
  <threadedComment ref="AT214" dT="2024-10-18T04:54:46.00" personId="{6777EDD4-E46F-4979-A7E7-6FC0A82E0C8E}" id="{E96428A7-270A-4F29-A85E-2D758FD4981A}">
    <text>Project On-Hold</text>
  </threadedComment>
  <threadedComment ref="AU214" dT="2024-10-18T04:54:46.00" personId="{6777EDD4-E46F-4979-A7E7-6FC0A82E0C8E}" id="{67E10B81-A676-4858-81A3-A35AE7BAD612}">
    <text>Project On-Hold</text>
  </threadedComment>
  <threadedComment ref="AV214" dT="2024-10-18T04:54:46.00" personId="{6777EDD4-E46F-4979-A7E7-6FC0A82E0C8E}" id="{87DE865A-62AD-4ACA-AB95-1F863169CC6A}">
    <text>Project On-Hold</text>
  </threadedComment>
  <threadedComment ref="AW214" dT="2024-10-18T04:54:46.00" personId="{6777EDD4-E46F-4979-A7E7-6FC0A82E0C8E}" id="{A904EEF2-0C3C-4374-A857-0C42E3C8C600}">
    <text>Project On-Hold</text>
  </threadedComment>
  <threadedComment ref="AX214" dT="2024-10-18T04:54:46.00" personId="{6777EDD4-E46F-4979-A7E7-6FC0A82E0C8E}" id="{4EE02ED1-6C6F-47E9-9AD3-66B4F6BFF93C}">
    <text>Project On-Hold</text>
  </threadedComment>
  <threadedComment ref="AY214" dT="2024-10-18T04:54:46.00" personId="{6777EDD4-E46F-4979-A7E7-6FC0A82E0C8E}" id="{30BCFE89-C15B-46E2-AE36-27707888F064}">
    <text>Project On-Hold</text>
  </threadedComment>
  <threadedComment ref="AZ214" dT="2024-10-18T04:54:46.00" personId="{6777EDD4-E46F-4979-A7E7-6FC0A82E0C8E}" id="{C8E44BF8-D6DA-470A-8B6D-FFDEEA7B0B8B}">
    <text>Project On-Hold</text>
  </threadedComment>
  <threadedComment ref="BA214" dT="2024-10-18T04:54:46.00" personId="{6777EDD4-E46F-4979-A7E7-6FC0A82E0C8E}" id="{01DC64D7-9AC3-4AE4-BD74-0CC9EDB54BED}">
    <text>Project On-Hold</text>
  </threadedComment>
  <threadedComment ref="BB214" dT="2024-10-18T04:54:46.00" personId="{6777EDD4-E46F-4979-A7E7-6FC0A82E0C8E}" id="{18406DC3-26E1-489A-A0A9-B4D327861DBC}">
    <text>Project On-Hold</text>
  </threadedComment>
  <threadedComment ref="BC214" dT="2024-10-18T04:54:46.00" personId="{6777EDD4-E46F-4979-A7E7-6FC0A82E0C8E}" id="{7193829F-7805-45CD-8BA9-BC586D7AFB72}">
    <text>Project On-Hold</text>
  </threadedComment>
  <threadedComment ref="BD214" dT="2024-10-18T04:54:46.00" personId="{6777EDD4-E46F-4979-A7E7-6FC0A82E0C8E}" id="{235DA230-07EF-4F25-9A19-F6D635F892BC}">
    <text>Project On-Hold</text>
  </threadedComment>
  <threadedComment ref="BE214" dT="2024-10-18T04:54:46.00" personId="{6777EDD4-E46F-4979-A7E7-6FC0A82E0C8E}" id="{1051871A-3990-44A0-AF24-03D08D218983}">
    <text>Project On-Hold</text>
  </threadedComment>
  <threadedComment ref="BF214" dT="2024-10-18T04:54:46.00" personId="{6777EDD4-E46F-4979-A7E7-6FC0A82E0C8E}" id="{04C2D8A3-3B30-4532-AB45-A85D7B32096E}">
    <text>Project On-Hold</text>
  </threadedComment>
  <threadedComment ref="BG214" dT="2024-10-18T04:54:46.00" personId="{6777EDD4-E46F-4979-A7E7-6FC0A82E0C8E}" id="{FAA3B761-8609-4180-8F1B-9171C2A48266}">
    <text>Project On-Hold</text>
  </threadedComment>
  <threadedComment ref="BH214" dT="2024-10-18T04:54:46.00" personId="{6777EDD4-E46F-4979-A7E7-6FC0A82E0C8E}" id="{9C81A87F-2D7F-4B14-B265-338403F17BDF}">
    <text>Project On-Hold</text>
  </threadedComment>
  <threadedComment ref="BI214" dT="2024-10-18T04:54:46.00" personId="{6777EDD4-E46F-4979-A7E7-6FC0A82E0C8E}" id="{F7FF8E2C-B601-488D-96F4-10D98E24FF7D}">
    <text>Project On-Hold</text>
  </threadedComment>
  <threadedComment ref="BJ214" dT="2024-10-18T04:54:46.00" personId="{6777EDD4-E46F-4979-A7E7-6FC0A82E0C8E}" id="{C0543692-B1DC-4E23-A71F-C17ECC0AF7DE}">
    <text>Project On-Hold</text>
  </threadedComment>
  <threadedComment ref="BK214" dT="2024-10-18T04:54:46.00" personId="{6777EDD4-E46F-4979-A7E7-6FC0A82E0C8E}" id="{51077283-77E7-49E3-BAB3-1CD0F9B8B8EB}">
    <text>Project On-Hold</text>
  </threadedComment>
  <threadedComment ref="BL214" dT="2024-10-18T04:54:46.00" personId="{6777EDD4-E46F-4979-A7E7-6FC0A82E0C8E}" id="{C6C1B5B8-EEC7-4FFB-A43E-4F54E15908B2}">
    <text>Project On-Hold</text>
  </threadedComment>
  <threadedComment ref="BM214" dT="2024-10-18T04:54:46.00" personId="{6777EDD4-E46F-4979-A7E7-6FC0A82E0C8E}" id="{1CC72325-5318-4851-9610-CE3231CD6EB5}">
    <text>Project On-Hold</text>
  </threadedComment>
  <threadedComment ref="BN214" dT="2024-10-18T04:54:46.00" personId="{6777EDD4-E46F-4979-A7E7-6FC0A82E0C8E}" id="{DAA5FC9A-67AE-4650-9A5B-FA0BCEA8BEDC}">
    <text>Project On-Hold</text>
  </threadedComment>
  <threadedComment ref="BP214" dT="2024-10-18T04:54:46.00" personId="{6777EDD4-E46F-4979-A7E7-6FC0A82E0C8E}" id="{08D91A8D-AEBC-477E-B88B-3BA6ADE3D8D2}">
    <text>Project On-Hold</text>
  </threadedComment>
  <threadedComment ref="BR214" dT="2024-10-18T04:54:46.00" personId="{6777EDD4-E46F-4979-A7E7-6FC0A82E0C8E}" id="{9B630B72-857C-4A7C-97C7-3F673F532E21}">
    <text>Project On-Hold</text>
  </threadedComment>
  <threadedComment ref="BS214" dT="2024-10-18T04:54:46.00" personId="{6777EDD4-E46F-4979-A7E7-6FC0A82E0C8E}" id="{62624323-2796-4F33-BA7E-8429ED310A49}">
    <text>Project On-Hold</text>
  </threadedComment>
  <threadedComment ref="BU214" dT="2024-10-18T04:54:46.00" personId="{6777EDD4-E46F-4979-A7E7-6FC0A82E0C8E}" id="{D3FF3849-B83F-451E-AD05-EEB9365C3BA7}">
    <text>Project On-Hold</text>
  </threadedComment>
  <threadedComment ref="W215" dT="2024-08-16T07:26:24.89" personId="{6777EDD4-E46F-4979-A7E7-6FC0A82E0C8E}" id="{F2D1296E-4105-4AC3-8B6A-BB3F2C679803}">
    <text>No Hiring demand</text>
  </threadedComment>
  <threadedComment ref="X215" dT="2024-08-16T07:26:24.89" personId="{6777EDD4-E46F-4979-A7E7-6FC0A82E0C8E}" id="{11D69E76-868A-4506-AC86-14129FE4FE3F}">
    <text>No Hiring demand</text>
  </threadedComment>
  <threadedComment ref="AA215" dT="2024-10-18T04:56:20.13" personId="{6777EDD4-E46F-4979-A7E7-6FC0A82E0C8E}" id="{BB141FD7-1133-4196-A340-394D86601F67}">
    <text>Project On-Hold</text>
  </threadedComment>
  <threadedComment ref="AB215" dT="2024-10-18T04:56:20.13" personId="{6777EDD4-E46F-4979-A7E7-6FC0A82E0C8E}" id="{4FDAFB1E-A03A-4E4D-A5AE-E80C7039F34B}">
    <text>Project On-Hold</text>
  </threadedComment>
  <threadedComment ref="AC215" dT="2024-10-18T04:56:20.13" personId="{6777EDD4-E46F-4979-A7E7-6FC0A82E0C8E}" id="{D8108BFE-7CA2-4F4D-9613-6AF3D58A78B9}">
    <text>Project On-Hold</text>
  </threadedComment>
  <threadedComment ref="AD215" dT="2024-10-18T04:56:20.13" personId="{6777EDD4-E46F-4979-A7E7-6FC0A82E0C8E}" id="{2B555650-CC03-41A8-9DC7-195A8522C764}">
    <text>Project On-Hold</text>
  </threadedComment>
  <threadedComment ref="AE215" dT="2024-10-18T04:56:20.13" personId="{6777EDD4-E46F-4979-A7E7-6FC0A82E0C8E}" id="{B9E0C330-54D7-476A-B18A-BC5788076EC8}">
    <text>Project On-Hold</text>
  </threadedComment>
  <threadedComment ref="AF215" dT="2024-10-18T04:56:20.13" personId="{6777EDD4-E46F-4979-A7E7-6FC0A82E0C8E}" id="{27952382-7BB0-43F2-A96E-0BFF63FC525C}">
    <text>Project On-Hold</text>
  </threadedComment>
  <threadedComment ref="AG215" dT="2024-10-18T04:56:20.13" personId="{6777EDD4-E46F-4979-A7E7-6FC0A82E0C8E}" id="{B89693E0-AAE1-4453-B115-5F470EDF46CF}">
    <text>Project On-Hold</text>
  </threadedComment>
  <threadedComment ref="AH215" dT="2024-10-18T04:56:20.13" personId="{6777EDD4-E46F-4979-A7E7-6FC0A82E0C8E}" id="{6F03E8FD-F682-4A5C-8E02-2F7F39EE14F7}">
    <text>Project On-Hold</text>
  </threadedComment>
  <threadedComment ref="AI215" dT="2024-10-18T04:56:20.13" personId="{6777EDD4-E46F-4979-A7E7-6FC0A82E0C8E}" id="{5ADC78D2-ABF8-4876-8266-F235F853309B}">
    <text>Project On-Hold</text>
  </threadedComment>
  <threadedComment ref="AJ215" dT="2024-10-18T04:56:20.13" personId="{6777EDD4-E46F-4979-A7E7-6FC0A82E0C8E}" id="{C302F1CF-C40E-463D-831E-A6D98ED96965}">
    <text>Project On-Hold</text>
  </threadedComment>
  <threadedComment ref="AK215" dT="2024-10-18T04:56:20.13" personId="{6777EDD4-E46F-4979-A7E7-6FC0A82E0C8E}" id="{3C4538E6-B710-488A-B7F7-020A828C20D6}">
    <text>Project On-Hold</text>
  </threadedComment>
  <threadedComment ref="AL215" dT="2024-10-18T04:56:20.13" personId="{6777EDD4-E46F-4979-A7E7-6FC0A82E0C8E}" id="{FBB86888-CA23-41B4-96CE-00C506BB9008}">
    <text>Project On-Hold</text>
  </threadedComment>
  <threadedComment ref="AM215" dT="2024-10-18T04:56:20.13" personId="{6777EDD4-E46F-4979-A7E7-6FC0A82E0C8E}" id="{1FF477FE-B477-4F0B-B063-8F4FBB90C76A}">
    <text>Project On-Hold</text>
  </threadedComment>
  <threadedComment ref="AN215" dT="2024-10-18T04:56:20.13" personId="{6777EDD4-E46F-4979-A7E7-6FC0A82E0C8E}" id="{C49E40F5-EB2C-47CC-B941-D976B93D6741}">
    <text>Project On-Hold</text>
  </threadedComment>
  <threadedComment ref="AO215" dT="2024-10-18T04:54:46.00" personId="{6777EDD4-E46F-4979-A7E7-6FC0A82E0C8E}" id="{15EFA7F2-CDBB-4DE2-8AC0-C4917D689DE1}">
    <text>Project On-Hold</text>
  </threadedComment>
  <threadedComment ref="AP215" dT="2024-10-18T04:54:46.00" personId="{6777EDD4-E46F-4979-A7E7-6FC0A82E0C8E}" id="{50159452-F8EF-48E5-AEAA-F90AAF53F9DD}">
    <text>Project On-Hold</text>
  </threadedComment>
  <threadedComment ref="AQ215" dT="2024-10-18T04:54:46.00" personId="{6777EDD4-E46F-4979-A7E7-6FC0A82E0C8E}" id="{792DDA98-1531-4F12-950F-84E46B44E3D9}">
    <text>Project On-Hold</text>
  </threadedComment>
  <threadedComment ref="AR215" dT="2024-10-18T04:54:46.00" personId="{6777EDD4-E46F-4979-A7E7-6FC0A82E0C8E}" id="{888AB848-7B11-436A-A6B9-BAA169E7BE44}">
    <text>Project On-Hold</text>
  </threadedComment>
  <threadedComment ref="AS215" dT="2024-10-18T04:54:46.00" personId="{6777EDD4-E46F-4979-A7E7-6FC0A82E0C8E}" id="{63328658-CD8F-453E-9422-403E4D395E31}">
    <text>Project On-Hold</text>
  </threadedComment>
  <threadedComment ref="AT215" dT="2024-10-18T04:54:46.00" personId="{6777EDD4-E46F-4979-A7E7-6FC0A82E0C8E}" id="{050842AA-EF63-4A91-9699-47C824950F78}">
    <text>Project On-Hold</text>
  </threadedComment>
  <threadedComment ref="AU215" dT="2024-10-18T04:54:46.00" personId="{6777EDD4-E46F-4979-A7E7-6FC0A82E0C8E}" id="{C540F1EC-75D1-4D2A-A674-E55AE2D53885}">
    <text>Project On-Hold</text>
  </threadedComment>
  <threadedComment ref="AV215" dT="2024-10-18T04:54:46.00" personId="{6777EDD4-E46F-4979-A7E7-6FC0A82E0C8E}" id="{8DE273EE-6741-4D82-B918-F899D8A21453}">
    <text>Project On-Hold</text>
  </threadedComment>
  <threadedComment ref="AW215" dT="2024-10-18T04:54:46.00" personId="{6777EDD4-E46F-4979-A7E7-6FC0A82E0C8E}" id="{1D0CEBCE-516A-4D3F-A13F-10516B39EECF}">
    <text>Project On-Hold</text>
  </threadedComment>
  <threadedComment ref="AX215" dT="2024-10-18T04:54:46.00" personId="{6777EDD4-E46F-4979-A7E7-6FC0A82E0C8E}" id="{7DC3DFDD-55F7-4402-B1DE-F69690D565AF}">
    <text>Project On-Hold</text>
  </threadedComment>
  <threadedComment ref="AY215" dT="2024-10-18T04:54:46.00" personId="{6777EDD4-E46F-4979-A7E7-6FC0A82E0C8E}" id="{E4BE8F1C-1EA0-4201-8454-9267CE3159FE}">
    <text>Project On-Hold</text>
  </threadedComment>
  <threadedComment ref="AZ215" dT="2024-10-18T04:54:46.00" personId="{6777EDD4-E46F-4979-A7E7-6FC0A82E0C8E}" id="{1E9E2869-17FA-4052-A7CE-4144A78218BE}">
    <text>Project On-Hold</text>
  </threadedComment>
  <threadedComment ref="BA215" dT="2024-10-18T04:54:46.00" personId="{6777EDD4-E46F-4979-A7E7-6FC0A82E0C8E}" id="{ECB1ED53-76BD-40E9-AA4F-00B5A33F3208}">
    <text>Project On-Hold</text>
  </threadedComment>
  <threadedComment ref="BB215" dT="2024-10-18T04:54:46.00" personId="{6777EDD4-E46F-4979-A7E7-6FC0A82E0C8E}" id="{0AA3D184-147A-4064-B5DB-7F37EAC38A05}">
    <text>Project On-Hold</text>
  </threadedComment>
  <threadedComment ref="BC215" dT="2024-10-18T04:54:46.00" personId="{6777EDD4-E46F-4979-A7E7-6FC0A82E0C8E}" id="{FD453ADB-9D5B-43ED-B82C-B10DD6432EC0}">
    <text>Project On-Hold</text>
  </threadedComment>
  <threadedComment ref="BD215" dT="2024-10-18T04:54:46.00" personId="{6777EDD4-E46F-4979-A7E7-6FC0A82E0C8E}" id="{8BCF016B-9D7C-4ACB-9ACC-48FBF7F636D0}">
    <text>Project On-Hold</text>
  </threadedComment>
  <threadedComment ref="BE215" dT="2024-10-18T04:54:46.00" personId="{6777EDD4-E46F-4979-A7E7-6FC0A82E0C8E}" id="{3CA19F51-6BFC-4EE7-B557-16827BDBE00B}">
    <text>Project On-Hold</text>
  </threadedComment>
  <threadedComment ref="BF215" dT="2024-10-18T04:54:46.00" personId="{6777EDD4-E46F-4979-A7E7-6FC0A82E0C8E}" id="{36DD2F7D-738D-42EA-96E0-1DDFC9C1C840}">
    <text>Project On-Hold</text>
  </threadedComment>
  <threadedComment ref="BG215" dT="2024-10-18T04:54:46.00" personId="{6777EDD4-E46F-4979-A7E7-6FC0A82E0C8E}" id="{358CB0FF-5F45-4140-98B1-A34C005639B8}">
    <text>Project On-Hold</text>
  </threadedComment>
  <threadedComment ref="BH215" dT="2024-10-18T04:54:46.00" personId="{6777EDD4-E46F-4979-A7E7-6FC0A82E0C8E}" id="{3DE0AE93-1EC9-49E5-A93D-24C2FFF870E5}">
    <text>Project On-Hold</text>
  </threadedComment>
  <threadedComment ref="BI215" dT="2024-10-18T04:54:46.00" personId="{6777EDD4-E46F-4979-A7E7-6FC0A82E0C8E}" id="{7FBE7D54-1D24-4A11-8875-96030A54D09F}">
    <text>Project On-Hold</text>
  </threadedComment>
  <threadedComment ref="BJ215" dT="2024-10-18T04:54:46.00" personId="{6777EDD4-E46F-4979-A7E7-6FC0A82E0C8E}" id="{215FCD2F-D292-4B43-890A-51876193BBE8}">
    <text>Project On-Hold</text>
  </threadedComment>
  <threadedComment ref="BK215" dT="2024-10-18T04:54:46.00" personId="{6777EDD4-E46F-4979-A7E7-6FC0A82E0C8E}" id="{273A2821-9655-4612-849D-79A8F27BC955}">
    <text>Project On-Hold</text>
  </threadedComment>
  <threadedComment ref="BL215" dT="2024-10-18T04:54:46.00" personId="{6777EDD4-E46F-4979-A7E7-6FC0A82E0C8E}" id="{8B913732-D04E-4DAB-95B3-EBDA641A9456}">
    <text>Project On-Hold</text>
  </threadedComment>
  <threadedComment ref="BM215" dT="2024-10-18T04:54:46.00" personId="{6777EDD4-E46F-4979-A7E7-6FC0A82E0C8E}" id="{67DF66C4-55CB-4053-B22D-3A81DCF578E9}">
    <text>Project On-Hold</text>
  </threadedComment>
  <threadedComment ref="BN215" dT="2024-10-18T04:54:46.00" personId="{6777EDD4-E46F-4979-A7E7-6FC0A82E0C8E}" id="{46A1E2C8-D0EB-4B1F-9EDF-5FA2093ABD83}">
    <text>Project On-Hold</text>
  </threadedComment>
  <threadedComment ref="BP215" dT="2024-10-18T04:54:46.00" personId="{6777EDD4-E46F-4979-A7E7-6FC0A82E0C8E}" id="{2F9F0A4D-4861-4F17-A4F3-43F14196504F}">
    <text>Project On-Hold</text>
  </threadedComment>
  <threadedComment ref="BR215" dT="2024-10-18T04:54:46.00" personId="{6777EDD4-E46F-4979-A7E7-6FC0A82E0C8E}" id="{9C130E8A-1C27-4EBF-ABFC-66CC6BC67B91}">
    <text>Project On-Hold</text>
  </threadedComment>
  <threadedComment ref="BS215" dT="2024-10-18T04:54:46.00" personId="{6777EDD4-E46F-4979-A7E7-6FC0A82E0C8E}" id="{3E3F2A81-1A67-4BF8-AE0D-D11377DFB8EC}">
    <text>Project On-Hold</text>
  </threadedComment>
  <threadedComment ref="BU215" dT="2024-10-18T04:54:46.00" personId="{6777EDD4-E46F-4979-A7E7-6FC0A82E0C8E}" id="{F7CA4371-40E7-4A63-BDD2-6C87F2F86E8F}">
    <text>Project On-Hold</text>
  </threadedComment>
  <threadedComment ref="W216" dT="2024-08-16T07:26:24.89" personId="{6777EDD4-E46F-4979-A7E7-6FC0A82E0C8E}" id="{547F27A4-E80D-40FF-9116-50710E3990DB}">
    <text>No Hiring demand</text>
  </threadedComment>
  <threadedComment ref="X216" dT="2024-08-16T07:26:24.89" personId="{6777EDD4-E46F-4979-A7E7-6FC0A82E0C8E}" id="{0DD63CD9-577A-4480-8D48-24664B60B6E7}">
    <text>No Hiring demand</text>
  </threadedComment>
  <threadedComment ref="AA216" dT="2024-10-18T04:56:20.13" personId="{6777EDD4-E46F-4979-A7E7-6FC0A82E0C8E}" id="{A1EEA6A2-314E-47E8-AC88-5FFA121120DD}">
    <text>Project On-Hold</text>
  </threadedComment>
  <threadedComment ref="AB216" dT="2024-10-18T04:56:20.13" personId="{6777EDD4-E46F-4979-A7E7-6FC0A82E0C8E}" id="{F06A4875-D607-4939-A6FD-B61E09E5FE47}">
    <text>Project On-Hold</text>
  </threadedComment>
  <threadedComment ref="AC216" dT="2024-10-18T04:56:20.13" personId="{6777EDD4-E46F-4979-A7E7-6FC0A82E0C8E}" id="{79ECB6AE-92B0-4E34-B521-A3C77C3453E5}">
    <text>Project On-Hold</text>
  </threadedComment>
  <threadedComment ref="AD216" dT="2024-10-18T04:56:20.13" personId="{6777EDD4-E46F-4979-A7E7-6FC0A82E0C8E}" id="{C37CB17D-2B57-4207-B7C9-4F2F787DE892}">
    <text>Project On-Hold</text>
  </threadedComment>
  <threadedComment ref="AE216" dT="2024-10-18T04:56:20.13" personId="{6777EDD4-E46F-4979-A7E7-6FC0A82E0C8E}" id="{8B37A77A-301A-4898-800C-08E782AD340D}">
    <text>Project On-Hold</text>
  </threadedComment>
  <threadedComment ref="AF216" dT="2024-10-18T04:56:20.13" personId="{6777EDD4-E46F-4979-A7E7-6FC0A82E0C8E}" id="{22139792-8447-4629-B282-BE355F7B9CF2}">
    <text>Project On-Hold</text>
  </threadedComment>
  <threadedComment ref="AG216" dT="2024-10-18T04:56:20.13" personId="{6777EDD4-E46F-4979-A7E7-6FC0A82E0C8E}" id="{D5B03DB5-2B09-46CE-B3AE-B5F36A29D71B}">
    <text>Project On-Hold</text>
  </threadedComment>
  <threadedComment ref="AH216" dT="2024-10-18T04:56:20.13" personId="{6777EDD4-E46F-4979-A7E7-6FC0A82E0C8E}" id="{F70A5666-1EB6-4FD9-9E90-071062CDEC99}">
    <text>Project On-Hold</text>
  </threadedComment>
  <threadedComment ref="AI216" dT="2024-10-18T04:56:20.13" personId="{6777EDD4-E46F-4979-A7E7-6FC0A82E0C8E}" id="{48338108-B285-41B4-BB9C-B9F7E3E0DF7F}">
    <text>Project On-Hold</text>
  </threadedComment>
  <threadedComment ref="AJ216" dT="2024-10-18T04:56:20.13" personId="{6777EDD4-E46F-4979-A7E7-6FC0A82E0C8E}" id="{EA02C0F7-C177-4FF7-B94A-7DF18E5A784E}">
    <text>Project On-Hold</text>
  </threadedComment>
  <threadedComment ref="AK216" dT="2024-10-18T04:56:20.13" personId="{6777EDD4-E46F-4979-A7E7-6FC0A82E0C8E}" id="{73BC58D1-BEA6-498B-8EC3-2651EDFC3590}">
    <text>Project On-Hold</text>
  </threadedComment>
  <threadedComment ref="AL216" dT="2024-10-18T04:56:20.13" personId="{6777EDD4-E46F-4979-A7E7-6FC0A82E0C8E}" id="{DC6BFCCA-1E8B-4D10-931C-B0FBEDBB4854}">
    <text>Project On-Hold</text>
  </threadedComment>
  <threadedComment ref="AM216" dT="2024-10-18T04:56:20.13" personId="{6777EDD4-E46F-4979-A7E7-6FC0A82E0C8E}" id="{28991B5E-313C-46EB-ACDA-0FF613026936}">
    <text>Project On-Hold</text>
  </threadedComment>
  <threadedComment ref="AN216" dT="2024-10-18T04:56:20.13" personId="{6777EDD4-E46F-4979-A7E7-6FC0A82E0C8E}" id="{7DC4D8D1-B6A5-413A-8A4D-FC2625D8CE33}">
    <text>Project On-Hold</text>
  </threadedComment>
  <threadedComment ref="AO216" dT="2024-10-18T04:54:46.00" personId="{6777EDD4-E46F-4979-A7E7-6FC0A82E0C8E}" id="{CD0574A2-1FAA-4872-A7B1-1BD17E35DE38}">
    <text>Project On-Hold</text>
  </threadedComment>
  <threadedComment ref="AP216" dT="2024-10-18T04:54:46.00" personId="{6777EDD4-E46F-4979-A7E7-6FC0A82E0C8E}" id="{E83F559D-747F-48DB-920E-9B85AB74B294}">
    <text>Project On-Hold</text>
  </threadedComment>
  <threadedComment ref="AQ216" dT="2024-10-18T04:54:46.00" personId="{6777EDD4-E46F-4979-A7E7-6FC0A82E0C8E}" id="{4DEB0BDB-E2AA-41F0-82F4-ECFBAB9DA8E3}">
    <text>Project On-Hold</text>
  </threadedComment>
  <threadedComment ref="AR216" dT="2024-10-18T04:54:46.00" personId="{6777EDD4-E46F-4979-A7E7-6FC0A82E0C8E}" id="{D1356471-6E86-4FA2-9BF3-9E076F1588A1}">
    <text>Project On-Hold</text>
  </threadedComment>
  <threadedComment ref="AS216" dT="2024-10-18T04:54:46.00" personId="{6777EDD4-E46F-4979-A7E7-6FC0A82E0C8E}" id="{16C2BBAA-837B-45B0-9BF7-321C38AC36D9}">
    <text>Project On-Hold</text>
  </threadedComment>
  <threadedComment ref="AT216" dT="2024-10-18T04:54:46.00" personId="{6777EDD4-E46F-4979-A7E7-6FC0A82E0C8E}" id="{B03DC8AE-A073-4CE4-B5AF-8B86EC1BBBC3}">
    <text>Project On-Hold</text>
  </threadedComment>
  <threadedComment ref="AU216" dT="2024-10-18T04:54:46.00" personId="{6777EDD4-E46F-4979-A7E7-6FC0A82E0C8E}" id="{47419726-C95E-4DBA-82C9-D5ADD83698C1}">
    <text>Project On-Hold</text>
  </threadedComment>
  <threadedComment ref="AV216" dT="2024-10-18T04:54:46.00" personId="{6777EDD4-E46F-4979-A7E7-6FC0A82E0C8E}" id="{182417F1-62C1-4A5C-88D7-B890233FE002}">
    <text>Project On-Hold</text>
  </threadedComment>
  <threadedComment ref="AW216" dT="2024-10-18T04:54:46.00" personId="{6777EDD4-E46F-4979-A7E7-6FC0A82E0C8E}" id="{0CCF1C7C-08B9-49BF-BE51-76CAB1ECC12B}">
    <text>Project On-Hold</text>
  </threadedComment>
  <threadedComment ref="AX216" dT="2024-10-18T04:54:46.00" personId="{6777EDD4-E46F-4979-A7E7-6FC0A82E0C8E}" id="{B0400DD2-DA7D-42A4-82A1-FF6383E1F92F}">
    <text>Project On-Hold</text>
  </threadedComment>
  <threadedComment ref="AY216" dT="2024-10-18T04:54:46.00" personId="{6777EDD4-E46F-4979-A7E7-6FC0A82E0C8E}" id="{0A2CAD21-8F46-4B21-B4A4-BF0F9114A016}">
    <text>Project On-Hold</text>
  </threadedComment>
  <threadedComment ref="AZ216" dT="2024-10-18T04:54:46.00" personId="{6777EDD4-E46F-4979-A7E7-6FC0A82E0C8E}" id="{B305FD33-359F-48E5-B3D1-41913C476CBA}">
    <text>Project On-Hold</text>
  </threadedComment>
  <threadedComment ref="BA216" dT="2024-10-18T04:54:46.00" personId="{6777EDD4-E46F-4979-A7E7-6FC0A82E0C8E}" id="{47052B40-499D-4794-A77B-A157BC238C94}">
    <text>Project On-Hold</text>
  </threadedComment>
  <threadedComment ref="BB216" dT="2024-10-18T04:54:46.00" personId="{6777EDD4-E46F-4979-A7E7-6FC0A82E0C8E}" id="{AF6020C1-C8F8-4F4E-87EE-2781E5B2E636}">
    <text>Project On-Hold</text>
  </threadedComment>
  <threadedComment ref="BC216" dT="2024-10-18T04:54:46.00" personId="{6777EDD4-E46F-4979-A7E7-6FC0A82E0C8E}" id="{A37ECE7F-01FE-4A23-A7D1-69136D3246DF}">
    <text>Project On-Hold</text>
  </threadedComment>
  <threadedComment ref="BD216" dT="2024-10-18T04:54:46.00" personId="{6777EDD4-E46F-4979-A7E7-6FC0A82E0C8E}" id="{DE5A3051-B7B7-4A2D-995D-7A603253926D}">
    <text>Project On-Hold</text>
  </threadedComment>
  <threadedComment ref="BE216" dT="2024-10-18T04:54:46.00" personId="{6777EDD4-E46F-4979-A7E7-6FC0A82E0C8E}" id="{B149AB42-72C5-42D5-8817-D1578A738701}">
    <text>Project On-Hold</text>
  </threadedComment>
  <threadedComment ref="BF216" dT="2024-10-18T04:54:46.00" personId="{6777EDD4-E46F-4979-A7E7-6FC0A82E0C8E}" id="{E225B567-E474-4D61-9F09-685B9D893A26}">
    <text>Project On-Hold</text>
  </threadedComment>
  <threadedComment ref="BG216" dT="2024-10-18T04:54:46.00" personId="{6777EDD4-E46F-4979-A7E7-6FC0A82E0C8E}" id="{E498CF6B-A3A8-466F-97EB-90C7AD7F1724}">
    <text>Project On-Hold</text>
  </threadedComment>
  <threadedComment ref="BH216" dT="2024-10-18T04:54:46.00" personId="{6777EDD4-E46F-4979-A7E7-6FC0A82E0C8E}" id="{B193B6D6-8885-41E4-A87D-42D5C103254E}">
    <text>Project On-Hold</text>
  </threadedComment>
  <threadedComment ref="BI216" dT="2024-10-18T04:54:46.00" personId="{6777EDD4-E46F-4979-A7E7-6FC0A82E0C8E}" id="{C62100B6-C817-4FB2-828A-CCBA97ADD730}">
    <text>Project On-Hold</text>
  </threadedComment>
  <threadedComment ref="BJ216" dT="2024-10-18T04:54:46.00" personId="{6777EDD4-E46F-4979-A7E7-6FC0A82E0C8E}" id="{320BB78D-B2EC-477E-87E5-6F816E658AC3}">
    <text>Project On-Hold</text>
  </threadedComment>
  <threadedComment ref="BK216" dT="2024-10-18T04:54:46.00" personId="{6777EDD4-E46F-4979-A7E7-6FC0A82E0C8E}" id="{FDEA2704-58F8-436C-B8C9-937556EC6290}">
    <text>Project On-Hold</text>
  </threadedComment>
  <threadedComment ref="BL216" dT="2024-10-18T04:54:46.00" personId="{6777EDD4-E46F-4979-A7E7-6FC0A82E0C8E}" id="{CFBA37FA-94F2-48B1-8273-1D95380F9E13}">
    <text>Project On-Hold</text>
  </threadedComment>
  <threadedComment ref="BM216" dT="2024-10-18T04:54:46.00" personId="{6777EDD4-E46F-4979-A7E7-6FC0A82E0C8E}" id="{C72AC03F-8CF7-43D2-BBF0-31838756A6C0}">
    <text>Project On-Hold</text>
  </threadedComment>
  <threadedComment ref="BN216" dT="2024-10-18T04:54:46.00" personId="{6777EDD4-E46F-4979-A7E7-6FC0A82E0C8E}" id="{828B62CB-5EE6-4596-9903-58A831F2A627}">
    <text>Project On-Hold</text>
  </threadedComment>
  <threadedComment ref="BP216" dT="2024-10-18T04:54:46.00" personId="{6777EDD4-E46F-4979-A7E7-6FC0A82E0C8E}" id="{5D586BDB-F7C7-488C-9A4C-122C3D24ADA1}">
    <text>Project On-Hold</text>
  </threadedComment>
  <threadedComment ref="BR216" dT="2024-10-18T04:54:46.00" personId="{6777EDD4-E46F-4979-A7E7-6FC0A82E0C8E}" id="{3E04AF97-B8C4-43DC-B6C7-76FD9559113C}">
    <text>Project On-Hold</text>
  </threadedComment>
  <threadedComment ref="BS216" dT="2024-10-18T04:54:46.00" personId="{6777EDD4-E46F-4979-A7E7-6FC0A82E0C8E}" id="{35B3B206-A8EE-44FB-9A1A-C814A1D40DE1}">
    <text>Project On-Hold</text>
  </threadedComment>
  <threadedComment ref="BU216" dT="2024-10-18T04:54:46.00" personId="{6777EDD4-E46F-4979-A7E7-6FC0A82E0C8E}" id="{50878DDC-7F80-4EF3-BB09-75DEFCB72914}">
    <text>Project On-Hold</text>
  </threadedComment>
  <threadedComment ref="W217" dT="2024-08-16T07:26:24.89" personId="{6777EDD4-E46F-4979-A7E7-6FC0A82E0C8E}" id="{38CDA627-83DC-4913-9A43-B4FE812F4B05}">
    <text>No Hiring demand</text>
  </threadedComment>
  <threadedComment ref="X217" dT="2024-08-16T07:26:24.89" personId="{6777EDD4-E46F-4979-A7E7-6FC0A82E0C8E}" id="{EC21991A-A459-4F77-A394-4B368EB37391}">
    <text>No Hiring demand</text>
  </threadedComment>
  <threadedComment ref="AA217" dT="2024-10-18T04:56:20.13" personId="{6777EDD4-E46F-4979-A7E7-6FC0A82E0C8E}" id="{449FC800-82ED-4C4F-B071-A97849106CE5}">
    <text>Project On-Hold</text>
  </threadedComment>
  <threadedComment ref="AB217" dT="2024-10-18T04:56:20.13" personId="{6777EDD4-E46F-4979-A7E7-6FC0A82E0C8E}" id="{AF1C38B1-9695-4091-9A3A-F609C54B99A2}">
    <text>Project On-Hold</text>
  </threadedComment>
  <threadedComment ref="AC217" dT="2024-10-18T04:56:20.13" personId="{6777EDD4-E46F-4979-A7E7-6FC0A82E0C8E}" id="{BBCD8101-F5CE-44B6-B5C1-F9E614DE672D}">
    <text>Project On-Hold</text>
  </threadedComment>
  <threadedComment ref="AD217" dT="2024-10-18T04:56:20.13" personId="{6777EDD4-E46F-4979-A7E7-6FC0A82E0C8E}" id="{F984A899-473D-42E6-8134-9E510B6BFF4B}">
    <text>Project On-Hold</text>
  </threadedComment>
  <threadedComment ref="AE217" dT="2024-10-18T04:56:20.13" personId="{6777EDD4-E46F-4979-A7E7-6FC0A82E0C8E}" id="{D71B204B-7DC9-4D5F-B8CC-EEF377A9344D}">
    <text>Project On-Hold</text>
  </threadedComment>
  <threadedComment ref="AF217" dT="2024-10-18T04:56:20.13" personId="{6777EDD4-E46F-4979-A7E7-6FC0A82E0C8E}" id="{C839AEBF-E0F4-4930-A52D-734D83A35751}">
    <text>Project On-Hold</text>
  </threadedComment>
  <threadedComment ref="AG217" dT="2024-10-18T04:56:20.13" personId="{6777EDD4-E46F-4979-A7E7-6FC0A82E0C8E}" id="{92228BC6-B6DE-40E8-AF83-57F7ECC4EE87}">
    <text>Project On-Hold</text>
  </threadedComment>
  <threadedComment ref="AH217" dT="2024-10-18T04:56:20.13" personId="{6777EDD4-E46F-4979-A7E7-6FC0A82E0C8E}" id="{97A0C34D-BB5E-437C-96A2-63D8C3D6C2D3}">
    <text>Project On-Hold</text>
  </threadedComment>
  <threadedComment ref="AI217" dT="2024-10-18T04:56:20.13" personId="{6777EDD4-E46F-4979-A7E7-6FC0A82E0C8E}" id="{9A659BD8-4B7C-405E-8495-E8E8276CCD5F}">
    <text>Project On-Hold</text>
  </threadedComment>
  <threadedComment ref="AJ217" dT="2024-10-18T04:56:20.13" personId="{6777EDD4-E46F-4979-A7E7-6FC0A82E0C8E}" id="{424E0EAF-8452-447E-B7E0-2B85F4E49D72}">
    <text>Project On-Hold</text>
  </threadedComment>
  <threadedComment ref="AK217" dT="2024-10-18T04:56:20.13" personId="{6777EDD4-E46F-4979-A7E7-6FC0A82E0C8E}" id="{3EE73D6D-581C-4669-9D2E-78A9DD77A454}">
    <text>Project On-Hold</text>
  </threadedComment>
  <threadedComment ref="AL217" dT="2024-10-18T04:56:20.13" personId="{6777EDD4-E46F-4979-A7E7-6FC0A82E0C8E}" id="{B7853242-88BA-4ADF-ACD8-2671D6B5466B}">
    <text>Project On-Hold</text>
  </threadedComment>
  <threadedComment ref="AM217" dT="2024-10-18T04:56:20.13" personId="{6777EDD4-E46F-4979-A7E7-6FC0A82E0C8E}" id="{D6EB68E5-6E1B-4B99-AA61-B5E8618929FF}">
    <text>Project On-Hold</text>
  </threadedComment>
  <threadedComment ref="AN217" dT="2024-10-18T04:56:20.13" personId="{6777EDD4-E46F-4979-A7E7-6FC0A82E0C8E}" id="{960B8C53-A181-427D-8D14-362046D5821C}">
    <text>Project On-Hold</text>
  </threadedComment>
  <threadedComment ref="AO217" dT="2024-10-18T04:54:46.00" personId="{6777EDD4-E46F-4979-A7E7-6FC0A82E0C8E}" id="{666A7D30-55AA-4081-84F8-1AD455A566ED}">
    <text>Project On-Hold</text>
  </threadedComment>
  <threadedComment ref="AP217" dT="2024-10-18T04:54:46.00" personId="{6777EDD4-E46F-4979-A7E7-6FC0A82E0C8E}" id="{10EDF46D-00EB-4E29-9185-E7071E180400}">
    <text>Project On-Hold</text>
  </threadedComment>
  <threadedComment ref="AQ217" dT="2024-10-18T04:54:46.00" personId="{6777EDD4-E46F-4979-A7E7-6FC0A82E0C8E}" id="{A49FA861-CE99-4F2A-B163-2DC47AC48362}">
    <text>Project On-Hold</text>
  </threadedComment>
  <threadedComment ref="AR217" dT="2024-10-18T04:54:46.00" personId="{6777EDD4-E46F-4979-A7E7-6FC0A82E0C8E}" id="{D74DB645-759B-4886-A72A-02E0FF183B75}">
    <text>Project On-Hold</text>
  </threadedComment>
  <threadedComment ref="AS217" dT="2024-10-18T04:54:46.00" personId="{6777EDD4-E46F-4979-A7E7-6FC0A82E0C8E}" id="{5B86965C-84C9-49A9-895A-E2070921D188}">
    <text>Project On-Hold</text>
  </threadedComment>
  <threadedComment ref="AT217" dT="2024-10-18T04:54:46.00" personId="{6777EDD4-E46F-4979-A7E7-6FC0A82E0C8E}" id="{110043C8-4D62-485B-9441-30DF6C9F9A42}">
    <text>Project On-Hold</text>
  </threadedComment>
  <threadedComment ref="AU217" dT="2024-10-18T04:54:46.00" personId="{6777EDD4-E46F-4979-A7E7-6FC0A82E0C8E}" id="{CB79BB75-40CD-4189-8121-469656BE1D2C}">
    <text>Project On-Hold</text>
  </threadedComment>
  <threadedComment ref="AV217" dT="2024-10-18T04:54:46.00" personId="{6777EDD4-E46F-4979-A7E7-6FC0A82E0C8E}" id="{A4ECBE3C-CF1E-4B65-B2A4-ABCC1F9B348E}">
    <text>Project On-Hold</text>
  </threadedComment>
  <threadedComment ref="AW217" dT="2024-10-18T04:54:46.00" personId="{6777EDD4-E46F-4979-A7E7-6FC0A82E0C8E}" id="{84D18B4B-F956-4B83-BF9A-C32F79BD02BC}">
    <text>Project On-Hold</text>
  </threadedComment>
  <threadedComment ref="AX217" dT="2024-10-18T04:54:46.00" personId="{6777EDD4-E46F-4979-A7E7-6FC0A82E0C8E}" id="{93B65362-6D87-4EA3-9F5E-DD93C03309A7}">
    <text>Project On-Hold</text>
  </threadedComment>
  <threadedComment ref="AY217" dT="2024-10-18T04:54:46.00" personId="{6777EDD4-E46F-4979-A7E7-6FC0A82E0C8E}" id="{4A98A4D3-6625-4472-A85C-890EB63FE6AE}">
    <text>Project On-Hold</text>
  </threadedComment>
  <threadedComment ref="AZ217" dT="2024-10-18T04:54:46.00" personId="{6777EDD4-E46F-4979-A7E7-6FC0A82E0C8E}" id="{85D29106-43E2-4779-BF3D-C1F48B770FE8}">
    <text>Project On-Hold</text>
  </threadedComment>
  <threadedComment ref="BA217" dT="2024-10-18T04:54:46.00" personId="{6777EDD4-E46F-4979-A7E7-6FC0A82E0C8E}" id="{31A1CDCC-5C86-471A-9446-E45278D91D01}">
    <text>Project On-Hold</text>
  </threadedComment>
  <threadedComment ref="BB217" dT="2024-10-18T04:54:46.00" personId="{6777EDD4-E46F-4979-A7E7-6FC0A82E0C8E}" id="{00D8679F-A7FA-4F4F-BECB-0B7EBD173B20}">
    <text>Project On-Hold</text>
  </threadedComment>
  <threadedComment ref="BC217" dT="2024-10-18T04:54:46.00" personId="{6777EDD4-E46F-4979-A7E7-6FC0A82E0C8E}" id="{12767557-E156-4482-9C9B-983F9D392216}">
    <text>Project On-Hold</text>
  </threadedComment>
  <threadedComment ref="BD217" dT="2024-10-18T04:54:46.00" personId="{6777EDD4-E46F-4979-A7E7-6FC0A82E0C8E}" id="{95A10B63-59E4-4A9D-92D1-CEAFF7EA7270}">
    <text>Project On-Hold</text>
  </threadedComment>
  <threadedComment ref="BE217" dT="2024-10-18T04:54:46.00" personId="{6777EDD4-E46F-4979-A7E7-6FC0A82E0C8E}" id="{D3386F7C-3C61-4271-A4C4-7086F5F782AE}">
    <text>Project On-Hold</text>
  </threadedComment>
  <threadedComment ref="BF217" dT="2024-10-18T04:54:46.00" personId="{6777EDD4-E46F-4979-A7E7-6FC0A82E0C8E}" id="{E1F03F88-59BB-4B57-9CB4-500617CB9CE1}">
    <text>Project On-Hold</text>
  </threadedComment>
  <threadedComment ref="BG217" dT="2024-10-18T04:54:46.00" personId="{6777EDD4-E46F-4979-A7E7-6FC0A82E0C8E}" id="{10174B3F-8201-45F1-B765-0D6CBF7A0F0D}">
    <text>Project On-Hold</text>
  </threadedComment>
  <threadedComment ref="BH217" dT="2024-10-18T04:54:46.00" personId="{6777EDD4-E46F-4979-A7E7-6FC0A82E0C8E}" id="{5B4FFAAB-A49A-4190-8127-7C1EA70896CB}">
    <text>Project On-Hold</text>
  </threadedComment>
  <threadedComment ref="BI217" dT="2024-10-18T04:54:46.00" personId="{6777EDD4-E46F-4979-A7E7-6FC0A82E0C8E}" id="{CF7C7D46-6625-4374-973E-ED0F52D912F5}">
    <text>Project On-Hold</text>
  </threadedComment>
  <threadedComment ref="BJ217" dT="2024-10-18T04:54:46.00" personId="{6777EDD4-E46F-4979-A7E7-6FC0A82E0C8E}" id="{3C0D23D3-8483-4B69-A479-1945DAB67509}">
    <text>Project On-Hold</text>
  </threadedComment>
  <threadedComment ref="BK217" dT="2024-10-18T04:54:46.00" personId="{6777EDD4-E46F-4979-A7E7-6FC0A82E0C8E}" id="{C4273EB7-5298-494A-ACB2-730FAD9C1EDA}">
    <text>Project On-Hold</text>
  </threadedComment>
  <threadedComment ref="BL217" dT="2024-10-18T04:54:46.00" personId="{6777EDD4-E46F-4979-A7E7-6FC0A82E0C8E}" id="{17314EF5-91DB-445F-A791-A739E9FB85BE}">
    <text>Project On-Hold</text>
  </threadedComment>
  <threadedComment ref="BM217" dT="2024-10-18T04:54:46.00" personId="{6777EDD4-E46F-4979-A7E7-6FC0A82E0C8E}" id="{5F991341-75A6-4B5C-A586-20EF11DB4E10}">
    <text>Project On-Hold</text>
  </threadedComment>
  <threadedComment ref="BN217" dT="2024-10-18T04:54:46.00" personId="{6777EDD4-E46F-4979-A7E7-6FC0A82E0C8E}" id="{0CA351D3-A678-4046-A9CB-7E42354823E0}">
    <text>Project On-Hold</text>
  </threadedComment>
  <threadedComment ref="BP217" dT="2024-10-18T04:54:46.00" personId="{6777EDD4-E46F-4979-A7E7-6FC0A82E0C8E}" id="{94ADF80B-D42F-45F2-A11E-35E0DD6C8CCC}">
    <text>Project On-Hold</text>
  </threadedComment>
  <threadedComment ref="BR217" dT="2024-10-18T04:54:46.00" personId="{6777EDD4-E46F-4979-A7E7-6FC0A82E0C8E}" id="{C1D382A5-6ADB-41B6-9125-812F4913515B}">
    <text>Project On-Hold</text>
  </threadedComment>
  <threadedComment ref="BS217" dT="2024-10-18T04:54:46.00" personId="{6777EDD4-E46F-4979-A7E7-6FC0A82E0C8E}" id="{242033E0-90AF-4750-A320-BF88FF92388B}">
    <text>Project On-Hold</text>
  </threadedComment>
  <threadedComment ref="BU217" dT="2024-10-18T04:54:46.00" personId="{6777EDD4-E46F-4979-A7E7-6FC0A82E0C8E}" id="{78243A97-EE0D-459D-A066-0AB0F7F3B1AE}">
    <text>Project On-Hold</text>
  </threadedComment>
  <threadedComment ref="W218" dT="2024-08-16T07:26:24.89" personId="{6777EDD4-E46F-4979-A7E7-6FC0A82E0C8E}" id="{EFE87FE0-C146-4264-B36D-A951A5546359}">
    <text>No Hiring demand</text>
  </threadedComment>
  <threadedComment ref="X218" dT="2024-08-16T07:26:24.89" personId="{6777EDD4-E46F-4979-A7E7-6FC0A82E0C8E}" id="{034EB561-9A35-4908-8FA1-EB223DB0DFB5}">
    <text>No Hiring demand</text>
  </threadedComment>
  <threadedComment ref="AA218" dT="2024-10-18T04:56:20.13" personId="{6777EDD4-E46F-4979-A7E7-6FC0A82E0C8E}" id="{BCC49200-E1B0-4DD6-B1C7-6B0B226EBE14}">
    <text>Project On-Hold</text>
  </threadedComment>
  <threadedComment ref="AB218" dT="2024-10-18T04:56:20.13" personId="{6777EDD4-E46F-4979-A7E7-6FC0A82E0C8E}" id="{D40E2F02-BAEC-489F-828B-E8C461E12D22}">
    <text>Project On-Hold</text>
  </threadedComment>
  <threadedComment ref="AC218" dT="2024-10-18T04:56:20.13" personId="{6777EDD4-E46F-4979-A7E7-6FC0A82E0C8E}" id="{C7289007-5235-49F1-AE1D-B022CCFB4DEF}">
    <text>Project On-Hold</text>
  </threadedComment>
  <threadedComment ref="AD218" dT="2024-10-18T04:56:20.13" personId="{6777EDD4-E46F-4979-A7E7-6FC0A82E0C8E}" id="{C0408E9D-B17A-4373-A905-F25B175D82BC}">
    <text>Project On-Hold</text>
  </threadedComment>
  <threadedComment ref="AE218" dT="2024-10-18T04:56:20.13" personId="{6777EDD4-E46F-4979-A7E7-6FC0A82E0C8E}" id="{14CB3244-2B15-4C5F-9A12-13FA71C2C733}">
    <text>Project On-Hold</text>
  </threadedComment>
  <threadedComment ref="AF218" dT="2024-10-18T04:56:20.13" personId="{6777EDD4-E46F-4979-A7E7-6FC0A82E0C8E}" id="{3A37F285-0B29-4393-918C-E529590E177F}">
    <text>Project On-Hold</text>
  </threadedComment>
  <threadedComment ref="AG218" dT="2024-10-18T04:56:20.13" personId="{6777EDD4-E46F-4979-A7E7-6FC0A82E0C8E}" id="{69534B88-3176-40AA-B155-3BF4B027D67E}">
    <text>Project On-Hold</text>
  </threadedComment>
  <threadedComment ref="AH218" dT="2024-10-18T04:56:20.13" personId="{6777EDD4-E46F-4979-A7E7-6FC0A82E0C8E}" id="{892DC517-8382-41F7-BAE5-C9CFF3943A7D}">
    <text>Project On-Hold</text>
  </threadedComment>
  <threadedComment ref="AI218" dT="2024-10-18T04:56:20.13" personId="{6777EDD4-E46F-4979-A7E7-6FC0A82E0C8E}" id="{BCED1867-2F36-4AEE-8951-BB5155041B93}">
    <text>Project On-Hold</text>
  </threadedComment>
  <threadedComment ref="AJ218" dT="2024-10-18T04:56:20.13" personId="{6777EDD4-E46F-4979-A7E7-6FC0A82E0C8E}" id="{38156A8F-DC5C-4FA9-909B-6A767B1D5438}">
    <text>Project On-Hold</text>
  </threadedComment>
  <threadedComment ref="AK218" dT="2024-10-18T04:56:20.13" personId="{6777EDD4-E46F-4979-A7E7-6FC0A82E0C8E}" id="{5EE01EC4-CE7B-4F1F-914A-D8CD896437B2}">
    <text>Project On-Hold</text>
  </threadedComment>
  <threadedComment ref="AL218" dT="2024-10-18T04:56:20.13" personId="{6777EDD4-E46F-4979-A7E7-6FC0A82E0C8E}" id="{75373702-80CE-4E17-A70B-C45281CB3DCE}">
    <text>Project On-Hold</text>
  </threadedComment>
  <threadedComment ref="AM218" dT="2024-10-18T04:56:20.13" personId="{6777EDD4-E46F-4979-A7E7-6FC0A82E0C8E}" id="{39BC99DA-922B-4ABB-8207-3596C8C3A797}">
    <text>Project On-Hold</text>
  </threadedComment>
  <threadedComment ref="AN218" dT="2024-10-18T04:56:20.13" personId="{6777EDD4-E46F-4979-A7E7-6FC0A82E0C8E}" id="{95816E93-8A97-4C66-A9A3-DA835E23D3EA}">
    <text>Project On-Hold</text>
  </threadedComment>
  <threadedComment ref="AO218" dT="2024-10-18T04:54:46.00" personId="{6777EDD4-E46F-4979-A7E7-6FC0A82E0C8E}" id="{41A55DB7-57C3-4172-94E4-7F636FD76545}">
    <text>Project On-Hold</text>
  </threadedComment>
  <threadedComment ref="AP218" dT="2024-10-18T04:54:46.00" personId="{6777EDD4-E46F-4979-A7E7-6FC0A82E0C8E}" id="{94E38B71-EDA0-4FC2-89C2-6FFD9EF984E1}">
    <text>Project On-Hold</text>
  </threadedComment>
  <threadedComment ref="AQ218" dT="2024-10-18T04:54:46.00" personId="{6777EDD4-E46F-4979-A7E7-6FC0A82E0C8E}" id="{DEDC0A2C-E87C-4388-AC6D-5F81029D3693}">
    <text>Project On-Hold</text>
  </threadedComment>
  <threadedComment ref="AR218" dT="2024-10-18T04:54:46.00" personId="{6777EDD4-E46F-4979-A7E7-6FC0A82E0C8E}" id="{5BE58FC7-F0D6-4638-9431-089498F67D7C}">
    <text>Project On-Hold</text>
  </threadedComment>
  <threadedComment ref="AS218" dT="2024-10-18T04:54:46.00" personId="{6777EDD4-E46F-4979-A7E7-6FC0A82E0C8E}" id="{72C2730C-7D59-4135-A5A4-B33A3E5A3374}">
    <text>Project On-Hold</text>
  </threadedComment>
  <threadedComment ref="AT218" dT="2024-10-18T04:54:46.00" personId="{6777EDD4-E46F-4979-A7E7-6FC0A82E0C8E}" id="{7A1BEFBE-4BFF-420E-A9F5-F681B84B1D60}">
    <text>Project On-Hold</text>
  </threadedComment>
  <threadedComment ref="AU218" dT="2024-10-18T04:54:46.00" personId="{6777EDD4-E46F-4979-A7E7-6FC0A82E0C8E}" id="{D5AB538F-42F0-403D-9413-ADC0226C1F93}">
    <text>Project On-Hold</text>
  </threadedComment>
  <threadedComment ref="AV218" dT="2024-10-18T04:54:46.00" personId="{6777EDD4-E46F-4979-A7E7-6FC0A82E0C8E}" id="{E43D7F64-B576-4717-B1F9-80D14197CA55}">
    <text>Project On-Hold</text>
  </threadedComment>
  <threadedComment ref="AW218" dT="2024-10-18T04:54:46.00" personId="{6777EDD4-E46F-4979-A7E7-6FC0A82E0C8E}" id="{EA8FA66D-8A1E-4381-960B-F1CBEC831022}">
    <text>Project On-Hold</text>
  </threadedComment>
  <threadedComment ref="AX218" dT="2024-10-18T04:54:46.00" personId="{6777EDD4-E46F-4979-A7E7-6FC0A82E0C8E}" id="{1FD27A09-AAA5-4E6E-8120-C6A78AD80C5D}">
    <text>Project On-Hold</text>
  </threadedComment>
  <threadedComment ref="AY218" dT="2024-10-18T04:54:46.00" personId="{6777EDD4-E46F-4979-A7E7-6FC0A82E0C8E}" id="{AED572C9-B010-4529-8931-4F9E86FFB553}">
    <text>Project On-Hold</text>
  </threadedComment>
  <threadedComment ref="AZ218" dT="2024-10-18T04:54:46.00" personId="{6777EDD4-E46F-4979-A7E7-6FC0A82E0C8E}" id="{39F011E9-A545-4369-B8C3-91D0FB49DE04}">
    <text>Project On-Hold</text>
  </threadedComment>
  <threadedComment ref="BA218" dT="2024-10-18T04:54:46.00" personId="{6777EDD4-E46F-4979-A7E7-6FC0A82E0C8E}" id="{2C9C1009-2AA3-4B2D-A606-1B8BE8B280A7}">
    <text>Project On-Hold</text>
  </threadedComment>
  <threadedComment ref="BB218" dT="2024-10-18T04:54:46.00" personId="{6777EDD4-E46F-4979-A7E7-6FC0A82E0C8E}" id="{52311821-6385-4883-861E-8A2ED3F2794A}">
    <text>Project On-Hold</text>
  </threadedComment>
  <threadedComment ref="BC218" dT="2024-10-18T04:54:46.00" personId="{6777EDD4-E46F-4979-A7E7-6FC0A82E0C8E}" id="{394F7536-7EA8-4C41-99D4-D6F6706BA61B}">
    <text>Project On-Hold</text>
  </threadedComment>
  <threadedComment ref="BD218" dT="2024-10-18T04:54:46.00" personId="{6777EDD4-E46F-4979-A7E7-6FC0A82E0C8E}" id="{506DBDE4-23D2-43B7-96F6-2900FA569680}">
    <text>Project On-Hold</text>
  </threadedComment>
  <threadedComment ref="BE218" dT="2024-10-18T04:54:46.00" personId="{6777EDD4-E46F-4979-A7E7-6FC0A82E0C8E}" id="{F4CF0358-0FB7-40ED-9E47-4A61172B06F6}">
    <text>Project On-Hold</text>
  </threadedComment>
  <threadedComment ref="BF218" dT="2024-10-18T04:54:46.00" personId="{6777EDD4-E46F-4979-A7E7-6FC0A82E0C8E}" id="{DFF4C1FA-DA8D-4196-9B4A-C561D951014F}">
    <text>Project On-Hold</text>
  </threadedComment>
  <threadedComment ref="BG218" dT="2024-10-18T04:54:46.00" personId="{6777EDD4-E46F-4979-A7E7-6FC0A82E0C8E}" id="{FE2A8CC1-BEA9-4F8E-899B-30645667C98E}">
    <text>Project On-Hold</text>
  </threadedComment>
  <threadedComment ref="BH218" dT="2024-10-18T04:54:46.00" personId="{6777EDD4-E46F-4979-A7E7-6FC0A82E0C8E}" id="{A4BEFCD3-0E79-4FC5-9278-2B6220C168AC}">
    <text>Project On-Hold</text>
  </threadedComment>
  <threadedComment ref="BI218" dT="2024-10-18T04:54:46.00" personId="{6777EDD4-E46F-4979-A7E7-6FC0A82E0C8E}" id="{A9545917-C4AC-49A7-81BF-D20822718913}">
    <text>Project On-Hold</text>
  </threadedComment>
  <threadedComment ref="BJ218" dT="2024-10-18T04:54:46.00" personId="{6777EDD4-E46F-4979-A7E7-6FC0A82E0C8E}" id="{39707CD5-62A8-46F9-9CC7-2DBFCDDD80BD}">
    <text>Project On-Hold</text>
  </threadedComment>
  <threadedComment ref="BK218" dT="2024-10-18T04:54:46.00" personId="{6777EDD4-E46F-4979-A7E7-6FC0A82E0C8E}" id="{A72F5798-1A57-4F3C-A640-FD53379880B9}">
    <text>Project On-Hold</text>
  </threadedComment>
  <threadedComment ref="BL218" dT="2024-10-18T04:54:46.00" personId="{6777EDD4-E46F-4979-A7E7-6FC0A82E0C8E}" id="{29DB5578-9643-426B-A483-06059533B230}">
    <text>Project On-Hold</text>
  </threadedComment>
  <threadedComment ref="BM218" dT="2024-10-18T04:54:46.00" personId="{6777EDD4-E46F-4979-A7E7-6FC0A82E0C8E}" id="{A32E2266-775D-4E0F-A2B8-64FB5A76A247}">
    <text>Project On-Hold</text>
  </threadedComment>
  <threadedComment ref="BN218" dT="2024-10-18T04:54:46.00" personId="{6777EDD4-E46F-4979-A7E7-6FC0A82E0C8E}" id="{BDEB5AB9-1D86-4461-939A-95CE5D0D1780}">
    <text>Project On-Hold</text>
  </threadedComment>
  <threadedComment ref="BP218" dT="2024-10-18T04:54:46.00" personId="{6777EDD4-E46F-4979-A7E7-6FC0A82E0C8E}" id="{531C7492-D3B0-413D-82F5-C77C32223664}">
    <text>Project On-Hold</text>
  </threadedComment>
  <threadedComment ref="BR218" dT="2024-10-18T04:54:46.00" personId="{6777EDD4-E46F-4979-A7E7-6FC0A82E0C8E}" id="{06B8F553-9B4D-42A7-84F9-AB2E5D68D5FB}">
    <text>Project On-Hold</text>
  </threadedComment>
  <threadedComment ref="BS218" dT="2024-10-18T04:54:46.00" personId="{6777EDD4-E46F-4979-A7E7-6FC0A82E0C8E}" id="{7D87D2AB-8F48-4DC4-9D5F-C0DD61795366}">
    <text>Project On-Hold</text>
  </threadedComment>
  <threadedComment ref="BU218" dT="2024-10-18T04:54:46.00" personId="{6777EDD4-E46F-4979-A7E7-6FC0A82E0C8E}" id="{7529CA10-06D7-41E9-9A65-E1A05DD4BB1C}">
    <text>Project On-Hold</text>
  </threadedComment>
  <threadedComment ref="U219" dT="2024-07-12T10:54:03.13" personId="{728803BD-3A25-4F6F-BA7C-1EDF8A148B73}" id="{5FFBCA18-BDDA-48C8-B1D1-734BF2655031}">
    <text>No offers made in Jun'24</text>
  </threadedComment>
  <threadedComment ref="V219" dT="2024-07-12T10:54:03.13" personId="{728803BD-3A25-4F6F-BA7C-1EDF8A148B73}" id="{07A8A4E7-A03D-4D6E-9980-CF5E43D20E21}">
    <text>No offers made in Jun'24</text>
  </threadedComment>
  <threadedComment ref="AA219" dT="2024-10-18T04:56:20.13" personId="{6777EDD4-E46F-4979-A7E7-6FC0A82E0C8E}" id="{00429796-1630-45F7-B2DB-927621EB4CCD}">
    <text>Project On-Hold</text>
  </threadedComment>
  <threadedComment ref="AB219" dT="2024-10-18T04:56:20.13" personId="{6777EDD4-E46F-4979-A7E7-6FC0A82E0C8E}" id="{C625BD3D-4877-42B0-896A-DA42681ADECD}">
    <text>Project On-Hold</text>
  </threadedComment>
  <threadedComment ref="AC219" dT="2024-10-18T04:56:20.13" personId="{6777EDD4-E46F-4979-A7E7-6FC0A82E0C8E}" id="{B36FBDE2-08D4-4452-A814-F27B2A7C2B63}">
    <text>Project On-Hold</text>
  </threadedComment>
  <threadedComment ref="AD219" dT="2024-10-18T04:56:20.13" personId="{6777EDD4-E46F-4979-A7E7-6FC0A82E0C8E}" id="{417A0ADD-E172-45B8-9162-78C22AFFC485}">
    <text>Project On-Hold</text>
  </threadedComment>
  <threadedComment ref="AE219" dT="2024-10-18T04:56:20.13" personId="{6777EDD4-E46F-4979-A7E7-6FC0A82E0C8E}" id="{DB06D39C-500A-4E70-9AA2-128768AAB1D5}">
    <text>Project On-Hold</text>
  </threadedComment>
  <threadedComment ref="AF219" dT="2024-10-18T04:56:20.13" personId="{6777EDD4-E46F-4979-A7E7-6FC0A82E0C8E}" id="{E81825DF-3F62-40FB-A19C-74579F645AF2}">
    <text>Project On-Hold</text>
  </threadedComment>
  <threadedComment ref="AG219" dT="2024-10-18T04:56:20.13" personId="{6777EDD4-E46F-4979-A7E7-6FC0A82E0C8E}" id="{282FEEC0-1B65-48C9-A2C4-95AC0E8088EF}">
    <text>Project On-Hold</text>
  </threadedComment>
  <threadedComment ref="AH219" dT="2024-10-18T04:56:20.13" personId="{6777EDD4-E46F-4979-A7E7-6FC0A82E0C8E}" id="{BF3A1CAA-F5B9-49F1-A8ED-141F084D25F9}">
    <text>Project On-Hold</text>
  </threadedComment>
  <threadedComment ref="AI219" dT="2024-10-18T04:56:20.13" personId="{6777EDD4-E46F-4979-A7E7-6FC0A82E0C8E}" id="{391A94D9-0C14-4FBC-97A5-263037B222FE}">
    <text>Project On-Hold</text>
  </threadedComment>
  <threadedComment ref="AJ219" dT="2024-10-18T04:56:20.13" personId="{6777EDD4-E46F-4979-A7E7-6FC0A82E0C8E}" id="{795DE29E-1EC1-4D92-8927-FDB8BF7C7F8B}">
    <text>Project On-Hold</text>
  </threadedComment>
  <threadedComment ref="AK219" dT="2024-10-18T04:56:20.13" personId="{6777EDD4-E46F-4979-A7E7-6FC0A82E0C8E}" id="{BA5C7837-21B5-40F5-8944-8A7D888CDAA0}">
    <text>Project On-Hold</text>
  </threadedComment>
  <threadedComment ref="AL219" dT="2024-10-18T04:56:20.13" personId="{6777EDD4-E46F-4979-A7E7-6FC0A82E0C8E}" id="{825B306B-C376-424D-AE69-595540FE2203}">
    <text>Project On-Hold</text>
  </threadedComment>
  <threadedComment ref="AM219" dT="2024-10-18T04:56:20.13" personId="{6777EDD4-E46F-4979-A7E7-6FC0A82E0C8E}" id="{B71B8A05-C62F-42CB-96C5-8D07C65FABD2}">
    <text>Project On-Hold</text>
  </threadedComment>
  <threadedComment ref="AN219" dT="2024-10-18T04:56:20.13" personId="{6777EDD4-E46F-4979-A7E7-6FC0A82E0C8E}" id="{CEDBADC4-1781-493A-976D-94A104D4445D}">
    <text>Project On-Hold</text>
  </threadedComment>
  <threadedComment ref="AO219" dT="2024-10-18T04:54:46.00" personId="{6777EDD4-E46F-4979-A7E7-6FC0A82E0C8E}" id="{5D07D667-DBD3-428D-8741-D4E4CE7F4F69}">
    <text>Project On-Hold</text>
  </threadedComment>
  <threadedComment ref="AP219" dT="2024-10-18T04:54:46.00" personId="{6777EDD4-E46F-4979-A7E7-6FC0A82E0C8E}" id="{6E241D00-A6C8-49A9-8A65-94E9487229DC}">
    <text>Project On-Hold</text>
  </threadedComment>
  <threadedComment ref="AQ219" dT="2024-10-18T04:54:46.00" personId="{6777EDD4-E46F-4979-A7E7-6FC0A82E0C8E}" id="{7E2A95D5-E773-44C7-916F-AC243B5084A9}">
    <text>Project On-Hold</text>
  </threadedComment>
  <threadedComment ref="AR219" dT="2024-10-18T04:54:46.00" personId="{6777EDD4-E46F-4979-A7E7-6FC0A82E0C8E}" id="{4EE3F82C-5346-4960-8A12-AB9A277973C8}">
    <text>Project On-Hold</text>
  </threadedComment>
  <threadedComment ref="AS219" dT="2024-10-18T04:54:46.00" personId="{6777EDD4-E46F-4979-A7E7-6FC0A82E0C8E}" id="{F9125D75-6C06-46B2-A37C-88D445CBFEA5}">
    <text>Project On-Hold</text>
  </threadedComment>
  <threadedComment ref="AT219" dT="2024-10-18T04:54:46.00" personId="{6777EDD4-E46F-4979-A7E7-6FC0A82E0C8E}" id="{BD57463D-F65D-41BF-8249-D703263C46EF}">
    <text>Project On-Hold</text>
  </threadedComment>
  <threadedComment ref="AU219" dT="2024-10-18T04:54:46.00" personId="{6777EDD4-E46F-4979-A7E7-6FC0A82E0C8E}" id="{D610ABE0-831E-4595-9C73-894EBFF6CDEF}">
    <text>Project On-Hold</text>
  </threadedComment>
  <threadedComment ref="AV219" dT="2024-10-18T04:54:46.00" personId="{6777EDD4-E46F-4979-A7E7-6FC0A82E0C8E}" id="{933E00E4-9A55-4370-9D64-35EDAED3CD5A}">
    <text>Project On-Hold</text>
  </threadedComment>
  <threadedComment ref="AW219" dT="2024-10-18T04:54:46.00" personId="{6777EDD4-E46F-4979-A7E7-6FC0A82E0C8E}" id="{FBAA640B-8055-4ACC-A655-9BA7A22F8F63}">
    <text>Project On-Hold</text>
  </threadedComment>
  <threadedComment ref="AX219" dT="2024-10-18T04:54:46.00" personId="{6777EDD4-E46F-4979-A7E7-6FC0A82E0C8E}" id="{6D64EB5F-F31C-4C2D-8EED-B55184281123}">
    <text>Project On-Hold</text>
  </threadedComment>
  <threadedComment ref="AY219" dT="2024-10-18T04:54:46.00" personId="{6777EDD4-E46F-4979-A7E7-6FC0A82E0C8E}" id="{069BAC01-1EFE-440B-9E2E-9215FD806C74}">
    <text>Project On-Hold</text>
  </threadedComment>
  <threadedComment ref="AZ219" dT="2024-10-18T04:54:46.00" personId="{6777EDD4-E46F-4979-A7E7-6FC0A82E0C8E}" id="{F43C618C-D050-4A04-9116-9A8762E71BCD}">
    <text>Project On-Hold</text>
  </threadedComment>
  <threadedComment ref="BA219" dT="2024-10-18T04:54:46.00" personId="{6777EDD4-E46F-4979-A7E7-6FC0A82E0C8E}" id="{C96DAB14-1458-47FD-977F-AD0FCCF051B6}">
    <text>Project On-Hold</text>
  </threadedComment>
  <threadedComment ref="BB219" dT="2024-10-18T04:54:46.00" personId="{6777EDD4-E46F-4979-A7E7-6FC0A82E0C8E}" id="{D876F0CC-D845-47B6-8019-4EDCD8A4FAB7}">
    <text>Project On-Hold</text>
  </threadedComment>
  <threadedComment ref="BC219" dT="2024-10-18T04:54:46.00" personId="{6777EDD4-E46F-4979-A7E7-6FC0A82E0C8E}" id="{C0C83EE7-C498-4238-82D3-DE46D5A13864}">
    <text>Project On-Hold</text>
  </threadedComment>
  <threadedComment ref="BD219" dT="2024-10-18T04:54:46.00" personId="{6777EDD4-E46F-4979-A7E7-6FC0A82E0C8E}" id="{4FE54B13-64E3-4630-A24A-BFEFA4A4212D}">
    <text>Project On-Hold</text>
  </threadedComment>
  <threadedComment ref="BE219" dT="2024-10-18T04:54:46.00" personId="{6777EDD4-E46F-4979-A7E7-6FC0A82E0C8E}" id="{B4C7F8BE-8896-4079-91F1-828C563DD3C5}">
    <text>Project On-Hold</text>
  </threadedComment>
  <threadedComment ref="BF219" dT="2024-10-18T04:54:46.00" personId="{6777EDD4-E46F-4979-A7E7-6FC0A82E0C8E}" id="{8D9A5F63-4E5C-4579-9B12-46E68E5978CA}">
    <text>Project On-Hold</text>
  </threadedComment>
  <threadedComment ref="BG219" dT="2024-10-18T04:54:46.00" personId="{6777EDD4-E46F-4979-A7E7-6FC0A82E0C8E}" id="{843A3C04-306D-4BE6-9133-7357BE2C45AD}">
    <text>Project On-Hold</text>
  </threadedComment>
  <threadedComment ref="BH219" dT="2024-10-18T04:54:46.00" personId="{6777EDD4-E46F-4979-A7E7-6FC0A82E0C8E}" id="{7B0993F1-9DA8-4B9A-8BEF-3C89158242A6}">
    <text>Project On-Hold</text>
  </threadedComment>
  <threadedComment ref="BI219" dT="2024-10-18T04:54:46.00" personId="{6777EDD4-E46F-4979-A7E7-6FC0A82E0C8E}" id="{1CBD9345-AD7A-4746-A571-CB503B2A2088}">
    <text>Project On-Hold</text>
  </threadedComment>
  <threadedComment ref="BJ219" dT="2024-10-18T04:54:46.00" personId="{6777EDD4-E46F-4979-A7E7-6FC0A82E0C8E}" id="{22F90B72-AD5B-464A-8900-8FC38B4C1AA5}">
    <text>Project On-Hold</text>
  </threadedComment>
  <threadedComment ref="BK219" dT="2024-10-18T04:54:46.00" personId="{6777EDD4-E46F-4979-A7E7-6FC0A82E0C8E}" id="{BF4D3362-39D1-4527-BE38-A3128B94C0C2}">
    <text>Project On-Hold</text>
  </threadedComment>
  <threadedComment ref="BL219" dT="2024-10-18T04:54:46.00" personId="{6777EDD4-E46F-4979-A7E7-6FC0A82E0C8E}" id="{72FDBF8A-7F4E-459E-9DC2-5A83EB9A2AE8}">
    <text>Project On-Hold</text>
  </threadedComment>
  <threadedComment ref="BM219" dT="2024-10-18T04:54:46.00" personId="{6777EDD4-E46F-4979-A7E7-6FC0A82E0C8E}" id="{45A651CD-228B-4C62-AA35-CEACF6200268}">
    <text>Project On-Hold</text>
  </threadedComment>
  <threadedComment ref="BN219" dT="2024-10-18T04:54:46.00" personId="{6777EDD4-E46F-4979-A7E7-6FC0A82E0C8E}" id="{C3A9C4E8-94C1-48B7-9017-76E9A1CE7972}">
    <text>Project On-Hold</text>
  </threadedComment>
  <threadedComment ref="BP219" dT="2024-10-18T04:54:46.00" personId="{6777EDD4-E46F-4979-A7E7-6FC0A82E0C8E}" id="{2D3D5584-C610-4D6D-8474-6A98CE8AB8D3}">
    <text>Project On-Hold</text>
  </threadedComment>
  <threadedComment ref="BR219" dT="2024-10-18T04:54:46.00" personId="{6777EDD4-E46F-4979-A7E7-6FC0A82E0C8E}" id="{6CD3EE8D-CD8B-40BF-8C47-B7CFC6BA80F2}">
    <text>Project On-Hold</text>
  </threadedComment>
  <threadedComment ref="BS219" dT="2024-10-18T04:54:46.00" personId="{6777EDD4-E46F-4979-A7E7-6FC0A82E0C8E}" id="{6D6134E8-BB20-4C5F-9D0D-EEC21132DBF4}">
    <text>Project On-Hold</text>
  </threadedComment>
  <threadedComment ref="BU219" dT="2024-10-18T04:54:46.00" personId="{6777EDD4-E46F-4979-A7E7-6FC0A82E0C8E}" id="{9EF9C91E-76D4-40DF-89BF-8BD53A18AB1F}">
    <text>Project On-Hold</text>
  </threadedComment>
  <threadedComment ref="W220" dT="2024-08-16T07:26:24.89" personId="{6777EDD4-E46F-4979-A7E7-6FC0A82E0C8E}" id="{D4D582E3-02F5-4837-8BA6-38C97922CF82}">
    <text>No Hiring demand</text>
  </threadedComment>
  <threadedComment ref="X220" dT="2024-08-16T07:26:24.89" personId="{6777EDD4-E46F-4979-A7E7-6FC0A82E0C8E}" id="{A6196F7E-C2F4-4E40-AB47-92769249A332}">
    <text>No Hiring demand</text>
  </threadedComment>
  <threadedComment ref="AA220" dT="2024-10-18T04:56:20.13" personId="{6777EDD4-E46F-4979-A7E7-6FC0A82E0C8E}" id="{5AB400E8-C51A-42D9-92A9-9321FAB81BEB}">
    <text>Project On-Hold</text>
  </threadedComment>
  <threadedComment ref="AB220" dT="2024-10-18T04:56:20.13" personId="{6777EDD4-E46F-4979-A7E7-6FC0A82E0C8E}" id="{39B2B899-A68E-47DF-A608-C6173C0AE01C}">
    <text>Project On-Hold</text>
  </threadedComment>
  <threadedComment ref="AC220" dT="2024-10-18T04:56:20.13" personId="{6777EDD4-E46F-4979-A7E7-6FC0A82E0C8E}" id="{DC9DE1E5-3A4E-44D8-9E1A-E6B6EC78A05E}">
    <text>Project On-Hold</text>
  </threadedComment>
  <threadedComment ref="AD220" dT="2024-10-18T04:56:20.13" personId="{6777EDD4-E46F-4979-A7E7-6FC0A82E0C8E}" id="{959A184B-8700-44BD-B5D6-0E110CDDD474}">
    <text>Project On-Hold</text>
  </threadedComment>
  <threadedComment ref="AE220" dT="2024-10-18T04:56:20.13" personId="{6777EDD4-E46F-4979-A7E7-6FC0A82E0C8E}" id="{8F3E6113-C8DE-4010-AC51-687D25A491FA}">
    <text>Project On-Hold</text>
  </threadedComment>
  <threadedComment ref="AF220" dT="2024-10-18T04:56:20.13" personId="{6777EDD4-E46F-4979-A7E7-6FC0A82E0C8E}" id="{F288D660-9606-46C4-BC91-A1B56F3168CC}">
    <text>Project On-Hold</text>
  </threadedComment>
  <threadedComment ref="AG220" dT="2024-10-18T04:56:20.13" personId="{6777EDD4-E46F-4979-A7E7-6FC0A82E0C8E}" id="{5D8BF7AA-9F8C-4797-915E-703301B2E3AD}">
    <text>Project On-Hold</text>
  </threadedComment>
  <threadedComment ref="AH220" dT="2024-10-18T04:56:20.13" personId="{6777EDD4-E46F-4979-A7E7-6FC0A82E0C8E}" id="{4B2DE12F-320E-4398-9940-1F6E57B91ED0}">
    <text>Project On-Hold</text>
  </threadedComment>
  <threadedComment ref="AI220" dT="2024-10-18T04:56:20.13" personId="{6777EDD4-E46F-4979-A7E7-6FC0A82E0C8E}" id="{7E37BBEB-68E4-45CA-A300-1C11E61B7CEE}">
    <text>Project On-Hold</text>
  </threadedComment>
  <threadedComment ref="AJ220" dT="2024-10-18T04:56:20.13" personId="{6777EDD4-E46F-4979-A7E7-6FC0A82E0C8E}" id="{D7BBEEFB-BD8E-43E1-9695-E26E76B9F30D}">
    <text>Project On-Hold</text>
  </threadedComment>
  <threadedComment ref="AK220" dT="2024-10-18T04:56:20.13" personId="{6777EDD4-E46F-4979-A7E7-6FC0A82E0C8E}" id="{D6AC1090-3E86-4EA4-A2D3-20A4E2B6B20D}">
    <text>Project On-Hold</text>
  </threadedComment>
  <threadedComment ref="AL220" dT="2024-10-18T04:56:20.13" personId="{6777EDD4-E46F-4979-A7E7-6FC0A82E0C8E}" id="{94F7E601-62F0-4823-94A6-49061E7C0899}">
    <text>Project On-Hold</text>
  </threadedComment>
  <threadedComment ref="AM220" dT="2024-10-18T04:56:20.13" personId="{6777EDD4-E46F-4979-A7E7-6FC0A82E0C8E}" id="{CA001326-D54D-4829-85ED-87B0B092EAD2}">
    <text>Project On-Hold</text>
  </threadedComment>
  <threadedComment ref="AN220" dT="2024-10-18T04:56:20.13" personId="{6777EDD4-E46F-4979-A7E7-6FC0A82E0C8E}" id="{4FFCEA5B-92B1-49B0-8892-4BFB71CC1BD5}">
    <text>Project On-Hold</text>
  </threadedComment>
  <threadedComment ref="AO220" dT="2024-10-18T04:54:46.00" personId="{6777EDD4-E46F-4979-A7E7-6FC0A82E0C8E}" id="{DB621564-F952-424A-9A50-805B23DFA5E6}">
    <text>Project On-Hold</text>
  </threadedComment>
  <threadedComment ref="AP220" dT="2024-10-18T04:54:46.00" personId="{6777EDD4-E46F-4979-A7E7-6FC0A82E0C8E}" id="{59FEA008-4B41-4775-9C55-65F5FCEB60F9}">
    <text>Project On-Hold</text>
  </threadedComment>
  <threadedComment ref="AQ220" dT="2024-10-18T04:54:46.00" personId="{6777EDD4-E46F-4979-A7E7-6FC0A82E0C8E}" id="{200F0827-FAF3-4A1A-A9D7-6527FB06B869}">
    <text>Project On-Hold</text>
  </threadedComment>
  <threadedComment ref="AR220" dT="2024-10-18T04:54:46.00" personId="{6777EDD4-E46F-4979-A7E7-6FC0A82E0C8E}" id="{3CE1EFC4-9C60-4E3F-AE6A-867C3AB24FA6}">
    <text>Project On-Hold</text>
  </threadedComment>
  <threadedComment ref="AS220" dT="2024-10-18T04:54:46.00" personId="{6777EDD4-E46F-4979-A7E7-6FC0A82E0C8E}" id="{C327EE28-5297-47CC-98C9-2588826F905B}">
    <text>Project On-Hold</text>
  </threadedComment>
  <threadedComment ref="AT220" dT="2024-10-18T04:54:46.00" personId="{6777EDD4-E46F-4979-A7E7-6FC0A82E0C8E}" id="{972AA207-0A68-4857-BB2A-7E1449B04F43}">
    <text>Project On-Hold</text>
  </threadedComment>
  <threadedComment ref="AU220" dT="2024-10-18T04:54:46.00" personId="{6777EDD4-E46F-4979-A7E7-6FC0A82E0C8E}" id="{AFC5C636-2477-4354-A01E-EA10E795B06C}">
    <text>Project On-Hold</text>
  </threadedComment>
  <threadedComment ref="AV220" dT="2024-10-18T04:54:46.00" personId="{6777EDD4-E46F-4979-A7E7-6FC0A82E0C8E}" id="{2BF1E52A-61AE-4DBF-91D8-11095B3737AC}">
    <text>Project On-Hold</text>
  </threadedComment>
  <threadedComment ref="AW220" dT="2024-10-18T04:54:46.00" personId="{6777EDD4-E46F-4979-A7E7-6FC0A82E0C8E}" id="{F268CE54-1B93-4999-8B44-008D99506AC3}">
    <text>Project On-Hold</text>
  </threadedComment>
  <threadedComment ref="AX220" dT="2024-10-18T04:54:46.00" personId="{6777EDD4-E46F-4979-A7E7-6FC0A82E0C8E}" id="{AD636364-0977-4954-AF13-39EC11A622B6}">
    <text>Project On-Hold</text>
  </threadedComment>
  <threadedComment ref="AY220" dT="2024-10-18T04:54:46.00" personId="{6777EDD4-E46F-4979-A7E7-6FC0A82E0C8E}" id="{B36EF01C-A018-4C26-93C2-B7D2945AE596}">
    <text>Project On-Hold</text>
  </threadedComment>
  <threadedComment ref="AZ220" dT="2024-10-18T04:54:46.00" personId="{6777EDD4-E46F-4979-A7E7-6FC0A82E0C8E}" id="{D0930640-6AB3-4334-B298-3EE13047957B}">
    <text>Project On-Hold</text>
  </threadedComment>
  <threadedComment ref="BA220" dT="2024-10-18T04:54:46.00" personId="{6777EDD4-E46F-4979-A7E7-6FC0A82E0C8E}" id="{2DFD8580-F0BB-46AE-8B39-E336F039A4C6}">
    <text>Project On-Hold</text>
  </threadedComment>
  <threadedComment ref="BB220" dT="2024-10-18T04:54:46.00" personId="{6777EDD4-E46F-4979-A7E7-6FC0A82E0C8E}" id="{72577E51-5778-4501-8DB0-D508117C43C8}">
    <text>Project On-Hold</text>
  </threadedComment>
  <threadedComment ref="BC220" dT="2024-10-18T04:54:46.00" personId="{6777EDD4-E46F-4979-A7E7-6FC0A82E0C8E}" id="{AD0252FD-0229-44C0-97E1-F7A80107150D}">
    <text>Project On-Hold</text>
  </threadedComment>
  <threadedComment ref="BD220" dT="2024-10-18T04:54:46.00" personId="{6777EDD4-E46F-4979-A7E7-6FC0A82E0C8E}" id="{5C09F902-7962-4701-9407-C439ACE93006}">
    <text>Project On-Hold</text>
  </threadedComment>
  <threadedComment ref="BE220" dT="2024-10-18T04:54:46.00" personId="{6777EDD4-E46F-4979-A7E7-6FC0A82E0C8E}" id="{9B1F3C42-C850-44D3-B1C4-C966F7797D40}">
    <text>Project On-Hold</text>
  </threadedComment>
  <threadedComment ref="BF220" dT="2024-10-18T04:54:46.00" personId="{6777EDD4-E46F-4979-A7E7-6FC0A82E0C8E}" id="{281EA037-CE56-4232-B51F-E59B8E7291E0}">
    <text>Project On-Hold</text>
  </threadedComment>
  <threadedComment ref="BG220" dT="2024-10-18T04:54:46.00" personId="{6777EDD4-E46F-4979-A7E7-6FC0A82E0C8E}" id="{389C2658-0654-4B00-859C-D3CB007A1A5C}">
    <text>Project On-Hold</text>
  </threadedComment>
  <threadedComment ref="BH220" dT="2024-10-18T04:54:46.00" personId="{6777EDD4-E46F-4979-A7E7-6FC0A82E0C8E}" id="{6C41C530-8296-4000-B54B-5EF2CAB8E17D}">
    <text>Project On-Hold</text>
  </threadedComment>
  <threadedComment ref="BI220" dT="2024-10-18T04:54:46.00" personId="{6777EDD4-E46F-4979-A7E7-6FC0A82E0C8E}" id="{835DB815-B17C-4809-B86D-49C5628759B2}">
    <text>Project On-Hold</text>
  </threadedComment>
  <threadedComment ref="BJ220" dT="2024-10-18T04:54:46.00" personId="{6777EDD4-E46F-4979-A7E7-6FC0A82E0C8E}" id="{9EB92CD8-3B33-4AFA-966D-B50E1A225F5E}">
    <text>Project On-Hold</text>
  </threadedComment>
  <threadedComment ref="BK220" dT="2024-10-18T04:54:46.00" personId="{6777EDD4-E46F-4979-A7E7-6FC0A82E0C8E}" id="{9D40ABE9-7600-43F9-8365-4AB4E344EF7E}">
    <text>Project On-Hold</text>
  </threadedComment>
  <threadedComment ref="BL220" dT="2024-10-18T04:54:46.00" personId="{6777EDD4-E46F-4979-A7E7-6FC0A82E0C8E}" id="{6A2E59DC-F467-4620-A644-B565093B49DF}">
    <text>Project On-Hold</text>
  </threadedComment>
  <threadedComment ref="BM220" dT="2024-10-18T04:54:46.00" personId="{6777EDD4-E46F-4979-A7E7-6FC0A82E0C8E}" id="{C63747EC-6589-482B-ABB4-000F24CA8A0A}">
    <text>Project On-Hold</text>
  </threadedComment>
  <threadedComment ref="BN220" dT="2024-10-18T04:54:46.00" personId="{6777EDD4-E46F-4979-A7E7-6FC0A82E0C8E}" id="{70D26728-0762-4BF5-B122-879B2DDF13E6}">
    <text>Project On-Hold</text>
  </threadedComment>
  <threadedComment ref="BP220" dT="2024-10-18T04:54:46.00" personId="{6777EDD4-E46F-4979-A7E7-6FC0A82E0C8E}" id="{33E2DCB4-FC2E-41BC-AF5B-10A8D00BBB33}">
    <text>Project On-Hold</text>
  </threadedComment>
  <threadedComment ref="BR220" dT="2024-10-18T04:54:46.00" personId="{6777EDD4-E46F-4979-A7E7-6FC0A82E0C8E}" id="{1E56FC27-1B80-423C-AB6F-BF4343E55868}">
    <text>Project On-Hold</text>
  </threadedComment>
  <threadedComment ref="BS220" dT="2024-10-18T04:54:46.00" personId="{6777EDD4-E46F-4979-A7E7-6FC0A82E0C8E}" id="{51E83894-DE19-41E6-98B0-4EE20D3CA019}">
    <text>Project On-Hold</text>
  </threadedComment>
  <threadedComment ref="BU220" dT="2024-10-18T04:54:46.00" personId="{6777EDD4-E46F-4979-A7E7-6FC0A82E0C8E}" id="{9C4FC105-090C-4115-9542-98D31D4EAC29}">
    <text>Project On-Hold</text>
  </threadedComment>
  <threadedComment ref="W221" dT="2024-08-16T07:26:24.89" personId="{6777EDD4-E46F-4979-A7E7-6FC0A82E0C8E}" id="{6BCAEC8E-DC75-4C93-94C4-1646AC6A64F6}">
    <text>No Hiring demand</text>
  </threadedComment>
  <threadedComment ref="X221" dT="2024-08-16T07:26:24.89" personId="{6777EDD4-E46F-4979-A7E7-6FC0A82E0C8E}" id="{D4210E7E-4689-4A0F-9EBE-564C1BF0BBF2}">
    <text>No Hiring demand</text>
  </threadedComment>
  <threadedComment ref="AA221" dT="2024-10-18T04:56:20.13" personId="{6777EDD4-E46F-4979-A7E7-6FC0A82E0C8E}" id="{0D2435CA-08BD-48BA-B2AD-2F6C8EC4E686}">
    <text>Project On-Hold</text>
  </threadedComment>
  <threadedComment ref="AB221" dT="2024-10-18T04:56:20.13" personId="{6777EDD4-E46F-4979-A7E7-6FC0A82E0C8E}" id="{8964E631-06BA-43FB-9331-B4265FD8DB1A}">
    <text>Project On-Hold</text>
  </threadedComment>
  <threadedComment ref="AC221" dT="2024-10-18T04:56:20.13" personId="{6777EDD4-E46F-4979-A7E7-6FC0A82E0C8E}" id="{5094AABA-8FE3-48FF-821A-A87C11F6EBA3}">
    <text>Project On-Hold</text>
  </threadedComment>
  <threadedComment ref="AD221" dT="2024-10-18T04:56:20.13" personId="{6777EDD4-E46F-4979-A7E7-6FC0A82E0C8E}" id="{DEED5B6E-5C2A-44AF-B7AD-85F7685E562F}">
    <text>Project On-Hold</text>
  </threadedComment>
  <threadedComment ref="AE221" dT="2024-10-18T04:56:20.13" personId="{6777EDD4-E46F-4979-A7E7-6FC0A82E0C8E}" id="{DE3F9753-BBB6-4EC0-A198-FE664463E10D}">
    <text>Project On-Hold</text>
  </threadedComment>
  <threadedComment ref="AF221" dT="2024-10-18T04:56:20.13" personId="{6777EDD4-E46F-4979-A7E7-6FC0A82E0C8E}" id="{860EEB8D-5AA0-4EAA-9C81-A080101028BB}">
    <text>Project On-Hold</text>
  </threadedComment>
  <threadedComment ref="AG221" dT="2024-10-18T04:56:20.13" personId="{6777EDD4-E46F-4979-A7E7-6FC0A82E0C8E}" id="{A2BAB908-39F0-4229-A298-C30B2E37A6EF}">
    <text>Project On-Hold</text>
  </threadedComment>
  <threadedComment ref="AH221" dT="2024-10-18T04:56:20.13" personId="{6777EDD4-E46F-4979-A7E7-6FC0A82E0C8E}" id="{6B4C539A-9BDC-4A47-898F-AE34AF3EEDA9}">
    <text>Project On-Hold</text>
  </threadedComment>
  <threadedComment ref="AI221" dT="2024-10-18T04:56:20.13" personId="{6777EDD4-E46F-4979-A7E7-6FC0A82E0C8E}" id="{0D82DA3A-8070-433E-A384-7E6A9AD12328}">
    <text>Project On-Hold</text>
  </threadedComment>
  <threadedComment ref="AJ221" dT="2024-10-18T04:56:20.13" personId="{6777EDD4-E46F-4979-A7E7-6FC0A82E0C8E}" id="{D18000E7-0BD6-46EB-ADC2-7FC5FD0A5D1B}">
    <text>Project On-Hold</text>
  </threadedComment>
  <threadedComment ref="AK221" dT="2024-10-18T04:56:20.13" personId="{6777EDD4-E46F-4979-A7E7-6FC0A82E0C8E}" id="{6C2A4CAB-396F-48DF-A47F-59E1C678EA92}">
    <text>Project On-Hold</text>
  </threadedComment>
  <threadedComment ref="AL221" dT="2024-10-18T04:56:20.13" personId="{6777EDD4-E46F-4979-A7E7-6FC0A82E0C8E}" id="{E3C1B810-C85B-4314-83C3-038F99D64ACB}">
    <text>Project On-Hold</text>
  </threadedComment>
  <threadedComment ref="AM221" dT="2024-10-18T04:56:20.13" personId="{6777EDD4-E46F-4979-A7E7-6FC0A82E0C8E}" id="{07E56D54-B77F-417C-92C0-1C9D590DEA17}">
    <text>Project On-Hold</text>
  </threadedComment>
  <threadedComment ref="AN221" dT="2024-10-18T04:56:20.13" personId="{6777EDD4-E46F-4979-A7E7-6FC0A82E0C8E}" id="{AB5AAE23-7B55-493C-9029-DDA8F299C712}">
    <text>Project On-Hold</text>
  </threadedComment>
  <threadedComment ref="AO221" dT="2024-10-18T04:54:46.00" personId="{6777EDD4-E46F-4979-A7E7-6FC0A82E0C8E}" id="{0E30FA61-03EA-416E-91CE-2E92F1E4E2C8}">
    <text>Project On-Hold</text>
  </threadedComment>
  <threadedComment ref="AP221" dT="2024-10-18T04:54:46.00" personId="{6777EDD4-E46F-4979-A7E7-6FC0A82E0C8E}" id="{795BF860-FB79-4C93-8464-0ADD47DA2F91}">
    <text>Project On-Hold</text>
  </threadedComment>
  <threadedComment ref="AQ221" dT="2024-10-18T04:54:46.00" personId="{6777EDD4-E46F-4979-A7E7-6FC0A82E0C8E}" id="{2D9EE6BF-2A25-4E2B-AEB4-1D10C647BF8E}">
    <text>Project On-Hold</text>
  </threadedComment>
  <threadedComment ref="AR221" dT="2024-10-18T04:54:46.00" personId="{6777EDD4-E46F-4979-A7E7-6FC0A82E0C8E}" id="{FAF78E4D-A4F5-4E8F-B775-3659670A8C34}">
    <text>Project On-Hold</text>
  </threadedComment>
  <threadedComment ref="AS221" dT="2024-10-18T04:54:46.00" personId="{6777EDD4-E46F-4979-A7E7-6FC0A82E0C8E}" id="{052F817D-911B-47B8-8255-851511D6A2E4}">
    <text>Project On-Hold</text>
  </threadedComment>
  <threadedComment ref="AT221" dT="2024-10-18T04:54:46.00" personId="{6777EDD4-E46F-4979-A7E7-6FC0A82E0C8E}" id="{5E9AC3ED-7677-4E20-A281-5C636B2745AD}">
    <text>Project On-Hold</text>
  </threadedComment>
  <threadedComment ref="AU221" dT="2024-10-18T04:54:46.00" personId="{6777EDD4-E46F-4979-A7E7-6FC0A82E0C8E}" id="{C4348491-F1F1-468E-993C-A8A40E6DD630}">
    <text>Project On-Hold</text>
  </threadedComment>
  <threadedComment ref="AV221" dT="2024-10-18T04:54:46.00" personId="{6777EDD4-E46F-4979-A7E7-6FC0A82E0C8E}" id="{AC6D6840-E9F2-4F08-8152-C0A932F576DC}">
    <text>Project On-Hold</text>
  </threadedComment>
  <threadedComment ref="AW221" dT="2024-10-18T04:54:46.00" personId="{6777EDD4-E46F-4979-A7E7-6FC0A82E0C8E}" id="{75BD4E92-14E5-4C70-B965-A1D2FB9E9BB3}">
    <text>Project On-Hold</text>
  </threadedComment>
  <threadedComment ref="AX221" dT="2024-10-18T04:54:46.00" personId="{6777EDD4-E46F-4979-A7E7-6FC0A82E0C8E}" id="{861532BE-E69D-494D-A68B-0D03ED6C8487}">
    <text>Project On-Hold</text>
  </threadedComment>
  <threadedComment ref="AY221" dT="2024-10-18T04:54:46.00" personId="{6777EDD4-E46F-4979-A7E7-6FC0A82E0C8E}" id="{27BBB93B-3471-4F67-9AF0-64818339DD3D}">
    <text>Project On-Hold</text>
  </threadedComment>
  <threadedComment ref="AZ221" dT="2024-10-18T04:54:46.00" personId="{6777EDD4-E46F-4979-A7E7-6FC0A82E0C8E}" id="{6B37988D-2535-4606-958E-7AC4C875EB0C}">
    <text>Project On-Hold</text>
  </threadedComment>
  <threadedComment ref="BA221" dT="2024-10-18T04:54:46.00" personId="{6777EDD4-E46F-4979-A7E7-6FC0A82E0C8E}" id="{D57ED098-B44A-48D9-8054-6D73C6D013BC}">
    <text>Project On-Hold</text>
  </threadedComment>
  <threadedComment ref="BB221" dT="2024-10-18T04:54:46.00" personId="{6777EDD4-E46F-4979-A7E7-6FC0A82E0C8E}" id="{85832067-4C2F-487B-9F36-8403F8227D06}">
    <text>Project On-Hold</text>
  </threadedComment>
  <threadedComment ref="BC221" dT="2024-10-18T04:54:46.00" personId="{6777EDD4-E46F-4979-A7E7-6FC0A82E0C8E}" id="{260C81F0-7B3D-4C9E-851A-C2FFA56507E6}">
    <text>Project On-Hold</text>
  </threadedComment>
  <threadedComment ref="BD221" dT="2024-10-18T04:54:46.00" personId="{6777EDD4-E46F-4979-A7E7-6FC0A82E0C8E}" id="{ACF9C291-E861-48F4-B1E6-24746E7EDE99}">
    <text>Project On-Hold</text>
  </threadedComment>
  <threadedComment ref="BE221" dT="2024-10-18T04:54:46.00" personId="{6777EDD4-E46F-4979-A7E7-6FC0A82E0C8E}" id="{27B7794D-AD97-45FF-B405-9DE469C0254A}">
    <text>Project On-Hold</text>
  </threadedComment>
  <threadedComment ref="BF221" dT="2024-10-18T04:54:46.00" personId="{6777EDD4-E46F-4979-A7E7-6FC0A82E0C8E}" id="{D0EE9723-D3D9-4DF3-A4E0-41EF33DB2167}">
    <text>Project On-Hold</text>
  </threadedComment>
  <threadedComment ref="BG221" dT="2024-10-18T04:54:46.00" personId="{6777EDD4-E46F-4979-A7E7-6FC0A82E0C8E}" id="{82A162EE-3906-433F-9DA9-99E10746C2DE}">
    <text>Project On-Hold</text>
  </threadedComment>
  <threadedComment ref="BH221" dT="2024-10-18T04:54:46.00" personId="{6777EDD4-E46F-4979-A7E7-6FC0A82E0C8E}" id="{A9F2951A-C9B7-4D71-A00A-3255A265EA25}">
    <text>Project On-Hold</text>
  </threadedComment>
  <threadedComment ref="BI221" dT="2024-10-18T04:54:46.00" personId="{6777EDD4-E46F-4979-A7E7-6FC0A82E0C8E}" id="{15CD3BCA-9578-45AA-B76B-0BC1B0E09838}">
    <text>Project On-Hold</text>
  </threadedComment>
  <threadedComment ref="BJ221" dT="2024-10-18T04:54:46.00" personId="{6777EDD4-E46F-4979-A7E7-6FC0A82E0C8E}" id="{BF55430C-09E6-4824-ACB5-D4AD941D058E}">
    <text>Project On-Hold</text>
  </threadedComment>
  <threadedComment ref="BK221" dT="2024-10-18T04:54:46.00" personId="{6777EDD4-E46F-4979-A7E7-6FC0A82E0C8E}" id="{002B7DBA-19E5-4072-933B-F53552F63F2C}">
    <text>Project On-Hold</text>
  </threadedComment>
  <threadedComment ref="BL221" dT="2024-10-18T04:54:46.00" personId="{6777EDD4-E46F-4979-A7E7-6FC0A82E0C8E}" id="{22575044-8F5A-4E1D-8E08-6750C38F8335}">
    <text>Project On-Hold</text>
  </threadedComment>
  <threadedComment ref="BM221" dT="2024-10-18T04:54:46.00" personId="{6777EDD4-E46F-4979-A7E7-6FC0A82E0C8E}" id="{FBF5687A-62A0-449B-8C6B-52725DAC69FD}">
    <text>Project On-Hold</text>
  </threadedComment>
  <threadedComment ref="BN221" dT="2024-10-18T04:54:46.00" personId="{6777EDD4-E46F-4979-A7E7-6FC0A82E0C8E}" id="{AB1F61F0-E0FE-4C94-810F-120499FAA22D}">
    <text>Project On-Hold</text>
  </threadedComment>
  <threadedComment ref="BP221" dT="2024-10-18T04:54:46.00" personId="{6777EDD4-E46F-4979-A7E7-6FC0A82E0C8E}" id="{B8DF4D34-0386-4FAE-B844-A23D235F00F5}">
    <text>Project On-Hold</text>
  </threadedComment>
  <threadedComment ref="BR221" dT="2024-10-18T04:54:46.00" personId="{6777EDD4-E46F-4979-A7E7-6FC0A82E0C8E}" id="{62F9B72F-49B4-4F44-A0B6-65486EBC756C}">
    <text>Project On-Hold</text>
  </threadedComment>
  <threadedComment ref="BS221" dT="2024-10-18T04:54:46.00" personId="{6777EDD4-E46F-4979-A7E7-6FC0A82E0C8E}" id="{40A70A05-4A7A-4811-96F2-67013A484D9C}">
    <text>Project On-Hold</text>
  </threadedComment>
  <threadedComment ref="BU221" dT="2024-10-18T04:54:46.00" personId="{6777EDD4-E46F-4979-A7E7-6FC0A82E0C8E}" id="{BCAA8AD3-2280-4DF8-86F4-72A225A33ED8}">
    <text>Project On-Hold</text>
  </threadedComment>
  <threadedComment ref="W222" dT="2024-08-13T11:00:34.25" personId="{728803BD-3A25-4F6F-BA7C-1EDF8A148B73}" id="{2D8E9275-10FE-4E01-BD65-CA4A7E95B802}">
    <text>No joiners in the month of Jul'24</text>
  </threadedComment>
  <threadedComment ref="AA222" dT="2024-10-18T04:56:20.13" personId="{6777EDD4-E46F-4979-A7E7-6FC0A82E0C8E}" id="{288840DE-73E7-44A8-8AF5-56F68E9BCD17}">
    <text>Project On-Hold</text>
  </threadedComment>
  <threadedComment ref="AB222" dT="2024-10-18T04:56:20.13" personId="{6777EDD4-E46F-4979-A7E7-6FC0A82E0C8E}" id="{ABC63501-F301-4E33-BDE2-7E02CC535C66}">
    <text>Project On-Hold</text>
  </threadedComment>
  <threadedComment ref="AC222" dT="2024-10-18T04:56:20.13" personId="{6777EDD4-E46F-4979-A7E7-6FC0A82E0C8E}" id="{9C4FFE1E-4313-4BEC-8446-263AFF249398}">
    <text>Project On-Hold</text>
  </threadedComment>
  <threadedComment ref="AD222" dT="2024-10-18T04:56:20.13" personId="{6777EDD4-E46F-4979-A7E7-6FC0A82E0C8E}" id="{858B8090-1F42-4208-A959-5D69A73716EB}">
    <text>Project On-Hold</text>
  </threadedComment>
  <threadedComment ref="AE222" dT="2024-10-18T04:56:20.13" personId="{6777EDD4-E46F-4979-A7E7-6FC0A82E0C8E}" id="{EAC10BE9-A8BA-4016-8A25-305416521095}">
    <text>Project On-Hold</text>
  </threadedComment>
  <threadedComment ref="AF222" dT="2024-10-18T04:56:20.13" personId="{6777EDD4-E46F-4979-A7E7-6FC0A82E0C8E}" id="{484229C3-9ED3-4832-8E87-21DC281ABBED}">
    <text>Project On-Hold</text>
  </threadedComment>
  <threadedComment ref="AG222" dT="2024-10-18T04:56:20.13" personId="{6777EDD4-E46F-4979-A7E7-6FC0A82E0C8E}" id="{0DF995CD-8C2A-4AE1-B464-F585B5AD75C4}">
    <text>Project On-Hold</text>
  </threadedComment>
  <threadedComment ref="AH222" dT="2024-10-18T04:56:20.13" personId="{6777EDD4-E46F-4979-A7E7-6FC0A82E0C8E}" id="{A62342E4-215D-4EAA-9957-D1587440FA8D}">
    <text>Project On-Hold</text>
  </threadedComment>
  <threadedComment ref="AI222" dT="2024-10-18T04:56:20.13" personId="{6777EDD4-E46F-4979-A7E7-6FC0A82E0C8E}" id="{F10C93FA-C49F-42A0-B8A6-26B13B1A8FA8}">
    <text>Project On-Hold</text>
  </threadedComment>
  <threadedComment ref="AJ222" dT="2024-10-18T04:56:20.13" personId="{6777EDD4-E46F-4979-A7E7-6FC0A82E0C8E}" id="{220CE54F-4549-479E-AA28-06F9B12AF0EF}">
    <text>Project On-Hold</text>
  </threadedComment>
  <threadedComment ref="AK222" dT="2024-10-18T04:56:20.13" personId="{6777EDD4-E46F-4979-A7E7-6FC0A82E0C8E}" id="{B9D79411-2CF7-459F-AC90-83BB618BC2A0}">
    <text>Project On-Hold</text>
  </threadedComment>
  <threadedComment ref="AL222" dT="2024-10-18T04:56:20.13" personId="{6777EDD4-E46F-4979-A7E7-6FC0A82E0C8E}" id="{FDFF02B8-4FA1-410A-8AD4-93A294DDC42F}">
    <text>Project On-Hold</text>
  </threadedComment>
  <threadedComment ref="AM222" dT="2024-10-18T04:56:20.13" personId="{6777EDD4-E46F-4979-A7E7-6FC0A82E0C8E}" id="{3A09E158-10F8-4D66-BA84-D65CBF9DE8E8}">
    <text>Project On-Hold</text>
  </threadedComment>
  <threadedComment ref="AN222" dT="2024-10-18T04:56:20.13" personId="{6777EDD4-E46F-4979-A7E7-6FC0A82E0C8E}" id="{9582BFF0-8AE7-4915-917D-7F2FD20BC6E8}">
    <text>Project On-Hold</text>
  </threadedComment>
  <threadedComment ref="AO222" dT="2024-10-18T04:54:46.00" personId="{6777EDD4-E46F-4979-A7E7-6FC0A82E0C8E}" id="{7A2B1E6A-1F3B-4BFC-9574-77BF2ED4BC23}">
    <text>Project On-Hold</text>
  </threadedComment>
  <threadedComment ref="AP222" dT="2024-10-18T04:54:46.00" personId="{6777EDD4-E46F-4979-A7E7-6FC0A82E0C8E}" id="{60B0919D-6225-4293-911B-E7D1D9404BBE}">
    <text>Project On-Hold</text>
  </threadedComment>
  <threadedComment ref="AQ222" dT="2024-10-18T04:54:46.00" personId="{6777EDD4-E46F-4979-A7E7-6FC0A82E0C8E}" id="{70B3D214-E721-452B-920D-86882EB1EBBB}">
    <text>Project On-Hold</text>
  </threadedComment>
  <threadedComment ref="AR222" dT="2024-10-18T04:54:46.00" personId="{6777EDD4-E46F-4979-A7E7-6FC0A82E0C8E}" id="{C95D4E14-2069-46B6-ACCB-722EEF4FC6D0}">
    <text>Project On-Hold</text>
  </threadedComment>
  <threadedComment ref="AS222" dT="2024-10-18T04:54:46.00" personId="{6777EDD4-E46F-4979-A7E7-6FC0A82E0C8E}" id="{FBDB8656-24DE-4D13-8209-8D4F4AB2879C}">
    <text>Project On-Hold</text>
  </threadedComment>
  <threadedComment ref="AT222" dT="2024-10-18T04:54:46.00" personId="{6777EDD4-E46F-4979-A7E7-6FC0A82E0C8E}" id="{9ADE8F39-5E6C-4813-BA7C-F80E46CE6EDD}">
    <text>Project On-Hold</text>
  </threadedComment>
  <threadedComment ref="AU222" dT="2024-10-18T04:54:46.00" personId="{6777EDD4-E46F-4979-A7E7-6FC0A82E0C8E}" id="{03A24307-1C03-4382-B6EA-381D0F8F2591}">
    <text>Project On-Hold</text>
  </threadedComment>
  <threadedComment ref="AV222" dT="2024-10-18T04:54:46.00" personId="{6777EDD4-E46F-4979-A7E7-6FC0A82E0C8E}" id="{352686E7-BDFC-485F-AF7A-79ACB0908957}">
    <text>Project On-Hold</text>
  </threadedComment>
  <threadedComment ref="AW222" dT="2024-10-18T04:54:46.00" personId="{6777EDD4-E46F-4979-A7E7-6FC0A82E0C8E}" id="{A59D7FC6-B8F8-48F1-ADEC-6BD8BFD9A779}">
    <text>Project On-Hold</text>
  </threadedComment>
  <threadedComment ref="AX222" dT="2024-10-18T04:54:46.00" personId="{6777EDD4-E46F-4979-A7E7-6FC0A82E0C8E}" id="{396ECE29-7D05-41D9-A971-18D28DF6A0E9}">
    <text>Project On-Hold</text>
  </threadedComment>
  <threadedComment ref="AY222" dT="2024-10-18T04:54:46.00" personId="{6777EDD4-E46F-4979-A7E7-6FC0A82E0C8E}" id="{C8118E69-C87B-4E63-AB7E-479AB114F1F2}">
    <text>Project On-Hold</text>
  </threadedComment>
  <threadedComment ref="AZ222" dT="2024-10-18T04:54:46.00" personId="{6777EDD4-E46F-4979-A7E7-6FC0A82E0C8E}" id="{A917EC5C-281F-4EB5-88DC-E50EA2F9A431}">
    <text>Project On-Hold</text>
  </threadedComment>
  <threadedComment ref="BA222" dT="2024-10-18T04:54:46.00" personId="{6777EDD4-E46F-4979-A7E7-6FC0A82E0C8E}" id="{2EA1EC82-B881-4CA0-ACF4-176ACDD2F36E}">
    <text>Project On-Hold</text>
  </threadedComment>
  <threadedComment ref="BB222" dT="2024-10-18T04:54:46.00" personId="{6777EDD4-E46F-4979-A7E7-6FC0A82E0C8E}" id="{96B88FE8-614D-4423-A299-7059482C49C6}">
    <text>Project On-Hold</text>
  </threadedComment>
  <threadedComment ref="BC222" dT="2024-10-18T04:54:46.00" personId="{6777EDD4-E46F-4979-A7E7-6FC0A82E0C8E}" id="{8ADEB362-50A0-453B-933B-2B6804E0972E}">
    <text>Project On-Hold</text>
  </threadedComment>
  <threadedComment ref="BD222" dT="2024-10-18T04:54:46.00" personId="{6777EDD4-E46F-4979-A7E7-6FC0A82E0C8E}" id="{60523F58-F682-4BA2-9342-94B95A097FF7}">
    <text>Project On-Hold</text>
  </threadedComment>
  <threadedComment ref="BE222" dT="2024-10-18T04:54:46.00" personId="{6777EDD4-E46F-4979-A7E7-6FC0A82E0C8E}" id="{A22E9039-131B-4276-BFED-C9C0D7E1CC76}">
    <text>Project On-Hold</text>
  </threadedComment>
  <threadedComment ref="BF222" dT="2024-10-18T04:54:46.00" personId="{6777EDD4-E46F-4979-A7E7-6FC0A82E0C8E}" id="{E34285AB-D075-4BDF-8301-C09E11DA2CBF}">
    <text>Project On-Hold</text>
  </threadedComment>
  <threadedComment ref="BG222" dT="2024-10-18T04:54:46.00" personId="{6777EDD4-E46F-4979-A7E7-6FC0A82E0C8E}" id="{DF7221F2-454F-4EC1-AC6C-5FAF61F85426}">
    <text>Project On-Hold</text>
  </threadedComment>
  <threadedComment ref="BH222" dT="2024-10-18T04:54:46.00" personId="{6777EDD4-E46F-4979-A7E7-6FC0A82E0C8E}" id="{6E82B03C-006C-4D20-877E-B6678E35EBD5}">
    <text>Project On-Hold</text>
  </threadedComment>
  <threadedComment ref="BI222" dT="2024-10-18T04:54:46.00" personId="{6777EDD4-E46F-4979-A7E7-6FC0A82E0C8E}" id="{26972398-1639-4C1A-95AD-35FB4B087C28}">
    <text>Project On-Hold</text>
  </threadedComment>
  <threadedComment ref="BJ222" dT="2024-10-18T04:54:46.00" personId="{6777EDD4-E46F-4979-A7E7-6FC0A82E0C8E}" id="{87C783A7-18B9-4CAD-8028-6A1DCF3C2001}">
    <text>Project On-Hold</text>
  </threadedComment>
  <threadedComment ref="BK222" dT="2024-10-18T04:54:46.00" personId="{6777EDD4-E46F-4979-A7E7-6FC0A82E0C8E}" id="{39AC0D10-FC01-426F-9101-4C9BFDACFD0F}">
    <text>Project On-Hold</text>
  </threadedComment>
  <threadedComment ref="BL222" dT="2024-10-18T04:54:46.00" personId="{6777EDD4-E46F-4979-A7E7-6FC0A82E0C8E}" id="{11161EBC-591D-4E20-9158-83283FA93E2D}">
    <text>Project On-Hold</text>
  </threadedComment>
  <threadedComment ref="BM222" dT="2024-10-18T04:54:46.00" personId="{6777EDD4-E46F-4979-A7E7-6FC0A82E0C8E}" id="{DEC747FC-C1BF-4D3E-84FF-9A7F7CBEE612}">
    <text>Project On-Hold</text>
  </threadedComment>
  <threadedComment ref="BN222" dT="2024-10-18T04:54:46.00" personId="{6777EDD4-E46F-4979-A7E7-6FC0A82E0C8E}" id="{79B83BE3-8638-4A42-B52E-DEB385776423}">
    <text>Project On-Hold</text>
  </threadedComment>
  <threadedComment ref="BP222" dT="2024-10-18T04:54:46.00" personId="{6777EDD4-E46F-4979-A7E7-6FC0A82E0C8E}" id="{EB70AF01-9672-4F44-BD7E-B9D89684B706}">
    <text>Project On-Hold</text>
  </threadedComment>
  <threadedComment ref="BR222" dT="2024-10-18T04:54:46.00" personId="{6777EDD4-E46F-4979-A7E7-6FC0A82E0C8E}" id="{D2A5AA3C-D105-4B3D-AB49-B70C0746B437}">
    <text>Project On-Hold</text>
  </threadedComment>
  <threadedComment ref="BS222" dT="2024-10-18T04:54:46.00" personId="{6777EDD4-E46F-4979-A7E7-6FC0A82E0C8E}" id="{61C31DB9-B433-421C-94B3-0766BEB6A0FE}">
    <text>Project On-Hold</text>
  </threadedComment>
  <threadedComment ref="BU222" dT="2024-10-18T04:54:46.00" personId="{6777EDD4-E46F-4979-A7E7-6FC0A82E0C8E}" id="{66908BED-2F0C-4267-9671-073343C14FD6}">
    <text>Project On-Hold</text>
  </threadedComment>
  <threadedComment ref="AA223" dT="2024-10-18T04:56:20.13" personId="{6777EDD4-E46F-4979-A7E7-6FC0A82E0C8E}" id="{FD47BA12-FF94-4EE2-95B4-634CBA88FCC2}">
    <text>Project On-Hold</text>
  </threadedComment>
  <threadedComment ref="AB223" dT="2024-10-18T04:56:20.13" personId="{6777EDD4-E46F-4979-A7E7-6FC0A82E0C8E}" id="{3ECF65AC-68F2-476A-A77D-6191F82D2576}">
    <text>Project On-Hold</text>
  </threadedComment>
  <threadedComment ref="AC223" dT="2024-10-18T04:56:20.13" personId="{6777EDD4-E46F-4979-A7E7-6FC0A82E0C8E}" id="{77B6B7B2-33CD-44F8-A651-1D4E17A09600}">
    <text>Project On-Hold</text>
  </threadedComment>
  <threadedComment ref="AD223" dT="2024-10-18T04:56:20.13" personId="{6777EDD4-E46F-4979-A7E7-6FC0A82E0C8E}" id="{9983E294-EA5D-4017-AFD6-15F7BFF4AC4D}">
    <text>Project On-Hold</text>
  </threadedComment>
  <threadedComment ref="AE223" dT="2024-10-18T04:56:20.13" personId="{6777EDD4-E46F-4979-A7E7-6FC0A82E0C8E}" id="{5AA543BF-CD23-4E9E-96CB-131C93DF5DED}">
    <text>Project On-Hold</text>
  </threadedComment>
  <threadedComment ref="AF223" dT="2024-10-18T04:56:20.13" personId="{6777EDD4-E46F-4979-A7E7-6FC0A82E0C8E}" id="{EF16E913-52BF-458D-8745-1BDBE47B2A27}">
    <text>Project On-Hold</text>
  </threadedComment>
  <threadedComment ref="AG223" dT="2024-10-18T04:56:20.13" personId="{6777EDD4-E46F-4979-A7E7-6FC0A82E0C8E}" id="{09140BA1-8AC0-4528-8C92-E98B2B3D609C}">
    <text>Project On-Hold</text>
  </threadedComment>
  <threadedComment ref="AH223" dT="2024-10-18T04:56:20.13" personId="{6777EDD4-E46F-4979-A7E7-6FC0A82E0C8E}" id="{5DCF9C12-B8ED-4A7F-9041-D053F415A0E1}">
    <text>Project On-Hold</text>
  </threadedComment>
  <threadedComment ref="AI223" dT="2024-10-18T04:56:20.13" personId="{6777EDD4-E46F-4979-A7E7-6FC0A82E0C8E}" id="{B0E7D269-55FB-4197-85DE-B88F72ED19BF}">
    <text>Project On-Hold</text>
  </threadedComment>
  <threadedComment ref="AJ223" dT="2024-10-18T04:56:20.13" personId="{6777EDD4-E46F-4979-A7E7-6FC0A82E0C8E}" id="{2AEF24B1-5988-4195-8280-7D4C9E894C5E}">
    <text>Project On-Hold</text>
  </threadedComment>
  <threadedComment ref="AK223" dT="2024-10-18T04:56:20.13" personId="{6777EDD4-E46F-4979-A7E7-6FC0A82E0C8E}" id="{EA26867B-5106-4ED9-A96F-E155D1EEC50C}">
    <text>Project On-Hold</text>
  </threadedComment>
  <threadedComment ref="AL223" dT="2024-10-18T04:56:20.13" personId="{6777EDD4-E46F-4979-A7E7-6FC0A82E0C8E}" id="{D6C593FC-F335-4C89-AC74-0453366686C2}">
    <text>Project On-Hold</text>
  </threadedComment>
  <threadedComment ref="AM223" dT="2024-10-18T04:56:20.13" personId="{6777EDD4-E46F-4979-A7E7-6FC0A82E0C8E}" id="{2F2C9431-C9BE-4007-B493-FC63A5321216}">
    <text>Project On-Hold</text>
  </threadedComment>
  <threadedComment ref="AN223" dT="2024-10-18T04:56:20.13" personId="{6777EDD4-E46F-4979-A7E7-6FC0A82E0C8E}" id="{49A5BF6F-6CB2-4E91-9309-203AD83AAA46}">
    <text>Project On-Hold</text>
  </threadedComment>
  <threadedComment ref="AO223" dT="2024-10-18T04:54:46.00" personId="{6777EDD4-E46F-4979-A7E7-6FC0A82E0C8E}" id="{331819D5-FFC3-4092-B82F-E55D06D7E0B1}">
    <text>Project On-Hold</text>
  </threadedComment>
  <threadedComment ref="AP223" dT="2024-10-18T04:54:46.00" personId="{6777EDD4-E46F-4979-A7E7-6FC0A82E0C8E}" id="{A19043F7-5C15-488C-9D0B-EE5663FF86DB}">
    <text>Project On-Hold</text>
  </threadedComment>
  <threadedComment ref="AQ223" dT="2024-10-18T04:54:46.00" personId="{6777EDD4-E46F-4979-A7E7-6FC0A82E0C8E}" id="{BE8980E7-7422-4BC8-B70F-518D866540E7}">
    <text>Project On-Hold</text>
  </threadedComment>
  <threadedComment ref="AR223" dT="2024-10-18T04:54:46.00" personId="{6777EDD4-E46F-4979-A7E7-6FC0A82E0C8E}" id="{2628F8D5-B6DE-430C-A6D1-C8501FD4D0ED}">
    <text>Project On-Hold</text>
  </threadedComment>
  <threadedComment ref="AS223" dT="2024-10-18T04:54:46.00" personId="{6777EDD4-E46F-4979-A7E7-6FC0A82E0C8E}" id="{7F29D82A-17FF-4CAD-917B-0E071E0DEC4C}">
    <text>Project On-Hold</text>
  </threadedComment>
  <threadedComment ref="AT223" dT="2024-10-18T04:54:46.00" personId="{6777EDD4-E46F-4979-A7E7-6FC0A82E0C8E}" id="{4D218ACA-2E9B-4DF8-B56A-B71FF3CAAE87}">
    <text>Project On-Hold</text>
  </threadedComment>
  <threadedComment ref="AU223" dT="2024-10-18T04:54:46.00" personId="{6777EDD4-E46F-4979-A7E7-6FC0A82E0C8E}" id="{DE9CA5E9-7760-47DA-BDE6-7D669460E1BE}">
    <text>Project On-Hold</text>
  </threadedComment>
  <threadedComment ref="AV223" dT="2024-10-18T04:54:46.00" personId="{6777EDD4-E46F-4979-A7E7-6FC0A82E0C8E}" id="{B82C5BBE-59B0-4CEF-82C2-64CB09F1A8FB}">
    <text>Project On-Hold</text>
  </threadedComment>
  <threadedComment ref="AW223" dT="2024-10-18T04:54:46.00" personId="{6777EDD4-E46F-4979-A7E7-6FC0A82E0C8E}" id="{99B29888-2DD6-43E9-A17E-F6A4DD6FC006}">
    <text>Project On-Hold</text>
  </threadedComment>
  <threadedComment ref="AX223" dT="2024-10-18T04:54:46.00" personId="{6777EDD4-E46F-4979-A7E7-6FC0A82E0C8E}" id="{A5ACD43E-AB26-49CD-9486-C7F7D0C45B14}">
    <text>Project On-Hold</text>
  </threadedComment>
  <threadedComment ref="AY223" dT="2024-10-18T04:54:46.00" personId="{6777EDD4-E46F-4979-A7E7-6FC0A82E0C8E}" id="{3D196B65-C0EF-484E-B416-5A65C2629532}">
    <text>Project On-Hold</text>
  </threadedComment>
  <threadedComment ref="AZ223" dT="2024-10-18T04:54:46.00" personId="{6777EDD4-E46F-4979-A7E7-6FC0A82E0C8E}" id="{4FF6FFB6-D1D8-4253-AF81-790F26744893}">
    <text>Project On-Hold</text>
  </threadedComment>
  <threadedComment ref="BA223" dT="2024-10-18T04:54:46.00" personId="{6777EDD4-E46F-4979-A7E7-6FC0A82E0C8E}" id="{28C9849D-D30F-4CD6-ABE0-65C3FF3BE717}">
    <text>Project On-Hold</text>
  </threadedComment>
  <threadedComment ref="BB223" dT="2024-10-18T04:54:46.00" personId="{6777EDD4-E46F-4979-A7E7-6FC0A82E0C8E}" id="{12BFA61D-0327-4B8E-9A83-126609DAF738}">
    <text>Project On-Hold</text>
  </threadedComment>
  <threadedComment ref="BC223" dT="2024-10-18T04:54:46.00" personId="{6777EDD4-E46F-4979-A7E7-6FC0A82E0C8E}" id="{307DD103-ECFE-4C81-9B38-B2D74B0AA6A7}">
    <text>Project On-Hold</text>
  </threadedComment>
  <threadedComment ref="BD223" dT="2024-10-18T04:54:46.00" personId="{6777EDD4-E46F-4979-A7E7-6FC0A82E0C8E}" id="{E77C1C19-E735-4E8F-93B5-4F8075AB47F1}">
    <text>Project On-Hold</text>
  </threadedComment>
  <threadedComment ref="BE223" dT="2024-10-18T04:54:46.00" personId="{6777EDD4-E46F-4979-A7E7-6FC0A82E0C8E}" id="{9654E282-742A-433B-AEF8-0D5F9389010A}">
    <text>Project On-Hold</text>
  </threadedComment>
  <threadedComment ref="BF223" dT="2024-10-18T04:54:46.00" personId="{6777EDD4-E46F-4979-A7E7-6FC0A82E0C8E}" id="{75E674FC-9F00-4D81-9447-F84135D7E0A2}">
    <text>Project On-Hold</text>
  </threadedComment>
  <threadedComment ref="BG223" dT="2024-10-18T04:54:46.00" personId="{6777EDD4-E46F-4979-A7E7-6FC0A82E0C8E}" id="{58934A5C-A213-4D84-8DCA-FD99A7EA5F77}">
    <text>Project On-Hold</text>
  </threadedComment>
  <threadedComment ref="BH223" dT="2024-10-18T04:54:46.00" personId="{6777EDD4-E46F-4979-A7E7-6FC0A82E0C8E}" id="{33354205-2858-4EF3-8E41-3FA35A39FD8A}">
    <text>Project On-Hold</text>
  </threadedComment>
  <threadedComment ref="BI223" dT="2024-10-18T04:54:46.00" personId="{6777EDD4-E46F-4979-A7E7-6FC0A82E0C8E}" id="{D7961970-8CF0-4467-8EB3-4F8F0B429DDE}">
    <text>Project On-Hold</text>
  </threadedComment>
  <threadedComment ref="BJ223" dT="2024-10-18T04:54:46.00" personId="{6777EDD4-E46F-4979-A7E7-6FC0A82E0C8E}" id="{78E65FBF-3C42-4E80-A5E4-3D79FC1FCD84}">
    <text>Project On-Hold</text>
  </threadedComment>
  <threadedComment ref="BK223" dT="2024-10-18T04:54:46.00" personId="{6777EDD4-E46F-4979-A7E7-6FC0A82E0C8E}" id="{DC7D2664-E1C0-4425-AF35-6246CB3E4DD9}">
    <text>Project On-Hold</text>
  </threadedComment>
  <threadedComment ref="BL223" dT="2024-10-18T04:54:46.00" personId="{6777EDD4-E46F-4979-A7E7-6FC0A82E0C8E}" id="{44372C98-3E4E-4D99-8514-649D85586415}">
    <text>Project On-Hold</text>
  </threadedComment>
  <threadedComment ref="BM223" dT="2024-10-18T04:54:46.00" personId="{6777EDD4-E46F-4979-A7E7-6FC0A82E0C8E}" id="{D5C62456-EE9F-45D6-8DDA-94136BCFBAF7}">
    <text>Project On-Hold</text>
  </threadedComment>
  <threadedComment ref="BN223" dT="2024-10-18T04:54:46.00" personId="{6777EDD4-E46F-4979-A7E7-6FC0A82E0C8E}" id="{FEA44299-DC6C-4012-87AF-BB13FF8251EE}">
    <text>Project On-Hold</text>
  </threadedComment>
  <threadedComment ref="BP223" dT="2024-10-18T04:54:46.00" personId="{6777EDD4-E46F-4979-A7E7-6FC0A82E0C8E}" id="{003FB4DD-EA10-4BC3-BBBB-F3AF0D23A60E}">
    <text>Project On-Hold</text>
  </threadedComment>
  <threadedComment ref="BR223" dT="2024-10-18T04:54:46.00" personId="{6777EDD4-E46F-4979-A7E7-6FC0A82E0C8E}" id="{350590EC-5DC0-455E-BACB-2DEEA7DF0B41}">
    <text>Project On-Hold</text>
  </threadedComment>
  <threadedComment ref="BS223" dT="2024-10-18T04:54:46.00" personId="{6777EDD4-E46F-4979-A7E7-6FC0A82E0C8E}" id="{B0954262-2966-4D85-ADF7-C6D3AD6DE248}">
    <text>Project On-Hold</text>
  </threadedComment>
  <threadedComment ref="BU223" dT="2024-10-18T04:54:46.00" personId="{6777EDD4-E46F-4979-A7E7-6FC0A82E0C8E}" id="{2AF2024F-9D37-4CE6-8930-F90F527C16E2}">
    <text>Project On-Hold</text>
  </threadedComment>
  <threadedComment ref="S224" dT="2024-06-13T05:06:06.58" personId="{728803BD-3A25-4F6F-BA7C-1EDF8A148B73}" id="{84FF0DDE-7A9E-4C93-99F9-4D3ECCC2714E}">
    <text>No offer made in May'24</text>
  </threadedComment>
  <threadedComment ref="AA224" dT="2024-10-18T04:56:20.13" personId="{6777EDD4-E46F-4979-A7E7-6FC0A82E0C8E}" id="{C5B7FF1B-6AA2-4473-936A-CECEA43D8948}">
    <text>Project On-Hold</text>
  </threadedComment>
  <threadedComment ref="AB224" dT="2024-10-18T04:56:20.13" personId="{6777EDD4-E46F-4979-A7E7-6FC0A82E0C8E}" id="{8BC6D909-ECC6-465A-AC70-6D604EBE3FDD}">
    <text>Project On-Hold</text>
  </threadedComment>
  <threadedComment ref="AC224" dT="2024-10-18T04:56:20.13" personId="{6777EDD4-E46F-4979-A7E7-6FC0A82E0C8E}" id="{DF223733-B286-4B82-84AC-6B68C6DB55D6}">
    <text>Project On-Hold</text>
  </threadedComment>
  <threadedComment ref="AD224" dT="2024-10-18T04:56:20.13" personId="{6777EDD4-E46F-4979-A7E7-6FC0A82E0C8E}" id="{069721E0-CC90-4A97-A918-3ED3E605338E}">
    <text>Project On-Hold</text>
  </threadedComment>
  <threadedComment ref="AE224" dT="2024-10-18T04:56:20.13" personId="{6777EDD4-E46F-4979-A7E7-6FC0A82E0C8E}" id="{FCFAE6C6-6D07-4AE1-ABF5-724FEA836683}">
    <text>Project On-Hold</text>
  </threadedComment>
  <threadedComment ref="AF224" dT="2024-10-18T04:56:20.13" personId="{6777EDD4-E46F-4979-A7E7-6FC0A82E0C8E}" id="{6A5BCEAA-EE98-4A69-AAB9-47594AF56D28}">
    <text>Project On-Hold</text>
  </threadedComment>
  <threadedComment ref="AG224" dT="2024-10-18T04:56:20.13" personId="{6777EDD4-E46F-4979-A7E7-6FC0A82E0C8E}" id="{7F171177-3217-4663-B76D-B3DC8ED7E971}">
    <text>Project On-Hold</text>
  </threadedComment>
  <threadedComment ref="AH224" dT="2024-10-18T04:56:20.13" personId="{6777EDD4-E46F-4979-A7E7-6FC0A82E0C8E}" id="{E4250DA4-DA1A-4BFB-A2AE-EAAE78BDE206}">
    <text>Project On-Hold</text>
  </threadedComment>
  <threadedComment ref="AI224" dT="2024-10-18T04:56:20.13" personId="{6777EDD4-E46F-4979-A7E7-6FC0A82E0C8E}" id="{14DEAE47-B231-4C29-A683-219560027C70}">
    <text>Project On-Hold</text>
  </threadedComment>
  <threadedComment ref="AJ224" dT="2024-10-18T04:56:20.13" personId="{6777EDD4-E46F-4979-A7E7-6FC0A82E0C8E}" id="{6911C88A-68D0-4898-A19D-62A983C5CF48}">
    <text>Project On-Hold</text>
  </threadedComment>
  <threadedComment ref="AK224" dT="2024-10-18T04:56:20.13" personId="{6777EDD4-E46F-4979-A7E7-6FC0A82E0C8E}" id="{70C50A70-755E-459E-9F47-3A0B0D460DE9}">
    <text>Project On-Hold</text>
  </threadedComment>
  <threadedComment ref="AL224" dT="2024-10-18T04:56:20.13" personId="{6777EDD4-E46F-4979-A7E7-6FC0A82E0C8E}" id="{B2B02B4C-FBFD-418C-80D1-3B79D818327C}">
    <text>Project On-Hold</text>
  </threadedComment>
  <threadedComment ref="AM224" dT="2024-10-18T04:56:20.13" personId="{6777EDD4-E46F-4979-A7E7-6FC0A82E0C8E}" id="{C2F1A6A2-E573-41EC-AD61-0314465A8F35}">
    <text>Project On-Hold</text>
  </threadedComment>
  <threadedComment ref="AN224" dT="2024-10-18T04:56:20.13" personId="{6777EDD4-E46F-4979-A7E7-6FC0A82E0C8E}" id="{91B7446C-EE96-4E7F-AA04-11F5450C8D21}">
    <text>Project On-Hold</text>
  </threadedComment>
  <threadedComment ref="AO224" dT="2024-10-18T04:54:46.00" personId="{6777EDD4-E46F-4979-A7E7-6FC0A82E0C8E}" id="{107ECB57-EC79-4299-98A6-D69C5F8EC434}">
    <text>Project On-Hold</text>
  </threadedComment>
  <threadedComment ref="AP224" dT="2024-10-18T04:54:46.00" personId="{6777EDD4-E46F-4979-A7E7-6FC0A82E0C8E}" id="{A0018C53-ADEF-4ED8-AE4D-4EA1CDB71201}">
    <text>Project On-Hold</text>
  </threadedComment>
  <threadedComment ref="AQ224" dT="2024-10-18T04:54:46.00" personId="{6777EDD4-E46F-4979-A7E7-6FC0A82E0C8E}" id="{1D98822F-E09E-4DB9-8CB6-D1BA87B61AE1}">
    <text>Project On-Hold</text>
  </threadedComment>
  <threadedComment ref="AR224" dT="2024-10-18T04:54:46.00" personId="{6777EDD4-E46F-4979-A7E7-6FC0A82E0C8E}" id="{D16F05B1-F2B6-4B79-85F5-54AA4FEFE62F}">
    <text>Project On-Hold</text>
  </threadedComment>
  <threadedComment ref="AS224" dT="2024-10-18T04:54:46.00" personId="{6777EDD4-E46F-4979-A7E7-6FC0A82E0C8E}" id="{5FDB2DCB-7DF0-439D-B08A-841A705AAA06}">
    <text>Project On-Hold</text>
  </threadedComment>
  <threadedComment ref="AT224" dT="2024-10-18T04:54:46.00" personId="{6777EDD4-E46F-4979-A7E7-6FC0A82E0C8E}" id="{3C484915-0393-4242-A3CC-7DC962E41D77}">
    <text>Project On-Hold</text>
  </threadedComment>
  <threadedComment ref="AU224" dT="2024-10-18T04:54:46.00" personId="{6777EDD4-E46F-4979-A7E7-6FC0A82E0C8E}" id="{BFCF7CB4-B200-4250-9B1C-45C304C222E0}">
    <text>Project On-Hold</text>
  </threadedComment>
  <threadedComment ref="AV224" dT="2024-10-18T04:54:46.00" personId="{6777EDD4-E46F-4979-A7E7-6FC0A82E0C8E}" id="{D92E1C0A-0089-4C6F-93AC-D7D4F02ACD3F}">
    <text>Project On-Hold</text>
  </threadedComment>
  <threadedComment ref="AW224" dT="2024-10-18T04:54:46.00" personId="{6777EDD4-E46F-4979-A7E7-6FC0A82E0C8E}" id="{04D81FF7-6C2B-405E-84F8-3F43C9B744B3}">
    <text>Project On-Hold</text>
  </threadedComment>
  <threadedComment ref="AX224" dT="2024-10-18T04:54:46.00" personId="{6777EDD4-E46F-4979-A7E7-6FC0A82E0C8E}" id="{5801AE9C-1C3F-42D1-AB9F-DC06D1DCDFEF}">
    <text>Project On-Hold</text>
  </threadedComment>
  <threadedComment ref="AY224" dT="2024-10-18T04:54:46.00" personId="{6777EDD4-E46F-4979-A7E7-6FC0A82E0C8E}" id="{8D931092-3A4B-49C5-82B5-84B8524C9316}">
    <text>Project On-Hold</text>
  </threadedComment>
  <threadedComment ref="AZ224" dT="2024-10-18T04:54:46.00" personId="{6777EDD4-E46F-4979-A7E7-6FC0A82E0C8E}" id="{7ECAC983-CC06-4829-8D09-A1C661DD72AA}">
    <text>Project On-Hold</text>
  </threadedComment>
  <threadedComment ref="BA224" dT="2024-10-18T04:54:46.00" personId="{6777EDD4-E46F-4979-A7E7-6FC0A82E0C8E}" id="{6BDD758C-5922-4382-A2EF-4D090ECA3CDE}">
    <text>Project On-Hold</text>
  </threadedComment>
  <threadedComment ref="BB224" dT="2024-10-18T04:54:46.00" personId="{6777EDD4-E46F-4979-A7E7-6FC0A82E0C8E}" id="{400992EB-92FD-4A9E-92ED-AB0EFE5EF5A6}">
    <text>Project On-Hold</text>
  </threadedComment>
  <threadedComment ref="BC224" dT="2024-10-18T04:54:46.00" personId="{6777EDD4-E46F-4979-A7E7-6FC0A82E0C8E}" id="{C37857A5-D7F0-428D-8365-5A8D47C504F2}">
    <text>Project On-Hold</text>
  </threadedComment>
  <threadedComment ref="BD224" dT="2024-10-18T04:54:46.00" personId="{6777EDD4-E46F-4979-A7E7-6FC0A82E0C8E}" id="{2FD6CE7C-6D10-4084-8913-3F56B0B93EA6}">
    <text>Project On-Hold</text>
  </threadedComment>
  <threadedComment ref="BE224" dT="2024-10-18T04:54:46.00" personId="{6777EDD4-E46F-4979-A7E7-6FC0A82E0C8E}" id="{BD34F09A-D7C3-4ACD-922E-B77FBC21E455}">
    <text>Project On-Hold</text>
  </threadedComment>
  <threadedComment ref="BF224" dT="2024-10-18T04:54:46.00" personId="{6777EDD4-E46F-4979-A7E7-6FC0A82E0C8E}" id="{51020C48-24D7-4364-B4F6-6B53B60F34C6}">
    <text>Project On-Hold</text>
  </threadedComment>
  <threadedComment ref="BG224" dT="2024-10-18T04:54:46.00" personId="{6777EDD4-E46F-4979-A7E7-6FC0A82E0C8E}" id="{39578734-BC5A-46F2-BAA0-C49FBCD2A6B4}">
    <text>Project On-Hold</text>
  </threadedComment>
  <threadedComment ref="BH224" dT="2024-10-18T04:54:46.00" personId="{6777EDD4-E46F-4979-A7E7-6FC0A82E0C8E}" id="{70BD9B1E-116A-47FD-BEC2-04BE3B4E9834}">
    <text>Project On-Hold</text>
  </threadedComment>
  <threadedComment ref="BI224" dT="2024-10-18T04:54:46.00" personId="{6777EDD4-E46F-4979-A7E7-6FC0A82E0C8E}" id="{50784C43-1325-472E-BC96-5942C8408EF7}">
    <text>Project On-Hold</text>
  </threadedComment>
  <threadedComment ref="BJ224" dT="2024-10-18T04:54:46.00" personId="{6777EDD4-E46F-4979-A7E7-6FC0A82E0C8E}" id="{98E03FA8-6820-45A4-BB5A-EB7406D57862}">
    <text>Project On-Hold</text>
  </threadedComment>
  <threadedComment ref="BK224" dT="2024-10-18T04:54:46.00" personId="{6777EDD4-E46F-4979-A7E7-6FC0A82E0C8E}" id="{BFEF5912-532F-4BFC-8467-2E42032113F0}">
    <text>Project On-Hold</text>
  </threadedComment>
  <threadedComment ref="BL224" dT="2024-10-18T04:54:46.00" personId="{6777EDD4-E46F-4979-A7E7-6FC0A82E0C8E}" id="{9903906C-B62A-46A3-9B27-41DF00CCFDB7}">
    <text>Project On-Hold</text>
  </threadedComment>
  <threadedComment ref="BM224" dT="2024-10-18T04:54:46.00" personId="{6777EDD4-E46F-4979-A7E7-6FC0A82E0C8E}" id="{EF9D8537-58B2-4A90-AB56-D4E9D22710A7}">
    <text>Project On-Hold</text>
  </threadedComment>
  <threadedComment ref="BN224" dT="2024-10-18T04:54:46.00" personId="{6777EDD4-E46F-4979-A7E7-6FC0A82E0C8E}" id="{B3D82E83-33D8-4147-98CC-05E9FE2F5066}">
    <text>Project On-Hold</text>
  </threadedComment>
  <threadedComment ref="BP224" dT="2024-10-18T04:54:46.00" personId="{6777EDD4-E46F-4979-A7E7-6FC0A82E0C8E}" id="{E315B3AC-4AA3-4DE9-AF2B-ACBD5B818613}">
    <text>Project On-Hold</text>
  </threadedComment>
  <threadedComment ref="BR224" dT="2024-10-18T04:54:46.00" personId="{6777EDD4-E46F-4979-A7E7-6FC0A82E0C8E}" id="{2BE0D43F-ECFA-4CD2-8158-2E447DAA9420}">
    <text>Project On-Hold</text>
  </threadedComment>
  <threadedComment ref="BS224" dT="2024-10-18T04:54:46.00" personId="{6777EDD4-E46F-4979-A7E7-6FC0A82E0C8E}" id="{756FCEF4-C6AA-4D25-962D-08F108A748AC}">
    <text>Project On-Hold</text>
  </threadedComment>
  <threadedComment ref="BU224" dT="2024-10-18T04:54:46.00" personId="{6777EDD4-E46F-4979-A7E7-6FC0A82E0C8E}" id="{90717DCF-731E-484A-BB7E-F14D7A800DDA}">
    <text>Project On-Hold</text>
  </threadedComment>
  <threadedComment ref="AA225" dT="2024-10-18T04:56:20.13" personId="{6777EDD4-E46F-4979-A7E7-6FC0A82E0C8E}" id="{FB74C034-8080-4746-A043-C3734C529D23}">
    <text>Project On-Hold</text>
  </threadedComment>
  <threadedComment ref="AB225" dT="2024-10-18T04:56:20.13" personId="{6777EDD4-E46F-4979-A7E7-6FC0A82E0C8E}" id="{FA16904E-2BE4-4893-AAD2-30C2DB0D2C4F}">
    <text>Project On-Hold</text>
  </threadedComment>
  <threadedComment ref="AC225" dT="2024-10-18T04:56:20.13" personId="{6777EDD4-E46F-4979-A7E7-6FC0A82E0C8E}" id="{F23BB136-D7F6-4392-BF1D-1265698AFF14}">
    <text>Project On-Hold</text>
  </threadedComment>
  <threadedComment ref="AD225" dT="2024-10-18T04:56:20.13" personId="{6777EDD4-E46F-4979-A7E7-6FC0A82E0C8E}" id="{CE61A29C-F89E-4B84-AE55-B4F03958673E}">
    <text>Project On-Hold</text>
  </threadedComment>
  <threadedComment ref="AE225" dT="2024-10-18T04:56:20.13" personId="{6777EDD4-E46F-4979-A7E7-6FC0A82E0C8E}" id="{B5C58670-364E-4940-91CB-CFCAEB864238}">
    <text>Project On-Hold</text>
  </threadedComment>
  <threadedComment ref="AF225" dT="2024-10-18T04:56:20.13" personId="{6777EDD4-E46F-4979-A7E7-6FC0A82E0C8E}" id="{EE071472-9B05-4F2D-8F5E-F71AE3D2CDFD}">
    <text>Project On-Hold</text>
  </threadedComment>
  <threadedComment ref="AG225" dT="2024-10-18T04:56:20.13" personId="{6777EDD4-E46F-4979-A7E7-6FC0A82E0C8E}" id="{C973DDE5-3A42-4A05-8E71-876CF0C62400}">
    <text>Project On-Hold</text>
  </threadedComment>
  <threadedComment ref="AH225" dT="2024-10-18T04:56:20.13" personId="{6777EDD4-E46F-4979-A7E7-6FC0A82E0C8E}" id="{B47A980C-02B0-4394-82D5-8CBEF75A96B9}">
    <text>Project On-Hold</text>
  </threadedComment>
  <threadedComment ref="AI225" dT="2024-10-18T04:56:20.13" personId="{6777EDD4-E46F-4979-A7E7-6FC0A82E0C8E}" id="{B4C63377-8492-494D-B2E9-A55BDFE3DDB3}">
    <text>Project On-Hold</text>
  </threadedComment>
  <threadedComment ref="AJ225" dT="2024-10-18T04:56:20.13" personId="{6777EDD4-E46F-4979-A7E7-6FC0A82E0C8E}" id="{82F2DF3A-25ED-423D-BEB6-8A085877C0D1}">
    <text>Project On-Hold</text>
  </threadedComment>
  <threadedComment ref="AK225" dT="2024-10-18T04:56:20.13" personId="{6777EDD4-E46F-4979-A7E7-6FC0A82E0C8E}" id="{ECA70F8B-859D-48F7-941F-627B9EB267EF}">
    <text>Project On-Hold</text>
  </threadedComment>
  <threadedComment ref="AL225" dT="2024-10-18T04:56:20.13" personId="{6777EDD4-E46F-4979-A7E7-6FC0A82E0C8E}" id="{8071BEC1-EAA4-4559-902B-C965BE277210}">
    <text>Project On-Hold</text>
  </threadedComment>
  <threadedComment ref="AM225" dT="2024-10-18T04:56:20.13" personId="{6777EDD4-E46F-4979-A7E7-6FC0A82E0C8E}" id="{15D4E7F5-17C1-4C1C-9742-1AFFFC6170A9}">
    <text>Project On-Hold</text>
  </threadedComment>
  <threadedComment ref="AN225" dT="2024-10-18T04:56:20.13" personId="{6777EDD4-E46F-4979-A7E7-6FC0A82E0C8E}" id="{6F2BD537-60FB-4535-A2A4-4BC703EA4CA9}">
    <text>Project On-Hold</text>
  </threadedComment>
  <threadedComment ref="AO225" dT="2024-10-18T04:54:46.00" personId="{6777EDD4-E46F-4979-A7E7-6FC0A82E0C8E}" id="{BDADA285-CCC4-4132-BD88-8E1093D44165}">
    <text>Project On-Hold</text>
  </threadedComment>
  <threadedComment ref="AP225" dT="2024-10-18T04:54:46.00" personId="{6777EDD4-E46F-4979-A7E7-6FC0A82E0C8E}" id="{D22DB8E8-2D5A-4E88-A9CB-BEAEA4F9BBD8}">
    <text>Project On-Hold</text>
  </threadedComment>
  <threadedComment ref="AQ225" dT="2024-10-18T04:54:46.00" personId="{6777EDD4-E46F-4979-A7E7-6FC0A82E0C8E}" id="{11CF78F2-BCEA-42AD-A52F-86931CC7832D}">
    <text>Project On-Hold</text>
  </threadedComment>
  <threadedComment ref="AR225" dT="2024-10-18T04:54:46.00" personId="{6777EDD4-E46F-4979-A7E7-6FC0A82E0C8E}" id="{FA306C7A-D6A8-47D1-81CB-AD8638A37DEE}">
    <text>Project On-Hold</text>
  </threadedComment>
  <threadedComment ref="AS225" dT="2024-10-18T04:54:46.00" personId="{6777EDD4-E46F-4979-A7E7-6FC0A82E0C8E}" id="{C63076E7-78E5-4084-A317-661545520473}">
    <text>Project On-Hold</text>
  </threadedComment>
  <threadedComment ref="AT225" dT="2024-10-18T04:54:46.00" personId="{6777EDD4-E46F-4979-A7E7-6FC0A82E0C8E}" id="{771800BC-B5C4-4FBE-81D2-DEF6B8EFAFF3}">
    <text>Project On-Hold</text>
  </threadedComment>
  <threadedComment ref="AU225" dT="2024-10-18T04:54:46.00" personId="{6777EDD4-E46F-4979-A7E7-6FC0A82E0C8E}" id="{705844D2-F284-4EC0-BC98-526CB5FB0BE4}">
    <text>Project On-Hold</text>
  </threadedComment>
  <threadedComment ref="AV225" dT="2024-10-18T04:54:46.00" personId="{6777EDD4-E46F-4979-A7E7-6FC0A82E0C8E}" id="{5228B1A1-41C5-44E7-BE41-CB465A9AB4D9}">
    <text>Project On-Hold</text>
  </threadedComment>
  <threadedComment ref="AW225" dT="2024-10-18T04:54:46.00" personId="{6777EDD4-E46F-4979-A7E7-6FC0A82E0C8E}" id="{5F4464D3-B638-46FE-88E0-5A818C09B3DC}">
    <text>Project On-Hold</text>
  </threadedComment>
  <threadedComment ref="AX225" dT="2024-10-18T04:54:46.00" personId="{6777EDD4-E46F-4979-A7E7-6FC0A82E0C8E}" id="{8E7911B8-3481-456A-9657-AC5B0709DF7B}">
    <text>Project On-Hold</text>
  </threadedComment>
  <threadedComment ref="AY225" dT="2024-10-18T04:54:46.00" personId="{6777EDD4-E46F-4979-A7E7-6FC0A82E0C8E}" id="{30F2BFB7-0681-470A-9107-50E496011F65}">
    <text>Project On-Hold</text>
  </threadedComment>
  <threadedComment ref="AZ225" dT="2024-10-18T04:54:46.00" personId="{6777EDD4-E46F-4979-A7E7-6FC0A82E0C8E}" id="{941BE780-E613-4233-A57B-340AA54CF406}">
    <text>Project On-Hold</text>
  </threadedComment>
  <threadedComment ref="BA225" dT="2024-10-18T04:54:46.00" personId="{6777EDD4-E46F-4979-A7E7-6FC0A82E0C8E}" id="{064F7E56-3DB2-48AA-8CC9-84D8E803FF09}">
    <text>Project On-Hold</text>
  </threadedComment>
  <threadedComment ref="BB225" dT="2024-10-18T04:54:46.00" personId="{6777EDD4-E46F-4979-A7E7-6FC0A82E0C8E}" id="{49C6444C-D1E7-414D-80DE-9A5149BA933D}">
    <text>Project On-Hold</text>
  </threadedComment>
  <threadedComment ref="BC225" dT="2024-10-18T04:54:46.00" personId="{6777EDD4-E46F-4979-A7E7-6FC0A82E0C8E}" id="{FE01326E-291D-4CE6-8EBD-280DBBFE9DC5}">
    <text>Project On-Hold</text>
  </threadedComment>
  <threadedComment ref="BD225" dT="2024-10-18T04:54:46.00" personId="{6777EDD4-E46F-4979-A7E7-6FC0A82E0C8E}" id="{F08CABE2-A77C-4AA0-A0A4-65023B249BAC}">
    <text>Project On-Hold</text>
  </threadedComment>
  <threadedComment ref="BE225" dT="2024-10-18T04:54:46.00" personId="{6777EDD4-E46F-4979-A7E7-6FC0A82E0C8E}" id="{056E593E-19F3-4F51-9F00-776E3FEBD7FB}">
    <text>Project On-Hold</text>
  </threadedComment>
  <threadedComment ref="BF225" dT="2024-10-18T04:54:46.00" personId="{6777EDD4-E46F-4979-A7E7-6FC0A82E0C8E}" id="{0B77CFE6-CE7E-46C2-8AD3-2845896E712F}">
    <text>Project On-Hold</text>
  </threadedComment>
  <threadedComment ref="BG225" dT="2024-10-18T04:54:46.00" personId="{6777EDD4-E46F-4979-A7E7-6FC0A82E0C8E}" id="{485DD884-8724-4D96-A69A-70181520F801}">
    <text>Project On-Hold</text>
  </threadedComment>
  <threadedComment ref="BH225" dT="2024-10-18T04:54:46.00" personId="{6777EDD4-E46F-4979-A7E7-6FC0A82E0C8E}" id="{F2F6AF5D-7A51-47CA-8D5B-AE4DB8862F59}">
    <text>Project On-Hold</text>
  </threadedComment>
  <threadedComment ref="BI225" dT="2024-10-18T04:54:46.00" personId="{6777EDD4-E46F-4979-A7E7-6FC0A82E0C8E}" id="{27A55BB2-2597-4AA7-85B0-3200CF58F7EA}">
    <text>Project On-Hold</text>
  </threadedComment>
  <threadedComment ref="BJ225" dT="2024-10-18T04:54:46.00" personId="{6777EDD4-E46F-4979-A7E7-6FC0A82E0C8E}" id="{852E303C-4D6E-4818-8D00-E7F1320BE487}">
    <text>Project On-Hold</text>
  </threadedComment>
  <threadedComment ref="BK225" dT="2024-10-18T04:54:46.00" personId="{6777EDD4-E46F-4979-A7E7-6FC0A82E0C8E}" id="{EA5893BD-1C24-4AEA-B2BD-D7DBD5CA25CA}">
    <text>Project On-Hold</text>
  </threadedComment>
  <threadedComment ref="BL225" dT="2024-10-18T04:54:46.00" personId="{6777EDD4-E46F-4979-A7E7-6FC0A82E0C8E}" id="{C80CAA17-DDC5-4930-B0B0-E229B085AAD2}">
    <text>Project On-Hold</text>
  </threadedComment>
  <threadedComment ref="BM225" dT="2024-10-18T04:54:46.00" personId="{6777EDD4-E46F-4979-A7E7-6FC0A82E0C8E}" id="{A62BD793-766C-4F99-8450-4E93A331712A}">
    <text>Project On-Hold</text>
  </threadedComment>
  <threadedComment ref="BN225" dT="2024-10-18T04:54:46.00" personId="{6777EDD4-E46F-4979-A7E7-6FC0A82E0C8E}" id="{B6E3D246-BB69-43CC-B2F9-A300758F78C8}">
    <text>Project On-Hold</text>
  </threadedComment>
  <threadedComment ref="BP225" dT="2024-10-18T04:54:46.00" personId="{6777EDD4-E46F-4979-A7E7-6FC0A82E0C8E}" id="{1EB58BE7-C927-4A1B-A11B-21C7E00DE016}">
    <text>Project On-Hold</text>
  </threadedComment>
  <threadedComment ref="BR225" dT="2024-10-18T04:54:46.00" personId="{6777EDD4-E46F-4979-A7E7-6FC0A82E0C8E}" id="{31CDDA2C-EF5A-4639-A524-00FE8B7CAEF5}">
    <text>Project On-Hold</text>
  </threadedComment>
  <threadedComment ref="BS225" dT="2024-10-18T04:54:46.00" personId="{6777EDD4-E46F-4979-A7E7-6FC0A82E0C8E}" id="{2698AB2C-95D3-42D5-8F9E-9D58378502E6}">
    <text>Project On-Hold</text>
  </threadedComment>
  <threadedComment ref="BU225" dT="2024-10-18T04:54:46.00" personId="{6777EDD4-E46F-4979-A7E7-6FC0A82E0C8E}" id="{C7B63BF9-3BBE-40C1-8793-F7D4401B49ED}">
    <text>Project On-Hold</text>
  </threadedComment>
  <threadedComment ref="S226" dT="2024-06-13T05:03:34.12" personId="{728803BD-3A25-4F6F-BA7C-1EDF8A148B73}" id="{B60CD5BF-3E70-4C86-99CB-47890410B3BB}">
    <text>No offer made in May'24</text>
  </threadedComment>
  <threadedComment ref="U226" dT="2024-07-12T10:44:52.12" personId="{728803BD-3A25-4F6F-BA7C-1EDF8A148B73}" id="{75723E1D-682F-41D3-A63B-1F64C0C05E4D}">
    <text>No offers released in the month of Jun'24</text>
  </threadedComment>
  <threadedComment ref="V226" dT="2024-07-12T10:44:52.12" personId="{728803BD-3A25-4F6F-BA7C-1EDF8A148B73}" id="{FAB907CC-7A3B-4363-AACE-59FD2678EDA9}">
    <text>No offers released in the month of Jun'24</text>
  </threadedComment>
  <threadedComment ref="AA226" dT="2024-10-18T04:56:20.13" personId="{6777EDD4-E46F-4979-A7E7-6FC0A82E0C8E}" id="{1622F456-C83C-4EE5-A2A8-DD080A9504EE}">
    <text>Project On-Hold</text>
  </threadedComment>
  <threadedComment ref="AB226" dT="2024-10-18T04:56:20.13" personId="{6777EDD4-E46F-4979-A7E7-6FC0A82E0C8E}" id="{622CE299-5672-4F7E-BDEA-35066A8EB8C7}">
    <text>Project On-Hold</text>
  </threadedComment>
  <threadedComment ref="AC226" dT="2024-10-18T04:56:20.13" personId="{6777EDD4-E46F-4979-A7E7-6FC0A82E0C8E}" id="{1AB7602F-A646-4607-BB31-B4CC49915E29}">
    <text>Project On-Hold</text>
  </threadedComment>
  <threadedComment ref="AD226" dT="2024-10-18T04:56:20.13" personId="{6777EDD4-E46F-4979-A7E7-6FC0A82E0C8E}" id="{FA2F2044-E4C1-41C1-8034-440D1A17DE4A}">
    <text>Project On-Hold</text>
  </threadedComment>
  <threadedComment ref="AE226" dT="2024-10-18T04:56:20.13" personId="{6777EDD4-E46F-4979-A7E7-6FC0A82E0C8E}" id="{A9C43A8C-59B9-42F4-9C1F-29F8B8A5DAA4}">
    <text>Project On-Hold</text>
  </threadedComment>
  <threadedComment ref="AF226" dT="2024-10-18T04:56:20.13" personId="{6777EDD4-E46F-4979-A7E7-6FC0A82E0C8E}" id="{685643D7-7245-4848-831A-A710D56FC07F}">
    <text>Project On-Hold</text>
  </threadedComment>
  <threadedComment ref="AG226" dT="2024-10-18T04:56:20.13" personId="{6777EDD4-E46F-4979-A7E7-6FC0A82E0C8E}" id="{418E549B-5E2E-44C2-ACB2-197BC59C1874}">
    <text>Project On-Hold</text>
  </threadedComment>
  <threadedComment ref="AH226" dT="2024-10-18T04:56:20.13" personId="{6777EDD4-E46F-4979-A7E7-6FC0A82E0C8E}" id="{CD091F58-E8B5-4E9F-99EC-9B6624E2A79E}">
    <text>Project On-Hold</text>
  </threadedComment>
  <threadedComment ref="AI226" dT="2024-10-18T04:56:20.13" personId="{6777EDD4-E46F-4979-A7E7-6FC0A82E0C8E}" id="{855CEFD0-1E1F-444A-B34B-6395543D03CB}">
    <text>Project On-Hold</text>
  </threadedComment>
  <threadedComment ref="AJ226" dT="2024-10-18T04:56:20.13" personId="{6777EDD4-E46F-4979-A7E7-6FC0A82E0C8E}" id="{D96FB62C-C798-4AC5-A4E4-F7A544058F7B}">
    <text>Project On-Hold</text>
  </threadedComment>
  <threadedComment ref="AK226" dT="2024-10-18T04:56:20.13" personId="{6777EDD4-E46F-4979-A7E7-6FC0A82E0C8E}" id="{D453B314-FCF7-4BC4-B91F-B6790B08876D}">
    <text>Project On-Hold</text>
  </threadedComment>
  <threadedComment ref="AL226" dT="2024-10-18T04:56:20.13" personId="{6777EDD4-E46F-4979-A7E7-6FC0A82E0C8E}" id="{290E82B2-EE64-4A6F-ADD1-EBC1F2F7B894}">
    <text>Project On-Hold</text>
  </threadedComment>
  <threadedComment ref="AM226" dT="2024-10-18T04:56:20.13" personId="{6777EDD4-E46F-4979-A7E7-6FC0A82E0C8E}" id="{CEA284BD-474B-4B53-BC11-F433B0204B9A}">
    <text>Project On-Hold</text>
  </threadedComment>
  <threadedComment ref="AN226" dT="2024-10-18T04:56:20.13" personId="{6777EDD4-E46F-4979-A7E7-6FC0A82E0C8E}" id="{E764088F-319A-4C1E-89B3-0D97646F67F2}">
    <text>Project On-Hold</text>
  </threadedComment>
  <threadedComment ref="AO226" dT="2024-10-18T04:54:46.00" personId="{6777EDD4-E46F-4979-A7E7-6FC0A82E0C8E}" id="{8C0996FE-C7DA-4F10-B1A8-1CEE988E855E}">
    <text>Project On-Hold</text>
  </threadedComment>
  <threadedComment ref="AP226" dT="2024-10-18T04:54:46.00" personId="{6777EDD4-E46F-4979-A7E7-6FC0A82E0C8E}" id="{F431D816-111D-4AE2-97DB-F51CA6E1D5C0}">
    <text>Project On-Hold</text>
  </threadedComment>
  <threadedComment ref="AQ226" dT="2024-10-18T04:54:46.00" personId="{6777EDD4-E46F-4979-A7E7-6FC0A82E0C8E}" id="{E07F9EE1-446E-45C7-912B-E4C760ADCD23}">
    <text>Project On-Hold</text>
  </threadedComment>
  <threadedComment ref="AR226" dT="2024-10-18T04:54:46.00" personId="{6777EDD4-E46F-4979-A7E7-6FC0A82E0C8E}" id="{7F4E02EA-7046-4F8E-8C5F-5A18548063B5}">
    <text>Project On-Hold</text>
  </threadedComment>
  <threadedComment ref="AS226" dT="2024-10-18T04:54:46.00" personId="{6777EDD4-E46F-4979-A7E7-6FC0A82E0C8E}" id="{E48C76CA-F3D1-4C5F-84E6-D7CFFF93CD28}">
    <text>Project On-Hold</text>
  </threadedComment>
  <threadedComment ref="AT226" dT="2024-10-18T04:54:46.00" personId="{6777EDD4-E46F-4979-A7E7-6FC0A82E0C8E}" id="{2549518E-BF19-4FC7-B9AD-05E920A7DC71}">
    <text>Project On-Hold</text>
  </threadedComment>
  <threadedComment ref="AU226" dT="2024-10-18T04:54:46.00" personId="{6777EDD4-E46F-4979-A7E7-6FC0A82E0C8E}" id="{06622BF0-E33B-4627-BB9E-ACB933C36E03}">
    <text>Project On-Hold</text>
  </threadedComment>
  <threadedComment ref="AV226" dT="2024-10-18T04:54:46.00" personId="{6777EDD4-E46F-4979-A7E7-6FC0A82E0C8E}" id="{2A5A221F-6E04-41C2-89D1-7DA603CCFB15}">
    <text>Project On-Hold</text>
  </threadedComment>
  <threadedComment ref="AW226" dT="2024-10-18T04:54:46.00" personId="{6777EDD4-E46F-4979-A7E7-6FC0A82E0C8E}" id="{A962C8DC-1BEA-404C-803C-7FC9856A847A}">
    <text>Project On-Hold</text>
  </threadedComment>
  <threadedComment ref="AX226" dT="2024-10-18T04:54:46.00" personId="{6777EDD4-E46F-4979-A7E7-6FC0A82E0C8E}" id="{D80270D0-971B-4627-B04B-F2F835432E7C}">
    <text>Project On-Hold</text>
  </threadedComment>
  <threadedComment ref="AY226" dT="2024-10-18T04:54:46.00" personId="{6777EDD4-E46F-4979-A7E7-6FC0A82E0C8E}" id="{3DB9FF6A-888B-4C54-8E67-0CB09C358A73}">
    <text>Project On-Hold</text>
  </threadedComment>
  <threadedComment ref="AZ226" dT="2024-10-18T04:54:46.00" personId="{6777EDD4-E46F-4979-A7E7-6FC0A82E0C8E}" id="{9663221B-A9A6-49A6-9907-B177EC316270}">
    <text>Project On-Hold</text>
  </threadedComment>
  <threadedComment ref="BA226" dT="2024-10-18T04:54:46.00" personId="{6777EDD4-E46F-4979-A7E7-6FC0A82E0C8E}" id="{E908B76E-6066-4D13-90A4-CC52713F8F49}">
    <text>Project On-Hold</text>
  </threadedComment>
  <threadedComment ref="BB226" dT="2024-10-18T04:54:46.00" personId="{6777EDD4-E46F-4979-A7E7-6FC0A82E0C8E}" id="{BE0BAD7C-732F-4D82-91E0-F321CC553833}">
    <text>Project On-Hold</text>
  </threadedComment>
  <threadedComment ref="BC226" dT="2024-10-18T04:54:46.00" personId="{6777EDD4-E46F-4979-A7E7-6FC0A82E0C8E}" id="{90262A92-B043-4413-99DA-926F3A2EE261}">
    <text>Project On-Hold</text>
  </threadedComment>
  <threadedComment ref="BD226" dT="2024-10-18T04:54:46.00" personId="{6777EDD4-E46F-4979-A7E7-6FC0A82E0C8E}" id="{15901A45-8123-4325-8C2D-F06E9576D3AC}">
    <text>Project On-Hold</text>
  </threadedComment>
  <threadedComment ref="BE226" dT="2024-10-18T04:54:46.00" personId="{6777EDD4-E46F-4979-A7E7-6FC0A82E0C8E}" id="{621EB5D0-010A-475D-966A-DAB59EB6B4F2}">
    <text>Project On-Hold</text>
  </threadedComment>
  <threadedComment ref="BF226" dT="2024-10-18T04:54:46.00" personId="{6777EDD4-E46F-4979-A7E7-6FC0A82E0C8E}" id="{A2446AEA-CA02-40AA-870A-F412FC075745}">
    <text>Project On-Hold</text>
  </threadedComment>
  <threadedComment ref="BG226" dT="2024-10-18T04:54:46.00" personId="{6777EDD4-E46F-4979-A7E7-6FC0A82E0C8E}" id="{54778904-3578-4A75-8FB6-2711DCAB5CC7}">
    <text>Project On-Hold</text>
  </threadedComment>
  <threadedComment ref="BH226" dT="2024-10-18T04:54:46.00" personId="{6777EDD4-E46F-4979-A7E7-6FC0A82E0C8E}" id="{6899D58E-60DD-4169-AFE0-97C0F36C232F}">
    <text>Project On-Hold</text>
  </threadedComment>
  <threadedComment ref="BI226" dT="2024-10-18T04:54:46.00" personId="{6777EDD4-E46F-4979-A7E7-6FC0A82E0C8E}" id="{91B807FD-3668-4067-9CE4-FCD30E9EA6FD}">
    <text>Project On-Hold</text>
  </threadedComment>
  <threadedComment ref="BJ226" dT="2024-10-18T04:54:46.00" personId="{6777EDD4-E46F-4979-A7E7-6FC0A82E0C8E}" id="{55D68509-D5C5-40E8-A7A5-9B503CB8D45F}">
    <text>Project On-Hold</text>
  </threadedComment>
  <threadedComment ref="BK226" dT="2024-10-18T04:54:46.00" personId="{6777EDD4-E46F-4979-A7E7-6FC0A82E0C8E}" id="{46AF3B44-F552-4FEF-9A2F-598E1AE7954A}">
    <text>Project On-Hold</text>
  </threadedComment>
  <threadedComment ref="BL226" dT="2024-10-18T04:54:46.00" personId="{6777EDD4-E46F-4979-A7E7-6FC0A82E0C8E}" id="{46C283F3-25D2-4505-8E82-497C72F9D6D3}">
    <text>Project On-Hold</text>
  </threadedComment>
  <threadedComment ref="BM226" dT="2024-10-18T04:54:46.00" personId="{6777EDD4-E46F-4979-A7E7-6FC0A82E0C8E}" id="{449A556D-3F15-4E9F-A191-9C994063C13F}">
    <text>Project On-Hold</text>
  </threadedComment>
  <threadedComment ref="BN226" dT="2024-10-18T04:54:46.00" personId="{6777EDD4-E46F-4979-A7E7-6FC0A82E0C8E}" id="{33EDE09F-2CAE-4C78-A901-D8893DBB6EC3}">
    <text>Project On-Hold</text>
  </threadedComment>
  <threadedComment ref="BP226" dT="2024-10-18T04:54:46.00" personId="{6777EDD4-E46F-4979-A7E7-6FC0A82E0C8E}" id="{9EAAFB08-8151-4524-8F9E-F1155B898D5C}">
    <text>Project On-Hold</text>
  </threadedComment>
  <threadedComment ref="BR226" dT="2024-10-18T04:54:46.00" personId="{6777EDD4-E46F-4979-A7E7-6FC0A82E0C8E}" id="{9300D037-0A6D-4490-9E28-9D9406A7B3B4}">
    <text>Project On-Hold</text>
  </threadedComment>
  <threadedComment ref="BS226" dT="2024-10-18T04:54:46.00" personId="{6777EDD4-E46F-4979-A7E7-6FC0A82E0C8E}" id="{FB2E25EF-4C8D-4F80-9900-2752DED2C11C}">
    <text>Project On-Hold</text>
  </threadedComment>
  <threadedComment ref="BU226" dT="2024-10-18T04:54:46.00" personId="{6777EDD4-E46F-4979-A7E7-6FC0A82E0C8E}" id="{07D75257-C5D5-4A63-B91E-DE40096F514E}">
    <text>Project On-Hold</text>
  </threadedComment>
  <threadedComment ref="AA227" dT="2024-10-18T04:56:20.13" personId="{6777EDD4-E46F-4979-A7E7-6FC0A82E0C8E}" id="{2C5C7562-C8A2-40B2-AEBE-7C082394BCB3}">
    <text>Project On-Hold</text>
  </threadedComment>
  <threadedComment ref="AB227" dT="2024-10-18T04:56:20.13" personId="{6777EDD4-E46F-4979-A7E7-6FC0A82E0C8E}" id="{760B2672-F7FE-4D2C-BA09-E8ECEA59012E}">
    <text>Project On-Hold</text>
  </threadedComment>
  <threadedComment ref="AC227" dT="2024-10-18T04:56:20.13" personId="{6777EDD4-E46F-4979-A7E7-6FC0A82E0C8E}" id="{F0E97D12-22BD-46E5-BABF-D87AE63F6C45}">
    <text>Project On-Hold</text>
  </threadedComment>
  <threadedComment ref="AD227" dT="2024-10-18T04:56:20.13" personId="{6777EDD4-E46F-4979-A7E7-6FC0A82E0C8E}" id="{D3B63CA9-A61F-4287-ACFF-219185C6BE3E}">
    <text>Project On-Hold</text>
  </threadedComment>
  <threadedComment ref="AE227" dT="2024-10-18T04:56:20.13" personId="{6777EDD4-E46F-4979-A7E7-6FC0A82E0C8E}" id="{ABBB36E2-46E2-4818-86A5-A357DF02AE7D}">
    <text>Project On-Hold</text>
  </threadedComment>
  <threadedComment ref="AF227" dT="2024-10-18T04:56:20.13" personId="{6777EDD4-E46F-4979-A7E7-6FC0A82E0C8E}" id="{3BD2B22B-DB8A-42E6-A261-81B8C7BEC592}">
    <text>Project On-Hold</text>
  </threadedComment>
  <threadedComment ref="AG227" dT="2024-10-18T04:56:20.13" personId="{6777EDD4-E46F-4979-A7E7-6FC0A82E0C8E}" id="{F8AE39AB-5711-4103-9E16-30236C807346}">
    <text>Project On-Hold</text>
  </threadedComment>
  <threadedComment ref="AH227" dT="2024-10-18T04:56:20.13" personId="{6777EDD4-E46F-4979-A7E7-6FC0A82E0C8E}" id="{5C4456EC-1F17-4360-B039-516D678BD7C2}">
    <text>Project On-Hold</text>
  </threadedComment>
  <threadedComment ref="AI227" dT="2024-10-18T04:56:20.13" personId="{6777EDD4-E46F-4979-A7E7-6FC0A82E0C8E}" id="{B0D89B5F-4ED9-444F-8A68-0EE0ECC88E47}">
    <text>Project On-Hold</text>
  </threadedComment>
  <threadedComment ref="AJ227" dT="2024-10-18T04:56:20.13" personId="{6777EDD4-E46F-4979-A7E7-6FC0A82E0C8E}" id="{E1C8C1E4-65F1-4E13-A495-84EB924BFE62}">
    <text>Project On-Hold</text>
  </threadedComment>
  <threadedComment ref="AK227" dT="2024-10-18T04:56:20.13" personId="{6777EDD4-E46F-4979-A7E7-6FC0A82E0C8E}" id="{83A8CF91-02EB-4BDC-B11F-9D0CD61EDC5E}">
    <text>Project On-Hold</text>
  </threadedComment>
  <threadedComment ref="AL227" dT="2024-10-18T04:56:20.13" personId="{6777EDD4-E46F-4979-A7E7-6FC0A82E0C8E}" id="{650D9466-B013-4EF4-B8BD-F6A559B868CA}">
    <text>Project On-Hold</text>
  </threadedComment>
  <threadedComment ref="AM227" dT="2024-10-18T04:56:20.13" personId="{6777EDD4-E46F-4979-A7E7-6FC0A82E0C8E}" id="{67753426-FAF9-4FDB-A71D-58C8775F4EAE}">
    <text>Project On-Hold</text>
  </threadedComment>
  <threadedComment ref="AN227" dT="2024-10-18T04:56:20.13" personId="{6777EDD4-E46F-4979-A7E7-6FC0A82E0C8E}" id="{1CE467BE-AC92-486A-8A0B-E40FC4475B76}">
    <text>Project On-Hold</text>
  </threadedComment>
  <threadedComment ref="AO227" dT="2024-10-18T04:54:46.00" personId="{6777EDD4-E46F-4979-A7E7-6FC0A82E0C8E}" id="{7A2E50B9-3088-4093-8F7B-A277E937E2CF}">
    <text>Project On-Hold</text>
  </threadedComment>
  <threadedComment ref="AP227" dT="2024-10-18T04:54:46.00" personId="{6777EDD4-E46F-4979-A7E7-6FC0A82E0C8E}" id="{157FE0E8-9DD2-4C98-B596-D6709174724E}">
    <text>Project On-Hold</text>
  </threadedComment>
  <threadedComment ref="AQ227" dT="2024-10-18T04:54:46.00" personId="{6777EDD4-E46F-4979-A7E7-6FC0A82E0C8E}" id="{933822D0-7058-4A04-82D2-1D12A1D3B0C1}">
    <text>Project On-Hold</text>
  </threadedComment>
  <threadedComment ref="AR227" dT="2024-10-18T04:54:46.00" personId="{6777EDD4-E46F-4979-A7E7-6FC0A82E0C8E}" id="{8575C09F-3677-4D41-A5DC-910E9552987B}">
    <text>Project On-Hold</text>
  </threadedComment>
  <threadedComment ref="AS227" dT="2024-10-18T04:54:46.00" personId="{6777EDD4-E46F-4979-A7E7-6FC0A82E0C8E}" id="{A52D91E8-7960-4C6F-8786-E35D12FED145}">
    <text>Project On-Hold</text>
  </threadedComment>
  <threadedComment ref="AT227" dT="2024-10-18T04:54:46.00" personId="{6777EDD4-E46F-4979-A7E7-6FC0A82E0C8E}" id="{A797608C-357F-4A58-8B39-779E986168BD}">
    <text>Project On-Hold</text>
  </threadedComment>
  <threadedComment ref="AU227" dT="2024-10-18T04:54:46.00" personId="{6777EDD4-E46F-4979-A7E7-6FC0A82E0C8E}" id="{0E72D8D2-2907-4732-ADA0-4D5DE1D6247E}">
    <text>Project On-Hold</text>
  </threadedComment>
  <threadedComment ref="AV227" dT="2024-10-18T04:54:46.00" personId="{6777EDD4-E46F-4979-A7E7-6FC0A82E0C8E}" id="{BE42D72F-A89E-45A2-A079-0CB0BA57C2B3}">
    <text>Project On-Hold</text>
  </threadedComment>
  <threadedComment ref="AW227" dT="2024-10-18T04:54:46.00" personId="{6777EDD4-E46F-4979-A7E7-6FC0A82E0C8E}" id="{118CCBCB-1955-4762-93B9-580DC700F1FA}">
    <text>Project On-Hold</text>
  </threadedComment>
  <threadedComment ref="AX227" dT="2024-10-18T04:54:46.00" personId="{6777EDD4-E46F-4979-A7E7-6FC0A82E0C8E}" id="{DD5F0180-77BE-4E0D-AA2F-17670C6D2398}">
    <text>Project On-Hold</text>
  </threadedComment>
  <threadedComment ref="AY227" dT="2024-10-18T04:54:46.00" personId="{6777EDD4-E46F-4979-A7E7-6FC0A82E0C8E}" id="{F3EB43F1-9C73-467C-9607-70075D818B04}">
    <text>Project On-Hold</text>
  </threadedComment>
  <threadedComment ref="AZ227" dT="2024-10-18T04:54:46.00" personId="{6777EDD4-E46F-4979-A7E7-6FC0A82E0C8E}" id="{4A683F8E-A365-4BE8-A5BD-BB66527DA851}">
    <text>Project On-Hold</text>
  </threadedComment>
  <threadedComment ref="BA227" dT="2024-10-18T04:54:46.00" personId="{6777EDD4-E46F-4979-A7E7-6FC0A82E0C8E}" id="{B945874E-9EED-48D1-8A85-F3FCAE5E5B21}">
    <text>Project On-Hold</text>
  </threadedComment>
  <threadedComment ref="BB227" dT="2024-10-18T04:54:46.00" personId="{6777EDD4-E46F-4979-A7E7-6FC0A82E0C8E}" id="{09140A33-AC8B-466F-BD2A-82F6A354BF90}">
    <text>Project On-Hold</text>
  </threadedComment>
  <threadedComment ref="BC227" dT="2024-10-18T04:54:46.00" personId="{6777EDD4-E46F-4979-A7E7-6FC0A82E0C8E}" id="{66B79F32-9BB8-48DA-917B-D2DA9F18F829}">
    <text>Project On-Hold</text>
  </threadedComment>
  <threadedComment ref="BD227" dT="2024-10-18T04:54:46.00" personId="{6777EDD4-E46F-4979-A7E7-6FC0A82E0C8E}" id="{BD500D3C-C03B-4C26-A595-8CC017792614}">
    <text>Project On-Hold</text>
  </threadedComment>
  <threadedComment ref="BE227" dT="2024-10-18T04:54:46.00" personId="{6777EDD4-E46F-4979-A7E7-6FC0A82E0C8E}" id="{0B8A4741-91B3-4B8C-B3CE-C8CE07507E91}">
    <text>Project On-Hold</text>
  </threadedComment>
  <threadedComment ref="BF227" dT="2024-10-18T04:54:46.00" personId="{6777EDD4-E46F-4979-A7E7-6FC0A82E0C8E}" id="{3B1B90FA-E6E0-4FE4-AFB1-8C8297B98548}">
    <text>Project On-Hold</text>
  </threadedComment>
  <threadedComment ref="BG227" dT="2024-10-18T04:54:46.00" personId="{6777EDD4-E46F-4979-A7E7-6FC0A82E0C8E}" id="{9A9845F2-E441-4C6F-9066-09F8548B3D71}">
    <text>Project On-Hold</text>
  </threadedComment>
  <threadedComment ref="BH227" dT="2024-10-18T04:54:46.00" personId="{6777EDD4-E46F-4979-A7E7-6FC0A82E0C8E}" id="{02DAE641-EDDF-4A56-A796-447CF1567447}">
    <text>Project On-Hold</text>
  </threadedComment>
  <threadedComment ref="BI227" dT="2024-10-18T04:54:46.00" personId="{6777EDD4-E46F-4979-A7E7-6FC0A82E0C8E}" id="{CF793661-9713-449B-BBB2-14356E81EDA6}">
    <text>Project On-Hold</text>
  </threadedComment>
  <threadedComment ref="BJ227" dT="2024-10-18T04:54:46.00" personId="{6777EDD4-E46F-4979-A7E7-6FC0A82E0C8E}" id="{9A7E6AED-49B7-4999-8FB0-337A34D1F08D}">
    <text>Project On-Hold</text>
  </threadedComment>
  <threadedComment ref="BK227" dT="2024-10-18T04:54:46.00" personId="{6777EDD4-E46F-4979-A7E7-6FC0A82E0C8E}" id="{065C31DE-DC0A-44A6-BC8E-283E5A890887}">
    <text>Project On-Hold</text>
  </threadedComment>
  <threadedComment ref="BL227" dT="2024-10-18T04:54:46.00" personId="{6777EDD4-E46F-4979-A7E7-6FC0A82E0C8E}" id="{9D0F45D5-F7C4-4E45-BA01-22091D14AD1C}">
    <text>Project On-Hold</text>
  </threadedComment>
  <threadedComment ref="BM227" dT="2024-10-18T04:54:46.00" personId="{6777EDD4-E46F-4979-A7E7-6FC0A82E0C8E}" id="{A1266F9D-5716-4974-8E1C-2C4D2E9340F0}">
    <text>Project On-Hold</text>
  </threadedComment>
  <threadedComment ref="BN227" dT="2024-10-18T04:54:46.00" personId="{6777EDD4-E46F-4979-A7E7-6FC0A82E0C8E}" id="{9BED9608-E333-4406-9217-8F49B712D539}">
    <text>Project On-Hold</text>
  </threadedComment>
  <threadedComment ref="BP227" dT="2024-10-18T04:54:46.00" personId="{6777EDD4-E46F-4979-A7E7-6FC0A82E0C8E}" id="{6D2F2226-282D-49BF-A9C7-4D16D768D0BD}">
    <text>Project On-Hold</text>
  </threadedComment>
  <threadedComment ref="BR227" dT="2024-10-18T04:54:46.00" personId="{6777EDD4-E46F-4979-A7E7-6FC0A82E0C8E}" id="{54A93A54-68EE-4F9A-9037-B5790B5CB90E}">
    <text>Project On-Hold</text>
  </threadedComment>
  <threadedComment ref="BS227" dT="2024-10-18T04:54:46.00" personId="{6777EDD4-E46F-4979-A7E7-6FC0A82E0C8E}" id="{C215DE38-9903-4752-8147-93C758A6056E}">
    <text>Project On-Hold</text>
  </threadedComment>
  <threadedComment ref="BU227" dT="2024-10-18T04:54:46.00" personId="{6777EDD4-E46F-4979-A7E7-6FC0A82E0C8E}" id="{F9B51FDF-CA7E-4042-9BC3-AA250DD053ED}">
    <text>Project On-Hold</text>
  </threadedComment>
  <threadedComment ref="AA228" dT="2024-10-18T04:56:20.13" personId="{6777EDD4-E46F-4979-A7E7-6FC0A82E0C8E}" id="{1E560464-7E1D-4652-831C-D684825A1172}">
    <text>Project On-Hold</text>
  </threadedComment>
  <threadedComment ref="AB228" dT="2024-10-18T04:56:20.13" personId="{6777EDD4-E46F-4979-A7E7-6FC0A82E0C8E}" id="{6C59E022-781E-4AAD-AAB9-0B4ECE9ED1BC}">
    <text>Project On-Hold</text>
  </threadedComment>
  <threadedComment ref="AC228" dT="2024-10-18T04:56:20.13" personId="{6777EDD4-E46F-4979-A7E7-6FC0A82E0C8E}" id="{2465E733-5B73-4DE2-9B28-20AD18A2865D}">
    <text>Project On-Hold</text>
  </threadedComment>
  <threadedComment ref="AD228" dT="2024-10-18T04:56:20.13" personId="{6777EDD4-E46F-4979-A7E7-6FC0A82E0C8E}" id="{118F0F95-6AF5-4841-8E6C-F5EACCCC6A5D}">
    <text>Project On-Hold</text>
  </threadedComment>
  <threadedComment ref="AE228" dT="2024-10-18T04:56:20.13" personId="{6777EDD4-E46F-4979-A7E7-6FC0A82E0C8E}" id="{22566CF7-65FC-4EFD-8457-972A38EBE5A6}">
    <text>Project On-Hold</text>
  </threadedComment>
  <threadedComment ref="AF228" dT="2024-10-18T04:56:20.13" personId="{6777EDD4-E46F-4979-A7E7-6FC0A82E0C8E}" id="{7BF45B8E-A3EF-4E5B-88DA-2B2922574AA9}">
    <text>Project On-Hold</text>
  </threadedComment>
  <threadedComment ref="AG228" dT="2024-10-18T04:56:20.13" personId="{6777EDD4-E46F-4979-A7E7-6FC0A82E0C8E}" id="{734B0925-01B0-43CE-9389-861FD3C1EB45}">
    <text>Project On-Hold</text>
  </threadedComment>
  <threadedComment ref="AH228" dT="2024-10-18T04:56:20.13" personId="{6777EDD4-E46F-4979-A7E7-6FC0A82E0C8E}" id="{0C7A181F-CF1D-4529-A626-79946F96B448}">
    <text>Project On-Hold</text>
  </threadedComment>
  <threadedComment ref="AI228" dT="2024-10-18T04:56:20.13" personId="{6777EDD4-E46F-4979-A7E7-6FC0A82E0C8E}" id="{680123F9-0D39-4D11-82D7-1C164224EB4A}">
    <text>Project On-Hold</text>
  </threadedComment>
  <threadedComment ref="AJ228" dT="2024-10-18T04:56:20.13" personId="{6777EDD4-E46F-4979-A7E7-6FC0A82E0C8E}" id="{B603BEE1-FF18-4258-91A4-6906B118A9AE}">
    <text>Project On-Hold</text>
  </threadedComment>
  <threadedComment ref="AK228" dT="2024-10-18T04:56:20.13" personId="{6777EDD4-E46F-4979-A7E7-6FC0A82E0C8E}" id="{7C9B5BD4-EEB6-4789-9E31-920B3FC0A693}">
    <text>Project On-Hold</text>
  </threadedComment>
  <threadedComment ref="AL228" dT="2024-10-18T04:56:20.13" personId="{6777EDD4-E46F-4979-A7E7-6FC0A82E0C8E}" id="{1006DC4A-F445-4201-8EBB-640D7FF5EAAB}">
    <text>Project On-Hold</text>
  </threadedComment>
  <threadedComment ref="AM228" dT="2024-10-18T04:56:20.13" personId="{6777EDD4-E46F-4979-A7E7-6FC0A82E0C8E}" id="{5D8F38F5-E07B-4670-B63C-93C187D11776}">
    <text>Project On-Hold</text>
  </threadedComment>
  <threadedComment ref="AN228" dT="2024-10-18T04:56:20.13" personId="{6777EDD4-E46F-4979-A7E7-6FC0A82E0C8E}" id="{08E81102-0C77-409E-9FFD-B5301155D116}">
    <text>Project On-Hold</text>
  </threadedComment>
  <threadedComment ref="AO228" dT="2024-10-18T04:54:46.00" personId="{6777EDD4-E46F-4979-A7E7-6FC0A82E0C8E}" id="{9455AEA3-0CCC-46E8-91D5-222CD9EEE0CC}">
    <text>Project On-Hold</text>
  </threadedComment>
  <threadedComment ref="AP228" dT="2024-10-18T04:54:46.00" personId="{6777EDD4-E46F-4979-A7E7-6FC0A82E0C8E}" id="{E5DC602E-FA94-4ECA-BC7E-DE1EDF2C9DCE}">
    <text>Project On-Hold</text>
  </threadedComment>
  <threadedComment ref="AQ228" dT="2024-10-18T04:54:46.00" personId="{6777EDD4-E46F-4979-A7E7-6FC0A82E0C8E}" id="{DC2DD4F9-33A2-430C-AA45-932B30F5A1D4}">
    <text>Project On-Hold</text>
  </threadedComment>
  <threadedComment ref="AR228" dT="2024-10-18T04:54:46.00" personId="{6777EDD4-E46F-4979-A7E7-6FC0A82E0C8E}" id="{1BA90773-5243-43D9-8B75-46388E78B008}">
    <text>Project On-Hold</text>
  </threadedComment>
  <threadedComment ref="AS228" dT="2024-10-18T04:54:46.00" personId="{6777EDD4-E46F-4979-A7E7-6FC0A82E0C8E}" id="{AB204ABB-E9C4-416A-A5F6-59C1504631DA}">
    <text>Project On-Hold</text>
  </threadedComment>
  <threadedComment ref="AT228" dT="2024-10-18T04:54:46.00" personId="{6777EDD4-E46F-4979-A7E7-6FC0A82E0C8E}" id="{2B11E262-ADC3-40FE-8C2C-41B466B4AB15}">
    <text>Project On-Hold</text>
  </threadedComment>
  <threadedComment ref="AU228" dT="2024-10-18T04:54:46.00" personId="{6777EDD4-E46F-4979-A7E7-6FC0A82E0C8E}" id="{B1A2322C-D6D9-49D0-9166-B044EDDFB52B}">
    <text>Project On-Hold</text>
  </threadedComment>
  <threadedComment ref="AV228" dT="2024-10-18T04:54:46.00" personId="{6777EDD4-E46F-4979-A7E7-6FC0A82E0C8E}" id="{D979467A-1B13-48D3-87EB-C5779FC91C34}">
    <text>Project On-Hold</text>
  </threadedComment>
  <threadedComment ref="AW228" dT="2024-10-18T04:54:46.00" personId="{6777EDD4-E46F-4979-A7E7-6FC0A82E0C8E}" id="{AF5B10AD-BD1E-4012-876E-64BBEB0198F3}">
    <text>Project On-Hold</text>
  </threadedComment>
  <threadedComment ref="AX228" dT="2024-10-18T04:54:46.00" personId="{6777EDD4-E46F-4979-A7E7-6FC0A82E0C8E}" id="{DFF42B77-EA8D-49BA-AD1A-61792BC82124}">
    <text>Project On-Hold</text>
  </threadedComment>
  <threadedComment ref="AY228" dT="2024-10-18T04:54:46.00" personId="{6777EDD4-E46F-4979-A7E7-6FC0A82E0C8E}" id="{C8D2C7AD-E5AD-4106-9548-B344D81C92CE}">
    <text>Project On-Hold</text>
  </threadedComment>
  <threadedComment ref="AZ228" dT="2024-10-18T04:54:46.00" personId="{6777EDD4-E46F-4979-A7E7-6FC0A82E0C8E}" id="{F8BEB70F-3F17-4BE0-BDA3-5A5CF3DFEFEB}">
    <text>Project On-Hold</text>
  </threadedComment>
  <threadedComment ref="BA228" dT="2024-10-18T04:54:46.00" personId="{6777EDD4-E46F-4979-A7E7-6FC0A82E0C8E}" id="{B48224A5-5ADD-4DD3-905C-C371134AEC16}">
    <text>Project On-Hold</text>
  </threadedComment>
  <threadedComment ref="BB228" dT="2024-10-18T04:54:46.00" personId="{6777EDD4-E46F-4979-A7E7-6FC0A82E0C8E}" id="{95924913-A28A-49FF-B42D-3335299B9648}">
    <text>Project On-Hold</text>
  </threadedComment>
  <threadedComment ref="BC228" dT="2024-10-18T04:54:46.00" personId="{6777EDD4-E46F-4979-A7E7-6FC0A82E0C8E}" id="{8E137125-2E11-4D4D-B937-EB5043BA2066}">
    <text>Project On-Hold</text>
  </threadedComment>
  <threadedComment ref="BD228" dT="2024-10-18T04:54:46.00" personId="{6777EDD4-E46F-4979-A7E7-6FC0A82E0C8E}" id="{44C7F38F-0B6A-4F75-8408-0DCF38F0082E}">
    <text>Project On-Hold</text>
  </threadedComment>
  <threadedComment ref="BE228" dT="2024-10-18T04:54:46.00" personId="{6777EDD4-E46F-4979-A7E7-6FC0A82E0C8E}" id="{3D365AB8-BA3C-44B6-B6D9-C092668CFEBF}">
    <text>Project On-Hold</text>
  </threadedComment>
  <threadedComment ref="BF228" dT="2024-10-18T04:54:46.00" personId="{6777EDD4-E46F-4979-A7E7-6FC0A82E0C8E}" id="{E85D645B-FF2B-43AC-8939-C1A1F05D7C5C}">
    <text>Project On-Hold</text>
  </threadedComment>
  <threadedComment ref="BG228" dT="2024-10-18T04:54:46.00" personId="{6777EDD4-E46F-4979-A7E7-6FC0A82E0C8E}" id="{8EA686D1-2E04-4285-8C57-00EE60234CF3}">
    <text>Project On-Hold</text>
  </threadedComment>
  <threadedComment ref="BH228" dT="2024-10-18T04:54:46.00" personId="{6777EDD4-E46F-4979-A7E7-6FC0A82E0C8E}" id="{EA1068D1-E69E-455F-A8DE-D9A1A8F6315D}">
    <text>Project On-Hold</text>
  </threadedComment>
  <threadedComment ref="BI228" dT="2024-10-18T04:54:46.00" personId="{6777EDD4-E46F-4979-A7E7-6FC0A82E0C8E}" id="{30FA1FD3-DA32-4D00-961F-887619712B5B}">
    <text>Project On-Hold</text>
  </threadedComment>
  <threadedComment ref="BJ228" dT="2024-10-18T04:54:46.00" personId="{6777EDD4-E46F-4979-A7E7-6FC0A82E0C8E}" id="{D4841467-6537-428D-A3F3-0A0D0B7CBA47}">
    <text>Project On-Hold</text>
  </threadedComment>
  <threadedComment ref="BK228" dT="2024-10-18T04:54:46.00" personId="{6777EDD4-E46F-4979-A7E7-6FC0A82E0C8E}" id="{E0C221D2-4D3E-493C-BB1C-BEAF5E5877AA}">
    <text>Project On-Hold</text>
  </threadedComment>
  <threadedComment ref="BL228" dT="2024-10-18T04:54:46.00" personId="{6777EDD4-E46F-4979-A7E7-6FC0A82E0C8E}" id="{76CC22A3-0473-4C03-8E24-D370ACDFF29A}">
    <text>Project On-Hold</text>
  </threadedComment>
  <threadedComment ref="BM228" dT="2024-10-18T04:54:46.00" personId="{6777EDD4-E46F-4979-A7E7-6FC0A82E0C8E}" id="{96D71D25-DF16-4BBD-9958-4EB69AEF2326}">
    <text>Project On-Hold</text>
  </threadedComment>
  <threadedComment ref="BN228" dT="2024-10-18T04:54:46.00" personId="{6777EDD4-E46F-4979-A7E7-6FC0A82E0C8E}" id="{8D8C3D6C-18B5-4CEE-815C-F5F57A82BB3C}">
    <text>Project On-Hold</text>
  </threadedComment>
  <threadedComment ref="BP228" dT="2024-10-18T04:54:46.00" personId="{6777EDD4-E46F-4979-A7E7-6FC0A82E0C8E}" id="{A440FAA5-38DB-4FE7-95DD-BA8871FE9A00}">
    <text>Project On-Hold</text>
  </threadedComment>
  <threadedComment ref="BR228" dT="2024-10-18T04:54:46.00" personId="{6777EDD4-E46F-4979-A7E7-6FC0A82E0C8E}" id="{732312FA-EE15-4A00-8CAD-F01E23F542EC}">
    <text>Project On-Hold</text>
  </threadedComment>
  <threadedComment ref="BS228" dT="2024-10-18T04:54:46.00" personId="{6777EDD4-E46F-4979-A7E7-6FC0A82E0C8E}" id="{B5D6BA03-91D8-48E7-8BD3-569BFBFBC23D}">
    <text>Project On-Hold</text>
  </threadedComment>
  <threadedComment ref="BU228" dT="2024-10-18T04:54:46.00" personId="{6777EDD4-E46F-4979-A7E7-6FC0A82E0C8E}" id="{F04EE5D2-394F-4ACD-87A2-7C30C22FD3FB}">
    <text>Project On-Hold</text>
  </threadedComment>
  <threadedComment ref="L229" dT="2024-05-12T07:18:21.40" personId="{6777EDD4-E46F-4979-A7E7-6FC0A82E0C8E}" id="{AAEEE107-12DA-4008-81B0-1CFCDEC7C2A7}">
    <text>Target not approved</text>
  </threadedComment>
  <threadedComment ref="M229" dT="2024-05-12T07:18:21.40" personId="{6777EDD4-E46F-4979-A7E7-6FC0A82E0C8E}" id="{8DCBCA4E-41F2-4C3F-BB95-1619BF98043D}">
    <text>Target not approved</text>
  </threadedComment>
  <threadedComment ref="Q229" dT="2024-05-12T07:23:41.15" personId="{6777EDD4-E46F-4979-A7E7-6FC0A82E0C8E}" id="{D4F31934-6614-4AEC-B8FC-690869FA91BB}">
    <text>Not Validated because base file not able to understand</text>
  </threadedComment>
  <threadedComment ref="L230" dT="2024-05-12T07:18:35.38" personId="{6777EDD4-E46F-4979-A7E7-6FC0A82E0C8E}" id="{46CC4D3E-47B8-4006-A1F6-8EE08830F60E}">
    <text>Target not approved</text>
  </threadedComment>
  <threadedComment ref="M230" dT="2024-05-12T07:18:35.38" personId="{6777EDD4-E46F-4979-A7E7-6FC0A82E0C8E}" id="{C9AE66D7-7462-4EE2-BF37-6EE5150B82DE}">
    <text>Target not approved</text>
  </threadedComment>
  <threadedComment ref="Q230" dT="2024-05-12T07:23:46.01" personId="{6777EDD4-E46F-4979-A7E7-6FC0A82E0C8E}" id="{C1FED32F-0AD8-4414-B423-7D2400E7E4FD}">
    <text>Not Validated because base file not able to understand</text>
  </threadedComment>
  <threadedComment ref="L231" dT="2024-05-12T07:18:50.77" personId="{6777EDD4-E46F-4979-A7E7-6FC0A82E0C8E}" id="{ADDF608C-D361-41B7-809C-FE75C225FC8F}">
    <text>Target not approved</text>
  </threadedComment>
  <threadedComment ref="M231" dT="2024-05-12T07:18:50.77" personId="{6777EDD4-E46F-4979-A7E7-6FC0A82E0C8E}" id="{B34B78D2-EBF9-436D-AA16-5A1A7C06FC38}">
    <text>Target not approved</text>
  </threadedComment>
  <threadedComment ref="Q231" dT="2024-05-12T07:23:51.67" personId="{6777EDD4-E46F-4979-A7E7-6FC0A82E0C8E}" id="{5B1B8DAB-AAD3-4437-B79D-A1CF35711F0A}">
    <text>Not Validated because base file not able to understand</text>
  </threadedComment>
  <threadedComment ref="L232" dT="2024-05-12T07:18:56.25" personId="{6777EDD4-E46F-4979-A7E7-6FC0A82E0C8E}" id="{D0BFA2EB-230E-43B7-8ACE-1CD852C65883}">
    <text>Target not approved</text>
  </threadedComment>
  <threadedComment ref="M232" dT="2024-05-12T07:18:56.25" personId="{6777EDD4-E46F-4979-A7E7-6FC0A82E0C8E}" id="{C62ED52E-05C0-479A-A1B3-002A22E99979}">
    <text>Target not approved</text>
  </threadedComment>
  <threadedComment ref="Q232" dT="2024-05-12T07:24:13.55" personId="{6777EDD4-E46F-4979-A7E7-6FC0A82E0C8E}" id="{4B10C6AF-74EA-47F4-BAFD-741C2134D15E}">
    <text>Not Validated because base file not able to understand</text>
  </threadedComment>
  <threadedComment ref="L233" dT="2024-05-12T07:19:02.00" personId="{6777EDD4-E46F-4979-A7E7-6FC0A82E0C8E}" id="{44B7DFB1-2B07-43CA-87B5-37D8E614291C}">
    <text>Target not approved</text>
  </threadedComment>
  <threadedComment ref="M233" dT="2024-05-12T07:19:02.00" personId="{6777EDD4-E46F-4979-A7E7-6FC0A82E0C8E}" id="{71F328B4-4B62-421B-8976-1E3949CC3BB2}">
    <text>Target not approved</text>
  </threadedComment>
  <threadedComment ref="Q233" dT="2024-05-12T07:24:06.45" personId="{6777EDD4-E46F-4979-A7E7-6FC0A82E0C8E}" id="{BE7CD7E3-2F85-4FFD-9417-1C717B6C5A43}">
    <text>Not Validated because base file not able to understand</text>
  </threadedComment>
  <threadedComment ref="L234" dT="2024-05-12T07:19:08.59" personId="{6777EDD4-E46F-4979-A7E7-6FC0A82E0C8E}" id="{CC99F671-EE38-4BB7-ADBB-564CB2836409}">
    <text>Target not approved</text>
  </threadedComment>
  <threadedComment ref="M234" dT="2024-05-12T07:19:08.59" personId="{6777EDD4-E46F-4979-A7E7-6FC0A82E0C8E}" id="{2C1E1ECE-9FCD-4532-A27D-52F6C87CEAF0}">
    <text>Target not approved</text>
  </threadedComment>
  <threadedComment ref="Q234" dT="2024-05-12T07:24:01.73" personId="{6777EDD4-E46F-4979-A7E7-6FC0A82E0C8E}" id="{4BD91870-6D7B-4595-A25D-F746B7576AB3}">
    <text>Not Validated because base file not able to understand</text>
  </threadedComment>
  <threadedComment ref="AE234" dT="2024-11-21T18:43:05.49" personId="{6777EDD4-E46F-4979-A7E7-6FC0A82E0C8E}" id="{E862EA4D-6596-451F-B1D3-4ED09FB5128F}">
    <text>Will starts report from Nov’24</text>
  </threadedComment>
  <threadedComment ref="BM234" dT="2025-12-24T12:26:32.70" personId="{1798D1B1-3098-46B1-91A2-D4C92B7E122A}" id="{A7D0445E-39AD-400F-AD7E-9C7522A1D6F8}">
    <text>Validated</text>
  </threadedComment>
  <threadedComment ref="L235" dT="2024-05-12T07:19:13.61" personId="{6777EDD4-E46F-4979-A7E7-6FC0A82E0C8E}" id="{A3BA9EAE-7EA0-4F91-BADD-2BDDE6607300}">
    <text>Target not approved</text>
  </threadedComment>
  <threadedComment ref="M235" dT="2024-05-12T07:19:13.61" personId="{6777EDD4-E46F-4979-A7E7-6FC0A82E0C8E}" id="{8BDBEDCD-3984-4E54-B53B-EB00B2DC951A}">
    <text>Target not approved</text>
  </threadedComment>
  <threadedComment ref="Q235" dT="2024-05-12T07:23:56.60" personId="{6777EDD4-E46F-4979-A7E7-6FC0A82E0C8E}" id="{BDD30AC8-6A15-4B49-BBDE-DD7A2E6B1DEF}">
    <text>Not Validated because base file not able to understand</text>
  </threadedComment>
  <threadedComment ref="BM235" dT="2025-12-24T12:26:38.04" personId="{1798D1B1-3098-46B1-91A2-D4C92B7E122A}" id="{3554AE8D-CD12-4557-8F97-77DEE2C9144F}">
    <text>Validated</text>
  </threadedComment>
  <threadedComment ref="Q236" dT="2024-05-21T12:50:14.31" personId="{6777EDD4-E46F-4979-A7E7-6FC0A82E0C8E}" id="{F162459C-025C-4A4E-AF33-9FEACD91DA5B}">
    <text>1 Offer released and same has been declined in same month Apr'24</text>
  </threadedComment>
  <threadedComment ref="R236" dT="2024-05-21T12:50:14.31" personId="{6777EDD4-E46F-4979-A7E7-6FC0A82E0C8E}" id="{87A118B9-B016-4032-AF4E-5E9DBAA87289}">
    <text>1 Offer released and same has been declined in same month Apr'24</text>
  </threadedComment>
  <threadedComment ref="S236" dT="2024-06-11T10:30:30.90" personId="{1798D1B1-3098-46B1-91A2-D4C92B7E122A}" id="{D113DBF9-19C7-4FA2-AC8F-3DF2F10B14D3}">
    <text>No base file and no joinings released for May'24</text>
  </threadedComment>
  <threadedComment ref="T236" dT="2024-06-11T10:30:30.90" personId="{1798D1B1-3098-46B1-91A2-D4C92B7E122A}" id="{B0A84C60-9051-4CA4-B811-FFEC532FF3FE}">
    <text>No base file and no joinings released for May'24</text>
  </threadedComment>
  <threadedComment ref="AA236" dT="2024-10-16T11:20:24.33" personId="{1798D1B1-3098-46B1-91A2-D4C92B7E122A}" id="{514D2CCD-AD6A-4B14-AC75-161E6B75AA30}">
    <text>No offers released Sept’24</text>
  </threadedComment>
  <threadedComment ref="AB236" dT="2024-10-16T11:22:42.30" personId="{1798D1B1-3098-46B1-91A2-D4C92B7E122A}" id="{ACE04D3F-6B89-454E-8710-48F0C947AE18}">
    <text>No offers released</text>
  </threadedComment>
  <threadedComment ref="AG236" dT="2024-12-13T11:21:15.35" personId="{1798D1B1-3098-46B1-91A2-D4C92B7E122A}" id="{15DECA62-6A71-4117-873B-A7504F55E9B2}">
    <text>Not validated</text>
  </threadedComment>
  <threadedComment ref="BK236" dT="2025-11-24T08:48:01.66" personId="{6777EDD4-E46F-4979-A7E7-6FC0A82E0C8E}" id="{590D73AD-EC9B-478D-8CBC-79A066B127D1}">
    <text>Account is Inactive</text>
  </threadedComment>
  <threadedComment ref="BL236" dT="2025-11-24T08:48:01.66" personId="{6777EDD4-E46F-4979-A7E7-6FC0A82E0C8E}" id="{F97D675E-300E-4FC5-AF3D-610951A75B08}">
    <text>Account is Inactive</text>
  </threadedComment>
  <threadedComment ref="BM236" dT="2025-11-24T08:48:01.66" personId="{6777EDD4-E46F-4979-A7E7-6FC0A82E0C8E}" id="{A19CE141-F217-49B3-AD2F-114C1ABD1AA6}">
    <text>Account is Inactive</text>
  </threadedComment>
  <threadedComment ref="BN236" dT="2025-11-24T08:48:01.66" personId="{6777EDD4-E46F-4979-A7E7-6FC0A82E0C8E}" id="{91361AC5-A59C-4BD7-8062-EA2F9A244470}">
    <text>Account is Inactive</text>
  </threadedComment>
  <threadedComment ref="BO236" dT="2025-11-24T08:48:01.66" personId="{6777EDD4-E46F-4979-A7E7-6FC0A82E0C8E}" id="{E7052DBD-8A6D-4110-B7F8-E7FAC6E4D6B7}">
    <text>Account is Inactive</text>
  </threadedComment>
  <threadedComment ref="BP236" dT="2025-11-24T08:48:01.66" personId="{6777EDD4-E46F-4979-A7E7-6FC0A82E0C8E}" id="{8B28E05D-68F3-4709-BD07-A3649FA8DE59}">
    <text>Account is Inactive</text>
  </threadedComment>
  <threadedComment ref="BQ236" dT="2025-11-24T08:48:01.66" personId="{6777EDD4-E46F-4979-A7E7-6FC0A82E0C8E}" id="{7519414C-B716-49A5-9B7C-03676746E988}">
    <text>Account is Inactive</text>
  </threadedComment>
  <threadedComment ref="BR236" dT="2025-11-24T08:48:01.66" personId="{6777EDD4-E46F-4979-A7E7-6FC0A82E0C8E}" id="{523FB7F5-0E9E-47C9-956D-BD506F966B2C}">
    <text>Account is Inactive</text>
  </threadedComment>
  <threadedComment ref="BS236" dT="2026-02-24T09:47:42.01" personId="{6777EDD4-E46F-4979-A7E7-6FC0A82E0C8E}" id="{DEB808EB-C917-4899-81E9-12D33B1856C8}">
    <text>Account is Inactive</text>
  </threadedComment>
  <threadedComment ref="BU236" dT="2026-02-24T09:47:42.01" personId="{6777EDD4-E46F-4979-A7E7-6FC0A82E0C8E}" id="{C308E63B-8EC3-424C-8887-962A8158D922}">
    <text>Account is Inactive</text>
  </threadedComment>
  <threadedComment ref="S237" dT="2024-06-11T10:33:42.81" personId="{1798D1B1-3098-46B1-91A2-D4C92B7E122A}" id="{F70A3995-0F7B-4EAC-ADD5-15105AF6A4DD}">
    <text>No base file to validate</text>
  </threadedComment>
  <threadedComment ref="U237" dT="2024-07-12T07:40:36.57" personId="{1798D1B1-3098-46B1-91A2-D4C92B7E122A}" id="{8DCA1E40-1E7C-4F6D-8C2D-CF2CF9AE00C9}">
    <text>Validated</text>
  </threadedComment>
  <threadedComment ref="AG237" dT="2024-12-13T11:21:24.27" personId="{1798D1B1-3098-46B1-91A2-D4C92B7E122A}" id="{2D32743E-9BB0-4E2A-B993-02F05DF83DB0}">
    <text>Not validated</text>
  </threadedComment>
  <threadedComment ref="BK237" dT="2025-11-24T08:48:01.66" personId="{6777EDD4-E46F-4979-A7E7-6FC0A82E0C8E}" id="{5D7FD367-F7CF-4C4C-B8C6-E844531F7E1A}">
    <text>Account is Inactive</text>
  </threadedComment>
  <threadedComment ref="BL237" dT="2025-11-24T08:48:01.66" personId="{6777EDD4-E46F-4979-A7E7-6FC0A82E0C8E}" id="{F54BEF4A-E306-4CC6-A793-7AEC55B12314}">
    <text>Account is Inactive</text>
  </threadedComment>
  <threadedComment ref="BM237" dT="2025-11-24T08:48:01.66" personId="{6777EDD4-E46F-4979-A7E7-6FC0A82E0C8E}" id="{BE4FDF45-E978-4A18-A3BD-D79F4CB0BD35}">
    <text>Account is Inactive</text>
  </threadedComment>
  <threadedComment ref="BN237" dT="2025-11-24T08:48:01.66" personId="{6777EDD4-E46F-4979-A7E7-6FC0A82E0C8E}" id="{40AD5AD6-1814-4FFC-8BF3-F5D88C1DBA28}">
    <text>Account is Inactive</text>
  </threadedComment>
  <threadedComment ref="BP237" dT="2025-11-24T08:48:01.66" personId="{6777EDD4-E46F-4979-A7E7-6FC0A82E0C8E}" id="{6A612851-049C-4F9F-98F2-E70725FB7CEA}">
    <text>Account is Inactive</text>
  </threadedComment>
  <threadedComment ref="BR237" dT="2025-11-24T08:48:01.66" personId="{6777EDD4-E46F-4979-A7E7-6FC0A82E0C8E}" id="{DA8A316C-4835-46A2-8F84-34D7CE5527F6}">
    <text>Account is Inactive</text>
  </threadedComment>
  <threadedComment ref="BS237" dT="2026-02-24T09:47:42.01" personId="{6777EDD4-E46F-4979-A7E7-6FC0A82E0C8E}" id="{E2B13F65-4943-4CA8-ABA8-75D04993DE18}">
    <text>Account is Inactive</text>
  </threadedComment>
  <threadedComment ref="BU237" dT="2026-02-24T09:47:42.01" personId="{6777EDD4-E46F-4979-A7E7-6FC0A82E0C8E}" id="{7FADA0EA-B559-40C2-B8C1-35C8E086C523}">
    <text>Account is Inactive</text>
  </threadedComment>
  <threadedComment ref="S238" dT="2024-06-11T10:33:42.81" personId="{1798D1B1-3098-46B1-91A2-D4C92B7E122A}" id="{A86EB483-0A19-4BC6-B2E2-58CBC796A070}">
    <text>No base file to validate</text>
  </threadedComment>
  <threadedComment ref="U238" dT="2024-07-12T07:40:19.99" personId="{1798D1B1-3098-46B1-91A2-D4C92B7E122A}" id="{37B21F2D-919E-4C8A-9158-24CEEA8EA0CC}">
    <text>Validated</text>
  </threadedComment>
  <threadedComment ref="W238" dT="2024-08-13T15:44:27.56" personId="{1798D1B1-3098-46B1-91A2-D4C92B7E122A}" id="{004D195D-A305-4631-AA37-AAB4F384FE09}">
    <text>Validated</text>
  </threadedComment>
  <threadedComment ref="AA238" dT="2024-10-16T11:22:50.23" personId="{1798D1B1-3098-46B1-91A2-D4C92B7E122A}" id="{C65D0D3E-0BB8-4ADF-968F-33C6DBDCB609}">
    <text>Validated</text>
  </threadedComment>
  <threadedComment ref="AG238" dT="2024-12-13T11:21:30.09" personId="{1798D1B1-3098-46B1-91A2-D4C92B7E122A}" id="{5D6B73A5-E658-4651-B150-D1F1E1743B29}">
    <text>Not validated</text>
  </threadedComment>
  <threadedComment ref="BK238" dT="2025-11-24T08:48:01.66" personId="{6777EDD4-E46F-4979-A7E7-6FC0A82E0C8E}" id="{1F9FA1DC-8064-479A-B75B-7DA0A7A847F1}">
    <text>Account is Inactive</text>
  </threadedComment>
  <threadedComment ref="BL238" dT="2025-11-24T08:48:01.66" personId="{6777EDD4-E46F-4979-A7E7-6FC0A82E0C8E}" id="{A3BCEDB4-B2DA-422C-BD0F-D6A4D2A32E31}">
    <text>Account is Inactive</text>
  </threadedComment>
  <threadedComment ref="BM238" dT="2025-11-24T08:48:01.66" personId="{6777EDD4-E46F-4979-A7E7-6FC0A82E0C8E}" id="{D59B8B29-48D1-4B0E-8C25-C1E3657169C1}">
    <text>Account is Inactive</text>
  </threadedComment>
  <threadedComment ref="BN238" dT="2025-11-24T08:48:01.66" personId="{6777EDD4-E46F-4979-A7E7-6FC0A82E0C8E}" id="{6A40BBED-8E79-46BC-97B8-8A218B0C601E}">
    <text>Account is Inactive</text>
  </threadedComment>
  <threadedComment ref="BP238" dT="2025-11-24T08:48:01.66" personId="{6777EDD4-E46F-4979-A7E7-6FC0A82E0C8E}" id="{0943A0BD-6C5A-4AD2-93F7-E8E45BEF2FCE}">
    <text>Account is Inactive</text>
  </threadedComment>
  <threadedComment ref="BR238" dT="2025-11-24T08:48:01.66" personId="{6777EDD4-E46F-4979-A7E7-6FC0A82E0C8E}" id="{E2F6D85B-CD25-4EC7-BE22-D77B08D31004}">
    <text>Account is Inactive</text>
  </threadedComment>
  <threadedComment ref="BS238" dT="2026-02-24T09:47:42.01" personId="{6777EDD4-E46F-4979-A7E7-6FC0A82E0C8E}" id="{0909C82F-2465-4602-B54F-DF88CB59FA57}">
    <text>Account is Inactive</text>
  </threadedComment>
  <threadedComment ref="BU238" dT="2026-02-24T09:47:42.01" personId="{6777EDD4-E46F-4979-A7E7-6FC0A82E0C8E}" id="{C5E81B42-D8A1-461C-A4A5-E774ACC9ECAB}">
    <text>Account is Inactive</text>
  </threadedComment>
  <threadedComment ref="S239" dT="2024-06-11T10:30:30.90" personId="{1798D1B1-3098-46B1-91A2-D4C92B7E122A}" id="{D6344868-7691-4C9B-8570-05C444388C93}">
    <text>No base file and no joinings released for May'24</text>
  </threadedComment>
  <threadedComment ref="U239" dT="2024-07-12T07:38:17.46" personId="{1798D1B1-3098-46B1-91A2-D4C92B7E122A}" id="{625F038A-8DB1-495A-AE01-9C6C1753345B}">
    <text>No joiners-Jun’24</text>
  </threadedComment>
  <threadedComment ref="V239" dT="2024-07-12T07:38:28.92" personId="{1798D1B1-3098-46B1-91A2-D4C92B7E122A}" id="{76275675-0D57-475B-8670-5B747F9A2991}">
    <text>No joiners-Jun’24</text>
  </threadedComment>
  <threadedComment ref="AG239" dT="2024-12-13T11:21:35.01" personId="{1798D1B1-3098-46B1-91A2-D4C92B7E122A}" id="{89E67829-D9DF-4C48-9D9B-E3980DF051A1}">
    <text>Not validated</text>
  </threadedComment>
  <threadedComment ref="BK239" dT="2025-11-24T08:48:01.66" personId="{6777EDD4-E46F-4979-A7E7-6FC0A82E0C8E}" id="{C260BCB7-D742-482E-A7D4-72B475FADA0F}">
    <text>Account is Inactive</text>
  </threadedComment>
  <threadedComment ref="BL239" dT="2025-11-24T08:48:01.66" personId="{6777EDD4-E46F-4979-A7E7-6FC0A82E0C8E}" id="{9D0B2081-4742-4764-B5EF-322EB060AE0C}">
    <text>Account is Inactive</text>
  </threadedComment>
  <threadedComment ref="BM239" dT="2025-11-24T08:48:01.66" personId="{6777EDD4-E46F-4979-A7E7-6FC0A82E0C8E}" id="{0D1A94DB-AF34-448B-9CCD-1AAD11FFFD8E}">
    <text>Account is Inactive</text>
  </threadedComment>
  <threadedComment ref="BN239" dT="2025-11-24T08:48:01.66" personId="{6777EDD4-E46F-4979-A7E7-6FC0A82E0C8E}" id="{E72EAADE-1EC2-44B2-BA42-52F218990A71}">
    <text>Account is Inactive</text>
  </threadedComment>
  <threadedComment ref="BP239" dT="2025-11-24T08:48:01.66" personId="{6777EDD4-E46F-4979-A7E7-6FC0A82E0C8E}" id="{244006FF-03EE-4F4D-AD02-B0110E451C81}">
    <text>Account is Inactive</text>
  </threadedComment>
  <threadedComment ref="BR239" dT="2025-11-24T08:48:01.66" personId="{6777EDD4-E46F-4979-A7E7-6FC0A82E0C8E}" id="{D28BEA62-084A-4029-AA47-10D6AF184DBF}">
    <text>Account is Inactive</text>
  </threadedComment>
  <threadedComment ref="BS239" dT="2026-02-24T09:47:42.01" personId="{6777EDD4-E46F-4979-A7E7-6FC0A82E0C8E}" id="{642D1F81-A266-4551-B436-6F77D5246AB0}">
    <text>Account is Inactive</text>
  </threadedComment>
  <threadedComment ref="BU239" dT="2026-02-24T09:47:42.01" personId="{6777EDD4-E46F-4979-A7E7-6FC0A82E0C8E}" id="{B45598AA-BB12-4940-9564-D742C9613385}">
    <text>Account is Inactive</text>
  </threadedComment>
  <threadedComment ref="Q240" dT="2024-05-21T13:09:59.83" personId="{6777EDD4-E46F-4979-A7E7-6FC0A82E0C8E}" id="{FCA32E43-9C16-4275-A149-F67909FFCBBE}">
    <text>No Joining's in Apr'24</text>
  </threadedComment>
  <threadedComment ref="R240" dT="2024-05-21T13:09:59.83" personId="{6777EDD4-E46F-4979-A7E7-6FC0A82E0C8E}" id="{D9BEE0BD-C84B-4870-9F7A-10B3317B29A9}">
    <text>No Joining's in Apr'24</text>
  </threadedComment>
  <threadedComment ref="S240" dT="2024-06-11T10:30:30.90" personId="{1798D1B1-3098-46B1-91A2-D4C92B7E122A}" id="{CC6A89AE-2F80-4F85-8F67-40CE3E015E80}">
    <text>No base file and no joinings released for May'24</text>
  </threadedComment>
  <threadedComment ref="T240" dT="2024-06-11T10:30:30.90" personId="{1798D1B1-3098-46B1-91A2-D4C92B7E122A}" id="{40F9BE87-BBAA-4829-A06F-E713AD5778D8}">
    <text>No base file and no joinings released for May'24</text>
  </threadedComment>
  <threadedComment ref="U240" dT="2024-07-12T07:38:17.46" personId="{1798D1B1-3098-46B1-91A2-D4C92B7E122A}" id="{1BF7E742-F072-4BFB-AD4D-831ACE0FEE65}">
    <text>No joiners-Jun’24</text>
  </threadedComment>
  <threadedComment ref="V240" dT="2024-07-12T07:38:28.92" personId="{1798D1B1-3098-46B1-91A2-D4C92B7E122A}" id="{5FBF99BE-A306-447C-8221-18A003516832}">
    <text>No joiners-Jun’24</text>
  </threadedComment>
  <threadedComment ref="AG240" dT="2024-12-13T11:21:39.90" personId="{1798D1B1-3098-46B1-91A2-D4C92B7E122A}" id="{AFA0CB99-FC3C-4549-8BED-59C4A919F0FF}">
    <text>Not validated</text>
  </threadedComment>
  <threadedComment ref="BK240" dT="2025-11-24T08:48:01.66" personId="{6777EDD4-E46F-4979-A7E7-6FC0A82E0C8E}" id="{BE871ADD-03CB-400B-A766-79AC641C7108}">
    <text>Account is Inactive</text>
  </threadedComment>
  <threadedComment ref="BL240" dT="2025-11-24T08:48:01.66" personId="{6777EDD4-E46F-4979-A7E7-6FC0A82E0C8E}" id="{07588343-81EA-4F95-B499-0C651D5E3FAC}">
    <text>Account is Inactive</text>
  </threadedComment>
  <threadedComment ref="BM240" dT="2025-11-24T08:48:01.66" personId="{6777EDD4-E46F-4979-A7E7-6FC0A82E0C8E}" id="{202F5F1E-7175-43EC-A97E-8CE6736CC5FF}">
    <text>Account is Inactive</text>
  </threadedComment>
  <threadedComment ref="BN240" dT="2025-11-24T08:48:01.66" personId="{6777EDD4-E46F-4979-A7E7-6FC0A82E0C8E}" id="{E4E96293-B9A3-445A-A8C9-81AE529522D4}">
    <text>Account is Inactive</text>
  </threadedComment>
  <threadedComment ref="BP240" dT="2025-11-24T08:48:01.66" personId="{6777EDD4-E46F-4979-A7E7-6FC0A82E0C8E}" id="{1E617A72-D89F-42A1-9C14-1E9C9FC4752D}">
    <text>Account is Inactive</text>
  </threadedComment>
  <threadedComment ref="BR240" dT="2025-11-24T08:48:01.66" personId="{6777EDD4-E46F-4979-A7E7-6FC0A82E0C8E}" id="{71D719B3-7B2A-4DD4-A899-2F00180DC235}">
    <text>Account is Inactive</text>
  </threadedComment>
  <threadedComment ref="BS240" dT="2026-02-24T09:47:42.01" personId="{6777EDD4-E46F-4979-A7E7-6FC0A82E0C8E}" id="{721C3ED7-7EAB-4C2B-87E2-C744F37494EC}">
    <text>Account is Inactive</text>
  </threadedComment>
  <threadedComment ref="BU240" dT="2026-02-24T09:47:42.01" personId="{6777EDD4-E46F-4979-A7E7-6FC0A82E0C8E}" id="{B669B356-F8EE-48D6-84AB-47834B623FD6}">
    <text>Account is Inactive</text>
  </threadedComment>
  <threadedComment ref="W241" dT="2024-08-13T15:44:20.80" personId="{1798D1B1-3098-46B1-91A2-D4C92B7E122A}" id="{7EBB0C09-4DEB-43B5-8ED5-C9F3018F1F60}">
    <text>No selections</text>
  </threadedComment>
  <threadedComment ref="AA241" dT="2024-10-16T11:23:10.26" personId="{1798D1B1-3098-46B1-91A2-D4C92B7E122A}" id="{04E10312-B9F6-45C7-98F8-B389D124C6EB}">
    <text>Validated</text>
  </threadedComment>
  <threadedComment ref="AG241" dT="2024-12-13T11:21:44.43" personId="{1798D1B1-3098-46B1-91A2-D4C92B7E122A}" id="{4EB698BE-9E5D-4928-BBBF-01D12A2DFEDD}">
    <text>Not validated</text>
  </threadedComment>
  <threadedComment ref="BK241" dT="2025-11-24T08:48:01.66" personId="{6777EDD4-E46F-4979-A7E7-6FC0A82E0C8E}" id="{6E1601F0-36C0-49B2-84E9-ADC24C81DABA}">
    <text>Account is Inactive</text>
  </threadedComment>
  <threadedComment ref="BL241" dT="2025-11-24T08:48:01.66" personId="{6777EDD4-E46F-4979-A7E7-6FC0A82E0C8E}" id="{DC6A8526-F471-4BE0-BD8F-36AD717E38B8}">
    <text>Account is Inactive</text>
  </threadedComment>
  <threadedComment ref="BM241" dT="2025-11-24T08:48:01.66" personId="{6777EDD4-E46F-4979-A7E7-6FC0A82E0C8E}" id="{21294B9C-BFFD-48F5-B513-87990D250D41}">
    <text>Account is Inactive</text>
  </threadedComment>
  <threadedComment ref="BN241" dT="2025-11-24T08:48:01.66" personId="{6777EDD4-E46F-4979-A7E7-6FC0A82E0C8E}" id="{A071E22C-170A-4E37-84E2-F628B932CB3D}">
    <text>Account is Inactive</text>
  </threadedComment>
  <threadedComment ref="BP241" dT="2025-11-24T08:48:01.66" personId="{6777EDD4-E46F-4979-A7E7-6FC0A82E0C8E}" id="{58805824-7BA9-4269-B9D8-D04531CAD068}">
    <text>Account is Inactive</text>
  </threadedComment>
  <threadedComment ref="BR241" dT="2025-11-24T08:48:01.66" personId="{6777EDD4-E46F-4979-A7E7-6FC0A82E0C8E}" id="{235C3A34-8E5B-4B31-B559-DED9B41D4A09}">
    <text>Account is Inactive</text>
  </threadedComment>
  <threadedComment ref="BS241" dT="2026-02-24T09:47:42.01" personId="{6777EDD4-E46F-4979-A7E7-6FC0A82E0C8E}" id="{B19082D6-0873-427F-84AC-035ABD911627}">
    <text>Account is Inactive</text>
  </threadedComment>
  <threadedComment ref="BU241" dT="2026-02-24T09:47:42.01" personId="{6777EDD4-E46F-4979-A7E7-6FC0A82E0C8E}" id="{5DE783F7-E57B-493B-97BA-081765E7E474}">
    <text>Account is Inactive</text>
  </threadedComment>
  <threadedComment ref="S242" dT="2024-06-11T10:32:58.63" personId="{1798D1B1-3098-46B1-91A2-D4C92B7E122A}" id="{85E05DE1-1C09-4F7E-A267-6D5596C7493C}">
    <text>No YTJ cases added to pipeline till May'24</text>
  </threadedComment>
  <threadedComment ref="U242" dT="2024-07-12T07:40:51.06" personId="{1798D1B1-3098-46B1-91A2-D4C92B7E122A}" id="{B2B1B60C-7844-40B0-BA73-1BEC1CB4F54A}">
    <text>No offer drops</text>
  </threadedComment>
  <threadedComment ref="W242" dT="2024-08-13T15:44:07.59" personId="{1798D1B1-3098-46B1-91A2-D4C92B7E122A}" id="{3B1A40FA-FA19-427B-8184-61864708D344}">
    <text>No offer drops</text>
  </threadedComment>
  <threadedComment ref="AG242" dT="2024-12-13T11:21:51.49" personId="{1798D1B1-3098-46B1-91A2-D4C92B7E122A}" id="{1E44612F-1A1D-43E2-B8F0-91B4ABA4CBA5}">
    <text>Not validated</text>
  </threadedComment>
  <threadedComment ref="BK242" dT="2025-11-24T08:48:01.66" personId="{6777EDD4-E46F-4979-A7E7-6FC0A82E0C8E}" id="{553ED539-328E-4DE2-B3DC-AE3E26423E6D}">
    <text>Account is Inactive</text>
  </threadedComment>
  <threadedComment ref="BL242" dT="2025-11-24T08:48:01.66" personId="{6777EDD4-E46F-4979-A7E7-6FC0A82E0C8E}" id="{06E96D73-0512-43C1-BC3F-A25EB55BAA4B}">
    <text>Account is Inactive</text>
  </threadedComment>
  <threadedComment ref="BM242" dT="2025-11-24T08:48:01.66" personId="{6777EDD4-E46F-4979-A7E7-6FC0A82E0C8E}" id="{5591CDC5-6AC4-441B-B5B4-342B596DE6EA}">
    <text>Account is Inactive</text>
  </threadedComment>
  <threadedComment ref="BN242" dT="2025-11-24T08:48:01.66" personId="{6777EDD4-E46F-4979-A7E7-6FC0A82E0C8E}" id="{1C67F845-C6C2-4725-AFD7-AEF82D1352EC}">
    <text>Account is Inactive</text>
  </threadedComment>
  <threadedComment ref="BP242" dT="2025-11-24T08:48:01.66" personId="{6777EDD4-E46F-4979-A7E7-6FC0A82E0C8E}" id="{380FB309-AB6A-46A7-B7EA-19855A9135C3}">
    <text>Account is Inactive</text>
  </threadedComment>
  <threadedComment ref="BR242" dT="2025-11-24T08:48:01.66" personId="{6777EDD4-E46F-4979-A7E7-6FC0A82E0C8E}" id="{865BA151-55A6-4E9D-9DB9-139C071B6A8E}">
    <text>Account is Inactive</text>
  </threadedComment>
  <threadedComment ref="BS242" dT="2026-02-24T09:47:42.01" personId="{6777EDD4-E46F-4979-A7E7-6FC0A82E0C8E}" id="{A7EDC60F-A182-4BED-91F7-44BBBFF0C3AB}">
    <text>Account is Inactive</text>
  </threadedComment>
  <threadedComment ref="BU242" dT="2026-02-24T09:47:42.01" personId="{6777EDD4-E46F-4979-A7E7-6FC0A82E0C8E}" id="{FF260CC5-18D4-48CE-83D8-CDAE153737CD}">
    <text>Account is Inactive</text>
  </threadedComment>
  <threadedComment ref="Q243" dT="2024-05-12T06:46:30.34" personId="{6777EDD4-E46F-4979-A7E7-6FC0A82E0C8E}" id="{D4B747CF-8C9C-47C9-98D2-5CD11FC4DB8B}">
    <text>Account Inactive</text>
  </threadedComment>
  <threadedComment ref="R243" dT="2024-05-12T06:46:30.34" personId="{6777EDD4-E46F-4979-A7E7-6FC0A82E0C8E}" id="{C28E698D-A839-452F-AF29-CF26C107B0F2}">
    <text>Account Inactive</text>
  </threadedComment>
  <threadedComment ref="S243" dT="2024-05-12T06:46:30.34" personId="{6777EDD4-E46F-4979-A7E7-6FC0A82E0C8E}" id="{0B726D13-394E-4706-9841-7BB97ED5501E}">
    <text>Account Inactive</text>
  </threadedComment>
  <threadedComment ref="T243" dT="2024-05-12T06:46:30.34" personId="{6777EDD4-E46F-4979-A7E7-6FC0A82E0C8E}" id="{F7E0A2EF-6EB5-4C43-ADB5-0CED4E9F93F3}">
    <text>Account Inactive</text>
  </threadedComment>
  <threadedComment ref="U243" dT="2024-05-12T06:46:30.34" personId="{6777EDD4-E46F-4979-A7E7-6FC0A82E0C8E}" id="{DED2B926-442F-4418-88F3-A58C6A050F7A}">
    <text>Account Inactive</text>
  </threadedComment>
  <threadedComment ref="V243" dT="2024-05-12T06:46:30.34" personId="{6777EDD4-E46F-4979-A7E7-6FC0A82E0C8E}" id="{D24B2E87-1B77-4D1A-8F5A-9EC7C76D04A7}">
    <text>Account Inactive</text>
  </threadedComment>
  <threadedComment ref="W243" dT="2024-05-12T06:46:30.34" personId="{6777EDD4-E46F-4979-A7E7-6FC0A82E0C8E}" id="{12F2A85F-D1D2-47CC-8F4B-9A668688D67D}">
    <text>Account Inactive</text>
  </threadedComment>
  <threadedComment ref="X243" dT="2024-05-12T06:46:30.34" personId="{6777EDD4-E46F-4979-A7E7-6FC0A82E0C8E}" id="{D9BAD02C-C1D7-4104-A2FE-225A111C5775}">
    <text>Account Inactive</text>
  </threadedComment>
  <threadedComment ref="Y243" dT="2024-05-12T06:46:30.34" personId="{6777EDD4-E46F-4979-A7E7-6FC0A82E0C8E}" id="{3F96EA22-C08E-434A-AEA4-606473BB9BA1}">
    <text>Account Inactive</text>
  </threadedComment>
  <threadedComment ref="Z243" dT="2024-05-12T06:46:30.34" personId="{6777EDD4-E46F-4979-A7E7-6FC0A82E0C8E}" id="{D0A94A55-AEA7-4B04-B8EC-692871CF6B9B}">
    <text>Account Inactive</text>
  </threadedComment>
  <threadedComment ref="AA243" dT="2024-05-12T06:46:30.34" personId="{6777EDD4-E46F-4979-A7E7-6FC0A82E0C8E}" id="{AFF7F225-B7EB-4F3F-8565-394E6CEEEBD7}">
    <text>Account Inactive</text>
  </threadedComment>
  <threadedComment ref="AB243" dT="2024-05-12T06:46:30.34" personId="{6777EDD4-E46F-4979-A7E7-6FC0A82E0C8E}" id="{40166F2F-029A-4C45-96B2-AEE1E05EE1E1}">
    <text>Account Inactive</text>
  </threadedComment>
  <threadedComment ref="AC243" dT="2024-05-12T06:46:30.34" personId="{6777EDD4-E46F-4979-A7E7-6FC0A82E0C8E}" id="{EE0C2042-054F-4E4A-8274-CE47167C44E2}">
    <text>Account Inactive</text>
  </threadedComment>
  <threadedComment ref="AD243" dT="2024-05-12T06:46:30.34" personId="{6777EDD4-E46F-4979-A7E7-6FC0A82E0C8E}" id="{409EDC53-5234-4897-B4CE-41262E880627}">
    <text>Account Inactive</text>
  </threadedComment>
  <threadedComment ref="AE243" dT="2024-05-12T06:46:30.34" personId="{6777EDD4-E46F-4979-A7E7-6FC0A82E0C8E}" id="{06D48FEA-31FD-4BFB-A172-675B2B69DAA1}">
    <text>Account Inactive</text>
  </threadedComment>
  <threadedComment ref="AF243" dT="2024-05-12T06:46:30.34" personId="{6777EDD4-E46F-4979-A7E7-6FC0A82E0C8E}" id="{2CB19FBA-A0CA-4092-826B-B2787936CC06}">
    <text>Account Inactive</text>
  </threadedComment>
  <threadedComment ref="AG243" dT="2024-05-12T06:46:30.34" personId="{6777EDD4-E46F-4979-A7E7-6FC0A82E0C8E}" id="{2087548B-AF71-4CA3-B295-38FF4F730B42}">
    <text>Account Inactive</text>
  </threadedComment>
  <threadedComment ref="AH243" dT="2024-05-12T06:46:30.34" personId="{6777EDD4-E46F-4979-A7E7-6FC0A82E0C8E}" id="{B8A8A69E-E86C-45B0-9AD4-72DB39425545}">
    <text>Account Inactive</text>
  </threadedComment>
  <threadedComment ref="AI243" dT="2024-05-12T06:46:30.34" personId="{6777EDD4-E46F-4979-A7E7-6FC0A82E0C8E}" id="{4047DEE4-F943-441C-A978-FC7C0BACA33B}">
    <text>Account Inactive</text>
  </threadedComment>
  <threadedComment ref="AJ243" dT="2024-05-12T06:46:30.34" personId="{6777EDD4-E46F-4979-A7E7-6FC0A82E0C8E}" id="{91BAB6E2-80F2-431D-A7CB-22F2CDC23C93}">
    <text>Account Inactive</text>
  </threadedComment>
  <threadedComment ref="AK243" dT="2024-05-12T06:46:30.34" personId="{6777EDD4-E46F-4979-A7E7-6FC0A82E0C8E}" id="{0D362737-6638-4690-9507-FC6AFCED1D71}">
    <text>Account Inactive</text>
  </threadedComment>
  <threadedComment ref="AL243" dT="2024-05-12T06:46:30.34" personId="{6777EDD4-E46F-4979-A7E7-6FC0A82E0C8E}" id="{0A58EF80-7E11-4024-9A61-FA187D0358C5}">
    <text>Account Inactive</text>
  </threadedComment>
  <threadedComment ref="AM243" dT="2024-10-17T09:51:49.13" personId="{6777EDD4-E46F-4979-A7E7-6FC0A82E0C8E}" id="{3E8A7236-EA55-4963-B91C-C1F8FDE56C11}">
    <text>Client is Inactive</text>
  </threadedComment>
  <threadedComment ref="AN243" dT="2024-10-17T09:51:49.13" personId="{6777EDD4-E46F-4979-A7E7-6FC0A82E0C8E}" id="{B36FC6DA-0A6E-4348-8F2B-9E3FC606F36B}">
    <text>Client is Inactive</text>
  </threadedComment>
  <threadedComment ref="AO243" dT="2024-10-17T09:51:49.13" personId="{6777EDD4-E46F-4979-A7E7-6FC0A82E0C8E}" id="{2ACAC7B6-73B3-4AB7-8D4C-616B61F503E9}">
    <text>Client is Inactive</text>
  </threadedComment>
  <threadedComment ref="AP243" dT="2024-10-17T09:51:49.13" personId="{6777EDD4-E46F-4979-A7E7-6FC0A82E0C8E}" id="{7BE72443-13B1-4B7D-9A0E-9E2696DDF3E5}">
    <text>Client is Inactive</text>
  </threadedComment>
  <threadedComment ref="AQ243" dT="2024-10-17T09:51:49.13" personId="{6777EDD4-E46F-4979-A7E7-6FC0A82E0C8E}" id="{B51A69D4-55ED-4A2C-87F1-D4A973C9DD5D}">
    <text>Client is Inactive</text>
  </threadedComment>
  <threadedComment ref="AR243" dT="2024-10-17T09:51:49.13" personId="{6777EDD4-E46F-4979-A7E7-6FC0A82E0C8E}" id="{A59AAE34-4679-48E9-B57D-2DF376086A06}">
    <text>Client is Inactive</text>
  </threadedComment>
  <threadedComment ref="AS243" dT="2024-10-17T09:51:49.13" personId="{6777EDD4-E46F-4979-A7E7-6FC0A82E0C8E}" id="{D6CD4479-1AA2-4370-8FA4-A4E69C7569A0}">
    <text>Client is Inactive</text>
  </threadedComment>
  <threadedComment ref="AT243" dT="2024-10-17T09:51:49.13" personId="{6777EDD4-E46F-4979-A7E7-6FC0A82E0C8E}" id="{D97D8A32-B6AC-42BF-9244-13C8217134EE}">
    <text>Client is Inactive</text>
  </threadedComment>
  <threadedComment ref="AU243" dT="2024-10-17T09:51:49.13" personId="{6777EDD4-E46F-4979-A7E7-6FC0A82E0C8E}" id="{751F1993-A4E9-45B2-BB63-E403F146C573}">
    <text>Client is Inactive</text>
  </threadedComment>
  <threadedComment ref="AV243" dT="2024-10-17T09:51:49.13" personId="{6777EDD4-E46F-4979-A7E7-6FC0A82E0C8E}" id="{4496BEE2-4B36-456C-9804-74D101E7885C}">
    <text>Client is Inactive</text>
  </threadedComment>
  <threadedComment ref="AW243" dT="2024-10-17T09:51:49.13" personId="{6777EDD4-E46F-4979-A7E7-6FC0A82E0C8E}" id="{A3CCF7D3-49A7-457E-B8A4-1D2373697EA8}">
    <text>Client is Inactive</text>
  </threadedComment>
  <threadedComment ref="AX243" dT="2024-10-17T09:51:49.13" personId="{6777EDD4-E46F-4979-A7E7-6FC0A82E0C8E}" id="{AF2BFAFE-1B7D-4E96-A4FC-7846852BC42E}">
    <text>Client is Inactive</text>
  </threadedComment>
  <threadedComment ref="AY243" dT="2024-10-17T09:51:49.13" personId="{6777EDD4-E46F-4979-A7E7-6FC0A82E0C8E}" id="{DBC17E8D-390F-4398-BC9D-842CC96B5717}">
    <text>Client is Inactive</text>
  </threadedComment>
  <threadedComment ref="AZ243" dT="2024-10-17T09:51:49.13" personId="{6777EDD4-E46F-4979-A7E7-6FC0A82E0C8E}" id="{96DA6081-6E4C-4AC1-A4A8-2B779D40E48E}">
    <text>Client is Inactive</text>
  </threadedComment>
  <threadedComment ref="BA243" dT="2024-10-17T09:51:49.13" personId="{6777EDD4-E46F-4979-A7E7-6FC0A82E0C8E}" id="{D53C6CE1-D162-4A63-A0CC-A7105B7B0295}">
    <text>Client is Inactive</text>
  </threadedComment>
  <threadedComment ref="BB243" dT="2024-10-17T09:51:49.13" personId="{6777EDD4-E46F-4979-A7E7-6FC0A82E0C8E}" id="{E5C8FC6C-137D-4009-B0D7-E586EB38D8D8}">
    <text>Client is Inactive</text>
  </threadedComment>
  <threadedComment ref="BC243" dT="2024-10-17T09:51:49.13" personId="{6777EDD4-E46F-4979-A7E7-6FC0A82E0C8E}" id="{89C7437B-EB67-492C-AB81-77A6D0B70CDC}">
    <text>Client is Inactive</text>
  </threadedComment>
  <threadedComment ref="BD243" dT="2024-10-17T09:51:49.13" personId="{6777EDD4-E46F-4979-A7E7-6FC0A82E0C8E}" id="{00DD59E8-30B1-48CD-BDF1-0E3BE99ABEA1}">
    <text>Client is Inactive</text>
  </threadedComment>
  <threadedComment ref="BE243" dT="2024-10-18T04:54:46.00" personId="{6777EDD4-E46F-4979-A7E7-6FC0A82E0C8E}" id="{C9CE8870-CA46-4E7E-B0A1-1BFA1FA908FE}">
    <text>Project On-Hold</text>
  </threadedComment>
  <threadedComment ref="BF243" dT="2024-10-18T04:54:46.00" personId="{6777EDD4-E46F-4979-A7E7-6FC0A82E0C8E}" id="{BC8745D1-FEFC-41B9-BDEA-E05AE81235DE}">
    <text>Project On-Hold</text>
  </threadedComment>
  <threadedComment ref="BG243" dT="2024-10-18T04:54:46.00" personId="{6777EDD4-E46F-4979-A7E7-6FC0A82E0C8E}" id="{104579BD-CBDF-46C7-9884-DA8ECE4CEEED}">
    <text>Project On-Hold</text>
  </threadedComment>
  <threadedComment ref="BH243" dT="2024-10-18T04:54:46.00" personId="{6777EDD4-E46F-4979-A7E7-6FC0A82E0C8E}" id="{D40100DB-A5CE-4A5E-A7A0-6843C14305C0}">
    <text>Project On-Hold</text>
  </threadedComment>
  <threadedComment ref="BI243" dT="2024-10-18T04:54:46.00" personId="{6777EDD4-E46F-4979-A7E7-6FC0A82E0C8E}" id="{68E494C3-EFFD-480C-A060-15720801D2E0}">
    <text>Project On-Hold</text>
  </threadedComment>
  <threadedComment ref="BJ243" dT="2024-10-18T04:54:46.00" personId="{6777EDD4-E46F-4979-A7E7-6FC0A82E0C8E}" id="{834886F1-C821-4749-8E80-593B8A2530F6}">
    <text>Project On-Hold</text>
  </threadedComment>
  <threadedComment ref="BK243" dT="2024-10-18T04:54:46.00" personId="{6777EDD4-E46F-4979-A7E7-6FC0A82E0C8E}" id="{82304531-25E7-4F3B-B544-1046351CE806}">
    <text>Project On-Hold</text>
  </threadedComment>
  <threadedComment ref="BL243" dT="2024-10-18T04:54:46.00" personId="{6777EDD4-E46F-4979-A7E7-6FC0A82E0C8E}" id="{9FB85E7E-9CB5-4C94-B842-747EE73401F1}">
    <text>Project On-Hold</text>
  </threadedComment>
  <threadedComment ref="BM243" dT="2024-10-18T04:54:46.00" personId="{6777EDD4-E46F-4979-A7E7-6FC0A82E0C8E}" id="{6ECA048D-5C03-4E5A-B6CB-E3C08F2AB6E7}">
    <text>Project On-Hold</text>
  </threadedComment>
  <threadedComment ref="BN243" dT="2024-10-18T04:54:46.00" personId="{6777EDD4-E46F-4979-A7E7-6FC0A82E0C8E}" id="{D771C55D-1164-4252-98C1-850E403EA46C}">
    <text>Project On-Hold</text>
  </threadedComment>
  <threadedComment ref="BP243" dT="2024-10-18T04:54:46.00" personId="{6777EDD4-E46F-4979-A7E7-6FC0A82E0C8E}" id="{4ECB95D4-BE11-4DA4-8A39-9BA447DD4D40}">
    <text>Project On-Hold</text>
  </threadedComment>
  <threadedComment ref="BR243" dT="2024-10-18T04:54:46.00" personId="{6777EDD4-E46F-4979-A7E7-6FC0A82E0C8E}" id="{8D621897-69B5-4243-A503-7B9F19F21166}">
    <text>Project On-Hold</text>
  </threadedComment>
  <threadedComment ref="BS243" dT="2024-10-18T04:54:46.00" personId="{6777EDD4-E46F-4979-A7E7-6FC0A82E0C8E}" id="{802D9DE0-776D-49C5-8EE2-19B00F404665}">
    <text>Project On-Hold</text>
  </threadedComment>
  <threadedComment ref="BU243" dT="2024-10-17T09:51:49.13" personId="{6777EDD4-E46F-4979-A7E7-6FC0A82E0C8E}" id="{C0009D9B-AAD5-47CB-A977-9DDD1B1F8D50}">
    <text>Client is Inactive</text>
  </threadedComment>
  <threadedComment ref="Q244" dT="2024-05-12T06:46:30.34" personId="{6777EDD4-E46F-4979-A7E7-6FC0A82E0C8E}" id="{6BC3A6DD-2F5F-4675-B9F5-16A997692AC8}">
    <text>Account Inactive</text>
  </threadedComment>
  <threadedComment ref="R244" dT="2024-05-12T06:46:30.34" personId="{6777EDD4-E46F-4979-A7E7-6FC0A82E0C8E}" id="{C166466E-63C2-4B3B-B202-CE7EAC261C1B}">
    <text>Account Inactive</text>
  </threadedComment>
  <threadedComment ref="S244" dT="2024-05-12T06:46:30.34" personId="{6777EDD4-E46F-4979-A7E7-6FC0A82E0C8E}" id="{00E44EF9-932E-4823-B43A-CF031B3015D1}">
    <text>Account Inactive</text>
  </threadedComment>
  <threadedComment ref="T244" dT="2024-05-12T06:46:30.34" personId="{6777EDD4-E46F-4979-A7E7-6FC0A82E0C8E}" id="{E17DC24D-C11A-444D-AEBD-710E28F829BB}">
    <text>Account Inactive</text>
  </threadedComment>
  <threadedComment ref="U244" dT="2024-05-12T06:46:30.34" personId="{6777EDD4-E46F-4979-A7E7-6FC0A82E0C8E}" id="{7B5D9696-3C85-4DDF-86E4-FCA5EF14DE37}">
    <text>Account Inactive</text>
  </threadedComment>
  <threadedComment ref="V244" dT="2024-05-12T06:46:30.34" personId="{6777EDD4-E46F-4979-A7E7-6FC0A82E0C8E}" id="{0E10C381-B8C3-45DD-A67E-867DB36DDF55}">
    <text>Account Inactive</text>
  </threadedComment>
  <threadedComment ref="W244" dT="2024-05-12T06:46:30.34" personId="{6777EDD4-E46F-4979-A7E7-6FC0A82E0C8E}" id="{505BA856-D677-4DB2-937F-A993DE85892B}">
    <text>Account Inactive</text>
  </threadedComment>
  <threadedComment ref="X244" dT="2024-05-12T06:46:30.34" personId="{6777EDD4-E46F-4979-A7E7-6FC0A82E0C8E}" id="{7F4E563A-3692-434E-A1D5-5F4C47135823}">
    <text>Account Inactive</text>
  </threadedComment>
  <threadedComment ref="Y244" dT="2024-05-12T06:46:30.34" personId="{6777EDD4-E46F-4979-A7E7-6FC0A82E0C8E}" id="{8BD64E31-0ACF-4255-B053-94D544F9D677}">
    <text>Account Inactive</text>
  </threadedComment>
  <threadedComment ref="Z244" dT="2024-05-12T06:46:30.34" personId="{6777EDD4-E46F-4979-A7E7-6FC0A82E0C8E}" id="{C1E02D23-38D0-468A-A58C-49EB4A880F83}">
    <text>Account Inactive</text>
  </threadedComment>
  <threadedComment ref="AA244" dT="2024-05-12T06:46:30.34" personId="{6777EDD4-E46F-4979-A7E7-6FC0A82E0C8E}" id="{18902211-EA40-41BD-9663-0C1F9879A0FB}">
    <text>Account Inactive</text>
  </threadedComment>
  <threadedComment ref="AB244" dT="2024-05-12T06:46:30.34" personId="{6777EDD4-E46F-4979-A7E7-6FC0A82E0C8E}" id="{B6207572-3635-4ACA-9C05-A024689F5734}">
    <text>Account Inactive</text>
  </threadedComment>
  <threadedComment ref="AC244" dT="2024-05-12T06:46:30.34" personId="{6777EDD4-E46F-4979-A7E7-6FC0A82E0C8E}" id="{693CD326-7DDB-4D83-B600-CBCC491E6AE5}">
    <text>Account Inactive</text>
  </threadedComment>
  <threadedComment ref="AD244" dT="2024-05-12T06:46:30.34" personId="{6777EDD4-E46F-4979-A7E7-6FC0A82E0C8E}" id="{67843661-7494-4670-ABDC-71135DD16C18}">
    <text>Account Inactive</text>
  </threadedComment>
  <threadedComment ref="AE244" dT="2024-05-12T06:46:30.34" personId="{6777EDD4-E46F-4979-A7E7-6FC0A82E0C8E}" id="{57A3792D-2B03-4EA5-AB64-AA360A1C2095}">
    <text>Account Inactive</text>
  </threadedComment>
  <threadedComment ref="AF244" dT="2024-05-12T06:46:30.34" personId="{6777EDD4-E46F-4979-A7E7-6FC0A82E0C8E}" id="{C0BAA1FB-72AF-4DA0-BFDB-DCC4FFCD2D2A}">
    <text>Account Inactive</text>
  </threadedComment>
  <threadedComment ref="AG244" dT="2024-05-12T06:46:30.34" personId="{6777EDD4-E46F-4979-A7E7-6FC0A82E0C8E}" id="{BEFF2375-B590-4DA0-9211-8354C5EE1F0F}">
    <text>Account Inactive</text>
  </threadedComment>
  <threadedComment ref="AH244" dT="2024-05-12T06:46:30.34" personId="{6777EDD4-E46F-4979-A7E7-6FC0A82E0C8E}" id="{AF5324AB-7A88-437D-9EB9-962562DB7B49}">
    <text>Account Inactive</text>
  </threadedComment>
  <threadedComment ref="AI244" dT="2024-05-12T06:46:30.34" personId="{6777EDD4-E46F-4979-A7E7-6FC0A82E0C8E}" id="{7C25500D-12C9-41FF-94A1-76C47096B87C}">
    <text>Account Inactive</text>
  </threadedComment>
  <threadedComment ref="AJ244" dT="2024-05-12T06:46:30.34" personId="{6777EDD4-E46F-4979-A7E7-6FC0A82E0C8E}" id="{10C04FDA-FD4F-4168-AA39-1F84B47A1228}">
    <text>Account Inactive</text>
  </threadedComment>
  <threadedComment ref="AK244" dT="2024-05-12T06:46:30.34" personId="{6777EDD4-E46F-4979-A7E7-6FC0A82E0C8E}" id="{0E9C1E4B-287B-4BFE-A122-B5499C0AA84B}">
    <text>Account Inactive</text>
  </threadedComment>
  <threadedComment ref="AL244" dT="2024-05-12T06:46:30.34" personId="{6777EDD4-E46F-4979-A7E7-6FC0A82E0C8E}" id="{479D02B5-902E-4057-A89B-085B462831E4}">
    <text>Account Inactive</text>
  </threadedComment>
  <threadedComment ref="AM244" dT="2024-10-17T09:51:49.13" personId="{6777EDD4-E46F-4979-A7E7-6FC0A82E0C8E}" id="{E7A83F24-5B10-4DDD-BC95-647F3F1AA011}">
    <text>Client is Inactive</text>
  </threadedComment>
  <threadedComment ref="AN244" dT="2024-10-17T09:51:49.13" personId="{6777EDD4-E46F-4979-A7E7-6FC0A82E0C8E}" id="{43F88CB7-F875-4886-8C05-DD6472B0E43C}">
    <text>Client is Inactive</text>
  </threadedComment>
  <threadedComment ref="AO244" dT="2024-10-17T09:51:49.13" personId="{6777EDD4-E46F-4979-A7E7-6FC0A82E0C8E}" id="{54ADD456-C44B-4311-B9EC-969E45502145}">
    <text>Client is Inactive</text>
  </threadedComment>
  <threadedComment ref="AP244" dT="2024-10-17T09:51:49.13" personId="{6777EDD4-E46F-4979-A7E7-6FC0A82E0C8E}" id="{5F25172C-746C-41E1-B796-2DD404525373}">
    <text>Client is Inactive</text>
  </threadedComment>
  <threadedComment ref="AQ244" dT="2024-10-17T09:51:49.13" personId="{6777EDD4-E46F-4979-A7E7-6FC0A82E0C8E}" id="{431BCFF2-414C-4C0F-B6A1-839445E51223}">
    <text>Client is Inactive</text>
  </threadedComment>
  <threadedComment ref="AR244" dT="2024-10-17T09:51:49.13" personId="{6777EDD4-E46F-4979-A7E7-6FC0A82E0C8E}" id="{FCAB6733-22A1-42F1-8587-2AA480113E51}">
    <text>Client is Inactive</text>
  </threadedComment>
  <threadedComment ref="AS244" dT="2024-10-17T09:51:49.13" personId="{6777EDD4-E46F-4979-A7E7-6FC0A82E0C8E}" id="{F8636D3E-017B-48C2-BD7F-88311BB20C68}">
    <text>Client is Inactive</text>
  </threadedComment>
  <threadedComment ref="AT244" dT="2024-10-17T09:51:49.13" personId="{6777EDD4-E46F-4979-A7E7-6FC0A82E0C8E}" id="{22FFC0C5-09A3-484C-BE06-A1061A2C5D21}">
    <text>Client is Inactive</text>
  </threadedComment>
  <threadedComment ref="AU244" dT="2024-10-17T09:51:49.13" personId="{6777EDD4-E46F-4979-A7E7-6FC0A82E0C8E}" id="{E6386A10-910D-4CF2-87D8-04F937FD0599}">
    <text>Client is Inactive</text>
  </threadedComment>
  <threadedComment ref="AV244" dT="2024-10-17T09:51:49.13" personId="{6777EDD4-E46F-4979-A7E7-6FC0A82E0C8E}" id="{1876B228-78BF-4743-87BE-3F51E74146A9}">
    <text>Client is Inactive</text>
  </threadedComment>
  <threadedComment ref="AW244" dT="2024-10-17T09:51:49.13" personId="{6777EDD4-E46F-4979-A7E7-6FC0A82E0C8E}" id="{A2348E13-1A9E-4982-93A3-4730C9B6D1B9}">
    <text>Client is Inactive</text>
  </threadedComment>
  <threadedComment ref="AX244" dT="2024-10-17T09:51:49.13" personId="{6777EDD4-E46F-4979-A7E7-6FC0A82E0C8E}" id="{D4D32639-B4B8-4215-B56B-7961FC198C97}">
    <text>Client is Inactive</text>
  </threadedComment>
  <threadedComment ref="AY244" dT="2024-10-17T09:51:49.13" personId="{6777EDD4-E46F-4979-A7E7-6FC0A82E0C8E}" id="{91FC600C-5B2A-41C7-8942-543D652C4EBC}">
    <text>Client is Inactive</text>
  </threadedComment>
  <threadedComment ref="AZ244" dT="2024-10-17T09:51:49.13" personId="{6777EDD4-E46F-4979-A7E7-6FC0A82E0C8E}" id="{8037ED47-A7CF-406A-B894-97104D9CF4FE}">
    <text>Client is Inactive</text>
  </threadedComment>
  <threadedComment ref="BA244" dT="2024-10-17T09:51:49.13" personId="{6777EDD4-E46F-4979-A7E7-6FC0A82E0C8E}" id="{25A8DDD7-1777-4644-8F5C-342F1DC6AADC}">
    <text>Client is Inactive</text>
  </threadedComment>
  <threadedComment ref="BB244" dT="2024-10-17T09:51:49.13" personId="{6777EDD4-E46F-4979-A7E7-6FC0A82E0C8E}" id="{EF6244B7-15AC-4E73-869D-203EB02F058E}">
    <text>Client is Inactive</text>
  </threadedComment>
  <threadedComment ref="BC244" dT="2024-10-17T09:51:49.13" personId="{6777EDD4-E46F-4979-A7E7-6FC0A82E0C8E}" id="{51A17F56-605B-4F5C-828D-ACDA15F3CCAC}">
    <text>Client is Inactive</text>
  </threadedComment>
  <threadedComment ref="BD244" dT="2024-10-17T09:51:49.13" personId="{6777EDD4-E46F-4979-A7E7-6FC0A82E0C8E}" id="{B629797A-107E-4C4E-887F-BAFB47CFC4D2}">
    <text>Client is Inactive</text>
  </threadedComment>
  <threadedComment ref="BE244" dT="2024-10-18T04:54:46.00" personId="{6777EDD4-E46F-4979-A7E7-6FC0A82E0C8E}" id="{73AD26EC-CE52-49FB-8E81-22C8C2DB1259}">
    <text>Project On-Hold</text>
  </threadedComment>
  <threadedComment ref="BF244" dT="2024-10-18T04:54:46.00" personId="{6777EDD4-E46F-4979-A7E7-6FC0A82E0C8E}" id="{C7F14CB4-4E37-4795-8DD0-0E7D1740C16D}">
    <text>Project On-Hold</text>
  </threadedComment>
  <threadedComment ref="BG244" dT="2024-10-18T04:54:46.00" personId="{6777EDD4-E46F-4979-A7E7-6FC0A82E0C8E}" id="{CF87B15B-97E6-4A06-958F-77C953C5D343}">
    <text>Project On-Hold</text>
  </threadedComment>
  <threadedComment ref="BH244" dT="2024-10-18T04:54:46.00" personId="{6777EDD4-E46F-4979-A7E7-6FC0A82E0C8E}" id="{ADFA1C35-F5EE-431F-A74D-E1EBCF0BE9E5}">
    <text>Project On-Hold</text>
  </threadedComment>
  <threadedComment ref="BI244" dT="2024-10-18T04:54:46.00" personId="{6777EDD4-E46F-4979-A7E7-6FC0A82E0C8E}" id="{E59052DA-05F1-4C03-BF93-61DC474F9E2D}">
    <text>Project On-Hold</text>
  </threadedComment>
  <threadedComment ref="BJ244" dT="2024-10-18T04:54:46.00" personId="{6777EDD4-E46F-4979-A7E7-6FC0A82E0C8E}" id="{7985DFAF-04FC-4532-8E1F-B852AFBF9C5C}">
    <text>Project On-Hold</text>
  </threadedComment>
  <threadedComment ref="BK244" dT="2024-10-18T04:54:46.00" personId="{6777EDD4-E46F-4979-A7E7-6FC0A82E0C8E}" id="{2FC78040-338D-40B9-8469-C6E8704EA3ED}">
    <text>Project On-Hold</text>
  </threadedComment>
  <threadedComment ref="BL244" dT="2024-10-18T04:54:46.00" personId="{6777EDD4-E46F-4979-A7E7-6FC0A82E0C8E}" id="{EBCB813C-2EBB-4B6B-AAF9-56F479388653}">
    <text>Project On-Hold</text>
  </threadedComment>
  <threadedComment ref="BM244" dT="2024-10-18T04:54:46.00" personId="{6777EDD4-E46F-4979-A7E7-6FC0A82E0C8E}" id="{C48653AD-6E00-464E-98CC-40E1E03BF17C}">
    <text>Project On-Hold</text>
  </threadedComment>
  <threadedComment ref="BN244" dT="2024-10-18T04:54:46.00" personId="{6777EDD4-E46F-4979-A7E7-6FC0A82E0C8E}" id="{40874A33-CFA6-4B02-9E44-1253D9B66946}">
    <text>Project On-Hold</text>
  </threadedComment>
  <threadedComment ref="BP244" dT="2024-10-18T04:54:46.00" personId="{6777EDD4-E46F-4979-A7E7-6FC0A82E0C8E}" id="{CC2C82A1-4299-4BA7-A228-1695E9D5151D}">
    <text>Project On-Hold</text>
  </threadedComment>
  <threadedComment ref="BR244" dT="2024-10-18T04:54:46.00" personId="{6777EDD4-E46F-4979-A7E7-6FC0A82E0C8E}" id="{00EB213F-3B26-4BEB-9F77-D41384956E4F}">
    <text>Project On-Hold</text>
  </threadedComment>
  <threadedComment ref="BS244" dT="2024-10-18T04:54:46.00" personId="{6777EDD4-E46F-4979-A7E7-6FC0A82E0C8E}" id="{3C9ABF1C-87D9-49C2-9C36-2C850F722C85}">
    <text>Project On-Hold</text>
  </threadedComment>
  <threadedComment ref="BU244" dT="2024-10-17T09:51:49.13" personId="{6777EDD4-E46F-4979-A7E7-6FC0A82E0C8E}" id="{1C6B4B9D-D1BF-47BF-A82E-1DEF0B045376}">
    <text>Client is Inactive</text>
  </threadedComment>
  <threadedComment ref="Q245" dT="2024-05-12T06:46:30.34" personId="{6777EDD4-E46F-4979-A7E7-6FC0A82E0C8E}" id="{9260EF9A-6CF0-4F20-A4A4-E7F511CAEFE6}">
    <text>Account Inactive</text>
  </threadedComment>
  <threadedComment ref="R245" dT="2024-05-12T06:46:30.34" personId="{6777EDD4-E46F-4979-A7E7-6FC0A82E0C8E}" id="{68ED7134-80DB-4245-9433-69AE77DA252F}">
    <text>Account Inactive</text>
  </threadedComment>
  <threadedComment ref="S245" dT="2024-05-12T06:46:30.34" personId="{6777EDD4-E46F-4979-A7E7-6FC0A82E0C8E}" id="{BD3E9966-5A9D-413D-A5C9-653C669F7CB9}">
    <text>Account Inactive</text>
  </threadedComment>
  <threadedComment ref="T245" dT="2024-05-12T06:46:30.34" personId="{6777EDD4-E46F-4979-A7E7-6FC0A82E0C8E}" id="{0BE69EC0-E1F4-481E-9ABE-E63A9319827B}">
    <text>Account Inactive</text>
  </threadedComment>
  <threadedComment ref="U245" dT="2024-05-12T06:46:30.34" personId="{6777EDD4-E46F-4979-A7E7-6FC0A82E0C8E}" id="{C8AA9BA5-EED2-4C73-8235-E8101FACE8F6}">
    <text>Account Inactive</text>
  </threadedComment>
  <threadedComment ref="V245" dT="2024-05-12T06:46:30.34" personId="{6777EDD4-E46F-4979-A7E7-6FC0A82E0C8E}" id="{12336959-BF01-4138-9FB0-395A8C30F672}">
    <text>Account Inactive</text>
  </threadedComment>
  <threadedComment ref="W245" dT="2024-05-12T06:46:30.34" personId="{6777EDD4-E46F-4979-A7E7-6FC0A82E0C8E}" id="{17EAF479-FBE4-406D-BFC0-B84E7EBFBA38}">
    <text>Account Inactive</text>
  </threadedComment>
  <threadedComment ref="X245" dT="2024-05-12T06:46:30.34" personId="{6777EDD4-E46F-4979-A7E7-6FC0A82E0C8E}" id="{9B3D1C74-7844-4F7B-9A92-861E8D31BBBC}">
    <text>Account Inactive</text>
  </threadedComment>
  <threadedComment ref="Y245" dT="2024-05-12T06:46:30.34" personId="{6777EDD4-E46F-4979-A7E7-6FC0A82E0C8E}" id="{6BD0FA3A-1923-447C-BF25-12A2E6AE241A}">
    <text>Account Inactive</text>
  </threadedComment>
  <threadedComment ref="Z245" dT="2024-05-12T06:46:30.34" personId="{6777EDD4-E46F-4979-A7E7-6FC0A82E0C8E}" id="{740D00CC-364B-4488-A5C5-068280D009FA}">
    <text>Account Inactive</text>
  </threadedComment>
  <threadedComment ref="AA245" dT="2024-05-12T06:46:30.34" personId="{6777EDD4-E46F-4979-A7E7-6FC0A82E0C8E}" id="{79DBD18D-9C03-48DD-A312-619AD5879304}">
    <text>Account Inactive</text>
  </threadedComment>
  <threadedComment ref="AB245" dT="2024-05-12T06:46:30.34" personId="{6777EDD4-E46F-4979-A7E7-6FC0A82E0C8E}" id="{A27DF4AD-7AB1-4748-9F9C-5D4DD074A212}">
    <text>Account Inactive</text>
  </threadedComment>
  <threadedComment ref="AC245" dT="2024-05-12T06:46:30.34" personId="{6777EDD4-E46F-4979-A7E7-6FC0A82E0C8E}" id="{5318EB60-7E33-4B20-9B72-2403EEA22BCE}">
    <text>Account Inactive</text>
  </threadedComment>
  <threadedComment ref="AD245" dT="2024-05-12T06:46:30.34" personId="{6777EDD4-E46F-4979-A7E7-6FC0A82E0C8E}" id="{8E2279BD-01D3-49AC-B9F7-F8314D2DE077}">
    <text>Account Inactive</text>
  </threadedComment>
  <threadedComment ref="AE245" dT="2024-05-12T06:46:30.34" personId="{6777EDD4-E46F-4979-A7E7-6FC0A82E0C8E}" id="{6DED4BC9-79DC-4CE8-BDBD-096A9E478F4D}">
    <text>Account Inactive</text>
  </threadedComment>
  <threadedComment ref="AF245" dT="2024-05-12T06:46:30.34" personId="{6777EDD4-E46F-4979-A7E7-6FC0A82E0C8E}" id="{E12333A8-8A4E-4F07-B5DE-E38397FA3DC8}">
    <text>Account Inactive</text>
  </threadedComment>
  <threadedComment ref="AG245" dT="2024-05-12T06:46:30.34" personId="{6777EDD4-E46F-4979-A7E7-6FC0A82E0C8E}" id="{F6CF19F8-E303-4F3E-96D0-BE2FCF5EF89C}">
    <text>Account Inactive</text>
  </threadedComment>
  <threadedComment ref="AH245" dT="2024-05-12T06:46:30.34" personId="{6777EDD4-E46F-4979-A7E7-6FC0A82E0C8E}" id="{8BE2C263-ED9B-4921-940D-195FD06EF3CE}">
    <text>Account Inactive</text>
  </threadedComment>
  <threadedComment ref="AI245" dT="2024-05-12T06:46:30.34" personId="{6777EDD4-E46F-4979-A7E7-6FC0A82E0C8E}" id="{FAD3F9BA-50AC-4C78-9FA2-18650237A2CA}">
    <text>Account Inactive</text>
  </threadedComment>
  <threadedComment ref="AJ245" dT="2024-05-12T06:46:30.34" personId="{6777EDD4-E46F-4979-A7E7-6FC0A82E0C8E}" id="{948FA309-F793-48D8-AA3F-375FBB0982D2}">
    <text>Account Inactive</text>
  </threadedComment>
  <threadedComment ref="AK245" dT="2024-05-12T06:46:30.34" personId="{6777EDD4-E46F-4979-A7E7-6FC0A82E0C8E}" id="{78DF8892-A470-4D76-B483-8BEF50C84C21}">
    <text>Account Inactive</text>
  </threadedComment>
  <threadedComment ref="AL245" dT="2024-05-12T06:46:30.34" personId="{6777EDD4-E46F-4979-A7E7-6FC0A82E0C8E}" id="{16038A02-6B79-4874-BF00-300B1C0BA7CB}">
    <text>Account Inactive</text>
  </threadedComment>
  <threadedComment ref="AM245" dT="2024-10-17T09:51:49.13" personId="{6777EDD4-E46F-4979-A7E7-6FC0A82E0C8E}" id="{5B5AC7EE-E8DE-4651-BC6A-C9AE2CAB7834}">
    <text>Client is Inactive</text>
  </threadedComment>
  <threadedComment ref="AN245" dT="2024-10-17T09:51:49.13" personId="{6777EDD4-E46F-4979-A7E7-6FC0A82E0C8E}" id="{03353534-DEC5-41F6-815B-9D2116CEF1E0}">
    <text>Client is Inactive</text>
  </threadedComment>
  <threadedComment ref="AO245" dT="2024-10-17T09:51:49.13" personId="{6777EDD4-E46F-4979-A7E7-6FC0A82E0C8E}" id="{0C2ED063-F928-4ADB-9031-29BAE01331B0}">
    <text>Client is Inactive</text>
  </threadedComment>
  <threadedComment ref="AP245" dT="2024-10-17T09:51:49.13" personId="{6777EDD4-E46F-4979-A7E7-6FC0A82E0C8E}" id="{B5C9D8AB-CBC2-4C41-AA74-47DB8D2B1D7A}">
    <text>Client is Inactive</text>
  </threadedComment>
  <threadedComment ref="AQ245" dT="2024-10-17T09:51:49.13" personId="{6777EDD4-E46F-4979-A7E7-6FC0A82E0C8E}" id="{59EBE3BF-77C6-464A-80F2-3A1A5D28814D}">
    <text>Client is Inactive</text>
  </threadedComment>
  <threadedComment ref="AR245" dT="2024-10-17T09:51:49.13" personId="{6777EDD4-E46F-4979-A7E7-6FC0A82E0C8E}" id="{BEB240E0-1A38-45E1-812B-1D7F3A1B3033}">
    <text>Client is Inactive</text>
  </threadedComment>
  <threadedComment ref="AS245" dT="2024-10-17T09:51:49.13" personId="{6777EDD4-E46F-4979-A7E7-6FC0A82E0C8E}" id="{8BCA66E8-1CFE-449A-A01A-D3C2606E9FAF}">
    <text>Client is Inactive</text>
  </threadedComment>
  <threadedComment ref="AT245" dT="2024-10-17T09:51:49.13" personId="{6777EDD4-E46F-4979-A7E7-6FC0A82E0C8E}" id="{B51BAA50-E807-400E-86F1-657AB33366A6}">
    <text>Client is Inactive</text>
  </threadedComment>
  <threadedComment ref="AU245" dT="2024-10-17T09:51:49.13" personId="{6777EDD4-E46F-4979-A7E7-6FC0A82E0C8E}" id="{2EE69732-F115-4194-ABE7-4B025FB0EEC5}">
    <text>Client is Inactive</text>
  </threadedComment>
  <threadedComment ref="AV245" dT="2024-10-17T09:51:49.13" personId="{6777EDD4-E46F-4979-A7E7-6FC0A82E0C8E}" id="{A1D2805F-9657-40AB-87CD-1EFE33576FA5}">
    <text>Client is Inactive</text>
  </threadedComment>
  <threadedComment ref="AW245" dT="2024-10-17T09:51:49.13" personId="{6777EDD4-E46F-4979-A7E7-6FC0A82E0C8E}" id="{5EE16DC9-673B-43C1-9206-110861501CEB}">
    <text>Client is Inactive</text>
  </threadedComment>
  <threadedComment ref="AX245" dT="2024-10-17T09:51:49.13" personId="{6777EDD4-E46F-4979-A7E7-6FC0A82E0C8E}" id="{050A62BD-5CAA-491F-A117-CDC9F371C02E}">
    <text>Client is Inactive</text>
  </threadedComment>
  <threadedComment ref="AY245" dT="2024-10-17T09:51:49.13" personId="{6777EDD4-E46F-4979-A7E7-6FC0A82E0C8E}" id="{15D8B7D3-D33E-410C-A801-AFFB518E893F}">
    <text>Client is Inactive</text>
  </threadedComment>
  <threadedComment ref="AZ245" dT="2024-10-17T09:51:49.13" personId="{6777EDD4-E46F-4979-A7E7-6FC0A82E0C8E}" id="{CD91BE74-7395-4492-B629-7570EFF6D58E}">
    <text>Client is Inactive</text>
  </threadedComment>
  <threadedComment ref="BA245" dT="2024-10-17T09:51:49.13" personId="{6777EDD4-E46F-4979-A7E7-6FC0A82E0C8E}" id="{E0553522-DF04-44B7-A2CB-062205F00B17}">
    <text>Client is Inactive</text>
  </threadedComment>
  <threadedComment ref="BB245" dT="2024-10-17T09:51:49.13" personId="{6777EDD4-E46F-4979-A7E7-6FC0A82E0C8E}" id="{A96B45BB-53CE-4527-99ED-2320342577DE}">
    <text>Client is Inactive</text>
  </threadedComment>
  <threadedComment ref="BC245" dT="2024-10-17T09:51:49.13" personId="{6777EDD4-E46F-4979-A7E7-6FC0A82E0C8E}" id="{795DCFDC-D2CD-40E6-9FEF-E3D80B860D8B}">
    <text>Client is Inactive</text>
  </threadedComment>
  <threadedComment ref="BD245" dT="2024-10-17T09:51:49.13" personId="{6777EDD4-E46F-4979-A7E7-6FC0A82E0C8E}" id="{CE5766BC-8206-4762-B3EF-37D778158747}">
    <text>Client is Inactive</text>
  </threadedComment>
  <threadedComment ref="BE245" dT="2024-10-18T04:54:46.00" personId="{6777EDD4-E46F-4979-A7E7-6FC0A82E0C8E}" id="{C95A38AB-8CAD-4603-AA6D-CAA46CA411CC}">
    <text>Project On-Hold</text>
  </threadedComment>
  <threadedComment ref="BF245" dT="2024-10-18T04:54:46.00" personId="{6777EDD4-E46F-4979-A7E7-6FC0A82E0C8E}" id="{CB86A1F4-8512-405A-B772-77651D8003BA}">
    <text>Project On-Hold</text>
  </threadedComment>
  <threadedComment ref="BG245" dT="2024-10-18T04:54:46.00" personId="{6777EDD4-E46F-4979-A7E7-6FC0A82E0C8E}" id="{E71F4197-7D1D-4B37-B3E1-46466E63EDE9}">
    <text>Project On-Hold</text>
  </threadedComment>
  <threadedComment ref="BH245" dT="2024-10-18T04:54:46.00" personId="{6777EDD4-E46F-4979-A7E7-6FC0A82E0C8E}" id="{441257A4-1BCA-4AAA-A3D8-DE06FC61E523}">
    <text>Project On-Hold</text>
  </threadedComment>
  <threadedComment ref="BI245" dT="2024-10-18T04:54:46.00" personId="{6777EDD4-E46F-4979-A7E7-6FC0A82E0C8E}" id="{0C391540-E77E-4CFF-9255-08242EFE565F}">
    <text>Project On-Hold</text>
  </threadedComment>
  <threadedComment ref="BJ245" dT="2024-10-18T04:54:46.00" personId="{6777EDD4-E46F-4979-A7E7-6FC0A82E0C8E}" id="{506EEF95-0926-46CF-A23D-5EBA36CC517C}">
    <text>Project On-Hold</text>
  </threadedComment>
  <threadedComment ref="BK245" dT="2024-10-18T04:54:46.00" personId="{6777EDD4-E46F-4979-A7E7-6FC0A82E0C8E}" id="{0E48960F-F487-447B-BCED-0CDABB939656}">
    <text>Project On-Hold</text>
  </threadedComment>
  <threadedComment ref="BL245" dT="2024-10-18T04:54:46.00" personId="{6777EDD4-E46F-4979-A7E7-6FC0A82E0C8E}" id="{96B4B1A6-48D9-40EF-B78D-791849B9383A}">
    <text>Project On-Hold</text>
  </threadedComment>
  <threadedComment ref="BM245" dT="2024-10-18T04:54:46.00" personId="{6777EDD4-E46F-4979-A7E7-6FC0A82E0C8E}" id="{9203141C-BEB4-4994-BB73-1F2546723364}">
    <text>Project On-Hold</text>
  </threadedComment>
  <threadedComment ref="BN245" dT="2024-10-18T04:54:46.00" personId="{6777EDD4-E46F-4979-A7E7-6FC0A82E0C8E}" id="{3306DF54-7E14-4313-8470-B5B2B66198C4}">
    <text>Project On-Hold</text>
  </threadedComment>
  <threadedComment ref="BP245" dT="2024-10-18T04:54:46.00" personId="{6777EDD4-E46F-4979-A7E7-6FC0A82E0C8E}" id="{B776DC69-2339-4424-8C7B-5CABA8B15F96}">
    <text>Project On-Hold</text>
  </threadedComment>
  <threadedComment ref="BR245" dT="2024-10-18T04:54:46.00" personId="{6777EDD4-E46F-4979-A7E7-6FC0A82E0C8E}" id="{CCB5E4CB-E0B0-49A4-8BE5-894E42A0CAFC}">
    <text>Project On-Hold</text>
  </threadedComment>
  <threadedComment ref="BS245" dT="2024-10-18T04:54:46.00" personId="{6777EDD4-E46F-4979-A7E7-6FC0A82E0C8E}" id="{284903EE-23CA-4B73-862A-79EE5EDF91B7}">
    <text>Project On-Hold</text>
  </threadedComment>
  <threadedComment ref="BU245" dT="2024-10-17T09:51:49.13" personId="{6777EDD4-E46F-4979-A7E7-6FC0A82E0C8E}" id="{B2649280-FA0F-4878-B775-802CBD690137}">
    <text>Client is Inactive</text>
  </threadedComment>
  <threadedComment ref="Q246" dT="2024-05-12T06:46:30.34" personId="{6777EDD4-E46F-4979-A7E7-6FC0A82E0C8E}" id="{22037264-845C-41DB-9EA9-94509AA6BFDF}">
    <text>Account Inactive</text>
  </threadedComment>
  <threadedComment ref="R246" dT="2024-05-12T06:46:30.34" personId="{6777EDD4-E46F-4979-A7E7-6FC0A82E0C8E}" id="{BAAC7CD9-BFED-4210-AB5A-1E554BB17C2D}">
    <text>Account Inactive</text>
  </threadedComment>
  <threadedComment ref="S246" dT="2024-05-12T06:46:30.34" personId="{6777EDD4-E46F-4979-A7E7-6FC0A82E0C8E}" id="{0B017936-6354-4F07-A90F-1AB7985E73C0}">
    <text>Account Inactive</text>
  </threadedComment>
  <threadedComment ref="T246" dT="2024-05-12T06:46:30.34" personId="{6777EDD4-E46F-4979-A7E7-6FC0A82E0C8E}" id="{1B6FA250-9505-49F2-BA54-814129268AD1}">
    <text>Account Inactive</text>
  </threadedComment>
  <threadedComment ref="U246" dT="2024-05-12T06:46:30.34" personId="{6777EDD4-E46F-4979-A7E7-6FC0A82E0C8E}" id="{BA0DE21C-4633-4AEB-8089-57F2307E975F}">
    <text>Account Inactive</text>
  </threadedComment>
  <threadedComment ref="V246" dT="2024-05-12T06:46:30.34" personId="{6777EDD4-E46F-4979-A7E7-6FC0A82E0C8E}" id="{0CDA119C-C94E-4CC1-9FD8-D94931127CFD}">
    <text>Account Inactive</text>
  </threadedComment>
  <threadedComment ref="W246" dT="2024-05-12T06:46:30.34" personId="{6777EDD4-E46F-4979-A7E7-6FC0A82E0C8E}" id="{24F7D4AA-AA4D-43CA-815F-E65CA4E9ADD8}">
    <text>Account Inactive</text>
  </threadedComment>
  <threadedComment ref="X246" dT="2024-05-12T06:46:30.34" personId="{6777EDD4-E46F-4979-A7E7-6FC0A82E0C8E}" id="{528DD73E-B490-4769-AE97-7EEE995CE7AF}">
    <text>Account Inactive</text>
  </threadedComment>
  <threadedComment ref="Y246" dT="2024-05-12T06:46:30.34" personId="{6777EDD4-E46F-4979-A7E7-6FC0A82E0C8E}" id="{217706FE-024E-4B03-8DA4-23C41BAC1A62}">
    <text>Account Inactive</text>
  </threadedComment>
  <threadedComment ref="Z246" dT="2024-05-12T06:46:30.34" personId="{6777EDD4-E46F-4979-A7E7-6FC0A82E0C8E}" id="{77339074-4E9F-49A8-BCC6-8F20DAC913F7}">
    <text>Account Inactive</text>
  </threadedComment>
  <threadedComment ref="AA246" dT="2024-05-12T06:46:30.34" personId="{6777EDD4-E46F-4979-A7E7-6FC0A82E0C8E}" id="{47CB8CFB-BF3E-4118-8525-D4849F350EE0}">
    <text>Account Inactive</text>
  </threadedComment>
  <threadedComment ref="AB246" dT="2024-05-12T06:46:30.34" personId="{6777EDD4-E46F-4979-A7E7-6FC0A82E0C8E}" id="{B8F2D7EA-C6E9-4E81-8A2E-C3730A1C6B22}">
    <text>Account Inactive</text>
  </threadedComment>
  <threadedComment ref="AC246" dT="2024-05-12T06:46:30.34" personId="{6777EDD4-E46F-4979-A7E7-6FC0A82E0C8E}" id="{09EEA295-0896-4055-8DB4-CDE8386055E2}">
    <text>Account Inactive</text>
  </threadedComment>
  <threadedComment ref="AD246" dT="2024-05-12T06:46:30.34" personId="{6777EDD4-E46F-4979-A7E7-6FC0A82E0C8E}" id="{1FF14342-8F3C-4C7D-BF2E-518E18C9A090}">
    <text>Account Inactive</text>
  </threadedComment>
  <threadedComment ref="AE246" dT="2024-05-12T06:46:30.34" personId="{6777EDD4-E46F-4979-A7E7-6FC0A82E0C8E}" id="{DCFD8AE8-1D76-4A0A-8C9C-431A51AC81A5}">
    <text>Account Inactive</text>
  </threadedComment>
  <threadedComment ref="AF246" dT="2024-05-12T06:46:30.34" personId="{6777EDD4-E46F-4979-A7E7-6FC0A82E0C8E}" id="{2EE09F22-5258-42ED-8885-8EFA130911A9}">
    <text>Account Inactive</text>
  </threadedComment>
  <threadedComment ref="AG246" dT="2024-05-12T06:46:30.34" personId="{6777EDD4-E46F-4979-A7E7-6FC0A82E0C8E}" id="{8A13431F-5295-4386-9390-3118C6C5CE39}">
    <text>Account Inactive</text>
  </threadedComment>
  <threadedComment ref="AH246" dT="2024-05-12T06:46:30.34" personId="{6777EDD4-E46F-4979-A7E7-6FC0A82E0C8E}" id="{C5D8665C-505F-4966-9DC4-9DA493098200}">
    <text>Account Inactive</text>
  </threadedComment>
  <threadedComment ref="AI246" dT="2024-05-12T06:46:30.34" personId="{6777EDD4-E46F-4979-A7E7-6FC0A82E0C8E}" id="{AD982DD6-3B5B-4EF8-9598-CA463791594C}">
    <text>Account Inactive</text>
  </threadedComment>
  <threadedComment ref="AJ246" dT="2024-05-12T06:46:30.34" personId="{6777EDD4-E46F-4979-A7E7-6FC0A82E0C8E}" id="{12072D61-A38B-453E-A591-BFAC70C5F849}">
    <text>Account Inactive</text>
  </threadedComment>
  <threadedComment ref="AK246" dT="2024-05-12T06:46:30.34" personId="{6777EDD4-E46F-4979-A7E7-6FC0A82E0C8E}" id="{C7E2667A-E021-4DD2-8E41-2F31378F391C}">
    <text>Account Inactive</text>
  </threadedComment>
  <threadedComment ref="AL246" dT="2024-05-12T06:46:30.34" personId="{6777EDD4-E46F-4979-A7E7-6FC0A82E0C8E}" id="{0DC763F3-D57C-4BB0-8E16-2E315E8614D4}">
    <text>Account Inactive</text>
  </threadedComment>
  <threadedComment ref="AM246" dT="2024-10-17T09:51:49.13" personId="{6777EDD4-E46F-4979-A7E7-6FC0A82E0C8E}" id="{9AF33115-8F0F-4FBA-8F31-9820B47F053C}">
    <text>Client is Inactive</text>
  </threadedComment>
  <threadedComment ref="AN246" dT="2024-10-17T09:51:49.13" personId="{6777EDD4-E46F-4979-A7E7-6FC0A82E0C8E}" id="{8C421245-6D4D-42E8-BB32-94A3FEEB208A}">
    <text>Client is Inactive</text>
  </threadedComment>
  <threadedComment ref="AO246" dT="2024-10-17T09:51:49.13" personId="{6777EDD4-E46F-4979-A7E7-6FC0A82E0C8E}" id="{C64F955C-3854-4C9B-A0A1-4B705218446A}">
    <text>Client is Inactive</text>
  </threadedComment>
  <threadedComment ref="AP246" dT="2024-10-17T09:51:49.13" personId="{6777EDD4-E46F-4979-A7E7-6FC0A82E0C8E}" id="{723BAFCB-6347-4879-886A-3FEDB00B1D0C}">
    <text>Client is Inactive</text>
  </threadedComment>
  <threadedComment ref="AQ246" dT="2024-10-17T09:51:49.13" personId="{6777EDD4-E46F-4979-A7E7-6FC0A82E0C8E}" id="{5D10CB2D-E426-4254-B4CF-5AB0F82A4703}">
    <text>Client is Inactive</text>
  </threadedComment>
  <threadedComment ref="AR246" dT="2024-10-17T09:51:49.13" personId="{6777EDD4-E46F-4979-A7E7-6FC0A82E0C8E}" id="{72774215-04C4-4384-AA58-84F6F9A6DFF6}">
    <text>Client is Inactive</text>
  </threadedComment>
  <threadedComment ref="AS246" dT="2024-10-17T09:51:49.13" personId="{6777EDD4-E46F-4979-A7E7-6FC0A82E0C8E}" id="{B1D79785-F009-4E17-9083-B69B3254EB39}">
    <text>Client is Inactive</text>
  </threadedComment>
  <threadedComment ref="AT246" dT="2024-10-17T09:51:49.13" personId="{6777EDD4-E46F-4979-A7E7-6FC0A82E0C8E}" id="{D09DB8F2-1965-45C3-B035-C92ADE851D97}">
    <text>Client is Inactive</text>
  </threadedComment>
  <threadedComment ref="AU246" dT="2024-10-17T09:51:49.13" personId="{6777EDD4-E46F-4979-A7E7-6FC0A82E0C8E}" id="{7B562761-2F19-45B9-AE05-65BA4EB0FBE3}">
    <text>Client is Inactive</text>
  </threadedComment>
  <threadedComment ref="AV246" dT="2024-10-17T09:51:49.13" personId="{6777EDD4-E46F-4979-A7E7-6FC0A82E0C8E}" id="{20FCFA4D-E915-4EE4-9B9F-40C821917534}">
    <text>Client is Inactive</text>
  </threadedComment>
  <threadedComment ref="AW246" dT="2024-10-17T09:51:49.13" personId="{6777EDD4-E46F-4979-A7E7-6FC0A82E0C8E}" id="{C5E1F83F-B272-45BF-B592-0F2324E0CDDA}">
    <text>Client is Inactive</text>
  </threadedComment>
  <threadedComment ref="AX246" dT="2024-10-17T09:51:49.13" personId="{6777EDD4-E46F-4979-A7E7-6FC0A82E0C8E}" id="{C3961744-07C4-4074-B1CC-A5FCC8E92D2B}">
    <text>Client is Inactive</text>
  </threadedComment>
  <threadedComment ref="AY246" dT="2024-10-17T09:51:49.13" personId="{6777EDD4-E46F-4979-A7E7-6FC0A82E0C8E}" id="{331D9466-96D4-48BD-A4FC-C832EC2F569A}">
    <text>Client is Inactive</text>
  </threadedComment>
  <threadedComment ref="AZ246" dT="2024-10-17T09:51:49.13" personId="{6777EDD4-E46F-4979-A7E7-6FC0A82E0C8E}" id="{CF1F0DE2-7239-4FFD-9312-597FD4C41D8D}">
    <text>Client is Inactive</text>
  </threadedComment>
  <threadedComment ref="BA246" dT="2024-10-17T09:51:49.13" personId="{6777EDD4-E46F-4979-A7E7-6FC0A82E0C8E}" id="{FDAA77E8-CBFA-4B4F-A950-A0F7CB6C3DAA}">
    <text>Client is Inactive</text>
  </threadedComment>
  <threadedComment ref="BB246" dT="2024-10-17T09:51:49.13" personId="{6777EDD4-E46F-4979-A7E7-6FC0A82E0C8E}" id="{472B8453-61BC-44C6-8955-B2E265610DE2}">
    <text>Client is Inactive</text>
  </threadedComment>
  <threadedComment ref="BC246" dT="2024-10-17T09:51:49.13" personId="{6777EDD4-E46F-4979-A7E7-6FC0A82E0C8E}" id="{555014E8-EF8C-4FF3-8D8A-84C56B37AD27}">
    <text>Client is Inactive</text>
  </threadedComment>
  <threadedComment ref="BD246" dT="2024-10-17T09:51:49.13" personId="{6777EDD4-E46F-4979-A7E7-6FC0A82E0C8E}" id="{6CCD8F12-59E4-47D9-BE7A-B8FA98AB50D8}">
    <text>Client is Inactive</text>
  </threadedComment>
  <threadedComment ref="BE246" dT="2024-10-18T04:54:46.00" personId="{6777EDD4-E46F-4979-A7E7-6FC0A82E0C8E}" id="{34B9A9AF-816A-42A4-BECD-CFC36FD4B1AE}">
    <text>Project On-Hold</text>
  </threadedComment>
  <threadedComment ref="BF246" dT="2024-10-18T04:54:46.00" personId="{6777EDD4-E46F-4979-A7E7-6FC0A82E0C8E}" id="{A258DCDF-CB4E-4A3F-999D-74FC94CCE3ED}">
    <text>Project On-Hold</text>
  </threadedComment>
  <threadedComment ref="BG246" dT="2024-10-18T04:54:46.00" personId="{6777EDD4-E46F-4979-A7E7-6FC0A82E0C8E}" id="{949CFD0E-7274-454A-AF87-5063BB31853C}">
    <text>Project On-Hold</text>
  </threadedComment>
  <threadedComment ref="BH246" dT="2024-10-18T04:54:46.00" personId="{6777EDD4-E46F-4979-A7E7-6FC0A82E0C8E}" id="{301A696B-14A0-4F55-81EC-015712106631}">
    <text>Project On-Hold</text>
  </threadedComment>
  <threadedComment ref="BI246" dT="2024-10-18T04:54:46.00" personId="{6777EDD4-E46F-4979-A7E7-6FC0A82E0C8E}" id="{14CB48FA-AD29-4F17-8985-7FA8B3FE94B1}">
    <text>Project On-Hold</text>
  </threadedComment>
  <threadedComment ref="BJ246" dT="2024-10-18T04:54:46.00" personId="{6777EDD4-E46F-4979-A7E7-6FC0A82E0C8E}" id="{0DC547A2-7EEC-47DE-82B4-B3748033170E}">
    <text>Project On-Hold</text>
  </threadedComment>
  <threadedComment ref="BK246" dT="2024-10-18T04:54:46.00" personId="{6777EDD4-E46F-4979-A7E7-6FC0A82E0C8E}" id="{9A4CB785-2664-4467-8ABA-BF0ECE64E51A}">
    <text>Project On-Hold</text>
  </threadedComment>
  <threadedComment ref="BL246" dT="2024-10-18T04:54:46.00" personId="{6777EDD4-E46F-4979-A7E7-6FC0A82E0C8E}" id="{B8CFF8E7-1E6A-4BFB-A558-DA7184366D76}">
    <text>Project On-Hold</text>
  </threadedComment>
  <threadedComment ref="BM246" dT="2024-10-18T04:54:46.00" personId="{6777EDD4-E46F-4979-A7E7-6FC0A82E0C8E}" id="{F61CB40F-440B-4470-8E80-5B7D9AEF704A}">
    <text>Project On-Hold</text>
  </threadedComment>
  <threadedComment ref="BN246" dT="2024-10-18T04:54:46.00" personId="{6777EDD4-E46F-4979-A7E7-6FC0A82E0C8E}" id="{08F6A2B0-1DDE-415B-AFEA-5BF45D83C444}">
    <text>Project On-Hold</text>
  </threadedComment>
  <threadedComment ref="BP246" dT="2024-10-18T04:54:46.00" personId="{6777EDD4-E46F-4979-A7E7-6FC0A82E0C8E}" id="{16026081-E953-473B-8610-3E1544C5433D}">
    <text>Project On-Hold</text>
  </threadedComment>
  <threadedComment ref="BR246" dT="2024-10-18T04:54:46.00" personId="{6777EDD4-E46F-4979-A7E7-6FC0A82E0C8E}" id="{06FF2A38-C440-4645-90BB-E7C2A39B8AAC}">
    <text>Project On-Hold</text>
  </threadedComment>
  <threadedComment ref="BS246" dT="2024-10-18T04:54:46.00" personId="{6777EDD4-E46F-4979-A7E7-6FC0A82E0C8E}" id="{1A32DBFC-E66C-41DA-912B-4AFC6A4D3F67}">
    <text>Project On-Hold</text>
  </threadedComment>
  <threadedComment ref="BU246" dT="2024-10-17T09:51:49.13" personId="{6777EDD4-E46F-4979-A7E7-6FC0A82E0C8E}" id="{06EE9987-7925-416A-8273-4A1B2056896D}">
    <text>Client is Inactive</text>
  </threadedComment>
  <threadedComment ref="Q247" dT="2024-05-12T06:46:30.34" personId="{6777EDD4-E46F-4979-A7E7-6FC0A82E0C8E}" id="{F8D26C87-8AC4-44E3-8A2E-8102D92A2B61}">
    <text>Account Inactive</text>
  </threadedComment>
  <threadedComment ref="R247" dT="2024-05-12T06:46:30.34" personId="{6777EDD4-E46F-4979-A7E7-6FC0A82E0C8E}" id="{D55C91F5-0B40-4216-A418-036FAA40F922}">
    <text>Account Inactive</text>
  </threadedComment>
  <threadedComment ref="S247" dT="2024-05-12T06:46:30.34" personId="{6777EDD4-E46F-4979-A7E7-6FC0A82E0C8E}" id="{2DE0E556-3148-4B7A-9AD4-EAC3868D3DB2}">
    <text>Account Inactive</text>
  </threadedComment>
  <threadedComment ref="T247" dT="2024-05-12T06:46:30.34" personId="{6777EDD4-E46F-4979-A7E7-6FC0A82E0C8E}" id="{31CE2277-F378-42E5-B9B9-C2DE412BA143}">
    <text>Account Inactive</text>
  </threadedComment>
  <threadedComment ref="U247" dT="2024-05-12T06:46:30.34" personId="{6777EDD4-E46F-4979-A7E7-6FC0A82E0C8E}" id="{BEE0E493-02A3-4FCD-9ECC-B17E037EBB65}">
    <text>Account Inactive</text>
  </threadedComment>
  <threadedComment ref="V247" dT="2024-05-12T06:46:30.34" personId="{6777EDD4-E46F-4979-A7E7-6FC0A82E0C8E}" id="{5EB0411C-45E3-4242-AF68-047E1A92332A}">
    <text>Account Inactive</text>
  </threadedComment>
  <threadedComment ref="W247" dT="2024-05-12T06:46:30.34" personId="{6777EDD4-E46F-4979-A7E7-6FC0A82E0C8E}" id="{E77777C9-B331-41C8-99AC-6A291D4C59D7}">
    <text>Account Inactive</text>
  </threadedComment>
  <threadedComment ref="X247" dT="2024-05-12T06:46:30.34" personId="{6777EDD4-E46F-4979-A7E7-6FC0A82E0C8E}" id="{9BD3173B-4B2C-4F70-9710-8BF4353852BF}">
    <text>Account Inactive</text>
  </threadedComment>
  <threadedComment ref="Y247" dT="2024-05-12T06:46:30.34" personId="{6777EDD4-E46F-4979-A7E7-6FC0A82E0C8E}" id="{9A74895E-8A1C-4984-BB29-AFA755B27B68}">
    <text>Account Inactive</text>
  </threadedComment>
  <threadedComment ref="Z247" dT="2024-05-12T06:46:30.34" personId="{6777EDD4-E46F-4979-A7E7-6FC0A82E0C8E}" id="{6DB17864-F688-4E4F-8FE8-3165613BDC78}">
    <text>Account Inactive</text>
  </threadedComment>
  <threadedComment ref="AA247" dT="2024-05-12T06:46:30.34" personId="{6777EDD4-E46F-4979-A7E7-6FC0A82E0C8E}" id="{4C89A036-D46C-4AE0-8B63-428B7268C725}">
    <text>Account Inactive</text>
  </threadedComment>
  <threadedComment ref="AB247" dT="2024-05-12T06:46:30.34" personId="{6777EDD4-E46F-4979-A7E7-6FC0A82E0C8E}" id="{5DDAEA45-ED56-4AF6-9BDC-5F2FEB14FC67}">
    <text>Account Inactive</text>
  </threadedComment>
  <threadedComment ref="AC247" dT="2024-05-12T06:46:30.34" personId="{6777EDD4-E46F-4979-A7E7-6FC0A82E0C8E}" id="{D633B3E1-2AE7-46EA-877E-68A1ADE1257C}">
    <text>Account Inactive</text>
  </threadedComment>
  <threadedComment ref="AD247" dT="2024-05-12T06:46:30.34" personId="{6777EDD4-E46F-4979-A7E7-6FC0A82E0C8E}" id="{D7F589E9-4844-4AE8-A3BB-82690E36914C}">
    <text>Account Inactive</text>
  </threadedComment>
  <threadedComment ref="AE247" dT="2024-05-12T06:46:30.34" personId="{6777EDD4-E46F-4979-A7E7-6FC0A82E0C8E}" id="{9CA7DF0C-C8A2-4C8B-B35A-1763DC776B91}">
    <text>Account Inactive</text>
  </threadedComment>
  <threadedComment ref="AF247" dT="2024-05-12T06:46:30.34" personId="{6777EDD4-E46F-4979-A7E7-6FC0A82E0C8E}" id="{34B665F8-E4C8-4C0B-89C1-6A1B83B4955A}">
    <text>Account Inactive</text>
  </threadedComment>
  <threadedComment ref="AG247" dT="2024-05-12T06:46:30.34" personId="{6777EDD4-E46F-4979-A7E7-6FC0A82E0C8E}" id="{82B3B1DD-4577-42FD-A26A-E7974A83513E}">
    <text>Account Inactive</text>
  </threadedComment>
  <threadedComment ref="AH247" dT="2024-05-12T06:46:30.34" personId="{6777EDD4-E46F-4979-A7E7-6FC0A82E0C8E}" id="{4D170C25-2FF6-4618-8C0E-EB0B2976AAA0}">
    <text>Account Inactive</text>
  </threadedComment>
  <threadedComment ref="AI247" dT="2024-05-12T06:46:30.34" personId="{6777EDD4-E46F-4979-A7E7-6FC0A82E0C8E}" id="{80D5E933-6FB7-456F-BA75-B85B42AAD847}">
    <text>Account Inactive</text>
  </threadedComment>
  <threadedComment ref="AJ247" dT="2024-05-12T06:46:30.34" personId="{6777EDD4-E46F-4979-A7E7-6FC0A82E0C8E}" id="{99A0901F-5856-47C6-8EB0-554C00551F7A}">
    <text>Account Inactive</text>
  </threadedComment>
  <threadedComment ref="AK247" dT="2024-05-12T06:46:30.34" personId="{6777EDD4-E46F-4979-A7E7-6FC0A82E0C8E}" id="{DE77073F-8FD7-45B9-B29F-4A223089D5E0}">
    <text>Account Inactive</text>
  </threadedComment>
  <threadedComment ref="AL247" dT="2024-05-12T06:46:30.34" personId="{6777EDD4-E46F-4979-A7E7-6FC0A82E0C8E}" id="{C254EC6A-BE40-42C5-A674-CD777D3820AA}">
    <text>Account Inactive</text>
  </threadedComment>
  <threadedComment ref="AM247" dT="2024-10-17T09:51:49.13" personId="{6777EDD4-E46F-4979-A7E7-6FC0A82E0C8E}" id="{6EF376EB-05B1-45AD-A067-4B5AA5934D79}">
    <text>Client is Inactive</text>
  </threadedComment>
  <threadedComment ref="AN247" dT="2024-10-17T09:51:49.13" personId="{6777EDD4-E46F-4979-A7E7-6FC0A82E0C8E}" id="{B14E9854-3256-4DEB-A490-BFDF96A8D719}">
    <text>Client is Inactive</text>
  </threadedComment>
  <threadedComment ref="AO247" dT="2024-10-17T09:51:49.13" personId="{6777EDD4-E46F-4979-A7E7-6FC0A82E0C8E}" id="{F57678A1-FAB3-4E83-9567-F0FD0ECDF683}">
    <text>Client is Inactive</text>
  </threadedComment>
  <threadedComment ref="AP247" dT="2024-10-17T09:51:49.13" personId="{6777EDD4-E46F-4979-A7E7-6FC0A82E0C8E}" id="{60752993-3E88-4A0F-9735-A18CA8E67FE0}">
    <text>Client is Inactive</text>
  </threadedComment>
  <threadedComment ref="AQ247" dT="2024-10-17T09:51:49.13" personId="{6777EDD4-E46F-4979-A7E7-6FC0A82E0C8E}" id="{8F5EAA6B-61B4-408B-B9CD-7DDF303D3817}">
    <text>Client is Inactive</text>
  </threadedComment>
  <threadedComment ref="AR247" dT="2024-10-17T09:51:49.13" personId="{6777EDD4-E46F-4979-A7E7-6FC0A82E0C8E}" id="{210C9F17-234F-4EEC-A225-B5240F7A0E3B}">
    <text>Client is Inactive</text>
  </threadedComment>
  <threadedComment ref="AS247" dT="2024-10-17T09:51:49.13" personId="{6777EDD4-E46F-4979-A7E7-6FC0A82E0C8E}" id="{6C5FD71F-3A0B-49E1-A717-EA08AF1CCC2A}">
    <text>Client is Inactive</text>
  </threadedComment>
  <threadedComment ref="AT247" dT="2024-10-17T09:51:49.13" personId="{6777EDD4-E46F-4979-A7E7-6FC0A82E0C8E}" id="{DA362C75-CD5B-4DF1-9678-4F60727F5C15}">
    <text>Client is Inactive</text>
  </threadedComment>
  <threadedComment ref="AU247" dT="2024-10-17T09:51:49.13" personId="{6777EDD4-E46F-4979-A7E7-6FC0A82E0C8E}" id="{2B98BC6A-37BD-4905-AF75-72AE5429A4CA}">
    <text>Client is Inactive</text>
  </threadedComment>
  <threadedComment ref="AV247" dT="2024-10-17T09:51:49.13" personId="{6777EDD4-E46F-4979-A7E7-6FC0A82E0C8E}" id="{7EF91DF1-5938-4CCE-8B50-584276ED814E}">
    <text>Client is Inactive</text>
  </threadedComment>
  <threadedComment ref="AW247" dT="2024-10-17T09:51:49.13" personId="{6777EDD4-E46F-4979-A7E7-6FC0A82E0C8E}" id="{EA150CDA-AF36-44D7-AAD8-7E09C841A989}">
    <text>Client is Inactive</text>
  </threadedComment>
  <threadedComment ref="AX247" dT="2024-10-17T09:51:49.13" personId="{6777EDD4-E46F-4979-A7E7-6FC0A82E0C8E}" id="{6A95F722-028C-4DA3-B84E-BAFBA9AFB932}">
    <text>Client is Inactive</text>
  </threadedComment>
  <threadedComment ref="AY247" dT="2024-10-17T09:51:49.13" personId="{6777EDD4-E46F-4979-A7E7-6FC0A82E0C8E}" id="{EF22CC35-6EB5-4D5F-8460-2DF028AFADF6}">
    <text>Client is Inactive</text>
  </threadedComment>
  <threadedComment ref="AZ247" dT="2024-10-17T09:51:49.13" personId="{6777EDD4-E46F-4979-A7E7-6FC0A82E0C8E}" id="{043C86AC-EDC1-4B3E-B76D-4D72E6D5C4F5}">
    <text>Client is Inactive</text>
  </threadedComment>
  <threadedComment ref="BA247" dT="2024-10-17T09:51:49.13" personId="{6777EDD4-E46F-4979-A7E7-6FC0A82E0C8E}" id="{5BC4D4A3-C51C-44F3-8924-C9BC45D934EF}">
    <text>Client is Inactive</text>
  </threadedComment>
  <threadedComment ref="BB247" dT="2024-10-17T09:51:49.13" personId="{6777EDD4-E46F-4979-A7E7-6FC0A82E0C8E}" id="{7B02B8BE-91B8-40D6-A8B8-81AA19ED1E3A}">
    <text>Client is Inactive</text>
  </threadedComment>
  <threadedComment ref="BC247" dT="2024-10-17T09:51:49.13" personId="{6777EDD4-E46F-4979-A7E7-6FC0A82E0C8E}" id="{E858B76F-5F93-4A87-AC5B-C7B4C49F9885}">
    <text>Client is Inactive</text>
  </threadedComment>
  <threadedComment ref="BD247" dT="2024-10-17T09:51:49.13" personId="{6777EDD4-E46F-4979-A7E7-6FC0A82E0C8E}" id="{6C2AA124-BA8B-4A68-A431-7E1620DEE0CC}">
    <text>Client is Inactive</text>
  </threadedComment>
  <threadedComment ref="BE247" dT="2024-10-18T04:54:46.00" personId="{6777EDD4-E46F-4979-A7E7-6FC0A82E0C8E}" id="{FAB2674F-48EB-4436-B051-17B5B4AAF7AA}">
    <text>Project On-Hold</text>
  </threadedComment>
  <threadedComment ref="BF247" dT="2024-10-18T04:54:46.00" personId="{6777EDD4-E46F-4979-A7E7-6FC0A82E0C8E}" id="{21F38497-C810-4C06-B751-8DCF1361217D}">
    <text>Project On-Hold</text>
  </threadedComment>
  <threadedComment ref="BG247" dT="2024-10-18T04:54:46.00" personId="{6777EDD4-E46F-4979-A7E7-6FC0A82E0C8E}" id="{FBDEAC83-1E17-4958-829A-F2193D12245E}">
    <text>Project On-Hold</text>
  </threadedComment>
  <threadedComment ref="BH247" dT="2024-10-18T04:54:46.00" personId="{6777EDD4-E46F-4979-A7E7-6FC0A82E0C8E}" id="{4115F6CF-1965-4CC9-AF25-3FB79D574246}">
    <text>Project On-Hold</text>
  </threadedComment>
  <threadedComment ref="BI247" dT="2024-10-18T04:54:46.00" personId="{6777EDD4-E46F-4979-A7E7-6FC0A82E0C8E}" id="{7328DE7B-6730-4703-BA66-F3E4B25EE1AA}">
    <text>Project On-Hold</text>
  </threadedComment>
  <threadedComment ref="BJ247" dT="2024-10-18T04:54:46.00" personId="{6777EDD4-E46F-4979-A7E7-6FC0A82E0C8E}" id="{627E8FA4-9DC7-4886-823A-39CC6B028D27}">
    <text>Project On-Hold</text>
  </threadedComment>
  <threadedComment ref="BK247" dT="2024-10-18T04:54:46.00" personId="{6777EDD4-E46F-4979-A7E7-6FC0A82E0C8E}" id="{4A54881A-82EB-41D9-A11F-CB8A347D3FF6}">
    <text>Project On-Hold</text>
  </threadedComment>
  <threadedComment ref="BL247" dT="2024-10-18T04:54:46.00" personId="{6777EDD4-E46F-4979-A7E7-6FC0A82E0C8E}" id="{E5EC3D19-0101-4521-BDB1-FDA01C6096C7}">
    <text>Project On-Hold</text>
  </threadedComment>
  <threadedComment ref="BM247" dT="2024-10-18T04:54:46.00" personId="{6777EDD4-E46F-4979-A7E7-6FC0A82E0C8E}" id="{9BB24C75-1FFA-4DE2-93DD-F3A85696CE42}">
    <text>Project On-Hold</text>
  </threadedComment>
  <threadedComment ref="BN247" dT="2024-10-18T04:54:46.00" personId="{6777EDD4-E46F-4979-A7E7-6FC0A82E0C8E}" id="{B9771CEF-6797-4F77-9028-67614C197096}">
    <text>Project On-Hold</text>
  </threadedComment>
  <threadedComment ref="BP247" dT="2024-10-18T04:54:46.00" personId="{6777EDD4-E46F-4979-A7E7-6FC0A82E0C8E}" id="{9EC73743-9E14-4157-9648-B1DF727B47F2}">
    <text>Project On-Hold</text>
  </threadedComment>
  <threadedComment ref="BR247" dT="2024-10-18T04:54:46.00" personId="{6777EDD4-E46F-4979-A7E7-6FC0A82E0C8E}" id="{AAD4844F-B5E9-44CF-9112-15897562171A}">
    <text>Project On-Hold</text>
  </threadedComment>
  <threadedComment ref="BS247" dT="2024-10-18T04:54:46.00" personId="{6777EDD4-E46F-4979-A7E7-6FC0A82E0C8E}" id="{F8C53AF9-E5E3-4909-B7F7-ECE2903688F5}">
    <text>Project On-Hold</text>
  </threadedComment>
  <threadedComment ref="BU247" dT="2024-10-17T09:51:49.13" personId="{6777EDD4-E46F-4979-A7E7-6FC0A82E0C8E}" id="{0CA98CEF-12CB-4010-B49B-95D75DFC216D}">
    <text>Client is Inactive</text>
  </threadedComment>
  <threadedComment ref="Q248" dT="2024-05-12T06:46:30.34" personId="{6777EDD4-E46F-4979-A7E7-6FC0A82E0C8E}" id="{5307AE31-9267-49DA-BF2D-C4B14E31346B}">
    <text>Account Inactive</text>
  </threadedComment>
  <threadedComment ref="R248" dT="2024-05-12T06:46:30.34" personId="{6777EDD4-E46F-4979-A7E7-6FC0A82E0C8E}" id="{9AAD42EE-A1F9-477E-9623-7816796FDCF0}">
    <text>Account Inactive</text>
  </threadedComment>
  <threadedComment ref="S248" dT="2024-05-12T06:46:30.34" personId="{6777EDD4-E46F-4979-A7E7-6FC0A82E0C8E}" id="{5CAAFA6E-8028-4243-8AEE-44F36CF09C47}">
    <text>Account Inactive</text>
  </threadedComment>
  <threadedComment ref="T248" dT="2024-05-12T06:46:30.34" personId="{6777EDD4-E46F-4979-A7E7-6FC0A82E0C8E}" id="{7E3D17D6-66ED-4193-A849-534E484175DE}">
    <text>Account Inactive</text>
  </threadedComment>
  <threadedComment ref="U248" dT="2024-05-12T06:46:30.34" personId="{6777EDD4-E46F-4979-A7E7-6FC0A82E0C8E}" id="{3E70CE35-8211-43C5-BF0F-12BB413F245B}">
    <text>Account Inactive</text>
  </threadedComment>
  <threadedComment ref="V248" dT="2024-05-12T06:46:30.34" personId="{6777EDD4-E46F-4979-A7E7-6FC0A82E0C8E}" id="{E56F4E09-5E9C-4DD4-9ABF-BC41BE0DE74A}">
    <text>Account Inactive</text>
  </threadedComment>
  <threadedComment ref="W248" dT="2024-05-12T06:46:30.34" personId="{6777EDD4-E46F-4979-A7E7-6FC0A82E0C8E}" id="{61BF786B-1E60-41A9-87D7-5BC2D02FC542}">
    <text>Account Inactive</text>
  </threadedComment>
  <threadedComment ref="X248" dT="2024-05-12T06:46:30.34" personId="{6777EDD4-E46F-4979-A7E7-6FC0A82E0C8E}" id="{60B2E599-6C9B-4C87-A93C-1F9BF8589ABF}">
    <text>Account Inactive</text>
  </threadedComment>
  <threadedComment ref="Y248" dT="2024-05-12T06:46:30.34" personId="{6777EDD4-E46F-4979-A7E7-6FC0A82E0C8E}" id="{3271FAEE-D547-46E1-A6C2-D9C25B4DB63D}">
    <text>Account Inactive</text>
  </threadedComment>
  <threadedComment ref="Z248" dT="2024-05-12T06:46:30.34" personId="{6777EDD4-E46F-4979-A7E7-6FC0A82E0C8E}" id="{BE09738B-9EE7-424F-9F24-AAD44A481460}">
    <text>Account Inactive</text>
  </threadedComment>
  <threadedComment ref="AA248" dT="2024-05-12T06:46:30.34" personId="{6777EDD4-E46F-4979-A7E7-6FC0A82E0C8E}" id="{644F8FA3-A500-429B-9D4B-52C0FFCDF696}">
    <text>Account Inactive</text>
  </threadedComment>
  <threadedComment ref="AB248" dT="2024-05-12T06:46:30.34" personId="{6777EDD4-E46F-4979-A7E7-6FC0A82E0C8E}" id="{A3B3CD52-C6D7-4C67-953B-33F017D53DEF}">
    <text>Account Inactive</text>
  </threadedComment>
  <threadedComment ref="AC248" dT="2024-05-12T06:46:30.34" personId="{6777EDD4-E46F-4979-A7E7-6FC0A82E0C8E}" id="{CF0DE9FD-22CE-46EE-AC17-F453402FCEC7}">
    <text>Account Inactive</text>
  </threadedComment>
  <threadedComment ref="AD248" dT="2024-05-12T06:46:30.34" personId="{6777EDD4-E46F-4979-A7E7-6FC0A82E0C8E}" id="{EB392761-4811-4EAC-9E65-42D4B4742BDE}">
    <text>Account Inactive</text>
  </threadedComment>
  <threadedComment ref="AE248" dT="2024-05-12T06:46:30.34" personId="{6777EDD4-E46F-4979-A7E7-6FC0A82E0C8E}" id="{E1366CE4-D2DE-4311-8F0C-A671F4498E2F}">
    <text>Account Inactive</text>
  </threadedComment>
  <threadedComment ref="AF248" dT="2024-05-12T06:46:30.34" personId="{6777EDD4-E46F-4979-A7E7-6FC0A82E0C8E}" id="{BCCFECBE-0448-4E0E-8B37-3F8D45A92F34}">
    <text>Account Inactive</text>
  </threadedComment>
  <threadedComment ref="AG248" dT="2024-05-12T06:46:30.34" personId="{6777EDD4-E46F-4979-A7E7-6FC0A82E0C8E}" id="{689FED7F-B03C-43EC-AAE0-E48332173C9E}">
    <text>Account Inactive</text>
  </threadedComment>
  <threadedComment ref="AH248" dT="2024-05-12T06:46:30.34" personId="{6777EDD4-E46F-4979-A7E7-6FC0A82E0C8E}" id="{85047443-2AE7-4725-AEFC-8ECBA08C1294}">
    <text>Account Inactive</text>
  </threadedComment>
  <threadedComment ref="AI248" dT="2024-05-12T06:46:30.34" personId="{6777EDD4-E46F-4979-A7E7-6FC0A82E0C8E}" id="{95BC78DF-FDF5-4906-AE43-F63612FD55F2}">
    <text>Account Inactive</text>
  </threadedComment>
  <threadedComment ref="AJ248" dT="2024-05-12T06:46:30.34" personId="{6777EDD4-E46F-4979-A7E7-6FC0A82E0C8E}" id="{9A3362A1-E1A7-4F0D-A17E-3362F64358FC}">
    <text>Account Inactive</text>
  </threadedComment>
  <threadedComment ref="AK248" dT="2024-05-12T06:46:30.34" personId="{6777EDD4-E46F-4979-A7E7-6FC0A82E0C8E}" id="{4C89D516-6C93-43CA-B0AF-A6250680A43E}">
    <text>Account Inactive</text>
  </threadedComment>
  <threadedComment ref="AL248" dT="2024-05-12T06:46:30.34" personId="{6777EDD4-E46F-4979-A7E7-6FC0A82E0C8E}" id="{32AD88F4-297F-44F6-AA63-5A5665B1CBEB}">
    <text>Account Inactive</text>
  </threadedComment>
  <threadedComment ref="AM248" dT="2024-10-17T09:51:49.13" personId="{6777EDD4-E46F-4979-A7E7-6FC0A82E0C8E}" id="{7C59EBBD-E3DC-47B4-8845-E7ED98B5B7C6}">
    <text>Client is Inactive</text>
  </threadedComment>
  <threadedComment ref="AN248" dT="2024-10-17T09:51:49.13" personId="{6777EDD4-E46F-4979-A7E7-6FC0A82E0C8E}" id="{4E11D0AE-DEA2-4BDF-87E5-3047C631B9A1}">
    <text>Client is Inactive</text>
  </threadedComment>
  <threadedComment ref="AO248" dT="2024-10-17T09:51:49.13" personId="{6777EDD4-E46F-4979-A7E7-6FC0A82E0C8E}" id="{1A8227CF-8941-4288-83F7-861CCCEF65F3}">
    <text>Client is Inactive</text>
  </threadedComment>
  <threadedComment ref="AP248" dT="2024-10-17T09:51:49.13" personId="{6777EDD4-E46F-4979-A7E7-6FC0A82E0C8E}" id="{8AE97630-4AA1-4773-B7EC-5C84E1218CCC}">
    <text>Client is Inactive</text>
  </threadedComment>
  <threadedComment ref="AQ248" dT="2024-10-17T09:51:49.13" personId="{6777EDD4-E46F-4979-A7E7-6FC0A82E0C8E}" id="{FC4302A8-7F01-48FC-9F20-95E0DB986F1F}">
    <text>Client is Inactive</text>
  </threadedComment>
  <threadedComment ref="AR248" dT="2024-10-17T09:51:49.13" personId="{6777EDD4-E46F-4979-A7E7-6FC0A82E0C8E}" id="{8392BD78-B27C-419D-96F5-B1556BB37A3E}">
    <text>Client is Inactive</text>
  </threadedComment>
  <threadedComment ref="AS248" dT="2024-10-17T09:51:49.13" personId="{6777EDD4-E46F-4979-A7E7-6FC0A82E0C8E}" id="{3F2C755E-ABA1-4247-A421-E794A3F7406B}">
    <text>Client is Inactive</text>
  </threadedComment>
  <threadedComment ref="AT248" dT="2024-10-17T09:51:49.13" personId="{6777EDD4-E46F-4979-A7E7-6FC0A82E0C8E}" id="{72C0BB04-8949-4B1D-BAB7-6C41A9313441}">
    <text>Client is Inactive</text>
  </threadedComment>
  <threadedComment ref="AU248" dT="2024-10-17T09:51:49.13" personId="{6777EDD4-E46F-4979-A7E7-6FC0A82E0C8E}" id="{D28C8785-5D6D-4CAC-B1F2-0982A3437529}">
    <text>Client is Inactive</text>
  </threadedComment>
  <threadedComment ref="AV248" dT="2024-10-17T09:51:49.13" personId="{6777EDD4-E46F-4979-A7E7-6FC0A82E0C8E}" id="{0CE9626B-035F-4C8B-935D-E75036DE7DC3}">
    <text>Client is Inactive</text>
  </threadedComment>
  <threadedComment ref="AW248" dT="2024-10-17T09:51:49.13" personId="{6777EDD4-E46F-4979-A7E7-6FC0A82E0C8E}" id="{3AF00ED2-CAC8-4555-8EE9-1402935EC41D}">
    <text>Client is Inactive</text>
  </threadedComment>
  <threadedComment ref="AX248" dT="2024-10-17T09:51:49.13" personId="{6777EDD4-E46F-4979-A7E7-6FC0A82E0C8E}" id="{0E08B171-EA26-4157-95EE-3E14A1453E1A}">
    <text>Client is Inactive</text>
  </threadedComment>
  <threadedComment ref="AY248" dT="2024-10-17T09:51:49.13" personId="{6777EDD4-E46F-4979-A7E7-6FC0A82E0C8E}" id="{8A5F4A49-C12C-4D71-BF32-F5B8A2FB3DB3}">
    <text>Client is Inactive</text>
  </threadedComment>
  <threadedComment ref="AZ248" dT="2024-10-17T09:51:49.13" personId="{6777EDD4-E46F-4979-A7E7-6FC0A82E0C8E}" id="{DEEE7453-A391-4801-89BF-C08E2D00A44B}">
    <text>Client is Inactive</text>
  </threadedComment>
  <threadedComment ref="BA248" dT="2024-10-17T09:51:49.13" personId="{6777EDD4-E46F-4979-A7E7-6FC0A82E0C8E}" id="{EFCDDCF0-85C7-408E-BCAB-45588C266FC9}">
    <text>Client is Inactive</text>
  </threadedComment>
  <threadedComment ref="BB248" dT="2024-10-17T09:51:49.13" personId="{6777EDD4-E46F-4979-A7E7-6FC0A82E0C8E}" id="{1434834B-4ABA-4D8B-B32F-A2D732B1A427}">
    <text>Client is Inactive</text>
  </threadedComment>
  <threadedComment ref="BC248" dT="2024-10-17T09:51:49.13" personId="{6777EDD4-E46F-4979-A7E7-6FC0A82E0C8E}" id="{05B3B6ED-FB96-4172-9453-E19BBF535A45}">
    <text>Client is Inactive</text>
  </threadedComment>
  <threadedComment ref="BD248" dT="2024-10-17T09:51:49.13" personId="{6777EDD4-E46F-4979-A7E7-6FC0A82E0C8E}" id="{6C3F35E5-7D25-457B-82AE-3DB724BEDD99}">
    <text>Client is Inactive</text>
  </threadedComment>
  <threadedComment ref="BE248" dT="2024-10-18T04:54:46.00" personId="{6777EDD4-E46F-4979-A7E7-6FC0A82E0C8E}" id="{D7FEA412-401F-475D-ADF8-08B663ECF54D}">
    <text>Project On-Hold</text>
  </threadedComment>
  <threadedComment ref="BF248" dT="2024-10-18T04:54:46.00" personId="{6777EDD4-E46F-4979-A7E7-6FC0A82E0C8E}" id="{42741E10-23AE-48A6-B45F-66E2D4F1760F}">
    <text>Project On-Hold</text>
  </threadedComment>
  <threadedComment ref="BG248" dT="2024-10-18T04:54:46.00" personId="{6777EDD4-E46F-4979-A7E7-6FC0A82E0C8E}" id="{B8F223AF-9CE2-408B-B07E-D44BE67169B1}">
    <text>Project On-Hold</text>
  </threadedComment>
  <threadedComment ref="BH248" dT="2024-10-18T04:54:46.00" personId="{6777EDD4-E46F-4979-A7E7-6FC0A82E0C8E}" id="{CFB8E7BF-3F50-4CFB-8509-8ABA5EC3866F}">
    <text>Project On-Hold</text>
  </threadedComment>
  <threadedComment ref="BI248" dT="2024-10-18T04:54:46.00" personId="{6777EDD4-E46F-4979-A7E7-6FC0A82E0C8E}" id="{26A5FBB0-AAE5-4C10-80D5-A802E6E47869}">
    <text>Project On-Hold</text>
  </threadedComment>
  <threadedComment ref="BJ248" dT="2024-10-18T04:54:46.00" personId="{6777EDD4-E46F-4979-A7E7-6FC0A82E0C8E}" id="{E79E7BCF-0461-4AA0-899F-B5B5E2F47D0C}">
    <text>Project On-Hold</text>
  </threadedComment>
  <threadedComment ref="BK248" dT="2024-10-18T04:54:46.00" personId="{6777EDD4-E46F-4979-A7E7-6FC0A82E0C8E}" id="{347D6831-246F-442B-A4D9-92C6F24C84F4}">
    <text>Project On-Hold</text>
  </threadedComment>
  <threadedComment ref="BL248" dT="2024-10-18T04:54:46.00" personId="{6777EDD4-E46F-4979-A7E7-6FC0A82E0C8E}" id="{BFA49D39-E0C3-4338-808E-DF9D8D1F73C7}">
    <text>Project On-Hold</text>
  </threadedComment>
  <threadedComment ref="BM248" dT="2024-10-18T04:54:46.00" personId="{6777EDD4-E46F-4979-A7E7-6FC0A82E0C8E}" id="{70F70014-BCFF-49C8-93D7-70DE1C699647}">
    <text>Project On-Hold</text>
  </threadedComment>
  <threadedComment ref="BN248" dT="2024-10-18T04:54:46.00" personId="{6777EDD4-E46F-4979-A7E7-6FC0A82E0C8E}" id="{3CD7010C-B9E7-4C75-B2CF-F2D99E1C1307}">
    <text>Project On-Hold</text>
  </threadedComment>
  <threadedComment ref="BP248" dT="2024-10-18T04:54:46.00" personId="{6777EDD4-E46F-4979-A7E7-6FC0A82E0C8E}" id="{A9736F9F-63BE-4005-95B7-225B1514882C}">
    <text>Project On-Hold</text>
  </threadedComment>
  <threadedComment ref="BR248" dT="2024-10-18T04:54:46.00" personId="{6777EDD4-E46F-4979-A7E7-6FC0A82E0C8E}" id="{6693DE7A-9FB5-49A6-B07B-2BA01A0B8E5E}">
    <text>Project On-Hold</text>
  </threadedComment>
  <threadedComment ref="BS248" dT="2024-10-18T04:54:46.00" personId="{6777EDD4-E46F-4979-A7E7-6FC0A82E0C8E}" id="{4DE28BCF-7815-4322-A497-54DA69B7A0E1}">
    <text>Project On-Hold</text>
  </threadedComment>
  <threadedComment ref="BU248" dT="2024-10-17T09:51:49.13" personId="{6777EDD4-E46F-4979-A7E7-6FC0A82E0C8E}" id="{2057115D-C5A1-46BC-A084-8B4171B3B4DA}">
    <text>Client is Inactive</text>
  </threadedComment>
  <threadedComment ref="Q249" dT="2024-05-12T06:46:30.34" personId="{6777EDD4-E46F-4979-A7E7-6FC0A82E0C8E}" id="{B5723D04-F500-4D8A-BF41-50681F2C0039}">
    <text>Account Inactive</text>
  </threadedComment>
  <threadedComment ref="R249" dT="2024-05-12T06:46:30.34" personId="{6777EDD4-E46F-4979-A7E7-6FC0A82E0C8E}" id="{E55DEC0E-3881-4C32-AA65-5722392F8D54}">
    <text>Account Inactive</text>
  </threadedComment>
  <threadedComment ref="S249" dT="2024-05-12T06:46:30.34" personId="{6777EDD4-E46F-4979-A7E7-6FC0A82E0C8E}" id="{5DE61DBC-36AA-4361-BC38-E0BD26E9B55F}">
    <text>Account Inactive</text>
  </threadedComment>
  <threadedComment ref="T249" dT="2024-05-12T06:46:30.34" personId="{6777EDD4-E46F-4979-A7E7-6FC0A82E0C8E}" id="{F56FEC09-A800-4857-A646-73C3E673863D}">
    <text>Account Inactive</text>
  </threadedComment>
  <threadedComment ref="U249" dT="2024-05-12T06:46:30.34" personId="{6777EDD4-E46F-4979-A7E7-6FC0A82E0C8E}" id="{38FC5089-01D5-4E3D-A143-AB77A2F4FC10}">
    <text>Account Inactive</text>
  </threadedComment>
  <threadedComment ref="V249" dT="2024-05-12T06:46:30.34" personId="{6777EDD4-E46F-4979-A7E7-6FC0A82E0C8E}" id="{385D564D-DB82-4F95-B87C-D3878DE6DFB1}">
    <text>Account Inactive</text>
  </threadedComment>
  <threadedComment ref="W249" dT="2024-05-12T06:46:30.34" personId="{6777EDD4-E46F-4979-A7E7-6FC0A82E0C8E}" id="{D16B26A0-90CA-4371-AB01-2C9B5761080E}">
    <text>Account Inactive</text>
  </threadedComment>
  <threadedComment ref="X249" dT="2024-05-12T06:46:30.34" personId="{6777EDD4-E46F-4979-A7E7-6FC0A82E0C8E}" id="{7183B5EF-84C9-4DD7-8BD1-47B007118FF1}">
    <text>Account Inactive</text>
  </threadedComment>
  <threadedComment ref="Y249" dT="2024-05-12T06:46:30.34" personId="{6777EDD4-E46F-4979-A7E7-6FC0A82E0C8E}" id="{DE15C482-7C56-49E0-8D4C-E3FE6BAB146F}">
    <text>Account Inactive</text>
  </threadedComment>
  <threadedComment ref="Z249" dT="2024-05-12T06:46:30.34" personId="{6777EDD4-E46F-4979-A7E7-6FC0A82E0C8E}" id="{2F0870DC-BA04-4F94-943F-ECB7FB1C68D1}">
    <text>Account Inactive</text>
  </threadedComment>
  <threadedComment ref="AA249" dT="2024-05-12T06:46:30.34" personId="{6777EDD4-E46F-4979-A7E7-6FC0A82E0C8E}" id="{99154771-FE43-4542-9809-5C57E7855739}">
    <text>Account Inactive</text>
  </threadedComment>
  <threadedComment ref="AB249" dT="2024-05-12T06:46:30.34" personId="{6777EDD4-E46F-4979-A7E7-6FC0A82E0C8E}" id="{6583A363-7620-491A-A228-A1F71CE46115}">
    <text>Account Inactive</text>
  </threadedComment>
  <threadedComment ref="AC249" dT="2024-05-12T06:46:30.34" personId="{6777EDD4-E46F-4979-A7E7-6FC0A82E0C8E}" id="{89DB2FB6-C032-4D54-815C-3820C4BE1768}">
    <text>Account Inactive</text>
  </threadedComment>
  <threadedComment ref="AD249" dT="2024-05-12T06:46:30.34" personId="{6777EDD4-E46F-4979-A7E7-6FC0A82E0C8E}" id="{C7705A02-187E-4C77-9980-E9F1DD09CF89}">
    <text>Account Inactive</text>
  </threadedComment>
  <threadedComment ref="AE249" dT="2024-05-12T06:46:30.34" personId="{6777EDD4-E46F-4979-A7E7-6FC0A82E0C8E}" id="{59865553-0E7A-419E-9CD5-CEEA1CF6BEFA}">
    <text>Account Inactive</text>
  </threadedComment>
  <threadedComment ref="AF249" dT="2024-05-12T06:46:30.34" personId="{6777EDD4-E46F-4979-A7E7-6FC0A82E0C8E}" id="{BDE02CBF-579A-40E9-B361-EB2B246964FD}">
    <text>Account Inactive</text>
  </threadedComment>
  <threadedComment ref="AG249" dT="2024-05-12T06:46:30.34" personId="{6777EDD4-E46F-4979-A7E7-6FC0A82E0C8E}" id="{8EE715E1-31C3-4ABD-9D46-9D3A98E729AB}">
    <text>Account Inactive</text>
  </threadedComment>
  <threadedComment ref="AH249" dT="2024-05-12T06:46:30.34" personId="{6777EDD4-E46F-4979-A7E7-6FC0A82E0C8E}" id="{56D3FD67-B896-406F-86D1-FC21EF400CAF}">
    <text>Account Inactive</text>
  </threadedComment>
  <threadedComment ref="AI249" dT="2024-05-12T06:46:30.34" personId="{6777EDD4-E46F-4979-A7E7-6FC0A82E0C8E}" id="{9C0E3FA3-C8F4-4931-A2A1-E2A579B98667}">
    <text>Account Inactive</text>
  </threadedComment>
  <threadedComment ref="AJ249" dT="2024-05-12T06:46:30.34" personId="{6777EDD4-E46F-4979-A7E7-6FC0A82E0C8E}" id="{D597BDE9-E8D6-42E9-98A5-0E04186F5EDF}">
    <text>Account Inactive</text>
  </threadedComment>
  <threadedComment ref="AK249" dT="2024-05-12T06:46:30.34" personId="{6777EDD4-E46F-4979-A7E7-6FC0A82E0C8E}" id="{9D6C3BB9-316E-4FA5-9DA6-B85574363ABD}">
    <text>Account Inactive</text>
  </threadedComment>
  <threadedComment ref="AL249" dT="2024-05-12T06:46:30.34" personId="{6777EDD4-E46F-4979-A7E7-6FC0A82E0C8E}" id="{2AD04AEB-49DB-43DD-86BF-4935A4F05BF8}">
    <text>Account Inactive</text>
  </threadedComment>
  <threadedComment ref="AM249" dT="2024-10-17T09:51:49.13" personId="{6777EDD4-E46F-4979-A7E7-6FC0A82E0C8E}" id="{69C98DC7-DD88-4F3A-90A9-69702AC81596}">
    <text>Client is Inactive</text>
  </threadedComment>
  <threadedComment ref="AN249" dT="2024-10-17T09:51:49.13" personId="{6777EDD4-E46F-4979-A7E7-6FC0A82E0C8E}" id="{63C2ACF3-8A1B-4143-A0DE-0DA17F5D9B23}">
    <text>Client is Inactive</text>
  </threadedComment>
  <threadedComment ref="AO249" dT="2024-10-17T09:51:49.13" personId="{6777EDD4-E46F-4979-A7E7-6FC0A82E0C8E}" id="{08F4450D-FA73-47F9-B4D6-FA2CF90D738D}">
    <text>Client is Inactive</text>
  </threadedComment>
  <threadedComment ref="AP249" dT="2024-10-17T09:51:49.13" personId="{6777EDD4-E46F-4979-A7E7-6FC0A82E0C8E}" id="{0DA5D896-D26C-458F-A506-8F3896A265E4}">
    <text>Client is Inactive</text>
  </threadedComment>
  <threadedComment ref="AQ249" dT="2024-10-17T09:51:49.13" personId="{6777EDD4-E46F-4979-A7E7-6FC0A82E0C8E}" id="{186E0007-8E4F-46F9-A79E-5575A0401AA3}">
    <text>Client is Inactive</text>
  </threadedComment>
  <threadedComment ref="AR249" dT="2024-10-17T09:51:49.13" personId="{6777EDD4-E46F-4979-A7E7-6FC0A82E0C8E}" id="{8763CCDE-ECA3-4620-AB6F-BE9CA462E136}">
    <text>Client is Inactive</text>
  </threadedComment>
  <threadedComment ref="AS249" dT="2024-10-17T09:51:49.13" personId="{6777EDD4-E46F-4979-A7E7-6FC0A82E0C8E}" id="{BD9EE941-521B-4E09-ACCD-0258D398F437}">
    <text>Client is Inactive</text>
  </threadedComment>
  <threadedComment ref="AT249" dT="2024-10-17T09:51:49.13" personId="{6777EDD4-E46F-4979-A7E7-6FC0A82E0C8E}" id="{A62BAE7E-F0A6-46C8-B671-ABF8637FBB44}">
    <text>Client is Inactive</text>
  </threadedComment>
  <threadedComment ref="AU249" dT="2024-10-17T09:51:49.13" personId="{6777EDD4-E46F-4979-A7E7-6FC0A82E0C8E}" id="{D45463C8-8D0F-425B-82D3-A8A6EC98AFE5}">
    <text>Client is Inactive</text>
  </threadedComment>
  <threadedComment ref="AV249" dT="2024-10-17T09:51:49.13" personId="{6777EDD4-E46F-4979-A7E7-6FC0A82E0C8E}" id="{391F5045-159A-4420-A741-3F573F89DBED}">
    <text>Client is Inactive</text>
  </threadedComment>
  <threadedComment ref="AW249" dT="2024-10-17T09:51:49.13" personId="{6777EDD4-E46F-4979-A7E7-6FC0A82E0C8E}" id="{825170BC-3677-4B58-B647-DBCEBA25FBBB}">
    <text>Client is Inactive</text>
  </threadedComment>
  <threadedComment ref="AX249" dT="2024-10-17T09:51:49.13" personId="{6777EDD4-E46F-4979-A7E7-6FC0A82E0C8E}" id="{5CB15D57-F7FC-46B5-B7AF-B49FC066B9C9}">
    <text>Client is Inactive</text>
  </threadedComment>
  <threadedComment ref="AY249" dT="2024-10-17T09:51:49.13" personId="{6777EDD4-E46F-4979-A7E7-6FC0A82E0C8E}" id="{791D6EA5-9898-47DD-812B-FE5BC75F464C}">
    <text>Client is Inactive</text>
  </threadedComment>
  <threadedComment ref="AZ249" dT="2024-10-17T09:51:49.13" personId="{6777EDD4-E46F-4979-A7E7-6FC0A82E0C8E}" id="{257B487A-1AA6-4CBF-BCD1-BB7BFCA2E942}">
    <text>Client is Inactive</text>
  </threadedComment>
  <threadedComment ref="BA249" dT="2024-10-17T09:51:49.13" personId="{6777EDD4-E46F-4979-A7E7-6FC0A82E0C8E}" id="{44E71821-27F9-455F-AFC7-570E75E7970B}">
    <text>Client is Inactive</text>
  </threadedComment>
  <threadedComment ref="BB249" dT="2024-10-17T09:51:49.13" personId="{6777EDD4-E46F-4979-A7E7-6FC0A82E0C8E}" id="{12EFCBE4-5575-4A13-8C22-3ABEB1707337}">
    <text>Client is Inactive</text>
  </threadedComment>
  <threadedComment ref="BC249" dT="2024-10-17T09:51:49.13" personId="{6777EDD4-E46F-4979-A7E7-6FC0A82E0C8E}" id="{BB7B057D-5DD1-4207-8371-41B4F966E537}">
    <text>Client is Inactive</text>
  </threadedComment>
  <threadedComment ref="BD249" dT="2024-10-17T09:51:49.13" personId="{6777EDD4-E46F-4979-A7E7-6FC0A82E0C8E}" id="{4A89A9B3-2FB5-4242-859B-39DF3BF8DEDD}">
    <text>Client is Inactive</text>
  </threadedComment>
  <threadedComment ref="BE249" dT="2024-10-18T04:54:46.00" personId="{6777EDD4-E46F-4979-A7E7-6FC0A82E0C8E}" id="{FCCFE588-596C-428E-91ED-0DED762E8841}">
    <text>Project On-Hold</text>
  </threadedComment>
  <threadedComment ref="BF249" dT="2024-10-18T04:54:46.00" personId="{6777EDD4-E46F-4979-A7E7-6FC0A82E0C8E}" id="{55D6036A-E15C-4B12-9E3B-E5F31A861B1A}">
    <text>Project On-Hold</text>
  </threadedComment>
  <threadedComment ref="BG249" dT="2024-10-18T04:54:46.00" personId="{6777EDD4-E46F-4979-A7E7-6FC0A82E0C8E}" id="{9F2C28F1-8747-4832-AD1D-2BD2912FEF00}">
    <text>Project On-Hold</text>
  </threadedComment>
  <threadedComment ref="BH249" dT="2024-10-18T04:54:46.00" personId="{6777EDD4-E46F-4979-A7E7-6FC0A82E0C8E}" id="{8E96163D-329A-4B74-AE6C-6ADA3B579EEA}">
    <text>Project On-Hold</text>
  </threadedComment>
  <threadedComment ref="BI249" dT="2024-10-18T04:54:46.00" personId="{6777EDD4-E46F-4979-A7E7-6FC0A82E0C8E}" id="{20B9A1A6-BB5D-4454-9CF6-D30920C22911}">
    <text>Project On-Hold</text>
  </threadedComment>
  <threadedComment ref="BJ249" dT="2024-10-18T04:54:46.00" personId="{6777EDD4-E46F-4979-A7E7-6FC0A82E0C8E}" id="{C67F369A-B5F0-4575-AED2-4BCE5FE5BD41}">
    <text>Project On-Hold</text>
  </threadedComment>
  <threadedComment ref="BK249" dT="2024-10-18T04:54:46.00" personId="{6777EDD4-E46F-4979-A7E7-6FC0A82E0C8E}" id="{8C0A21FF-204F-422F-A17B-88607CC2C6B5}">
    <text>Project On-Hold</text>
  </threadedComment>
  <threadedComment ref="BL249" dT="2024-10-18T04:54:46.00" personId="{6777EDD4-E46F-4979-A7E7-6FC0A82E0C8E}" id="{A4CB36D3-DA2F-4C87-8D1B-603DD52D9756}">
    <text>Project On-Hold</text>
  </threadedComment>
  <threadedComment ref="BM249" dT="2024-10-18T04:54:46.00" personId="{6777EDD4-E46F-4979-A7E7-6FC0A82E0C8E}" id="{7AD273E5-188A-41C6-8778-49405B4A4F51}">
    <text>Project On-Hold</text>
  </threadedComment>
  <threadedComment ref="BN249" dT="2024-10-18T04:54:46.00" personId="{6777EDD4-E46F-4979-A7E7-6FC0A82E0C8E}" id="{5C1E12F4-49CA-4A92-B6C3-ED8282EB9BBD}">
    <text>Project On-Hold</text>
  </threadedComment>
  <threadedComment ref="BP249" dT="2024-10-18T04:54:46.00" personId="{6777EDD4-E46F-4979-A7E7-6FC0A82E0C8E}" id="{C753BF0D-098D-4ADB-844B-E5D395CA5E43}">
    <text>Project On-Hold</text>
  </threadedComment>
  <threadedComment ref="BR249" dT="2024-10-18T04:54:46.00" personId="{6777EDD4-E46F-4979-A7E7-6FC0A82E0C8E}" id="{AC637682-DB52-40FB-9325-05A72E628D77}">
    <text>Project On-Hold</text>
  </threadedComment>
  <threadedComment ref="BS249" dT="2024-10-18T04:54:46.00" personId="{6777EDD4-E46F-4979-A7E7-6FC0A82E0C8E}" id="{5D726B8C-CCC4-4FD2-95FC-A766AE2A4DB4}">
    <text>Project On-Hold</text>
  </threadedComment>
  <threadedComment ref="BU249" dT="2024-10-17T09:51:49.13" personId="{6777EDD4-E46F-4979-A7E7-6FC0A82E0C8E}" id="{D3B1DBAC-6B2E-43CE-B8A9-E46936334A1F}">
    <text>Client is Inactive</text>
  </threadedComment>
  <threadedComment ref="Q250" dT="2024-05-12T06:46:30.34" personId="{6777EDD4-E46F-4979-A7E7-6FC0A82E0C8E}" id="{AE090213-1BD0-43A6-8890-54ABA7950A37}">
    <text>Account Inactive</text>
  </threadedComment>
  <threadedComment ref="R250" dT="2024-05-12T06:46:30.34" personId="{6777EDD4-E46F-4979-A7E7-6FC0A82E0C8E}" id="{D05A9B2D-FC2F-4F74-A679-BD378F0740FA}">
    <text>Account Inactive</text>
  </threadedComment>
  <threadedComment ref="S250" dT="2024-05-12T06:46:30.34" personId="{6777EDD4-E46F-4979-A7E7-6FC0A82E0C8E}" id="{FE772502-57D0-4A8D-B6F9-73DF94EA1909}">
    <text>Account Inactive</text>
  </threadedComment>
  <threadedComment ref="T250" dT="2024-05-12T06:46:30.34" personId="{6777EDD4-E46F-4979-A7E7-6FC0A82E0C8E}" id="{5473C73B-536A-43B1-8183-0C6684708E9B}">
    <text>Account Inactive</text>
  </threadedComment>
  <threadedComment ref="U250" dT="2024-05-12T06:46:30.34" personId="{6777EDD4-E46F-4979-A7E7-6FC0A82E0C8E}" id="{2B4C1424-1CEA-48DD-BA39-1DB181AE3793}">
    <text>Account Inactive</text>
  </threadedComment>
  <threadedComment ref="V250" dT="2024-05-12T06:46:30.34" personId="{6777EDD4-E46F-4979-A7E7-6FC0A82E0C8E}" id="{7D622151-665D-4D8D-A6AA-07453D12C9B8}">
    <text>Account Inactive</text>
  </threadedComment>
  <threadedComment ref="W250" dT="2024-05-12T06:46:30.34" personId="{6777EDD4-E46F-4979-A7E7-6FC0A82E0C8E}" id="{8E1B66A7-2BEB-4C23-A769-324F9E61DC34}">
    <text>Account Inactive</text>
  </threadedComment>
  <threadedComment ref="X250" dT="2024-05-12T06:46:30.34" personId="{6777EDD4-E46F-4979-A7E7-6FC0A82E0C8E}" id="{7DC45E9A-198E-40E0-B957-BCF0F88502E4}">
    <text>Account Inactive</text>
  </threadedComment>
  <threadedComment ref="Y250" dT="2024-05-12T06:46:30.34" personId="{6777EDD4-E46F-4979-A7E7-6FC0A82E0C8E}" id="{5603EC96-7717-4CBF-9F5C-582F7F66D5C4}">
    <text>Account Inactive</text>
  </threadedComment>
  <threadedComment ref="Z250" dT="2024-05-12T06:46:30.34" personId="{6777EDD4-E46F-4979-A7E7-6FC0A82E0C8E}" id="{0C5B5D90-C137-4914-B494-676B9CF616FE}">
    <text>Account Inactive</text>
  </threadedComment>
  <threadedComment ref="AA250" dT="2024-05-12T06:46:30.34" personId="{6777EDD4-E46F-4979-A7E7-6FC0A82E0C8E}" id="{77BF7A1E-42AD-4D8A-B27B-E502D5F7041F}">
    <text>Account Inactive</text>
  </threadedComment>
  <threadedComment ref="AB250" dT="2024-05-12T06:46:30.34" personId="{6777EDD4-E46F-4979-A7E7-6FC0A82E0C8E}" id="{F1433A92-0AC3-4CC2-A4B6-FC42583AE5C2}">
    <text>Account Inactive</text>
  </threadedComment>
  <threadedComment ref="AC250" dT="2024-05-12T06:46:30.34" personId="{6777EDD4-E46F-4979-A7E7-6FC0A82E0C8E}" id="{A0076F09-520E-4389-9FFF-44936A8989FC}">
    <text>Account Inactive</text>
  </threadedComment>
  <threadedComment ref="AD250" dT="2024-05-12T06:46:30.34" personId="{6777EDD4-E46F-4979-A7E7-6FC0A82E0C8E}" id="{8160BF3B-CF53-4B5A-923A-8025E92A784A}">
    <text>Account Inactive</text>
  </threadedComment>
  <threadedComment ref="AE250" dT="2024-05-12T06:46:30.34" personId="{6777EDD4-E46F-4979-A7E7-6FC0A82E0C8E}" id="{9EED387B-5CB3-4E2C-B7B4-24D6E89BD322}">
    <text>Account Inactive</text>
  </threadedComment>
  <threadedComment ref="AF250" dT="2024-05-12T06:46:30.34" personId="{6777EDD4-E46F-4979-A7E7-6FC0A82E0C8E}" id="{8B8A9875-57D9-4541-9D5E-66F001FD23C6}">
    <text>Account Inactive</text>
  </threadedComment>
  <threadedComment ref="AG250" dT="2024-05-12T06:46:30.34" personId="{6777EDD4-E46F-4979-A7E7-6FC0A82E0C8E}" id="{ECF26DEE-D794-4D5D-A8A8-F8921A078C7D}">
    <text>Account Inactive</text>
  </threadedComment>
  <threadedComment ref="AH250" dT="2024-05-12T06:46:30.34" personId="{6777EDD4-E46F-4979-A7E7-6FC0A82E0C8E}" id="{312AB47F-D68A-41F9-AFC1-9EE95F3E3369}">
    <text>Account Inactive</text>
  </threadedComment>
  <threadedComment ref="AI250" dT="2024-05-12T06:46:30.34" personId="{6777EDD4-E46F-4979-A7E7-6FC0A82E0C8E}" id="{EE93C329-B9ED-4473-A9ED-8053AD597526}">
    <text>Account Inactive</text>
  </threadedComment>
  <threadedComment ref="AJ250" dT="2024-05-12T06:46:30.34" personId="{6777EDD4-E46F-4979-A7E7-6FC0A82E0C8E}" id="{A0DC8545-F7EC-4A46-9B88-C05B3ECE49EC}">
    <text>Account Inactive</text>
  </threadedComment>
  <threadedComment ref="AK250" dT="2024-05-12T06:46:30.34" personId="{6777EDD4-E46F-4979-A7E7-6FC0A82E0C8E}" id="{62F0B72A-9DE7-456B-A122-F0F9D21EBA8F}">
    <text>Account Inactive</text>
  </threadedComment>
  <threadedComment ref="AL250" dT="2024-05-12T06:46:30.34" personId="{6777EDD4-E46F-4979-A7E7-6FC0A82E0C8E}" id="{014FE862-FDA5-442B-81F4-D6C791BF5FD7}">
    <text>Account Inactive</text>
  </threadedComment>
  <threadedComment ref="AM250" dT="2024-10-17T09:51:49.13" personId="{6777EDD4-E46F-4979-A7E7-6FC0A82E0C8E}" id="{4C37E325-DF15-48EC-BFFE-FB4D3B8DFC23}">
    <text>Client is Inactive</text>
  </threadedComment>
  <threadedComment ref="AN250" dT="2024-10-17T09:51:49.13" personId="{6777EDD4-E46F-4979-A7E7-6FC0A82E0C8E}" id="{1E34F2FD-A0D2-43F9-BE0D-41112BC51EAF}">
    <text>Client is Inactive</text>
  </threadedComment>
  <threadedComment ref="AO250" dT="2024-10-17T09:51:49.13" personId="{6777EDD4-E46F-4979-A7E7-6FC0A82E0C8E}" id="{B5AADF15-0444-42CB-BCD5-C510BE861DED}">
    <text>Client is Inactive</text>
  </threadedComment>
  <threadedComment ref="AP250" dT="2024-10-17T09:51:49.13" personId="{6777EDD4-E46F-4979-A7E7-6FC0A82E0C8E}" id="{72F10312-A628-454E-A706-BC46B9569314}">
    <text>Client is Inactive</text>
  </threadedComment>
  <threadedComment ref="AQ250" dT="2024-10-17T09:51:49.13" personId="{6777EDD4-E46F-4979-A7E7-6FC0A82E0C8E}" id="{2430CC25-F35F-45E0-AAB5-6845E07587C1}">
    <text>Client is Inactive</text>
  </threadedComment>
  <threadedComment ref="AR250" dT="2024-10-17T09:51:49.13" personId="{6777EDD4-E46F-4979-A7E7-6FC0A82E0C8E}" id="{E93A09E6-DCF8-4EA1-86A5-1D23FE1C859E}">
    <text>Client is Inactive</text>
  </threadedComment>
  <threadedComment ref="AS250" dT="2024-10-17T09:51:49.13" personId="{6777EDD4-E46F-4979-A7E7-6FC0A82E0C8E}" id="{06AC624C-C7E5-47DF-84DD-21CB1544CCCA}">
    <text>Client is Inactive</text>
  </threadedComment>
  <threadedComment ref="AT250" dT="2024-10-17T09:51:49.13" personId="{6777EDD4-E46F-4979-A7E7-6FC0A82E0C8E}" id="{38358D33-B2B1-4C60-BA24-AEA6AF25C56C}">
    <text>Client is Inactive</text>
  </threadedComment>
  <threadedComment ref="AU250" dT="2024-10-17T09:51:49.13" personId="{6777EDD4-E46F-4979-A7E7-6FC0A82E0C8E}" id="{499B241D-BBE8-4D70-A05A-2F98CDFB062A}">
    <text>Client is Inactive</text>
  </threadedComment>
  <threadedComment ref="AV250" dT="2024-10-17T09:51:49.13" personId="{6777EDD4-E46F-4979-A7E7-6FC0A82E0C8E}" id="{9011D8DC-021E-4881-88FB-CB0BB7D48A7D}">
    <text>Client is Inactive</text>
  </threadedComment>
  <threadedComment ref="AW250" dT="2024-10-17T09:51:49.13" personId="{6777EDD4-E46F-4979-A7E7-6FC0A82E0C8E}" id="{870B0D2F-231C-4756-A8D1-0F66435EB977}">
    <text>Client is Inactive</text>
  </threadedComment>
  <threadedComment ref="AX250" dT="2024-10-17T09:51:49.13" personId="{6777EDD4-E46F-4979-A7E7-6FC0A82E0C8E}" id="{17357616-9C81-4AD9-B60B-AEC1D9942205}">
    <text>Client is Inactive</text>
  </threadedComment>
  <threadedComment ref="AY250" dT="2024-10-17T09:51:49.13" personId="{6777EDD4-E46F-4979-A7E7-6FC0A82E0C8E}" id="{DFECD7EC-1DA7-4984-8C5C-B5BAC7674865}">
    <text>Client is Inactive</text>
  </threadedComment>
  <threadedComment ref="AZ250" dT="2024-10-17T09:51:49.13" personId="{6777EDD4-E46F-4979-A7E7-6FC0A82E0C8E}" id="{2368B07D-6760-4CCA-AB63-8B8DB29B0789}">
    <text>Client is Inactive</text>
  </threadedComment>
  <threadedComment ref="BA250" dT="2024-10-17T09:51:49.13" personId="{6777EDD4-E46F-4979-A7E7-6FC0A82E0C8E}" id="{A591CBC6-4100-4339-8495-3DED744CC5B2}">
    <text>Client is Inactive</text>
  </threadedComment>
  <threadedComment ref="BB250" dT="2024-10-17T09:51:49.13" personId="{6777EDD4-E46F-4979-A7E7-6FC0A82E0C8E}" id="{F8D549EF-9760-4BC1-8C0C-77A5E348D30A}">
    <text>Client is Inactive</text>
  </threadedComment>
  <threadedComment ref="BC250" dT="2024-10-17T09:51:49.13" personId="{6777EDD4-E46F-4979-A7E7-6FC0A82E0C8E}" id="{088F0657-CE0F-4F81-9390-3CAFF8068FEA}">
    <text>Client is Inactive</text>
  </threadedComment>
  <threadedComment ref="BD250" dT="2024-10-17T09:51:49.13" personId="{6777EDD4-E46F-4979-A7E7-6FC0A82E0C8E}" id="{15F01C7C-A1A9-43F5-9CB6-DF199A95B189}">
    <text>Client is Inactive</text>
  </threadedComment>
  <threadedComment ref="BE250" dT="2024-10-18T04:54:46.00" personId="{6777EDD4-E46F-4979-A7E7-6FC0A82E0C8E}" id="{B89977DC-4CB7-4768-B923-D601A7812CBE}">
    <text>Project On-Hold</text>
  </threadedComment>
  <threadedComment ref="BF250" dT="2024-10-18T04:54:46.00" personId="{6777EDD4-E46F-4979-A7E7-6FC0A82E0C8E}" id="{6769D29C-3599-43B2-A64E-166CE7A3ECC8}">
    <text>Project On-Hold</text>
  </threadedComment>
  <threadedComment ref="BG250" dT="2024-10-18T04:54:46.00" personId="{6777EDD4-E46F-4979-A7E7-6FC0A82E0C8E}" id="{10D5C938-5ED7-4414-91AD-70DED09F4ADB}">
    <text>Project On-Hold</text>
  </threadedComment>
  <threadedComment ref="BH250" dT="2024-10-18T04:54:46.00" personId="{6777EDD4-E46F-4979-A7E7-6FC0A82E0C8E}" id="{9F66B2B1-8084-404A-A65D-3B27748BB3B1}">
    <text>Project On-Hold</text>
  </threadedComment>
  <threadedComment ref="BI250" dT="2024-10-18T04:54:46.00" personId="{6777EDD4-E46F-4979-A7E7-6FC0A82E0C8E}" id="{233933AA-9C06-4893-9EF1-8D2CCE3A221A}">
    <text>Project On-Hold</text>
  </threadedComment>
  <threadedComment ref="BJ250" dT="2024-10-18T04:54:46.00" personId="{6777EDD4-E46F-4979-A7E7-6FC0A82E0C8E}" id="{10062FF9-25F9-4350-BBF5-F8490FE0817B}">
    <text>Project On-Hold</text>
  </threadedComment>
  <threadedComment ref="BK250" dT="2024-10-18T04:54:46.00" personId="{6777EDD4-E46F-4979-A7E7-6FC0A82E0C8E}" id="{CBDB07DF-114E-4B75-AA8A-CE93797EE2E4}">
    <text>Project On-Hold</text>
  </threadedComment>
  <threadedComment ref="BL250" dT="2024-10-18T04:54:46.00" personId="{6777EDD4-E46F-4979-A7E7-6FC0A82E0C8E}" id="{50752852-F659-492D-B7FD-2208DFFE4E86}">
    <text>Project On-Hold</text>
  </threadedComment>
  <threadedComment ref="BM250" dT="2024-10-18T04:54:46.00" personId="{6777EDD4-E46F-4979-A7E7-6FC0A82E0C8E}" id="{D726B912-BCCE-4260-9339-19BE58A31732}">
    <text>Project On-Hold</text>
  </threadedComment>
  <threadedComment ref="BN250" dT="2024-10-18T04:54:46.00" personId="{6777EDD4-E46F-4979-A7E7-6FC0A82E0C8E}" id="{309ABB92-197E-425E-9023-82D1B2557712}">
    <text>Project On-Hold</text>
  </threadedComment>
  <threadedComment ref="BP250" dT="2024-10-18T04:54:46.00" personId="{6777EDD4-E46F-4979-A7E7-6FC0A82E0C8E}" id="{F529B899-9940-4F6B-BCFC-C65569440403}">
    <text>Project On-Hold</text>
  </threadedComment>
  <threadedComment ref="BR250" dT="2024-10-18T04:54:46.00" personId="{6777EDD4-E46F-4979-A7E7-6FC0A82E0C8E}" id="{0CF29F96-402C-4AF3-B0BE-42741DCB370F}">
    <text>Project On-Hold</text>
  </threadedComment>
  <threadedComment ref="BS250" dT="2024-10-18T04:54:46.00" personId="{6777EDD4-E46F-4979-A7E7-6FC0A82E0C8E}" id="{186D82A8-46C5-419E-8C33-07C3B86FE950}">
    <text>Project On-Hold</text>
  </threadedComment>
  <threadedComment ref="BU250" dT="2024-10-17T09:51:49.13" personId="{6777EDD4-E46F-4979-A7E7-6FC0A82E0C8E}" id="{62C9479B-3858-47C0-8747-C1952BFAE3D0}">
    <text>Client is Inactive</text>
  </threadedComment>
  <threadedComment ref="Q251" dT="2024-05-12T06:46:30.34" personId="{6777EDD4-E46F-4979-A7E7-6FC0A82E0C8E}" id="{6171970A-90FF-4D93-A8B9-4454333E0E30}">
    <text>Account Inactive</text>
  </threadedComment>
  <threadedComment ref="R251" dT="2024-05-12T06:46:30.34" personId="{6777EDD4-E46F-4979-A7E7-6FC0A82E0C8E}" id="{CDB7EB57-1506-4E58-85F5-DF8105C8F6CC}">
    <text>Account Inactive</text>
  </threadedComment>
  <threadedComment ref="S251" dT="2024-05-12T06:46:30.34" personId="{6777EDD4-E46F-4979-A7E7-6FC0A82E0C8E}" id="{CE99197B-636F-4AFD-8731-68F83B3989B0}">
    <text>Account Inactive</text>
  </threadedComment>
  <threadedComment ref="T251" dT="2024-05-12T06:46:30.34" personId="{6777EDD4-E46F-4979-A7E7-6FC0A82E0C8E}" id="{F9E7C11E-E563-4800-861A-2E7786C07326}">
    <text>Account Inactive</text>
  </threadedComment>
  <threadedComment ref="U251" dT="2024-05-12T06:46:30.34" personId="{6777EDD4-E46F-4979-A7E7-6FC0A82E0C8E}" id="{16547850-3939-4936-B5DE-1DE619FF2D2A}">
    <text>Account Inactive</text>
  </threadedComment>
  <threadedComment ref="V251" dT="2024-05-12T06:46:30.34" personId="{6777EDD4-E46F-4979-A7E7-6FC0A82E0C8E}" id="{24D43D63-EBAB-4AC8-973B-1E8D5CD0ABB4}">
    <text>Account Inactive</text>
  </threadedComment>
  <threadedComment ref="W251" dT="2024-05-12T06:46:30.34" personId="{6777EDD4-E46F-4979-A7E7-6FC0A82E0C8E}" id="{93372CC1-EEC8-458A-9509-26DFCB4EF015}">
    <text>Account Inactive</text>
  </threadedComment>
  <threadedComment ref="X251" dT="2024-05-12T06:46:30.34" personId="{6777EDD4-E46F-4979-A7E7-6FC0A82E0C8E}" id="{D156941B-64D0-4DE1-ABDB-E45F4AE77F8B}">
    <text>Account Inactive</text>
  </threadedComment>
  <threadedComment ref="Y251" dT="2024-05-12T06:46:30.34" personId="{6777EDD4-E46F-4979-A7E7-6FC0A82E0C8E}" id="{AA94A243-EB94-4885-8E75-79A15E5941CE}">
    <text>Account Inactive</text>
  </threadedComment>
  <threadedComment ref="Z251" dT="2024-05-12T06:46:30.34" personId="{6777EDD4-E46F-4979-A7E7-6FC0A82E0C8E}" id="{B2C0D99B-709C-4CBC-9D11-8C37E5D5F992}">
    <text>Account Inactive</text>
  </threadedComment>
  <threadedComment ref="AA251" dT="2024-05-12T06:46:30.34" personId="{6777EDD4-E46F-4979-A7E7-6FC0A82E0C8E}" id="{1ADD74AD-23A2-43A2-BB09-2E009A74E216}">
    <text>Account Inactive</text>
  </threadedComment>
  <threadedComment ref="AB251" dT="2024-05-12T06:46:30.34" personId="{6777EDD4-E46F-4979-A7E7-6FC0A82E0C8E}" id="{3435877B-7128-4264-B2C8-F59A7306422F}">
    <text>Account Inactive</text>
  </threadedComment>
  <threadedComment ref="AC251" dT="2024-05-12T06:46:30.34" personId="{6777EDD4-E46F-4979-A7E7-6FC0A82E0C8E}" id="{C9B418A6-7112-4F93-9369-78557F0219CF}">
    <text>Account Inactive</text>
  </threadedComment>
  <threadedComment ref="AD251" dT="2024-05-12T06:46:30.34" personId="{6777EDD4-E46F-4979-A7E7-6FC0A82E0C8E}" id="{F39ECA1A-0BF7-4F12-90AE-6A367B5DDD78}">
    <text>Account Inactive</text>
  </threadedComment>
  <threadedComment ref="AE251" dT="2024-05-12T06:46:30.34" personId="{6777EDD4-E46F-4979-A7E7-6FC0A82E0C8E}" id="{0FCC41D8-0B9F-4874-8896-94BF7550985B}">
    <text>Account Inactive</text>
  </threadedComment>
  <threadedComment ref="AF251" dT="2024-05-12T06:46:30.34" personId="{6777EDD4-E46F-4979-A7E7-6FC0A82E0C8E}" id="{D8DBB80B-80E1-4C3A-BD23-75D36ACDA0D2}">
    <text>Account Inactive</text>
  </threadedComment>
  <threadedComment ref="AG251" dT="2024-05-12T06:46:30.34" personId="{6777EDD4-E46F-4979-A7E7-6FC0A82E0C8E}" id="{0B699F5C-C432-474F-A629-BEC6A153F8C4}">
    <text>Account Inactive</text>
  </threadedComment>
  <threadedComment ref="AH251" dT="2024-05-12T06:46:30.34" personId="{6777EDD4-E46F-4979-A7E7-6FC0A82E0C8E}" id="{43126476-5A1C-472B-8A17-69C3D249A001}">
    <text>Account Inactive</text>
  </threadedComment>
  <threadedComment ref="AI251" dT="2024-05-12T06:46:30.34" personId="{6777EDD4-E46F-4979-A7E7-6FC0A82E0C8E}" id="{CE7FB047-E36A-4C90-97DD-E18E32BC8250}">
    <text>Account Inactive</text>
  </threadedComment>
  <threadedComment ref="AJ251" dT="2024-05-12T06:46:30.34" personId="{6777EDD4-E46F-4979-A7E7-6FC0A82E0C8E}" id="{865A92EF-10F7-43BD-AADA-15937860176C}">
    <text>Account Inactive</text>
  </threadedComment>
  <threadedComment ref="AK251" dT="2024-05-12T06:46:30.34" personId="{6777EDD4-E46F-4979-A7E7-6FC0A82E0C8E}" id="{C48A4A9A-72EF-466B-9EFE-18AA52F8749C}">
    <text>Account Inactive</text>
  </threadedComment>
  <threadedComment ref="AL251" dT="2024-05-12T06:46:30.34" personId="{6777EDD4-E46F-4979-A7E7-6FC0A82E0C8E}" id="{5E0AB0BC-2A5F-4FED-8401-DA660C64FD6D}">
    <text>Account Inactive</text>
  </threadedComment>
  <threadedComment ref="AM251" dT="2024-10-17T09:51:49.13" personId="{6777EDD4-E46F-4979-A7E7-6FC0A82E0C8E}" id="{5EFBA0C8-D71E-44C1-AEC1-9B0D3ABFB551}">
    <text>Client is Inactive</text>
  </threadedComment>
  <threadedComment ref="AN251" dT="2024-10-17T09:51:49.13" personId="{6777EDD4-E46F-4979-A7E7-6FC0A82E0C8E}" id="{D898A515-792C-4CD5-ACD5-E9E6A16DCFAB}">
    <text>Client is Inactive</text>
  </threadedComment>
  <threadedComment ref="AO251" dT="2024-10-17T09:51:49.13" personId="{6777EDD4-E46F-4979-A7E7-6FC0A82E0C8E}" id="{91F28A41-CD0A-404E-841A-8C6BD4CF599F}">
    <text>Client is Inactive</text>
  </threadedComment>
  <threadedComment ref="AP251" dT="2024-10-17T09:51:49.13" personId="{6777EDD4-E46F-4979-A7E7-6FC0A82E0C8E}" id="{8BF1884A-C457-4FD1-BA84-1AE4CEED3C3E}">
    <text>Client is Inactive</text>
  </threadedComment>
  <threadedComment ref="AQ251" dT="2024-10-17T09:51:49.13" personId="{6777EDD4-E46F-4979-A7E7-6FC0A82E0C8E}" id="{267C8F29-EBCF-4BB6-9398-EDE08B4A3899}">
    <text>Client is Inactive</text>
  </threadedComment>
  <threadedComment ref="AR251" dT="2024-10-17T09:51:49.13" personId="{6777EDD4-E46F-4979-A7E7-6FC0A82E0C8E}" id="{2A5C383C-04CD-43FF-872D-C9EEE579EC8E}">
    <text>Client is Inactive</text>
  </threadedComment>
  <threadedComment ref="AS251" dT="2024-10-17T09:51:49.13" personId="{6777EDD4-E46F-4979-A7E7-6FC0A82E0C8E}" id="{2DD3BE73-C8CC-4AEA-8F52-6432216FB371}">
    <text>Client is Inactive</text>
  </threadedComment>
  <threadedComment ref="AT251" dT="2024-10-17T09:51:49.13" personId="{6777EDD4-E46F-4979-A7E7-6FC0A82E0C8E}" id="{DE0AE8D9-23FE-474D-AFC5-CF0154DC8BFE}">
    <text>Client is Inactive</text>
  </threadedComment>
  <threadedComment ref="AU251" dT="2024-10-17T09:51:49.13" personId="{6777EDD4-E46F-4979-A7E7-6FC0A82E0C8E}" id="{AD5DEF20-821E-47E0-A150-74765019CDE4}">
    <text>Client is Inactive</text>
  </threadedComment>
  <threadedComment ref="AV251" dT="2024-10-17T09:51:49.13" personId="{6777EDD4-E46F-4979-A7E7-6FC0A82E0C8E}" id="{61255628-FAD2-4D5D-8687-A21ACDC37AE4}">
    <text>Client is Inactive</text>
  </threadedComment>
  <threadedComment ref="AW251" dT="2024-10-17T09:51:49.13" personId="{6777EDD4-E46F-4979-A7E7-6FC0A82E0C8E}" id="{47EF4EA1-5ADC-49C6-A94F-AAAE9226849B}">
    <text>Client is Inactive</text>
  </threadedComment>
  <threadedComment ref="AX251" dT="2024-10-17T09:51:49.13" personId="{6777EDD4-E46F-4979-A7E7-6FC0A82E0C8E}" id="{CFBF1477-9419-4EC6-B500-363EF0F27538}">
    <text>Client is Inactive</text>
  </threadedComment>
  <threadedComment ref="AY251" dT="2024-10-17T09:51:49.13" personId="{6777EDD4-E46F-4979-A7E7-6FC0A82E0C8E}" id="{6B433F92-20D4-449A-B057-849897274ECE}">
    <text>Client is Inactive</text>
  </threadedComment>
  <threadedComment ref="AZ251" dT="2024-10-17T09:51:49.13" personId="{6777EDD4-E46F-4979-A7E7-6FC0A82E0C8E}" id="{B6B0242A-A669-4EEA-BA26-B5EDF6880AC4}">
    <text>Client is Inactive</text>
  </threadedComment>
  <threadedComment ref="BA251" dT="2024-10-17T09:51:49.13" personId="{6777EDD4-E46F-4979-A7E7-6FC0A82E0C8E}" id="{108C19C4-3983-43AB-8505-98D5B0B67D68}">
    <text>Client is Inactive</text>
  </threadedComment>
  <threadedComment ref="BB251" dT="2024-10-17T09:51:49.13" personId="{6777EDD4-E46F-4979-A7E7-6FC0A82E0C8E}" id="{C1747232-D23D-450B-B183-FB53B31B4EE5}">
    <text>Client is Inactive</text>
  </threadedComment>
  <threadedComment ref="BC251" dT="2024-10-17T09:51:49.13" personId="{6777EDD4-E46F-4979-A7E7-6FC0A82E0C8E}" id="{817B30A2-EDB8-4AAD-B8D0-B91B1E0014A0}">
    <text>Client is Inactive</text>
  </threadedComment>
  <threadedComment ref="BD251" dT="2024-10-17T09:51:49.13" personId="{6777EDD4-E46F-4979-A7E7-6FC0A82E0C8E}" id="{43AD3F78-E19D-4CC3-B25F-E5D1E9947F19}">
    <text>Client is Inactive</text>
  </threadedComment>
  <threadedComment ref="BE251" dT="2024-10-18T04:54:46.00" personId="{6777EDD4-E46F-4979-A7E7-6FC0A82E0C8E}" id="{89BBF2AF-D149-4BAB-9262-9AD19DB34FDD}">
    <text>Project On-Hold</text>
  </threadedComment>
  <threadedComment ref="BF251" dT="2024-10-18T04:54:46.00" personId="{6777EDD4-E46F-4979-A7E7-6FC0A82E0C8E}" id="{71508583-2568-4459-862D-F2A8B70054D9}">
    <text>Project On-Hold</text>
  </threadedComment>
  <threadedComment ref="BG251" dT="2024-10-18T04:54:46.00" personId="{6777EDD4-E46F-4979-A7E7-6FC0A82E0C8E}" id="{AC713BB5-0CC0-4B84-A018-750D3CF960D9}">
    <text>Project On-Hold</text>
  </threadedComment>
  <threadedComment ref="BH251" dT="2024-10-18T04:54:46.00" personId="{6777EDD4-E46F-4979-A7E7-6FC0A82E0C8E}" id="{13240F71-FBA9-4813-998B-8B19F2AA383C}">
    <text>Project On-Hold</text>
  </threadedComment>
  <threadedComment ref="BI251" dT="2024-10-18T04:54:46.00" personId="{6777EDD4-E46F-4979-A7E7-6FC0A82E0C8E}" id="{4874037B-20F5-434D-AF8B-633008114E8A}">
    <text>Project On-Hold</text>
  </threadedComment>
  <threadedComment ref="BJ251" dT="2024-10-18T04:54:46.00" personId="{6777EDD4-E46F-4979-A7E7-6FC0A82E0C8E}" id="{77D6506E-43CE-4C60-989B-99C44A5200E2}">
    <text>Project On-Hold</text>
  </threadedComment>
  <threadedComment ref="BK251" dT="2024-10-18T04:54:46.00" personId="{6777EDD4-E46F-4979-A7E7-6FC0A82E0C8E}" id="{C923928B-7A66-4A5A-A3C6-457FCF9F86C0}">
    <text>Project On-Hold</text>
  </threadedComment>
  <threadedComment ref="BL251" dT="2024-10-18T04:54:46.00" personId="{6777EDD4-E46F-4979-A7E7-6FC0A82E0C8E}" id="{04750618-655C-430B-B6E3-BC41F36B0D65}">
    <text>Project On-Hold</text>
  </threadedComment>
  <threadedComment ref="BM251" dT="2024-10-18T04:54:46.00" personId="{6777EDD4-E46F-4979-A7E7-6FC0A82E0C8E}" id="{25B53B64-FDC9-4F3C-B2CF-963F65C11D73}">
    <text>Project On-Hold</text>
  </threadedComment>
  <threadedComment ref="BN251" dT="2024-10-18T04:54:46.00" personId="{6777EDD4-E46F-4979-A7E7-6FC0A82E0C8E}" id="{E4168149-398D-4903-9E5E-EA38AAB387A2}">
    <text>Project On-Hold</text>
  </threadedComment>
  <threadedComment ref="BP251" dT="2024-10-18T04:54:46.00" personId="{6777EDD4-E46F-4979-A7E7-6FC0A82E0C8E}" id="{CB0C3862-29B2-4EBA-8130-6BD8C15AB913}">
    <text>Project On-Hold</text>
  </threadedComment>
  <threadedComment ref="BR251" dT="2024-10-18T04:54:46.00" personId="{6777EDD4-E46F-4979-A7E7-6FC0A82E0C8E}" id="{39D7F820-F901-4B66-8A33-FB6DD47F0FCD}">
    <text>Project On-Hold</text>
  </threadedComment>
  <threadedComment ref="BS251" dT="2024-10-18T04:54:46.00" personId="{6777EDD4-E46F-4979-A7E7-6FC0A82E0C8E}" id="{F243288E-4DB1-48E9-BF70-E289507B525E}">
    <text>Project On-Hold</text>
  </threadedComment>
  <threadedComment ref="BU251" dT="2024-10-17T09:51:49.13" personId="{6777EDD4-E46F-4979-A7E7-6FC0A82E0C8E}" id="{24971600-26B9-4D7D-BA6F-C21305E6CB3C}">
    <text>Client is Inactive</text>
  </threadedComment>
  <threadedComment ref="Q252" dT="2024-05-12T06:46:30.34" personId="{6777EDD4-E46F-4979-A7E7-6FC0A82E0C8E}" id="{52B95EC5-0CBB-484E-9EF1-4ACCA1AF6CBB}">
    <text>Account Inactive</text>
  </threadedComment>
  <threadedComment ref="R252" dT="2024-05-12T06:46:30.34" personId="{6777EDD4-E46F-4979-A7E7-6FC0A82E0C8E}" id="{F4DBE0F1-7387-4A73-BA93-B18B630ECE5E}">
    <text>Account Inactive</text>
  </threadedComment>
  <threadedComment ref="S252" dT="2024-05-12T06:46:30.34" personId="{6777EDD4-E46F-4979-A7E7-6FC0A82E0C8E}" id="{7BC6BBF6-FB92-4B95-A2A7-7E1D4296686B}">
    <text>Account Inactive</text>
  </threadedComment>
  <threadedComment ref="T252" dT="2024-05-12T06:46:30.34" personId="{6777EDD4-E46F-4979-A7E7-6FC0A82E0C8E}" id="{D3DED176-2730-43AA-A1C5-98D18168623E}">
    <text>Account Inactive</text>
  </threadedComment>
  <threadedComment ref="U252" dT="2024-05-12T06:46:30.34" personId="{6777EDD4-E46F-4979-A7E7-6FC0A82E0C8E}" id="{9DA8E340-7C02-438C-9822-A9E8ECC72D83}">
    <text>Account Inactive</text>
  </threadedComment>
  <threadedComment ref="V252" dT="2024-05-12T06:46:30.34" personId="{6777EDD4-E46F-4979-A7E7-6FC0A82E0C8E}" id="{A158F34F-8FA7-4F9C-AA19-2CC9C8EA97FC}">
    <text>Account Inactive</text>
  </threadedComment>
  <threadedComment ref="W252" dT="2024-05-12T06:46:30.34" personId="{6777EDD4-E46F-4979-A7E7-6FC0A82E0C8E}" id="{62B93B1F-55F3-4249-BDE3-1D0F94885570}">
    <text>Account Inactive</text>
  </threadedComment>
  <threadedComment ref="X252" dT="2024-05-12T06:46:30.34" personId="{6777EDD4-E46F-4979-A7E7-6FC0A82E0C8E}" id="{1ADDED4B-430D-49A3-92FD-CFB390446299}">
    <text>Account Inactive</text>
  </threadedComment>
  <threadedComment ref="Y252" dT="2024-05-12T06:46:30.34" personId="{6777EDD4-E46F-4979-A7E7-6FC0A82E0C8E}" id="{DD6DBF74-5D32-4FFE-950A-8F8AD3D29517}">
    <text>Account Inactive</text>
  </threadedComment>
  <threadedComment ref="Z252" dT="2024-05-12T06:46:30.34" personId="{6777EDD4-E46F-4979-A7E7-6FC0A82E0C8E}" id="{4FB343A9-7A0B-4ADF-97A8-0BD897E4A40C}">
    <text>Account Inactive</text>
  </threadedComment>
  <threadedComment ref="AA252" dT="2024-05-12T06:46:30.34" personId="{6777EDD4-E46F-4979-A7E7-6FC0A82E0C8E}" id="{476F9D5D-17A0-4D61-9FD0-D0A69C081B86}">
    <text>Account Inactive</text>
  </threadedComment>
  <threadedComment ref="AB252" dT="2024-05-12T06:46:30.34" personId="{6777EDD4-E46F-4979-A7E7-6FC0A82E0C8E}" id="{F9D1D600-CFA6-45D3-8C4E-C87590488BA2}">
    <text>Account Inactive</text>
  </threadedComment>
  <threadedComment ref="AC252" dT="2024-05-12T06:46:30.34" personId="{6777EDD4-E46F-4979-A7E7-6FC0A82E0C8E}" id="{1056F654-DA08-47C2-8729-25F2056F2984}">
    <text>Account Inactive</text>
  </threadedComment>
  <threadedComment ref="AD252" dT="2024-05-12T06:46:30.34" personId="{6777EDD4-E46F-4979-A7E7-6FC0A82E0C8E}" id="{8A6FD794-0D6C-4738-A3EF-026C2D464A3E}">
    <text>Account Inactive</text>
  </threadedComment>
  <threadedComment ref="AE252" dT="2024-05-12T06:46:30.34" personId="{6777EDD4-E46F-4979-A7E7-6FC0A82E0C8E}" id="{546F83C7-0A60-495C-BB22-9B3E31A58A8F}">
    <text>Account Inactive</text>
  </threadedComment>
  <threadedComment ref="AF252" dT="2024-05-12T06:46:30.34" personId="{6777EDD4-E46F-4979-A7E7-6FC0A82E0C8E}" id="{69B38F14-0EA5-48E5-8784-CB3E999B482E}">
    <text>Account Inactive</text>
  </threadedComment>
  <threadedComment ref="AG252" dT="2024-05-12T06:46:30.34" personId="{6777EDD4-E46F-4979-A7E7-6FC0A82E0C8E}" id="{5861AB3F-5E72-4569-BFEE-19C06CB29C5A}">
    <text>Account Inactive</text>
  </threadedComment>
  <threadedComment ref="AH252" dT="2024-05-12T06:46:30.34" personId="{6777EDD4-E46F-4979-A7E7-6FC0A82E0C8E}" id="{5A3A0ED3-7678-4EC4-A515-57EF66DC3849}">
    <text>Account Inactive</text>
  </threadedComment>
  <threadedComment ref="AI252" dT="2024-05-12T06:46:30.34" personId="{6777EDD4-E46F-4979-A7E7-6FC0A82E0C8E}" id="{57808CDF-D973-40EB-BB83-2D6221192A0C}">
    <text>Account Inactive</text>
  </threadedComment>
  <threadedComment ref="AJ252" dT="2024-05-12T06:46:30.34" personId="{6777EDD4-E46F-4979-A7E7-6FC0A82E0C8E}" id="{2C0317BA-D34F-44F0-BD23-74E0495B52FC}">
    <text>Account Inactive</text>
  </threadedComment>
  <threadedComment ref="AK252" dT="2024-05-12T06:46:30.34" personId="{6777EDD4-E46F-4979-A7E7-6FC0A82E0C8E}" id="{8315CD08-4099-4D3F-9CB5-00F9D8F6845E}">
    <text>Account Inactive</text>
  </threadedComment>
  <threadedComment ref="AL252" dT="2024-05-12T06:46:30.34" personId="{6777EDD4-E46F-4979-A7E7-6FC0A82E0C8E}" id="{406D1023-FE6D-4ADA-A545-8F783561C1B4}">
    <text>Account Inactive</text>
  </threadedComment>
  <threadedComment ref="AM252" dT="2024-10-17T09:51:49.13" personId="{6777EDD4-E46F-4979-A7E7-6FC0A82E0C8E}" id="{E58F4A78-A69C-47FA-9A8D-A9E0D76A5688}">
    <text>Client is Inactive</text>
  </threadedComment>
  <threadedComment ref="AN252" dT="2024-10-17T09:51:49.13" personId="{6777EDD4-E46F-4979-A7E7-6FC0A82E0C8E}" id="{8F26EF15-FA12-4614-8D42-7FD8348593F4}">
    <text>Client is Inactive</text>
  </threadedComment>
  <threadedComment ref="AO252" dT="2024-10-17T09:51:49.13" personId="{6777EDD4-E46F-4979-A7E7-6FC0A82E0C8E}" id="{E5D6F777-A413-404D-A70D-568EEFE7AF58}">
    <text>Client is Inactive</text>
  </threadedComment>
  <threadedComment ref="AP252" dT="2024-10-17T09:51:49.13" personId="{6777EDD4-E46F-4979-A7E7-6FC0A82E0C8E}" id="{606C7CE5-07EA-43E2-8DB0-E903A5378587}">
    <text>Client is Inactive</text>
  </threadedComment>
  <threadedComment ref="AQ252" dT="2024-10-17T09:51:49.13" personId="{6777EDD4-E46F-4979-A7E7-6FC0A82E0C8E}" id="{6AC874E6-2D3F-4550-B678-FA1483962D5A}">
    <text>Client is Inactive</text>
  </threadedComment>
  <threadedComment ref="AR252" dT="2024-10-17T09:51:49.13" personId="{6777EDD4-E46F-4979-A7E7-6FC0A82E0C8E}" id="{A2EAC016-C114-41C2-81C7-3277F1CDA40E}">
    <text>Client is Inactive</text>
  </threadedComment>
  <threadedComment ref="AS252" dT="2024-10-17T09:51:49.13" personId="{6777EDD4-E46F-4979-A7E7-6FC0A82E0C8E}" id="{24A3E1E9-D504-4561-A919-1A5EB779648A}">
    <text>Client is Inactive</text>
  </threadedComment>
  <threadedComment ref="AT252" dT="2024-10-17T09:51:49.13" personId="{6777EDD4-E46F-4979-A7E7-6FC0A82E0C8E}" id="{73609373-5DA5-4DFA-8570-1502E2859DA2}">
    <text>Client is Inactive</text>
  </threadedComment>
  <threadedComment ref="AU252" dT="2024-10-17T09:51:49.13" personId="{6777EDD4-E46F-4979-A7E7-6FC0A82E0C8E}" id="{F4071896-629B-4803-B5E5-92F1ABFC2AB4}">
    <text>Client is Inactive</text>
  </threadedComment>
  <threadedComment ref="AV252" dT="2024-10-17T09:51:49.13" personId="{6777EDD4-E46F-4979-A7E7-6FC0A82E0C8E}" id="{808A6D48-AB1D-4284-8949-0DE5DC16544F}">
    <text>Client is Inactive</text>
  </threadedComment>
  <threadedComment ref="AW252" dT="2024-10-17T09:51:49.13" personId="{6777EDD4-E46F-4979-A7E7-6FC0A82E0C8E}" id="{3EC095C2-70F1-4067-BEB0-229FC81BC248}">
    <text>Client is Inactive</text>
  </threadedComment>
  <threadedComment ref="AX252" dT="2024-10-17T09:51:49.13" personId="{6777EDD4-E46F-4979-A7E7-6FC0A82E0C8E}" id="{41DF0486-6CB1-469A-BBC0-8BFA34D8597B}">
    <text>Client is Inactive</text>
  </threadedComment>
  <threadedComment ref="AY252" dT="2024-10-17T09:51:49.13" personId="{6777EDD4-E46F-4979-A7E7-6FC0A82E0C8E}" id="{6FF8D328-8414-4F97-A7CB-528EC12DE727}">
    <text>Client is Inactive</text>
  </threadedComment>
  <threadedComment ref="AZ252" dT="2024-10-17T09:51:49.13" personId="{6777EDD4-E46F-4979-A7E7-6FC0A82E0C8E}" id="{7D78F989-DE15-4208-B4FA-D49E443969E2}">
    <text>Client is Inactive</text>
  </threadedComment>
  <threadedComment ref="BA252" dT="2024-10-17T09:51:49.13" personId="{6777EDD4-E46F-4979-A7E7-6FC0A82E0C8E}" id="{BCC53862-E630-4370-A102-06197B49A1DE}">
    <text>Client is Inactive</text>
  </threadedComment>
  <threadedComment ref="BB252" dT="2024-10-17T09:51:49.13" personId="{6777EDD4-E46F-4979-A7E7-6FC0A82E0C8E}" id="{195B479A-E7BE-40D3-9FEA-2EBE46BE2376}">
    <text>Client is Inactive</text>
  </threadedComment>
  <threadedComment ref="BC252" dT="2024-10-17T09:51:49.13" personId="{6777EDD4-E46F-4979-A7E7-6FC0A82E0C8E}" id="{CF7B2285-7C4E-42B6-95B3-BD907596F4BE}">
    <text>Client is Inactive</text>
  </threadedComment>
  <threadedComment ref="BD252" dT="2024-10-17T09:51:49.13" personId="{6777EDD4-E46F-4979-A7E7-6FC0A82E0C8E}" id="{78BDAFBA-EC22-414E-832E-F4145D1F1933}">
    <text>Client is Inactive</text>
  </threadedComment>
  <threadedComment ref="BE252" dT="2024-10-18T04:54:46.00" personId="{6777EDD4-E46F-4979-A7E7-6FC0A82E0C8E}" id="{59DD9214-4858-41B3-A9F4-8AB64DEE07E5}">
    <text>Project On-Hold</text>
  </threadedComment>
  <threadedComment ref="BF252" dT="2024-10-18T04:54:46.00" personId="{6777EDD4-E46F-4979-A7E7-6FC0A82E0C8E}" id="{5F01D97C-872A-4C86-BC21-356FF7D68D07}">
    <text>Project On-Hold</text>
  </threadedComment>
  <threadedComment ref="BG252" dT="2024-10-18T04:54:46.00" personId="{6777EDD4-E46F-4979-A7E7-6FC0A82E0C8E}" id="{08832139-C5C9-4E8D-BA22-B4D2C4705CA0}">
    <text>Project On-Hold</text>
  </threadedComment>
  <threadedComment ref="BH252" dT="2024-10-18T04:54:46.00" personId="{6777EDD4-E46F-4979-A7E7-6FC0A82E0C8E}" id="{281F98E0-2DC3-461C-90DC-2032C611D7A5}">
    <text>Project On-Hold</text>
  </threadedComment>
  <threadedComment ref="BI252" dT="2024-10-18T04:54:46.00" personId="{6777EDD4-E46F-4979-A7E7-6FC0A82E0C8E}" id="{B9B39A06-2CA7-411D-B85B-9D807E81D7CB}">
    <text>Project On-Hold</text>
  </threadedComment>
  <threadedComment ref="BJ252" dT="2024-10-18T04:54:46.00" personId="{6777EDD4-E46F-4979-A7E7-6FC0A82E0C8E}" id="{DC701EA1-B074-40A3-A55F-812D90062209}">
    <text>Project On-Hold</text>
  </threadedComment>
  <threadedComment ref="BK252" dT="2024-10-18T04:54:46.00" personId="{6777EDD4-E46F-4979-A7E7-6FC0A82E0C8E}" id="{98F81948-8E01-4A93-8CC7-36CC919B9B68}">
    <text>Project On-Hold</text>
  </threadedComment>
  <threadedComment ref="BL252" dT="2024-10-18T04:54:46.00" personId="{6777EDD4-E46F-4979-A7E7-6FC0A82E0C8E}" id="{7A1BB831-C9AE-4820-9382-EC1675AA457C}">
    <text>Project On-Hold</text>
  </threadedComment>
  <threadedComment ref="BM252" dT="2024-10-18T04:54:46.00" personId="{6777EDD4-E46F-4979-A7E7-6FC0A82E0C8E}" id="{4E53D7D6-8347-44AB-B975-CF509633D872}">
    <text>Project On-Hold</text>
  </threadedComment>
  <threadedComment ref="BN252" dT="2024-10-17T09:51:49.13" personId="{6777EDD4-E46F-4979-A7E7-6FC0A82E0C8E}" id="{7FC252CE-AB67-43DA-A833-C0BFEF9FED5D}">
    <text>Client is Inactive</text>
  </threadedComment>
  <threadedComment ref="BP252" dT="2024-10-17T09:51:49.13" personId="{6777EDD4-E46F-4979-A7E7-6FC0A82E0C8E}" id="{83D60492-EDA7-41B0-99C9-D73B4D7ACBB5}">
    <text>Client is Inactive</text>
  </threadedComment>
  <threadedComment ref="BR252" dT="2024-10-17T09:51:49.13" personId="{6777EDD4-E46F-4979-A7E7-6FC0A82E0C8E}" id="{DDE6B6D2-DC18-4C2F-8D82-8698D55DF7F3}">
    <text>Client is Inactive</text>
  </threadedComment>
  <threadedComment ref="BS252" dT="2024-10-18T04:54:46.00" personId="{6777EDD4-E46F-4979-A7E7-6FC0A82E0C8E}" id="{A962B81E-9593-42F8-ABA5-C8D98AC82C61}">
    <text>Project On-Hold</text>
  </threadedComment>
  <threadedComment ref="BU252" dT="2024-10-17T09:51:49.13" personId="{6777EDD4-E46F-4979-A7E7-6FC0A82E0C8E}" id="{95EB3314-6D91-409A-A77C-9A6832C56E54}">
    <text>Client is Inactive</text>
  </threadedComment>
  <threadedComment ref="Q253" dT="2024-05-12T06:46:30.34" personId="{6777EDD4-E46F-4979-A7E7-6FC0A82E0C8E}" id="{26644D77-AA18-4DF5-A445-9B3E7F6EF158}">
    <text>Account Inactive</text>
  </threadedComment>
  <threadedComment ref="R253" dT="2024-05-12T06:46:30.34" personId="{6777EDD4-E46F-4979-A7E7-6FC0A82E0C8E}" id="{4AD952E2-15BA-4A0C-89EF-FAD0F5189CC5}">
    <text>Account Inactive</text>
  </threadedComment>
  <threadedComment ref="S253" dT="2024-05-12T06:46:30.34" personId="{6777EDD4-E46F-4979-A7E7-6FC0A82E0C8E}" id="{02F2857B-ADFE-40A5-8C23-B0C5A3204923}">
    <text>Account Inactive</text>
  </threadedComment>
  <threadedComment ref="T253" dT="2024-05-12T06:46:30.34" personId="{6777EDD4-E46F-4979-A7E7-6FC0A82E0C8E}" id="{F6CB1998-15B7-43FC-BFBF-5E7EBD26CCE0}">
    <text>Account Inactive</text>
  </threadedComment>
  <threadedComment ref="U253" dT="2024-05-12T06:46:30.34" personId="{6777EDD4-E46F-4979-A7E7-6FC0A82E0C8E}" id="{9FDDA990-7FEB-4754-8398-0D7863E9FF2A}">
    <text>Account Inactive</text>
  </threadedComment>
  <threadedComment ref="V253" dT="2024-05-12T06:46:30.34" personId="{6777EDD4-E46F-4979-A7E7-6FC0A82E0C8E}" id="{600A5DD2-DF3B-4763-A26F-F511D5B04221}">
    <text>Account Inactive</text>
  </threadedComment>
  <threadedComment ref="W253" dT="2024-05-12T06:46:30.34" personId="{6777EDD4-E46F-4979-A7E7-6FC0A82E0C8E}" id="{A01CCC71-AEFD-4788-A21A-ECD81B1B4FBB}">
    <text>Account Inactive</text>
  </threadedComment>
  <threadedComment ref="X253" dT="2024-05-12T06:46:30.34" personId="{6777EDD4-E46F-4979-A7E7-6FC0A82E0C8E}" id="{57ADB1CA-D04F-43EE-B7E2-D24E944BA69F}">
    <text>Account Inactive</text>
  </threadedComment>
  <threadedComment ref="Y253" dT="2024-05-12T06:46:30.34" personId="{6777EDD4-E46F-4979-A7E7-6FC0A82E0C8E}" id="{ED55FDA0-8C52-4B4B-8654-23C0E112CCA5}">
    <text>Account Inactive</text>
  </threadedComment>
  <threadedComment ref="Z253" dT="2024-05-12T06:46:30.34" personId="{6777EDD4-E46F-4979-A7E7-6FC0A82E0C8E}" id="{2B74B4E6-6505-423A-8F08-6D3EAF841590}">
    <text>Account Inactive</text>
  </threadedComment>
  <threadedComment ref="AA253" dT="2024-05-12T06:46:30.34" personId="{6777EDD4-E46F-4979-A7E7-6FC0A82E0C8E}" id="{BC2793F6-75A7-4461-946B-A4F44250CBC7}">
    <text>Account Inactive</text>
  </threadedComment>
  <threadedComment ref="AB253" dT="2024-05-12T06:46:30.34" personId="{6777EDD4-E46F-4979-A7E7-6FC0A82E0C8E}" id="{22F9C165-9E80-46B8-9D75-9523AB505B79}">
    <text>Account Inactive</text>
  </threadedComment>
  <threadedComment ref="AC253" dT="2024-05-12T06:46:30.34" personId="{6777EDD4-E46F-4979-A7E7-6FC0A82E0C8E}" id="{E2790BFE-7CC6-4315-BAAC-2E758F5C5A4A}">
    <text>Account Inactive</text>
  </threadedComment>
  <threadedComment ref="AD253" dT="2024-05-12T06:46:30.34" personId="{6777EDD4-E46F-4979-A7E7-6FC0A82E0C8E}" id="{7F6A0822-8B40-4C19-B95C-C4C9E7A50295}">
    <text>Account Inactive</text>
  </threadedComment>
  <threadedComment ref="AE253" dT="2024-05-12T06:46:30.34" personId="{6777EDD4-E46F-4979-A7E7-6FC0A82E0C8E}" id="{21BACA40-1C29-4E24-B349-9AD6C28AE91F}">
    <text>Account Inactive</text>
  </threadedComment>
  <threadedComment ref="AF253" dT="2024-05-12T06:46:30.34" personId="{6777EDD4-E46F-4979-A7E7-6FC0A82E0C8E}" id="{E4473837-5A45-4D10-98EB-865A82DE1000}">
    <text>Account Inactive</text>
  </threadedComment>
  <threadedComment ref="AG253" dT="2024-05-12T06:46:30.34" personId="{6777EDD4-E46F-4979-A7E7-6FC0A82E0C8E}" id="{B6A058FB-5EB7-4217-B090-50F8AAC44840}">
    <text>Account Inactive</text>
  </threadedComment>
  <threadedComment ref="AH253" dT="2024-05-12T06:46:30.34" personId="{6777EDD4-E46F-4979-A7E7-6FC0A82E0C8E}" id="{2B173731-A7CC-4713-ACCB-C54D221A5FC0}">
    <text>Account Inactive</text>
  </threadedComment>
  <threadedComment ref="AI253" dT="2024-05-12T06:46:30.34" personId="{6777EDD4-E46F-4979-A7E7-6FC0A82E0C8E}" id="{87D8AD47-2346-4EFF-9135-321898175037}">
    <text>Account Inactive</text>
  </threadedComment>
  <threadedComment ref="AJ253" dT="2024-05-12T06:46:30.34" personId="{6777EDD4-E46F-4979-A7E7-6FC0A82E0C8E}" id="{EAD44E92-FF48-46EC-87F9-D56CE8D25F52}">
    <text>Account Inactive</text>
  </threadedComment>
  <threadedComment ref="AK253" dT="2024-05-12T06:46:30.34" personId="{6777EDD4-E46F-4979-A7E7-6FC0A82E0C8E}" id="{DC13AF9D-2CD7-4776-8D97-7F0B2AC28F4B}">
    <text>Account Inactive</text>
  </threadedComment>
  <threadedComment ref="AL253" dT="2024-05-12T06:46:30.34" personId="{6777EDD4-E46F-4979-A7E7-6FC0A82E0C8E}" id="{654E8D30-55F2-4748-B7F7-274F8742CD44}">
    <text>Account Inactive</text>
  </threadedComment>
  <threadedComment ref="AM253" dT="2024-10-17T09:51:49.13" personId="{6777EDD4-E46F-4979-A7E7-6FC0A82E0C8E}" id="{1CB2AFAA-E402-4D29-A68D-193585E39D62}">
    <text>Client is Inactive</text>
  </threadedComment>
  <threadedComment ref="AN253" dT="2024-10-17T09:51:49.13" personId="{6777EDD4-E46F-4979-A7E7-6FC0A82E0C8E}" id="{04761428-84A4-44DD-A19D-C0D8E7F4EC82}">
    <text>Client is Inactive</text>
  </threadedComment>
  <threadedComment ref="AO253" dT="2024-10-17T09:51:49.13" personId="{6777EDD4-E46F-4979-A7E7-6FC0A82E0C8E}" id="{72869207-27BC-4F81-AB2A-C1F40879F68F}">
    <text>Client is Inactive</text>
  </threadedComment>
  <threadedComment ref="AP253" dT="2024-10-17T09:51:49.13" personId="{6777EDD4-E46F-4979-A7E7-6FC0A82E0C8E}" id="{4FFDF0E6-D075-4B5C-8386-69AF5D4B3359}">
    <text>Client is Inactive</text>
  </threadedComment>
  <threadedComment ref="AQ253" dT="2024-10-17T09:51:49.13" personId="{6777EDD4-E46F-4979-A7E7-6FC0A82E0C8E}" id="{9E68CC12-5E79-4C76-A9C4-633CCD14004D}">
    <text>Client is Inactive</text>
  </threadedComment>
  <threadedComment ref="AR253" dT="2024-10-17T09:51:49.13" personId="{6777EDD4-E46F-4979-A7E7-6FC0A82E0C8E}" id="{7B846D0E-F4BE-4F35-8A51-47F596C7F5BA}">
    <text>Client is Inactive</text>
  </threadedComment>
  <threadedComment ref="AS253" dT="2024-10-17T09:51:49.13" personId="{6777EDD4-E46F-4979-A7E7-6FC0A82E0C8E}" id="{F790A8DA-F265-446B-B8D7-39DBA63C9451}">
    <text>Client is Inactive</text>
  </threadedComment>
  <threadedComment ref="AT253" dT="2024-10-17T09:51:49.13" personId="{6777EDD4-E46F-4979-A7E7-6FC0A82E0C8E}" id="{B57C2AF4-5085-4CDD-B4F2-C8B768B4CD41}">
    <text>Client is Inactive</text>
  </threadedComment>
  <threadedComment ref="AU253" dT="2024-10-17T09:51:49.13" personId="{6777EDD4-E46F-4979-A7E7-6FC0A82E0C8E}" id="{73D0D55D-535B-49A8-8A75-0C8B07BADDB9}">
    <text>Client is Inactive</text>
  </threadedComment>
  <threadedComment ref="AV253" dT="2024-10-17T09:51:49.13" personId="{6777EDD4-E46F-4979-A7E7-6FC0A82E0C8E}" id="{E0CBC220-A834-4AA2-BE6E-796525627CB6}">
    <text>Client is Inactive</text>
  </threadedComment>
  <threadedComment ref="AW253" dT="2024-10-17T09:51:49.13" personId="{6777EDD4-E46F-4979-A7E7-6FC0A82E0C8E}" id="{E9829769-B4DF-413C-819F-08B90378EAD7}">
    <text>Client is Inactive</text>
  </threadedComment>
  <threadedComment ref="AX253" dT="2024-10-17T09:51:49.13" personId="{6777EDD4-E46F-4979-A7E7-6FC0A82E0C8E}" id="{B3B30FEF-F689-4533-BFF0-3620055CA690}">
    <text>Client is Inactive</text>
  </threadedComment>
  <threadedComment ref="AY253" dT="2024-10-17T09:51:49.13" personId="{6777EDD4-E46F-4979-A7E7-6FC0A82E0C8E}" id="{7801C0F6-C729-4BD8-878C-5034A995F2BC}">
    <text>Client is Inactive</text>
  </threadedComment>
  <threadedComment ref="AZ253" dT="2024-10-17T09:51:49.13" personId="{6777EDD4-E46F-4979-A7E7-6FC0A82E0C8E}" id="{8411564C-EDF3-4A46-BAB2-4272D8CD6D1B}">
    <text>Client is Inactive</text>
  </threadedComment>
  <threadedComment ref="BA253" dT="2024-10-17T09:51:49.13" personId="{6777EDD4-E46F-4979-A7E7-6FC0A82E0C8E}" id="{9C19B308-6709-48A1-83D2-E3360DF338A8}">
    <text>Client is Inactive</text>
  </threadedComment>
  <threadedComment ref="BB253" dT="2024-10-17T09:51:49.13" personId="{6777EDD4-E46F-4979-A7E7-6FC0A82E0C8E}" id="{8DB94388-D15B-40F7-9B18-FFE782DBD1C9}">
    <text>Client is Inactive</text>
  </threadedComment>
  <threadedComment ref="BC253" dT="2024-10-17T09:51:49.13" personId="{6777EDD4-E46F-4979-A7E7-6FC0A82E0C8E}" id="{38F61C38-6D67-4E79-A8A1-33E547519279}">
    <text>Client is Inactive</text>
  </threadedComment>
  <threadedComment ref="BD253" dT="2024-10-17T09:51:49.13" personId="{6777EDD4-E46F-4979-A7E7-6FC0A82E0C8E}" id="{2542FF75-6D57-4D25-A2DC-B10E62CBC6B3}">
    <text>Client is Inactive</text>
  </threadedComment>
  <threadedComment ref="BE253" dT="2024-10-18T04:54:46.00" personId="{6777EDD4-E46F-4979-A7E7-6FC0A82E0C8E}" id="{123CAD91-7253-4B88-9027-02E0A44AC89D}">
    <text>Project On-Hold</text>
  </threadedComment>
  <threadedComment ref="BF253" dT="2024-10-18T04:54:46.00" personId="{6777EDD4-E46F-4979-A7E7-6FC0A82E0C8E}" id="{C2020B22-34BC-443A-B95D-C26621113C13}">
    <text>Project On-Hold</text>
  </threadedComment>
  <threadedComment ref="BG253" dT="2024-10-18T04:54:46.00" personId="{6777EDD4-E46F-4979-A7E7-6FC0A82E0C8E}" id="{DA0B82CB-491E-4FDE-A514-1A7ED8B31390}">
    <text>Project On-Hold</text>
  </threadedComment>
  <threadedComment ref="BH253" dT="2024-10-18T04:54:46.00" personId="{6777EDD4-E46F-4979-A7E7-6FC0A82E0C8E}" id="{E139E544-6104-4296-97B6-D216B973E714}">
    <text>Project On-Hold</text>
  </threadedComment>
  <threadedComment ref="BI253" dT="2024-10-18T04:54:46.00" personId="{6777EDD4-E46F-4979-A7E7-6FC0A82E0C8E}" id="{1962D34B-978A-4172-B125-4B812A42030F}">
    <text>Project On-Hold</text>
  </threadedComment>
  <threadedComment ref="BJ253" dT="2024-10-18T04:54:46.00" personId="{6777EDD4-E46F-4979-A7E7-6FC0A82E0C8E}" id="{F02BA910-5FFC-4D3A-B323-282B96E9A002}">
    <text>Project On-Hold</text>
  </threadedComment>
  <threadedComment ref="BK253" dT="2024-10-18T04:54:46.00" personId="{6777EDD4-E46F-4979-A7E7-6FC0A82E0C8E}" id="{24CF834F-71D6-407E-8973-39719F16F16E}">
    <text>Project On-Hold</text>
  </threadedComment>
  <threadedComment ref="BL253" dT="2024-10-18T04:54:46.00" personId="{6777EDD4-E46F-4979-A7E7-6FC0A82E0C8E}" id="{1E507951-565B-4CF0-9C66-46C33435BE82}">
    <text>Project On-Hold</text>
  </threadedComment>
  <threadedComment ref="BM253" dT="2024-10-18T04:54:46.00" personId="{6777EDD4-E46F-4979-A7E7-6FC0A82E0C8E}" id="{DAE64BE3-0A0F-476F-B43F-CD8FF6DF31A0}">
    <text>Project On-Hold</text>
  </threadedComment>
  <threadedComment ref="BN253" dT="2024-10-18T04:54:46.00" personId="{6777EDD4-E46F-4979-A7E7-6FC0A82E0C8E}" id="{C362632E-C8DE-4CD2-99C9-371F332D80CD}">
    <text>Project On-Hold</text>
  </threadedComment>
  <threadedComment ref="BP253" dT="2024-10-18T04:54:46.00" personId="{6777EDD4-E46F-4979-A7E7-6FC0A82E0C8E}" id="{4E754121-4E6D-4C4D-9E60-AC6B37EC9ED1}">
    <text>Project On-Hold</text>
  </threadedComment>
  <threadedComment ref="BR253" dT="2024-10-18T04:54:46.00" personId="{6777EDD4-E46F-4979-A7E7-6FC0A82E0C8E}" id="{4F05C1DB-804F-4378-8ACD-253CD2A8F245}">
    <text>Project On-Hold</text>
  </threadedComment>
  <threadedComment ref="BS253" dT="2024-10-18T04:54:46.00" personId="{6777EDD4-E46F-4979-A7E7-6FC0A82E0C8E}" id="{6302EF74-FE7A-4E90-84D3-551311B3265D}">
    <text>Project On-Hold</text>
  </threadedComment>
  <threadedComment ref="BU253" dT="2024-10-17T09:51:49.13" personId="{6777EDD4-E46F-4979-A7E7-6FC0A82E0C8E}" id="{FD1DC2E1-0F10-4E8C-8CA0-BA5EBC4DC97B}">
    <text>Client is Inactive</text>
  </threadedComment>
  <threadedComment ref="Q254" dT="2024-05-12T06:46:30.34" personId="{6777EDD4-E46F-4979-A7E7-6FC0A82E0C8E}" id="{A135B5C4-D74C-4312-A80C-34964A041322}">
    <text>Account Inactive</text>
  </threadedComment>
  <threadedComment ref="R254" dT="2024-05-12T06:46:30.34" personId="{6777EDD4-E46F-4979-A7E7-6FC0A82E0C8E}" id="{824B0071-07EF-4269-BCE2-C7F6C07260AF}">
    <text>Account Inactive</text>
  </threadedComment>
  <threadedComment ref="S254" dT="2024-05-12T06:46:30.34" personId="{6777EDD4-E46F-4979-A7E7-6FC0A82E0C8E}" id="{16DACEF1-684B-4054-956A-70390D97639F}">
    <text>Account Inactive</text>
  </threadedComment>
  <threadedComment ref="T254" dT="2024-05-12T06:46:30.34" personId="{6777EDD4-E46F-4979-A7E7-6FC0A82E0C8E}" id="{757080FC-70E2-4FA3-AA26-930EA1DB79D4}">
    <text>Account Inactive</text>
  </threadedComment>
  <threadedComment ref="U254" dT="2024-05-12T06:46:30.34" personId="{6777EDD4-E46F-4979-A7E7-6FC0A82E0C8E}" id="{6B9582C6-B314-40C5-9CDE-D569467B55D5}">
    <text>Account Inactive</text>
  </threadedComment>
  <threadedComment ref="V254" dT="2024-05-12T06:46:30.34" personId="{6777EDD4-E46F-4979-A7E7-6FC0A82E0C8E}" id="{AE840F06-3FB1-40C8-B2EF-651FFF434AA0}">
    <text>Account Inactive</text>
  </threadedComment>
  <threadedComment ref="W254" dT="2024-05-12T06:46:30.34" personId="{6777EDD4-E46F-4979-A7E7-6FC0A82E0C8E}" id="{CC344405-444F-4C1E-8FBC-C48DFE71726C}">
    <text>Account Inactive</text>
  </threadedComment>
  <threadedComment ref="X254" dT="2024-05-12T06:46:30.34" personId="{6777EDD4-E46F-4979-A7E7-6FC0A82E0C8E}" id="{8D28A361-CFA3-4A13-8D20-C91309002A90}">
    <text>Account Inactive</text>
  </threadedComment>
  <threadedComment ref="Y254" dT="2024-05-12T06:46:30.34" personId="{6777EDD4-E46F-4979-A7E7-6FC0A82E0C8E}" id="{857F729C-3A64-4E87-9AFC-CDBAF8C26B5E}">
    <text>Account Inactive</text>
  </threadedComment>
  <threadedComment ref="Z254" dT="2024-05-12T06:46:30.34" personId="{6777EDD4-E46F-4979-A7E7-6FC0A82E0C8E}" id="{394244F8-70DA-418B-9CD8-096C3C96B658}">
    <text>Account Inactive</text>
  </threadedComment>
  <threadedComment ref="AA254" dT="2024-05-12T06:46:30.34" personId="{6777EDD4-E46F-4979-A7E7-6FC0A82E0C8E}" id="{9CC4E5A9-D074-4907-88A8-81729D2DCBFA}">
    <text>Account Inactive</text>
  </threadedComment>
  <threadedComment ref="AB254" dT="2024-05-12T06:46:30.34" personId="{6777EDD4-E46F-4979-A7E7-6FC0A82E0C8E}" id="{A217F32A-45F4-45A5-BCF2-E659ACB82A82}">
    <text>Account Inactive</text>
  </threadedComment>
  <threadedComment ref="AC254" dT="2024-05-12T06:46:30.34" personId="{6777EDD4-E46F-4979-A7E7-6FC0A82E0C8E}" id="{8EC87F2F-6D0A-4209-B838-96E0A50B424C}">
    <text>Account Inactive</text>
  </threadedComment>
  <threadedComment ref="AD254" dT="2024-05-12T06:46:30.34" personId="{6777EDD4-E46F-4979-A7E7-6FC0A82E0C8E}" id="{46083FDC-7564-4095-894D-02AE2FE4FA59}">
    <text>Account Inactive</text>
  </threadedComment>
  <threadedComment ref="AE254" dT="2024-05-12T06:46:30.34" personId="{6777EDD4-E46F-4979-A7E7-6FC0A82E0C8E}" id="{6039C536-0198-4ADF-B5BC-0F2CA248333D}">
    <text>Account Inactive</text>
  </threadedComment>
  <threadedComment ref="AF254" dT="2024-05-12T06:46:30.34" personId="{6777EDD4-E46F-4979-A7E7-6FC0A82E0C8E}" id="{F61BCF8D-EAC5-4598-BACA-93611E24DBD5}">
    <text>Account Inactive</text>
  </threadedComment>
  <threadedComment ref="AG254" dT="2024-05-12T06:46:30.34" personId="{6777EDD4-E46F-4979-A7E7-6FC0A82E0C8E}" id="{1744B3A8-6F8A-4130-BEB7-DD6104F8D2EA}">
    <text>Account Inactive</text>
  </threadedComment>
  <threadedComment ref="AH254" dT="2024-05-12T06:46:30.34" personId="{6777EDD4-E46F-4979-A7E7-6FC0A82E0C8E}" id="{ED9D06C5-BDA9-4F88-A054-33A755401BD9}">
    <text>Account Inactive</text>
  </threadedComment>
  <threadedComment ref="AI254" dT="2024-05-12T06:46:30.34" personId="{6777EDD4-E46F-4979-A7E7-6FC0A82E0C8E}" id="{FAB7CFAD-A719-469D-B630-D6F7A3274F99}">
    <text>Account Inactive</text>
  </threadedComment>
  <threadedComment ref="AJ254" dT="2024-05-12T06:46:30.34" personId="{6777EDD4-E46F-4979-A7E7-6FC0A82E0C8E}" id="{B194EDD4-6B5D-4559-9630-EE326FA38962}">
    <text>Account Inactive</text>
  </threadedComment>
  <threadedComment ref="AK254" dT="2024-05-12T06:46:30.34" personId="{6777EDD4-E46F-4979-A7E7-6FC0A82E0C8E}" id="{ED89A1C3-EB62-4D59-9CD2-AE54C7131C72}">
    <text>Account Inactive</text>
  </threadedComment>
  <threadedComment ref="AL254" dT="2024-05-12T06:46:30.34" personId="{6777EDD4-E46F-4979-A7E7-6FC0A82E0C8E}" id="{F0CA3285-D691-4107-ADBF-B33F9241FA6E}">
    <text>Account Inactive</text>
  </threadedComment>
  <threadedComment ref="AM254" dT="2024-10-17T09:51:49.13" personId="{6777EDD4-E46F-4979-A7E7-6FC0A82E0C8E}" id="{C35B3394-4E10-45A5-B9A3-91A30929F825}">
    <text>Client is Inactive</text>
  </threadedComment>
  <threadedComment ref="AN254" dT="2024-10-17T09:51:49.13" personId="{6777EDD4-E46F-4979-A7E7-6FC0A82E0C8E}" id="{6EA992FD-D90B-4855-9275-1CF6DC4647D9}">
    <text>Client is Inactive</text>
  </threadedComment>
  <threadedComment ref="AO254" dT="2024-10-17T09:51:49.13" personId="{6777EDD4-E46F-4979-A7E7-6FC0A82E0C8E}" id="{DD36C2C6-091C-4A41-A986-44C50704760A}">
    <text>Client is Inactive</text>
  </threadedComment>
  <threadedComment ref="AP254" dT="2024-10-17T09:51:49.13" personId="{6777EDD4-E46F-4979-A7E7-6FC0A82E0C8E}" id="{C6B00BFC-FE13-4D47-BB2B-A83004B7C313}">
    <text>Client is Inactive</text>
  </threadedComment>
  <threadedComment ref="AQ254" dT="2024-10-17T09:51:49.13" personId="{6777EDD4-E46F-4979-A7E7-6FC0A82E0C8E}" id="{FBC504DF-75A5-4BB4-AC86-8CDC46C18FDF}">
    <text>Client is Inactive</text>
  </threadedComment>
  <threadedComment ref="AR254" dT="2024-10-17T09:51:49.13" personId="{6777EDD4-E46F-4979-A7E7-6FC0A82E0C8E}" id="{BD662A48-B6E5-4881-94DB-3345C5B75BD3}">
    <text>Client is Inactive</text>
  </threadedComment>
  <threadedComment ref="AS254" dT="2024-10-17T09:51:49.13" personId="{6777EDD4-E46F-4979-A7E7-6FC0A82E0C8E}" id="{F2FBD507-BE9D-4FB0-A397-2764E85A78AA}">
    <text>Client is Inactive</text>
  </threadedComment>
  <threadedComment ref="AT254" dT="2024-10-17T09:51:49.13" personId="{6777EDD4-E46F-4979-A7E7-6FC0A82E0C8E}" id="{410C9FCE-6372-4ED7-B3D2-D3C0C6FE97BF}">
    <text>Client is Inactive</text>
  </threadedComment>
  <threadedComment ref="AU254" dT="2024-10-17T09:51:49.13" personId="{6777EDD4-E46F-4979-A7E7-6FC0A82E0C8E}" id="{9658E395-B834-485C-80B8-6A6876026FFC}">
    <text>Client is Inactive</text>
  </threadedComment>
  <threadedComment ref="AV254" dT="2024-10-17T09:51:49.13" personId="{6777EDD4-E46F-4979-A7E7-6FC0A82E0C8E}" id="{EED270C9-264D-49D1-915E-52A3182134C7}">
    <text>Client is Inactive</text>
  </threadedComment>
  <threadedComment ref="AW254" dT="2024-10-17T09:51:49.13" personId="{6777EDD4-E46F-4979-A7E7-6FC0A82E0C8E}" id="{186A62F5-150C-4E63-8803-DB3858840BC6}">
    <text>Client is Inactive</text>
  </threadedComment>
  <threadedComment ref="AX254" dT="2024-10-17T09:51:49.13" personId="{6777EDD4-E46F-4979-A7E7-6FC0A82E0C8E}" id="{433C4AD1-0F64-41EB-9A2E-C1EDB0BCC9D0}">
    <text>Client is Inactive</text>
  </threadedComment>
  <threadedComment ref="AY254" dT="2024-10-17T09:51:49.13" personId="{6777EDD4-E46F-4979-A7E7-6FC0A82E0C8E}" id="{19399F02-7379-4F3D-9473-D868472FAC03}">
    <text>Client is Inactive</text>
  </threadedComment>
  <threadedComment ref="AZ254" dT="2024-10-17T09:51:49.13" personId="{6777EDD4-E46F-4979-A7E7-6FC0A82E0C8E}" id="{CCC55A7D-F292-4E07-A2A8-78674FD8B85B}">
    <text>Client is Inactive</text>
  </threadedComment>
  <threadedComment ref="BA254" dT="2024-10-17T09:51:49.13" personId="{6777EDD4-E46F-4979-A7E7-6FC0A82E0C8E}" id="{BFE63CB8-86A4-49F5-B653-B4E378F67891}">
    <text>Client is Inactive</text>
  </threadedComment>
  <threadedComment ref="BB254" dT="2024-10-17T09:51:49.13" personId="{6777EDD4-E46F-4979-A7E7-6FC0A82E0C8E}" id="{FF52DDE6-347F-46DB-B82F-B7AA41719F94}">
    <text>Client is Inactive</text>
  </threadedComment>
  <threadedComment ref="BC254" dT="2024-10-17T09:51:49.13" personId="{6777EDD4-E46F-4979-A7E7-6FC0A82E0C8E}" id="{D06FDE5F-62EB-4B40-9DB0-8FFA7FD492E0}">
    <text>Client is Inactive</text>
  </threadedComment>
  <threadedComment ref="BD254" dT="2024-10-17T09:51:49.13" personId="{6777EDD4-E46F-4979-A7E7-6FC0A82E0C8E}" id="{8F32622D-339D-4EBD-A49A-B0CE9A6AEA2A}">
    <text>Client is Inactive</text>
  </threadedComment>
  <threadedComment ref="BE254" dT="2024-10-18T04:54:46.00" personId="{6777EDD4-E46F-4979-A7E7-6FC0A82E0C8E}" id="{A4EB7FFC-E544-477B-B813-0F1F56ED2D0E}">
    <text>Project On-Hold</text>
  </threadedComment>
  <threadedComment ref="BF254" dT="2024-10-18T04:54:46.00" personId="{6777EDD4-E46F-4979-A7E7-6FC0A82E0C8E}" id="{50E8AD46-3233-4E8D-AE3B-E5ECB8EBDC52}">
    <text>Project On-Hold</text>
  </threadedComment>
  <threadedComment ref="BG254" dT="2024-10-18T04:54:46.00" personId="{6777EDD4-E46F-4979-A7E7-6FC0A82E0C8E}" id="{AD6B362C-05AA-490D-868D-1165FE1F1923}">
    <text>Project On-Hold</text>
  </threadedComment>
  <threadedComment ref="BH254" dT="2024-10-18T04:54:46.00" personId="{6777EDD4-E46F-4979-A7E7-6FC0A82E0C8E}" id="{661325F2-0567-47F2-A825-9AC8C1931D82}">
    <text>Project On-Hold</text>
  </threadedComment>
  <threadedComment ref="BI254" dT="2024-10-18T04:54:46.00" personId="{6777EDD4-E46F-4979-A7E7-6FC0A82E0C8E}" id="{C1AFFA6B-2406-43D6-BAC8-341E4735B26B}">
    <text>Project On-Hold</text>
  </threadedComment>
  <threadedComment ref="BJ254" dT="2024-10-18T04:54:46.00" personId="{6777EDD4-E46F-4979-A7E7-6FC0A82E0C8E}" id="{6B8280A7-886E-47AC-B01C-6351FA1F053C}">
    <text>Project On-Hold</text>
  </threadedComment>
  <threadedComment ref="BK254" dT="2024-10-18T04:54:46.00" personId="{6777EDD4-E46F-4979-A7E7-6FC0A82E0C8E}" id="{E55E3CC1-FEC0-4A18-9F77-EA96D871E86E}">
    <text>Project On-Hold</text>
  </threadedComment>
  <threadedComment ref="BL254" dT="2024-10-18T04:54:46.00" personId="{6777EDD4-E46F-4979-A7E7-6FC0A82E0C8E}" id="{D0CE0EAC-960D-4601-A435-A1BF7B9F3634}">
    <text>Project On-Hold</text>
  </threadedComment>
  <threadedComment ref="BM254" dT="2024-10-18T04:54:46.00" personId="{6777EDD4-E46F-4979-A7E7-6FC0A82E0C8E}" id="{E679B436-5E1D-4470-B378-87DFC4A0375D}">
    <text>Project On-Hold</text>
  </threadedComment>
  <threadedComment ref="BN254" dT="2024-10-18T04:54:46.00" personId="{6777EDD4-E46F-4979-A7E7-6FC0A82E0C8E}" id="{1975E221-5122-4C85-8DF5-4513BDDA3BB6}">
    <text>Project On-Hold</text>
  </threadedComment>
  <threadedComment ref="BP254" dT="2024-10-18T04:54:46.00" personId="{6777EDD4-E46F-4979-A7E7-6FC0A82E0C8E}" id="{8AA64C4A-97F8-48CB-AF3E-4C0119DA9373}">
    <text>Project On-Hold</text>
  </threadedComment>
  <threadedComment ref="BR254" dT="2024-10-18T04:54:46.00" personId="{6777EDD4-E46F-4979-A7E7-6FC0A82E0C8E}" id="{84A96171-E8B9-4BCB-99E2-559C79AA553E}">
    <text>Project On-Hold</text>
  </threadedComment>
  <threadedComment ref="BS254" dT="2024-10-18T04:54:46.00" personId="{6777EDD4-E46F-4979-A7E7-6FC0A82E0C8E}" id="{812D7D6A-2787-40F2-A850-89D645444402}">
    <text>Project On-Hold</text>
  </threadedComment>
  <threadedComment ref="BU254" dT="2024-10-17T09:51:49.13" personId="{6777EDD4-E46F-4979-A7E7-6FC0A82E0C8E}" id="{4D1675FB-7EC1-48EB-BA9C-8FF0FABE7065}">
    <text>Client is Inactive</text>
  </threadedComment>
  <threadedComment ref="Q255" dT="2024-05-12T06:46:30.34" personId="{6777EDD4-E46F-4979-A7E7-6FC0A82E0C8E}" id="{81D8B1CD-6A7F-46CB-B962-632C94037327}">
    <text>Account Inactive</text>
  </threadedComment>
  <threadedComment ref="R255" dT="2024-05-12T06:46:30.34" personId="{6777EDD4-E46F-4979-A7E7-6FC0A82E0C8E}" id="{966C38C8-64C7-4E66-9238-5D9A3A2BF8E6}">
    <text>Account Inactive</text>
  </threadedComment>
  <threadedComment ref="S255" dT="2024-05-12T06:46:30.34" personId="{6777EDD4-E46F-4979-A7E7-6FC0A82E0C8E}" id="{1CA480E3-14BA-4DA0-A428-2666E3278D3B}">
    <text>Account Inactive</text>
  </threadedComment>
  <threadedComment ref="T255" dT="2024-05-12T06:46:30.34" personId="{6777EDD4-E46F-4979-A7E7-6FC0A82E0C8E}" id="{9682CDB8-3DE9-4642-A081-5A5D828BD56D}">
    <text>Account Inactive</text>
  </threadedComment>
  <threadedComment ref="U255" dT="2024-05-12T06:46:30.34" personId="{6777EDD4-E46F-4979-A7E7-6FC0A82E0C8E}" id="{DBFDA696-CD6B-4117-9102-D1842637ACDE}">
    <text>Account Inactive</text>
  </threadedComment>
  <threadedComment ref="V255" dT="2024-05-12T06:46:30.34" personId="{6777EDD4-E46F-4979-A7E7-6FC0A82E0C8E}" id="{12DDADE2-D74A-4D15-A535-791BB55E344A}">
    <text>Account Inactive</text>
  </threadedComment>
  <threadedComment ref="W255" dT="2024-05-12T06:46:30.34" personId="{6777EDD4-E46F-4979-A7E7-6FC0A82E0C8E}" id="{F9AD359D-BE60-41D8-B6CD-2C2F3141F15C}">
    <text>Account Inactive</text>
  </threadedComment>
  <threadedComment ref="X255" dT="2024-05-12T06:46:30.34" personId="{6777EDD4-E46F-4979-A7E7-6FC0A82E0C8E}" id="{8FFA49A9-C99E-4047-9E5F-096678D2FBD9}">
    <text>Account Inactive</text>
  </threadedComment>
  <threadedComment ref="Y255" dT="2024-05-12T06:46:30.34" personId="{6777EDD4-E46F-4979-A7E7-6FC0A82E0C8E}" id="{4381F57A-0889-47E2-8C23-F3E6271E73EC}">
    <text>Account Inactive</text>
  </threadedComment>
  <threadedComment ref="Z255" dT="2024-05-12T06:46:30.34" personId="{6777EDD4-E46F-4979-A7E7-6FC0A82E0C8E}" id="{92A119DA-1B34-49F1-81BF-EF60FB3261E6}">
    <text>Account Inactive</text>
  </threadedComment>
  <threadedComment ref="AA255" dT="2024-05-12T06:46:30.34" personId="{6777EDD4-E46F-4979-A7E7-6FC0A82E0C8E}" id="{2DD3769A-C792-4293-ABCC-576C8B9778B1}">
    <text>Account Inactive</text>
  </threadedComment>
  <threadedComment ref="AB255" dT="2024-05-12T06:46:30.34" personId="{6777EDD4-E46F-4979-A7E7-6FC0A82E0C8E}" id="{31F14EB4-E89B-4108-A449-FDA69C3090C1}">
    <text>Account Inactive</text>
  </threadedComment>
  <threadedComment ref="AC255" dT="2024-05-12T06:46:30.34" personId="{6777EDD4-E46F-4979-A7E7-6FC0A82E0C8E}" id="{7C530D58-071B-4636-976E-A3677B14721F}">
    <text>Account Inactive</text>
  </threadedComment>
  <threadedComment ref="AD255" dT="2024-05-12T06:46:30.34" personId="{6777EDD4-E46F-4979-A7E7-6FC0A82E0C8E}" id="{EF83D6CE-96DB-4765-8512-2412D3F14195}">
    <text>Account Inactive</text>
  </threadedComment>
  <threadedComment ref="AE255" dT="2024-05-12T06:46:30.34" personId="{6777EDD4-E46F-4979-A7E7-6FC0A82E0C8E}" id="{4D2D0875-0835-46FA-A3C5-E6E3816DCEF2}">
    <text>Account Inactive</text>
  </threadedComment>
  <threadedComment ref="AF255" dT="2024-05-12T06:46:30.34" personId="{6777EDD4-E46F-4979-A7E7-6FC0A82E0C8E}" id="{B024A7E7-C2DB-43BC-B6EE-5EB3FF18776B}">
    <text>Account Inactive</text>
  </threadedComment>
  <threadedComment ref="AG255" dT="2024-05-12T06:46:30.34" personId="{6777EDD4-E46F-4979-A7E7-6FC0A82E0C8E}" id="{AB125323-74DE-4CED-81BA-7F5CD3BFCCD4}">
    <text>Account Inactive</text>
  </threadedComment>
  <threadedComment ref="AH255" dT="2024-05-12T06:46:30.34" personId="{6777EDD4-E46F-4979-A7E7-6FC0A82E0C8E}" id="{458C78F1-8D80-4A46-8587-8E6A37F1B8DC}">
    <text>Account Inactive</text>
  </threadedComment>
  <threadedComment ref="AI255" dT="2024-05-12T06:46:30.34" personId="{6777EDD4-E46F-4979-A7E7-6FC0A82E0C8E}" id="{1DD09725-8540-44A7-B94D-5E9FC7EF6222}">
    <text>Account Inactive</text>
  </threadedComment>
  <threadedComment ref="AJ255" dT="2024-05-12T06:46:30.34" personId="{6777EDD4-E46F-4979-A7E7-6FC0A82E0C8E}" id="{C2998A08-785D-4161-B8BC-F73B75550F95}">
    <text>Account Inactive</text>
  </threadedComment>
  <threadedComment ref="AK255" dT="2024-05-12T06:46:30.34" personId="{6777EDD4-E46F-4979-A7E7-6FC0A82E0C8E}" id="{42B6A773-460D-427A-8B1C-B340A6BEB39E}">
    <text>Account Inactive</text>
  </threadedComment>
  <threadedComment ref="AL255" dT="2024-05-12T06:46:30.34" personId="{6777EDD4-E46F-4979-A7E7-6FC0A82E0C8E}" id="{65569EB9-D817-4FC0-BF89-1412F3CE6651}">
    <text>Account Inactive</text>
  </threadedComment>
  <threadedComment ref="AM255" dT="2024-10-17T09:51:49.13" personId="{6777EDD4-E46F-4979-A7E7-6FC0A82E0C8E}" id="{51F3A2FC-784D-4D2C-A2C9-F0AA20EE424B}">
    <text>Client is Inactive</text>
  </threadedComment>
  <threadedComment ref="AN255" dT="2024-10-17T09:51:49.13" personId="{6777EDD4-E46F-4979-A7E7-6FC0A82E0C8E}" id="{C0964D9D-E0E3-410E-9998-84776A05A284}">
    <text>Client is Inactive</text>
  </threadedComment>
  <threadedComment ref="AO255" dT="2024-10-17T09:51:49.13" personId="{6777EDD4-E46F-4979-A7E7-6FC0A82E0C8E}" id="{0AAC9F89-298C-4375-9601-1FDD3F1ED104}">
    <text>Client is Inactive</text>
  </threadedComment>
  <threadedComment ref="AP255" dT="2024-10-17T09:51:49.13" personId="{6777EDD4-E46F-4979-A7E7-6FC0A82E0C8E}" id="{D90053CE-4588-4435-89A3-E23E638AF1F7}">
    <text>Client is Inactive</text>
  </threadedComment>
  <threadedComment ref="AQ255" dT="2024-10-17T09:51:49.13" personId="{6777EDD4-E46F-4979-A7E7-6FC0A82E0C8E}" id="{AC1C8225-3408-4893-A798-427FBDFD8D69}">
    <text>Client is Inactive</text>
  </threadedComment>
  <threadedComment ref="AR255" dT="2024-10-17T09:51:49.13" personId="{6777EDD4-E46F-4979-A7E7-6FC0A82E0C8E}" id="{3050D47D-0AA1-4BE8-9F9B-886F00785836}">
    <text>Client is Inactive</text>
  </threadedComment>
  <threadedComment ref="AS255" dT="2024-10-17T09:51:49.13" personId="{6777EDD4-E46F-4979-A7E7-6FC0A82E0C8E}" id="{DF2CC156-B058-450D-A9D6-3B6D33145171}">
    <text>Client is Inactive</text>
  </threadedComment>
  <threadedComment ref="AT255" dT="2024-10-17T09:51:49.13" personId="{6777EDD4-E46F-4979-A7E7-6FC0A82E0C8E}" id="{DAA5726F-862C-4998-8CBD-60EB33B28265}">
    <text>Client is Inactive</text>
  </threadedComment>
  <threadedComment ref="AU255" dT="2024-10-17T09:51:49.13" personId="{6777EDD4-E46F-4979-A7E7-6FC0A82E0C8E}" id="{2490C7EB-409D-463D-9F30-F9EEC788404A}">
    <text>Client is Inactive</text>
  </threadedComment>
  <threadedComment ref="AV255" dT="2024-10-17T09:51:49.13" personId="{6777EDD4-E46F-4979-A7E7-6FC0A82E0C8E}" id="{501BAFF4-A15D-435A-92D2-6A878AD93874}">
    <text>Client is Inactive</text>
  </threadedComment>
  <threadedComment ref="AW255" dT="2024-10-17T09:51:49.13" personId="{6777EDD4-E46F-4979-A7E7-6FC0A82E0C8E}" id="{9DFAF36A-29EB-4B7B-B9E4-17BC499B3D26}">
    <text>Client is Inactive</text>
  </threadedComment>
  <threadedComment ref="AX255" dT="2024-10-17T09:51:49.13" personId="{6777EDD4-E46F-4979-A7E7-6FC0A82E0C8E}" id="{B45E0178-DB39-45EC-AD26-666146D1B4DD}">
    <text>Client is Inactive</text>
  </threadedComment>
  <threadedComment ref="AY255" dT="2024-10-17T09:51:49.13" personId="{6777EDD4-E46F-4979-A7E7-6FC0A82E0C8E}" id="{C8ECBB7B-567D-4232-A3F3-F9E15CB2CDD8}">
    <text>Client is Inactive</text>
  </threadedComment>
  <threadedComment ref="AZ255" dT="2024-10-17T09:51:49.13" personId="{6777EDD4-E46F-4979-A7E7-6FC0A82E0C8E}" id="{64485A4D-16FE-4399-AC00-5B1CCB9B7BD8}">
    <text>Client is Inactive</text>
  </threadedComment>
  <threadedComment ref="BA255" dT="2024-10-17T09:51:49.13" personId="{6777EDD4-E46F-4979-A7E7-6FC0A82E0C8E}" id="{C2879D8C-F2C8-4F5D-ADF4-537ECD4F7C7B}">
    <text>Client is Inactive</text>
  </threadedComment>
  <threadedComment ref="BB255" dT="2024-10-17T09:51:49.13" personId="{6777EDD4-E46F-4979-A7E7-6FC0A82E0C8E}" id="{E561335D-EF00-4140-9EE7-A41EB4A5612C}">
    <text>Client is Inactive</text>
  </threadedComment>
  <threadedComment ref="BC255" dT="2024-10-17T09:51:49.13" personId="{6777EDD4-E46F-4979-A7E7-6FC0A82E0C8E}" id="{2F78F3EA-BBEB-41BF-9410-769CCE1DD436}">
    <text>Client is Inactive</text>
  </threadedComment>
  <threadedComment ref="BD255" dT="2024-10-17T09:51:49.13" personId="{6777EDD4-E46F-4979-A7E7-6FC0A82E0C8E}" id="{08211615-551D-43F6-BF49-B76A1073B4DD}">
    <text>Client is Inactive</text>
  </threadedComment>
  <threadedComment ref="BE255" dT="2024-10-18T04:54:46.00" personId="{6777EDD4-E46F-4979-A7E7-6FC0A82E0C8E}" id="{9FAD8DC2-C6E2-499E-B4B0-E8879023959C}">
    <text>Project On-Hold</text>
  </threadedComment>
  <threadedComment ref="BF255" dT="2024-10-18T04:54:46.00" personId="{6777EDD4-E46F-4979-A7E7-6FC0A82E0C8E}" id="{E1F24A6E-C34F-4A30-A4C2-C0B51711C34B}">
    <text>Project On-Hold</text>
  </threadedComment>
  <threadedComment ref="BG255" dT="2024-10-18T04:54:46.00" personId="{6777EDD4-E46F-4979-A7E7-6FC0A82E0C8E}" id="{F6117F8E-1779-4610-BE03-F1D923A272D5}">
    <text>Project On-Hold</text>
  </threadedComment>
  <threadedComment ref="BH255" dT="2024-10-18T04:54:46.00" personId="{6777EDD4-E46F-4979-A7E7-6FC0A82E0C8E}" id="{A80A3B70-2EE0-4A44-BB07-3940106BA2AC}">
    <text>Project On-Hold</text>
  </threadedComment>
  <threadedComment ref="BI255" dT="2024-10-18T04:54:46.00" personId="{6777EDD4-E46F-4979-A7E7-6FC0A82E0C8E}" id="{6E88DC40-64A4-42B3-8271-3EDB2E1CA19F}">
    <text>Project On-Hold</text>
  </threadedComment>
  <threadedComment ref="BJ255" dT="2024-10-18T04:54:46.00" personId="{6777EDD4-E46F-4979-A7E7-6FC0A82E0C8E}" id="{961039BB-8B46-4C47-B282-97FADDFAD6C8}">
    <text>Project On-Hold</text>
  </threadedComment>
  <threadedComment ref="BK255" dT="2024-10-18T04:54:46.00" personId="{6777EDD4-E46F-4979-A7E7-6FC0A82E0C8E}" id="{E78C8283-D250-4EA9-8F05-76BC59DE6F05}">
    <text>Project On-Hold</text>
  </threadedComment>
  <threadedComment ref="BL255" dT="2024-10-18T04:54:46.00" personId="{6777EDD4-E46F-4979-A7E7-6FC0A82E0C8E}" id="{EA1119AD-DD06-4EE0-A979-34815DF8A767}">
    <text>Project On-Hold</text>
  </threadedComment>
  <threadedComment ref="BM255" dT="2024-10-18T04:54:46.00" personId="{6777EDD4-E46F-4979-A7E7-6FC0A82E0C8E}" id="{A9EE7EFF-719F-4E96-8DDD-6D8E6F3A80DB}">
    <text>Project On-Hold</text>
  </threadedComment>
  <threadedComment ref="BN255" dT="2024-10-18T04:54:46.00" personId="{6777EDD4-E46F-4979-A7E7-6FC0A82E0C8E}" id="{BC482F07-C36F-43FA-B116-A538FE4F7594}">
    <text>Project On-Hold</text>
  </threadedComment>
  <threadedComment ref="BP255" dT="2024-10-18T04:54:46.00" personId="{6777EDD4-E46F-4979-A7E7-6FC0A82E0C8E}" id="{492596F6-89F4-42C5-8754-6A8E5DE5EE3F}">
    <text>Project On-Hold</text>
  </threadedComment>
  <threadedComment ref="BR255" dT="2024-10-18T04:54:46.00" personId="{6777EDD4-E46F-4979-A7E7-6FC0A82E0C8E}" id="{38F38F6D-E351-4451-B060-B43AA5903452}">
    <text>Project On-Hold</text>
  </threadedComment>
  <threadedComment ref="BS255" dT="2024-10-18T04:54:46.00" personId="{6777EDD4-E46F-4979-A7E7-6FC0A82E0C8E}" id="{0902DBD4-27FB-42D0-AAB7-20F95DC3479E}">
    <text>Project On-Hold</text>
  </threadedComment>
  <threadedComment ref="BU255" dT="2024-10-17T09:51:49.13" personId="{6777EDD4-E46F-4979-A7E7-6FC0A82E0C8E}" id="{879D95A7-E9BE-46B7-85DF-4DF2BDEBD257}">
    <text>Client is Inactive</text>
  </threadedComment>
  <threadedComment ref="Q256" dT="2024-05-12T06:46:30.34" personId="{6777EDD4-E46F-4979-A7E7-6FC0A82E0C8E}" id="{0854156E-1AB7-48EE-B35E-CE98B46CAAD0}">
    <text>Account Inactive</text>
  </threadedComment>
  <threadedComment ref="R256" dT="2024-05-12T06:46:30.34" personId="{6777EDD4-E46F-4979-A7E7-6FC0A82E0C8E}" id="{0D48B038-4DF5-46A8-B5B6-1C114DC07351}">
    <text>Account Inactive</text>
  </threadedComment>
  <threadedComment ref="S256" dT="2024-05-12T06:46:30.34" personId="{6777EDD4-E46F-4979-A7E7-6FC0A82E0C8E}" id="{11E2C88C-26CB-42D9-823F-D69DD8664719}">
    <text>Account Inactive</text>
  </threadedComment>
  <threadedComment ref="T256" dT="2024-05-12T06:46:30.34" personId="{6777EDD4-E46F-4979-A7E7-6FC0A82E0C8E}" id="{04D0A374-A1A3-4C6E-A9A4-5A59ED18C1CA}">
    <text>Account Inactive</text>
  </threadedComment>
  <threadedComment ref="U256" dT="2024-05-12T06:46:30.34" personId="{6777EDD4-E46F-4979-A7E7-6FC0A82E0C8E}" id="{4E88A1A1-10EB-43CC-B708-9240B3E44787}">
    <text>Account Inactive</text>
  </threadedComment>
  <threadedComment ref="V256" dT="2024-05-12T06:46:30.34" personId="{6777EDD4-E46F-4979-A7E7-6FC0A82E0C8E}" id="{7135F065-0E6B-41B1-8528-A2A6C13FA76C}">
    <text>Account Inactive</text>
  </threadedComment>
  <threadedComment ref="W256" dT="2024-05-12T06:46:30.34" personId="{6777EDD4-E46F-4979-A7E7-6FC0A82E0C8E}" id="{40C7AE8E-252B-4F4A-B1CC-1F6208100282}">
    <text>Account Inactive</text>
  </threadedComment>
  <threadedComment ref="X256" dT="2024-05-12T06:46:30.34" personId="{6777EDD4-E46F-4979-A7E7-6FC0A82E0C8E}" id="{3418AA0A-8C44-4953-9AB7-3373FF9828A3}">
    <text>Account Inactive</text>
  </threadedComment>
  <threadedComment ref="Y256" dT="2024-05-12T06:46:30.34" personId="{6777EDD4-E46F-4979-A7E7-6FC0A82E0C8E}" id="{8E321588-58ED-4BA5-BEA8-C18EC08BE056}">
    <text>Account Inactive</text>
  </threadedComment>
  <threadedComment ref="Z256" dT="2024-05-12T06:46:30.34" personId="{6777EDD4-E46F-4979-A7E7-6FC0A82E0C8E}" id="{4AAD35C1-3055-456B-8322-BA4F9606BF1D}">
    <text>Account Inactive</text>
  </threadedComment>
  <threadedComment ref="AA256" dT="2024-05-12T06:46:30.34" personId="{6777EDD4-E46F-4979-A7E7-6FC0A82E0C8E}" id="{2F47C09F-02BF-42E3-A717-D48495650C56}">
    <text>Account Inactive</text>
  </threadedComment>
  <threadedComment ref="AB256" dT="2024-05-12T06:46:30.34" personId="{6777EDD4-E46F-4979-A7E7-6FC0A82E0C8E}" id="{58910C31-3330-49FF-88AB-AC362A393C2D}">
    <text>Account Inactive</text>
  </threadedComment>
  <threadedComment ref="AC256" dT="2024-05-12T06:46:30.34" personId="{6777EDD4-E46F-4979-A7E7-6FC0A82E0C8E}" id="{64A80C96-310E-43D7-9EBC-30877C334E75}">
    <text>Account Inactive</text>
  </threadedComment>
  <threadedComment ref="AD256" dT="2024-05-12T06:46:30.34" personId="{6777EDD4-E46F-4979-A7E7-6FC0A82E0C8E}" id="{1BB79C43-3D24-49AC-ADE5-433804CAF85C}">
    <text>Account Inactive</text>
  </threadedComment>
  <threadedComment ref="AE256" dT="2024-05-12T06:46:30.34" personId="{6777EDD4-E46F-4979-A7E7-6FC0A82E0C8E}" id="{7DDFA765-721A-4B75-9997-058960562DC4}">
    <text>Account Inactive</text>
  </threadedComment>
  <threadedComment ref="AF256" dT="2024-05-12T06:46:30.34" personId="{6777EDD4-E46F-4979-A7E7-6FC0A82E0C8E}" id="{6F1A35B7-FE90-4607-8581-03DECA57EB05}">
    <text>Account Inactive</text>
  </threadedComment>
  <threadedComment ref="AG256" dT="2024-05-12T06:46:30.34" personId="{6777EDD4-E46F-4979-A7E7-6FC0A82E0C8E}" id="{5ED72E85-2D1C-4A3D-9172-04C9313F8373}">
    <text>Account Inactive</text>
  </threadedComment>
  <threadedComment ref="AH256" dT="2024-05-12T06:46:30.34" personId="{6777EDD4-E46F-4979-A7E7-6FC0A82E0C8E}" id="{A848A53D-9784-40AB-9D74-00CEED96307B}">
    <text>Account Inactive</text>
  </threadedComment>
  <threadedComment ref="AI256" dT="2024-05-12T06:46:30.34" personId="{6777EDD4-E46F-4979-A7E7-6FC0A82E0C8E}" id="{A33CF9F5-E4AC-472A-82A3-B8318E99F248}">
    <text>Account Inactive</text>
  </threadedComment>
  <threadedComment ref="AJ256" dT="2024-05-12T06:46:30.34" personId="{6777EDD4-E46F-4979-A7E7-6FC0A82E0C8E}" id="{78B08E86-C171-4024-AB16-A7E5C15E9016}">
    <text>Account Inactive</text>
  </threadedComment>
  <threadedComment ref="AK256" dT="2024-05-12T06:46:30.34" personId="{6777EDD4-E46F-4979-A7E7-6FC0A82E0C8E}" id="{EEB9D083-7248-4075-A51D-FE80894E1E7D}">
    <text>Account Inactive</text>
  </threadedComment>
  <threadedComment ref="AL256" dT="2024-05-12T06:46:30.34" personId="{6777EDD4-E46F-4979-A7E7-6FC0A82E0C8E}" id="{B9EE162C-65A8-42C6-AF6F-4854FE057BAB}">
    <text>Account Inactive</text>
  </threadedComment>
  <threadedComment ref="AM256" dT="2024-10-17T09:51:49.13" personId="{6777EDD4-E46F-4979-A7E7-6FC0A82E0C8E}" id="{9DD8DD74-6F58-447B-9018-208F8EA35ED5}">
    <text>Client is Inactive</text>
  </threadedComment>
  <threadedComment ref="AN256" dT="2024-10-17T09:51:49.13" personId="{6777EDD4-E46F-4979-A7E7-6FC0A82E0C8E}" id="{F16ECCC3-C660-419F-BEBD-8461DA8D31F6}">
    <text>Client is Inactive</text>
  </threadedComment>
  <threadedComment ref="AO256" dT="2024-10-17T09:51:49.13" personId="{6777EDD4-E46F-4979-A7E7-6FC0A82E0C8E}" id="{C802DB7F-1721-4A7D-8005-B4ABB3754341}">
    <text>Client is Inactive</text>
  </threadedComment>
  <threadedComment ref="AP256" dT="2024-10-17T09:51:49.13" personId="{6777EDD4-E46F-4979-A7E7-6FC0A82E0C8E}" id="{0368F74E-27CA-4DA5-849F-614C1A6D10BC}">
    <text>Client is Inactive</text>
  </threadedComment>
  <threadedComment ref="AQ256" dT="2024-10-17T09:51:49.13" personId="{6777EDD4-E46F-4979-A7E7-6FC0A82E0C8E}" id="{8A681774-F28B-41E2-A1DF-FC8C258E463A}">
    <text>Client is Inactive</text>
  </threadedComment>
  <threadedComment ref="AR256" dT="2024-10-17T09:51:49.13" personId="{6777EDD4-E46F-4979-A7E7-6FC0A82E0C8E}" id="{AEA69125-F794-48DC-9CBE-F30BE8DB453D}">
    <text>Client is Inactive</text>
  </threadedComment>
  <threadedComment ref="AS256" dT="2024-10-17T09:51:49.13" personId="{6777EDD4-E46F-4979-A7E7-6FC0A82E0C8E}" id="{EA27C9EF-0F3D-44F7-96CD-B9B1D6177DF7}">
    <text>Client is Inactive</text>
  </threadedComment>
  <threadedComment ref="AT256" dT="2024-10-17T09:51:49.13" personId="{6777EDD4-E46F-4979-A7E7-6FC0A82E0C8E}" id="{CCF0DB0D-5B9E-4EB1-85F7-F343E43D24D4}">
    <text>Client is Inactive</text>
  </threadedComment>
  <threadedComment ref="AU256" dT="2024-10-17T09:51:49.13" personId="{6777EDD4-E46F-4979-A7E7-6FC0A82E0C8E}" id="{1357FF5E-8461-4547-AB34-307EB091461D}">
    <text>Client is Inactive</text>
  </threadedComment>
  <threadedComment ref="AV256" dT="2024-10-17T09:51:49.13" personId="{6777EDD4-E46F-4979-A7E7-6FC0A82E0C8E}" id="{2254C569-67DD-4ADF-A61B-D9009DE74D52}">
    <text>Client is Inactive</text>
  </threadedComment>
  <threadedComment ref="AW256" dT="2024-10-17T09:51:49.13" personId="{6777EDD4-E46F-4979-A7E7-6FC0A82E0C8E}" id="{360C93DA-DCAE-4B29-8E55-42269648E7B1}">
    <text>Client is Inactive</text>
  </threadedComment>
  <threadedComment ref="AX256" dT="2024-10-17T09:51:49.13" personId="{6777EDD4-E46F-4979-A7E7-6FC0A82E0C8E}" id="{C716E557-F9EF-46A9-AA9C-BFA32EF0384E}">
    <text>Client is Inactive</text>
  </threadedComment>
  <threadedComment ref="AY256" dT="2024-10-17T09:51:49.13" personId="{6777EDD4-E46F-4979-A7E7-6FC0A82E0C8E}" id="{14C39EBC-7E64-4EF4-BD99-B2D66844F238}">
    <text>Client is Inactive</text>
  </threadedComment>
  <threadedComment ref="AZ256" dT="2024-10-17T09:51:49.13" personId="{6777EDD4-E46F-4979-A7E7-6FC0A82E0C8E}" id="{3FE98490-A4A3-426A-A1AB-151B708CADFB}">
    <text>Client is Inactive</text>
  </threadedComment>
  <threadedComment ref="BA256" dT="2024-10-17T09:51:49.13" personId="{6777EDD4-E46F-4979-A7E7-6FC0A82E0C8E}" id="{F741929A-3E57-4BC1-85DC-65F99617A795}">
    <text>Client is Inactive</text>
  </threadedComment>
  <threadedComment ref="BB256" dT="2024-10-17T09:51:49.13" personId="{6777EDD4-E46F-4979-A7E7-6FC0A82E0C8E}" id="{996CDF1A-710F-4182-B4D7-12EB390B9FC7}">
    <text>Client is Inactive</text>
  </threadedComment>
  <threadedComment ref="BC256" dT="2024-10-17T09:51:49.13" personId="{6777EDD4-E46F-4979-A7E7-6FC0A82E0C8E}" id="{5BF2F4ED-EF52-4354-81AC-5BB9007D117C}">
    <text>Client is Inactive</text>
  </threadedComment>
  <threadedComment ref="BD256" dT="2024-10-17T09:51:49.13" personId="{6777EDD4-E46F-4979-A7E7-6FC0A82E0C8E}" id="{27B78031-FE6E-4B41-9566-B735937ECFCE}">
    <text>Client is Inactive</text>
  </threadedComment>
  <threadedComment ref="BE256" dT="2024-10-18T04:54:46.00" personId="{6777EDD4-E46F-4979-A7E7-6FC0A82E0C8E}" id="{BF6B1C1C-886F-4595-A096-4EF095671AA4}">
    <text>Project On-Hold</text>
  </threadedComment>
  <threadedComment ref="BF256" dT="2024-10-18T04:54:46.00" personId="{6777EDD4-E46F-4979-A7E7-6FC0A82E0C8E}" id="{D139DC91-44EC-4511-A9B5-A1087D6895F4}">
    <text>Project On-Hold</text>
  </threadedComment>
  <threadedComment ref="BG256" dT="2024-10-18T04:54:46.00" personId="{6777EDD4-E46F-4979-A7E7-6FC0A82E0C8E}" id="{99C13148-EB91-4C5B-ACEA-B68B52F6889A}">
    <text>Project On-Hold</text>
  </threadedComment>
  <threadedComment ref="BH256" dT="2024-10-18T04:54:46.00" personId="{6777EDD4-E46F-4979-A7E7-6FC0A82E0C8E}" id="{37C9B100-C874-49E9-838E-07FBEEA89431}">
    <text>Project On-Hold</text>
  </threadedComment>
  <threadedComment ref="BI256" dT="2024-10-18T04:54:46.00" personId="{6777EDD4-E46F-4979-A7E7-6FC0A82E0C8E}" id="{9C2CBE71-67F3-41C2-8CC0-990505167BFD}">
    <text>Project On-Hold</text>
  </threadedComment>
  <threadedComment ref="BJ256" dT="2024-10-18T04:54:46.00" personId="{6777EDD4-E46F-4979-A7E7-6FC0A82E0C8E}" id="{1414FAD9-1940-4542-8829-A719231D19CE}">
    <text>Project On-Hold</text>
  </threadedComment>
  <threadedComment ref="BK256" dT="2024-10-18T04:54:46.00" personId="{6777EDD4-E46F-4979-A7E7-6FC0A82E0C8E}" id="{D1CE4F07-9B2D-4D5B-BC2C-042900025BDC}">
    <text>Project On-Hold</text>
  </threadedComment>
  <threadedComment ref="BL256" dT="2024-10-18T04:54:46.00" personId="{6777EDD4-E46F-4979-A7E7-6FC0A82E0C8E}" id="{96ECEA72-4D51-44E3-A132-010D5134034B}">
    <text>Project On-Hold</text>
  </threadedComment>
  <threadedComment ref="BM256" dT="2024-10-18T04:54:46.00" personId="{6777EDD4-E46F-4979-A7E7-6FC0A82E0C8E}" id="{87FC52F6-AC48-4ABF-90C6-C05E37B19D1A}">
    <text>Project On-Hold</text>
  </threadedComment>
  <threadedComment ref="BN256" dT="2024-10-18T04:54:46.00" personId="{6777EDD4-E46F-4979-A7E7-6FC0A82E0C8E}" id="{F2E76C1C-683F-41EA-88E5-D945CAE69758}">
    <text>Project On-Hold</text>
  </threadedComment>
  <threadedComment ref="BP256" dT="2024-10-18T04:54:46.00" personId="{6777EDD4-E46F-4979-A7E7-6FC0A82E0C8E}" id="{7A6E717C-368F-484F-B24E-F512E482A820}">
    <text>Project On-Hold</text>
  </threadedComment>
  <threadedComment ref="BR256" dT="2024-10-18T04:54:46.00" personId="{6777EDD4-E46F-4979-A7E7-6FC0A82E0C8E}" id="{D82D01AB-AC78-4220-9A3B-64660F8EAB82}">
    <text>Project On-Hold</text>
  </threadedComment>
  <threadedComment ref="BS256" dT="2024-10-18T04:54:46.00" personId="{6777EDD4-E46F-4979-A7E7-6FC0A82E0C8E}" id="{C4645AA7-D9C3-422E-97B1-B84F89877482}">
    <text>Project On-Hold</text>
  </threadedComment>
  <threadedComment ref="BU256" dT="2024-10-17T09:51:49.13" personId="{6777EDD4-E46F-4979-A7E7-6FC0A82E0C8E}" id="{49C4EF8F-4CA0-49D6-91F5-A9D95DF9CA33}">
    <text>Client is Inactive</text>
  </threadedComment>
  <threadedComment ref="Y257" dT="2024-09-15T09:03:36.05" personId="{6777EDD4-E46F-4979-A7E7-6FC0A82E0C8E}" id="{87A9D741-C8DA-4DF1-85DE-7D912DB75AD2}">
    <text>The data has not been validated because the base file was incomplete. Therefore, I am reporting the same numbers that you reported."</text>
  </threadedComment>
  <threadedComment ref="AY257" dT="2025-07-25T11:06:10.41" personId="{7A84A2D1-0B72-4118-92E2-DA71D4FDA6B6}" id="{908CF2FD-0861-4E1E-B5BF-67E5BDF1742E}">
    <text>Req assign date not updated in the tracker, hence not validated</text>
  </threadedComment>
  <threadedComment ref="BA257" dT="2025-07-25T11:06:48.08" personId="{7A84A2D1-0B72-4118-92E2-DA71D4FDA6B6}" id="{3E61DA80-58FC-47C7-A71E-828D32285259}">
    <text>Req assign date not updated in the tracker, hence not validated</text>
  </threadedComment>
  <threadedComment ref="BC257" dT="2025-08-28T13:44:38.78" personId="{6777EDD4-E46F-4979-A7E7-6FC0A82E0C8E}" id="{A29E445C-40E4-4C5C-BB45-0E24BEFB0DC0}">
    <text>Manager left PH not having any member to measure the numbers</text>
  </threadedComment>
  <threadedComment ref="BD257" dT="2025-08-28T13:44:38.78" personId="{6777EDD4-E46F-4979-A7E7-6FC0A82E0C8E}" id="{D881B196-DFE3-43FF-8F62-0F90AC432DB4}">
    <text>Manager left PH not having any member to measure the numbers</text>
  </threadedComment>
  <threadedComment ref="BE257" dT="2025-08-28T13:44:38.78" personId="{6777EDD4-E46F-4979-A7E7-6FC0A82E0C8E}" id="{35244F0C-625F-4D42-B5CE-83554BF699E2}">
    <text>Manager left PH not having any member to measure the numbers</text>
  </threadedComment>
  <threadedComment ref="BF257" dT="2025-08-28T13:44:38.78" personId="{6777EDD4-E46F-4979-A7E7-6FC0A82E0C8E}" id="{DD917F7A-F078-41AC-850D-6EBD92F9A14F}">
    <text>Manager left PH not having any member to measure the numbers</text>
  </threadedComment>
  <threadedComment ref="Y258" dT="2024-09-15T09:03:49.87" personId="{6777EDD4-E46F-4979-A7E7-6FC0A82E0C8E}" id="{0B0EC61E-5D3A-4429-AA0F-9EB6179AE9C3}">
    <text>The data has not been validated because the base file was incomplete. Therefore, I am reporting the same numbers that you reported."</text>
  </threadedComment>
  <threadedComment ref="AY258" dT="2025-07-25T11:06:36.48" personId="{7A84A2D1-0B72-4118-92E2-DA71D4FDA6B6}" id="{CEC04983-DEBB-489B-A782-B393A29E823A}">
    <text>Req assign date not updated in the tracker, hence not validated</text>
  </threadedComment>
  <threadedComment ref="BA258" dT="2025-07-25T11:06:54.98" personId="{7A84A2D1-0B72-4118-92E2-DA71D4FDA6B6}" id="{34C1DBE1-F952-4642-9740-ECF9C35D4F41}">
    <text>Req assign date not updated in the tracker, hence not validated</text>
  </threadedComment>
  <threadedComment ref="BC258" dT="2025-08-28T13:44:38.78" personId="{6777EDD4-E46F-4979-A7E7-6FC0A82E0C8E}" id="{F254D8B9-B6ED-4ADD-B2BE-328BE7C17E37}">
    <text>Manager left PH not having any member to measure the numbers</text>
  </threadedComment>
  <threadedComment ref="BD258" dT="2025-08-28T13:44:38.78" personId="{6777EDD4-E46F-4979-A7E7-6FC0A82E0C8E}" id="{D07E11E0-C389-4F34-89A5-80605F33F16B}">
    <text>Manager left PH not having any member to measure the numbers</text>
  </threadedComment>
  <threadedComment ref="W259" dT="2024-08-19T14:13:46.50" personId="{6777EDD4-E46F-4979-A7E7-6FC0A82E0C8E}" id="{39CCA737-7583-4EFD-8EF0-DF496248DFAA}">
    <text>Tata Electronics works on a Drive module platform</text>
  </threadedComment>
  <threadedComment ref="X259" dT="2024-08-19T14:13:46.50" personId="{6777EDD4-E46F-4979-A7E7-6FC0A82E0C8E}" id="{30520F83-90E9-44E0-BFA1-DFC1861A403A}">
    <text>Tata Electronics works on a Drive module platform</text>
  </threadedComment>
  <threadedComment ref="Y259" dT="2024-08-19T14:13:46.50" personId="{6777EDD4-E46F-4979-A7E7-6FC0A82E0C8E}" id="{38602510-8D4F-4832-9C80-1DBB658C7D00}">
    <text>Tata Electronics works on a Drive module platform</text>
  </threadedComment>
  <threadedComment ref="Z259" dT="2024-08-19T14:13:46.50" personId="{6777EDD4-E46F-4979-A7E7-6FC0A82E0C8E}" id="{DA41A35A-18B9-4B62-A03C-1000605F0A0B}">
    <text>Tata Electronics works on a Drive module platform</text>
  </threadedComment>
  <threadedComment ref="AA259" dT="2024-08-19T14:13:46.50" personId="{6777EDD4-E46F-4979-A7E7-6FC0A82E0C8E}" id="{D80366C2-DC3A-46C4-934A-AB13638D1575}">
    <text>Tata Electronics works on a Drive module platform</text>
  </threadedComment>
  <threadedComment ref="AB259" dT="2024-08-19T14:13:46.50" personId="{6777EDD4-E46F-4979-A7E7-6FC0A82E0C8E}" id="{BDB72F68-E728-443C-9776-B38A9314A7BF}">
    <text>Tata Electronics works on a Drive module platform</text>
  </threadedComment>
  <threadedComment ref="AE259" dT="2024-08-19T14:13:46.50" personId="{6777EDD4-E46F-4979-A7E7-6FC0A82E0C8E}" id="{ED4979A6-CEE4-4E18-BD3A-1E2FCB3FF173}">
    <text>Tata Electronics works on a Drive module platform</text>
  </threadedComment>
  <threadedComment ref="AF259" dT="2024-08-19T14:13:46.50" personId="{6777EDD4-E46F-4979-A7E7-6FC0A82E0C8E}" id="{62F28745-8725-4877-8F53-0560C7BC73F5}">
    <text>Tata Electronics works on a Drive module platform</text>
  </threadedComment>
  <threadedComment ref="AG259" dT="2024-08-19T14:13:46.50" personId="{6777EDD4-E46F-4979-A7E7-6FC0A82E0C8E}" id="{12EDCF12-845A-4862-9D8E-F9ED5C1BD426}">
    <text>Tata Electronics works on a Drive module platform</text>
  </threadedComment>
  <threadedComment ref="AH259" dT="2024-08-19T14:13:46.50" personId="{6777EDD4-E46F-4979-A7E7-6FC0A82E0C8E}" id="{8FE8677E-4F45-49BA-8965-9C5189E9AC52}">
    <text>Tata Electronics works on a Drive module platform</text>
  </threadedComment>
  <threadedComment ref="AI259" dT="2024-08-19T14:13:46.50" personId="{6777EDD4-E46F-4979-A7E7-6FC0A82E0C8E}" id="{AAD78066-8436-4CEE-A705-8BE8382A26B1}">
    <text>Tata Electronics works on a Drive module platform</text>
  </threadedComment>
  <threadedComment ref="AJ259" dT="2024-08-19T14:13:46.50" personId="{6777EDD4-E46F-4979-A7E7-6FC0A82E0C8E}" id="{9FC0F152-4702-406E-9A45-5EE216F17D9D}">
    <text>Tata Electronics works on a Drive module platform</text>
  </threadedComment>
  <threadedComment ref="AM259" dT="2024-08-19T14:13:46.50" personId="{6777EDD4-E46F-4979-A7E7-6FC0A82E0C8E}" id="{DA3DBFBB-021A-4ACB-A731-D8F66131F067}">
    <text>Tata Electronics works on a Drive module platform</text>
  </threadedComment>
  <threadedComment ref="AN259" dT="2024-08-19T14:13:46.50" personId="{6777EDD4-E46F-4979-A7E7-6FC0A82E0C8E}" id="{FBCA98F1-6425-42C3-9573-3C42BCBC9253}">
    <text>Tata Electronics works on a Drive module platform</text>
  </threadedComment>
  <threadedComment ref="BC259" dT="2025-08-28T13:44:38.78" personId="{6777EDD4-E46F-4979-A7E7-6FC0A82E0C8E}" id="{37836686-70FA-447F-A48B-AD682E0FC3AC}">
    <text>Manager left PH not having any member to measure the numbers</text>
  </threadedComment>
  <threadedComment ref="BD259" dT="2025-08-28T13:44:38.78" personId="{6777EDD4-E46F-4979-A7E7-6FC0A82E0C8E}" id="{DE1502FB-03E1-476B-9F52-F17D2DFD65D3}">
    <text>Manager left PH not having any member to measure the numbers</text>
  </threadedComment>
  <threadedComment ref="BL259" dT="2024-10-18T04:54:46.00" personId="{6777EDD4-E46F-4979-A7E7-6FC0A82E0C8E}" id="{1EC6E96F-C5CA-476D-9B64-073A70E440A8}">
    <text>Project On-Hold</text>
  </threadedComment>
  <threadedComment ref="BN259" dT="2024-10-18T04:54:46.00" personId="{6777EDD4-E46F-4979-A7E7-6FC0A82E0C8E}" id="{BAA57A65-0EB7-4139-88D2-2C48A53443B9}">
    <text>Project On-Hold</text>
  </threadedComment>
  <threadedComment ref="BP259" dT="2024-10-18T04:54:46.00" personId="{6777EDD4-E46F-4979-A7E7-6FC0A82E0C8E}" id="{C6360F6B-E06D-4D8C-986C-9DE8CFC71261}">
    <text>Project On-Hold</text>
  </threadedComment>
  <threadedComment ref="BR259" dT="2024-10-18T04:54:46.00" personId="{6777EDD4-E46F-4979-A7E7-6FC0A82E0C8E}" id="{2A0D44E0-C362-4AA8-9381-85F2AD619331}">
    <text>Project On-Hold</text>
  </threadedComment>
  <threadedComment ref="Y260" dT="2024-09-15T09:03:56.79" personId="{6777EDD4-E46F-4979-A7E7-6FC0A82E0C8E}" id="{51002FED-4AEB-42BE-A3A1-7CA535805E42}">
    <text>The data has not been validated because the base file was incomplete. Therefore, I am reporting the same numbers that you reported."</text>
  </threadedComment>
  <threadedComment ref="AG260" dT="2024-12-20T08:24:41.02" personId="{6777EDD4-E46F-4979-A7E7-6FC0A82E0C8E}" id="{465A3161-EEAD-42E0-BF77-E022C311A7DF}">
    <text>Validated</text>
  </threadedComment>
  <threadedComment ref="AI260" dT="2024-12-20T08:24:41.02" personId="{6777EDD4-E46F-4979-A7E7-6FC0A82E0C8E}" id="{1597F443-59C1-463F-A597-2A9897609D81}">
    <text>Validated</text>
  </threadedComment>
  <threadedComment ref="BA260" dT="2025-07-25T11:14:13.53" personId="{7A84A2D1-0B72-4118-92E2-DA71D4FDA6B6}" id="{E05BC638-1AF6-402D-BE07-6A0F426E1CC7}">
    <text>Insufficient data, not validated</text>
  </threadedComment>
  <threadedComment ref="BC260" dT="2025-08-28T13:44:38.78" personId="{6777EDD4-E46F-4979-A7E7-6FC0A82E0C8E}" id="{5B5F81A7-535A-4A5C-A91D-C02FACB992BF}">
    <text>Manager left PH not having any member to measure the numbers</text>
  </threadedComment>
  <threadedComment ref="BD260" dT="2025-08-28T13:44:38.78" personId="{6777EDD4-E46F-4979-A7E7-6FC0A82E0C8E}" id="{F3126A89-E1AB-45D5-9850-BC23DE6EB785}">
    <text>Manager left PH not having any member to measure the numbers</text>
  </threadedComment>
  <threadedComment ref="W261" dT="2024-08-19T14:13:46.50" personId="{6777EDD4-E46F-4979-A7E7-6FC0A82E0C8E}" id="{FDC02BF2-F7E2-4C75-A1BD-13650C5759EB}">
    <text>Tata Electronics works on a Drive module platform</text>
  </threadedComment>
  <threadedComment ref="X261" dT="2024-08-19T14:13:46.50" personId="{6777EDD4-E46F-4979-A7E7-6FC0A82E0C8E}" id="{58D9639C-32B7-49BE-8EC9-5C6746CDA977}">
    <text>Tata Electronics works on a Drive module platform</text>
  </threadedComment>
  <threadedComment ref="Y261" dT="2024-08-19T14:13:46.50" personId="{6777EDD4-E46F-4979-A7E7-6FC0A82E0C8E}" id="{84BA090C-D1EB-4EE2-A88E-95B9A4297A61}">
    <text>Tata Electronics works on a Drive module platform</text>
  </threadedComment>
  <threadedComment ref="Z261" dT="2024-08-19T14:13:46.50" personId="{6777EDD4-E46F-4979-A7E7-6FC0A82E0C8E}" id="{404A4554-659D-4A0F-A327-D148DAA87CD5}">
    <text>Tata Electronics works on a Drive module platform</text>
  </threadedComment>
  <threadedComment ref="AA261" dT="2024-08-19T14:13:46.50" personId="{6777EDD4-E46F-4979-A7E7-6FC0A82E0C8E}" id="{2F0B8E73-E182-4521-AEA6-E5EEC4A422E1}">
    <text>Tata Electronics works on a Drive module platform</text>
  </threadedComment>
  <threadedComment ref="AB261" dT="2024-08-19T14:13:46.50" personId="{6777EDD4-E46F-4979-A7E7-6FC0A82E0C8E}" id="{C42052FD-424B-45DD-9C1E-4F9F49C87C32}">
    <text>Tata Electronics works on a Drive module platform</text>
  </threadedComment>
  <threadedComment ref="AE261" dT="2024-08-19T14:13:46.50" personId="{6777EDD4-E46F-4979-A7E7-6FC0A82E0C8E}" id="{614E51B6-2EB0-4A9F-9C90-D6D7B0491343}">
    <text>Tata Electronics works on a Drive module platform</text>
  </threadedComment>
  <threadedComment ref="AF261" dT="2024-08-19T14:13:46.50" personId="{6777EDD4-E46F-4979-A7E7-6FC0A82E0C8E}" id="{040AC810-211D-4DAB-B1F6-F9FF51FEF89C}">
    <text>Tata Electronics works on a Drive module platform</text>
  </threadedComment>
  <threadedComment ref="AG261" dT="2024-08-19T14:13:46.50" personId="{6777EDD4-E46F-4979-A7E7-6FC0A82E0C8E}" id="{7C7145C2-FDD2-46C7-9293-5C408B43AAFF}">
    <text>Tata Electronics works on a Drive module platform</text>
  </threadedComment>
  <threadedComment ref="AH261" dT="2024-08-19T14:13:46.50" personId="{6777EDD4-E46F-4979-A7E7-6FC0A82E0C8E}" id="{1C638F38-602A-4DF0-8CC0-65CF89001D42}">
    <text>Tata Electronics works on a Drive module platform</text>
  </threadedComment>
  <threadedComment ref="AI261" dT="2024-08-19T14:13:46.50" personId="{6777EDD4-E46F-4979-A7E7-6FC0A82E0C8E}" id="{E615B6CF-F054-4407-830E-08FCD74386EA}">
    <text>Tata Electronics works on a Drive module platform</text>
  </threadedComment>
  <threadedComment ref="AJ261" dT="2024-08-19T14:13:46.50" personId="{6777EDD4-E46F-4979-A7E7-6FC0A82E0C8E}" id="{F2C6226E-5B5D-4D6D-9405-5937209A28BA}">
    <text>Tata Electronics works on a Drive module platform</text>
  </threadedComment>
  <threadedComment ref="AM261" dT="2024-08-19T14:13:46.50" personId="{6777EDD4-E46F-4979-A7E7-6FC0A82E0C8E}" id="{D6F4995A-EDD4-4353-A15B-058D7AAC3E06}">
    <text>Tata Electronics works on a Drive module platform</text>
  </threadedComment>
  <threadedComment ref="AN261" dT="2024-08-19T14:13:46.50" personId="{6777EDD4-E46F-4979-A7E7-6FC0A82E0C8E}" id="{9B7473E1-BA00-4FD7-965E-4BB1C3F90CF1}">
    <text>Tata Electronics works on a Drive module platform</text>
  </threadedComment>
  <threadedComment ref="BC261" dT="2025-08-28T13:44:38.78" personId="{6777EDD4-E46F-4979-A7E7-6FC0A82E0C8E}" id="{95E3007F-B5B1-4ADF-AE3F-DABA8B3D37F6}">
    <text>Manager left PH not having any member to measure the numbers</text>
  </threadedComment>
  <threadedComment ref="BD261" dT="2025-08-28T13:44:38.78" personId="{6777EDD4-E46F-4979-A7E7-6FC0A82E0C8E}" id="{02BEE2FF-5531-4E69-8BD3-25E25821BBF3}">
    <text>Manager left PH not having any member to measure the numbers</text>
  </threadedComment>
  <threadedComment ref="AM262" dT="2024-08-19T14:13:46.50" personId="{6777EDD4-E46F-4979-A7E7-6FC0A82E0C8E}" id="{BEF1C010-3BB6-4FB7-B555-95889678BAEB}">
    <text>Tata Electronics works on a Drive module platform</text>
  </threadedComment>
  <threadedComment ref="AN262" dT="2024-08-19T14:13:46.50" personId="{6777EDD4-E46F-4979-A7E7-6FC0A82E0C8E}" id="{63CC7AB8-8006-47E1-9DC4-975C099B20D1}">
    <text>Tata Electronics works on a Drive module platform</text>
  </threadedComment>
  <threadedComment ref="BC262" dT="2025-08-28T13:44:38.78" personId="{6777EDD4-E46F-4979-A7E7-6FC0A82E0C8E}" id="{5EF1760F-1879-4A15-83C1-32F8733AD47F}">
    <text>Manager left PH not having any member to measure the numbers</text>
  </threadedComment>
  <threadedComment ref="BD262" dT="2025-08-28T13:44:38.78" personId="{6777EDD4-E46F-4979-A7E7-6FC0A82E0C8E}" id="{DD856411-8D11-42D6-BAC2-8A6D8E8720CA}">
    <text>Manager left PH not having any member to measure the numbers</text>
  </threadedComment>
  <threadedComment ref="BL262" dT="2024-10-18T04:54:46.00" personId="{6777EDD4-E46F-4979-A7E7-6FC0A82E0C8E}" id="{1F091954-CC69-4CA8-AFD9-00A1ADFD8E41}">
    <text>Project On-Hold</text>
  </threadedComment>
  <threadedComment ref="BN262" dT="2024-10-18T04:54:46.00" personId="{6777EDD4-E46F-4979-A7E7-6FC0A82E0C8E}" id="{A70EB32B-B113-4ED8-B9E8-8B6F860E8E22}">
    <text>Project On-Hold</text>
  </threadedComment>
  <threadedComment ref="BP262" dT="2024-10-18T04:54:46.00" personId="{6777EDD4-E46F-4979-A7E7-6FC0A82E0C8E}" id="{2C3ABD1F-357B-491E-A4E1-0061B7358D4E}">
    <text>Project On-Hold</text>
  </threadedComment>
  <threadedComment ref="BR262" dT="2024-10-18T04:54:46.00" personId="{6777EDD4-E46F-4979-A7E7-6FC0A82E0C8E}" id="{79424B83-4801-4202-A30F-D4477408F9F1}">
    <text>Project On-Hold</text>
  </threadedComment>
  <threadedComment ref="AM263" dT="2024-08-19T14:13:46.50" personId="{6777EDD4-E46F-4979-A7E7-6FC0A82E0C8E}" id="{A96D1D8D-7B71-44E6-9654-FE9D8C8D8E77}">
    <text>Tata Electronics works on a Drive module platform</text>
  </threadedComment>
  <threadedComment ref="AN263" dT="2024-08-19T14:13:46.50" personId="{6777EDD4-E46F-4979-A7E7-6FC0A82E0C8E}" id="{25AF3C84-4B11-438A-8130-7A9C286256F4}">
    <text>Tata Electronics works on a Drive module platform</text>
  </threadedComment>
  <threadedComment ref="BC263" dT="2025-08-28T13:44:38.78" personId="{6777EDD4-E46F-4979-A7E7-6FC0A82E0C8E}" id="{D80D4ED4-DD3C-43A1-806E-E36A99C94DA6}">
    <text>Manager left PH not having any member to measure the numbers</text>
  </threadedComment>
  <threadedComment ref="BD263" dT="2025-08-28T13:44:38.78" personId="{6777EDD4-E46F-4979-A7E7-6FC0A82E0C8E}" id="{073E2D95-0DBB-4961-87D4-26E9820651B4}">
    <text>Manager left PH not having any member to measure the numbers</text>
  </threadedComment>
  <threadedComment ref="W264" dT="2024-08-19T14:13:46.50" personId="{6777EDD4-E46F-4979-A7E7-6FC0A82E0C8E}" id="{8AEF3DA3-319F-426B-BC9D-346EDEFA36AA}">
    <text>Tata Electronics works on a Drive module platform</text>
  </threadedComment>
  <threadedComment ref="X264" dT="2024-08-19T14:13:46.50" personId="{6777EDD4-E46F-4979-A7E7-6FC0A82E0C8E}" id="{A0FBDE8A-4CCD-4A62-ACC6-BC57B15111F6}">
    <text>Tata Electronics works on a Drive module platform</text>
  </threadedComment>
  <threadedComment ref="Y264" dT="2024-08-19T14:13:46.50" personId="{6777EDD4-E46F-4979-A7E7-6FC0A82E0C8E}" id="{64298F39-A328-40B5-BF80-52A459895817}">
    <text>Tata Electronics works on a Drive module platform</text>
  </threadedComment>
  <threadedComment ref="Z264" dT="2024-08-19T14:13:46.50" personId="{6777EDD4-E46F-4979-A7E7-6FC0A82E0C8E}" id="{547720E9-32E4-4EFF-B686-BFFA0AA8F21B}">
    <text>Tata Electronics works on a Drive module platform</text>
  </threadedComment>
  <threadedComment ref="AA264" dT="2024-08-19T14:13:46.50" personId="{6777EDD4-E46F-4979-A7E7-6FC0A82E0C8E}" id="{F42FFDF7-2885-4938-9E03-B7C1FC064E66}">
    <text>Tata Electronics works on a Drive module platform</text>
  </threadedComment>
  <threadedComment ref="AB264" dT="2024-08-19T14:13:46.50" personId="{6777EDD4-E46F-4979-A7E7-6FC0A82E0C8E}" id="{8616C050-2A32-4B77-A59B-865CC915304A}">
    <text>Tata Electronics works on a Drive module platform</text>
  </threadedComment>
  <threadedComment ref="AE264" dT="2024-08-19T14:13:46.50" personId="{6777EDD4-E46F-4979-A7E7-6FC0A82E0C8E}" id="{133FF333-F769-4AF1-A382-00E221CF3E93}">
    <text>Tata Electronics works on a Drive module platform</text>
  </threadedComment>
  <threadedComment ref="AF264" dT="2024-08-19T14:13:46.50" personId="{6777EDD4-E46F-4979-A7E7-6FC0A82E0C8E}" id="{2B6C31EB-0093-4013-B2AF-CF8A9F1406AC}">
    <text>Tata Electronics works on a Drive module platform</text>
  </threadedComment>
  <threadedComment ref="AG264" dT="2024-08-19T14:13:46.50" personId="{6777EDD4-E46F-4979-A7E7-6FC0A82E0C8E}" id="{542C9426-2D24-444A-9352-2ABD0D536277}">
    <text>Tata Electronics works on a Drive module platform</text>
  </threadedComment>
  <threadedComment ref="AH264" dT="2024-08-19T14:13:46.50" personId="{6777EDD4-E46F-4979-A7E7-6FC0A82E0C8E}" id="{61B6AF41-19CB-47F8-AA60-BEE37F982B3E}">
    <text>Tata Electronics works on a Drive module platform</text>
  </threadedComment>
  <threadedComment ref="AI264" dT="2024-08-19T14:13:46.50" personId="{6777EDD4-E46F-4979-A7E7-6FC0A82E0C8E}" id="{98454F12-AE40-4ABF-BCC9-B55241EB3F92}">
    <text>Tata Electronics works on a Drive module platform</text>
  </threadedComment>
  <threadedComment ref="AJ264" dT="2024-08-19T14:13:46.50" personId="{6777EDD4-E46F-4979-A7E7-6FC0A82E0C8E}" id="{699939DB-23DF-4997-90A8-9B954AE7B2E6}">
    <text>Tata Electronics works on a Drive module platform</text>
  </threadedComment>
  <threadedComment ref="AM264" dT="2024-08-19T14:13:46.50" personId="{6777EDD4-E46F-4979-A7E7-6FC0A82E0C8E}" id="{D60F474B-87D3-4D28-AFC9-60F4FE8A163B}">
    <text>Tata Electronics works on a Drive module platform</text>
  </threadedComment>
  <threadedComment ref="AN264" dT="2024-08-19T14:13:46.50" personId="{6777EDD4-E46F-4979-A7E7-6FC0A82E0C8E}" id="{234A5C7E-F7C8-4B9A-89E0-ED82024110D1}">
    <text>Tata Electronics works on a Drive module platform</text>
  </threadedComment>
  <threadedComment ref="BC264" dT="2025-08-28T13:44:38.78" personId="{6777EDD4-E46F-4979-A7E7-6FC0A82E0C8E}" id="{30B2B96F-566E-4B81-B365-37262098E5B2}">
    <text>Manager left PH not having any member to measure the numbers</text>
  </threadedComment>
  <threadedComment ref="BD264" dT="2025-08-28T13:44:38.78" personId="{6777EDD4-E46F-4979-A7E7-6FC0A82E0C8E}" id="{1D87FF2B-DFEE-4BB3-B103-63F6A589F69E}">
    <text>Manager left PH not having any member to measure the numbers</text>
  </threadedComment>
  <threadedComment ref="Y265" dT="2024-09-15T09:04:07.13" personId="{6777EDD4-E46F-4979-A7E7-6FC0A82E0C8E}" id="{DE4984FF-C69C-4109-BB68-11AF8FCC7616}">
    <text>The data has not been validated because the base file was incomplete. Therefore, I am reporting the same numbers that you reported."</text>
  </threadedComment>
  <threadedComment ref="BA265" dT="2025-07-25T11:09:09.61" personId="{7A84A2D1-0B72-4118-92E2-DA71D4FDA6B6}" id="{FEFDCB84-9BA1-4F8A-9EA1-A3096633DBFE}">
    <text>Insufficient data, not validated</text>
  </threadedComment>
  <threadedComment ref="BC265" dT="2025-08-28T13:44:38.78" personId="{6777EDD4-E46F-4979-A7E7-6FC0A82E0C8E}" id="{A9DB562B-B7BE-4ED9-B54E-379F44D64BE0}">
    <text>Manager left PH not having any member to measure the numbers</text>
  </threadedComment>
  <threadedComment ref="BD265" dT="2025-08-28T13:44:38.78" personId="{6777EDD4-E46F-4979-A7E7-6FC0A82E0C8E}" id="{2BD92287-38F9-40E0-8C3A-25082B080D4A}">
    <text>Manager left PH not having any member to measure the numbers</text>
  </threadedComment>
  <threadedComment ref="AW266" dT="2025-06-25T08:59:31.56" personId="{6777EDD4-E46F-4979-A7E7-6FC0A82E0C8E}" id="{771E2454-32CA-45D9-876B-0AA545CB3B84}">
    <text>Ops. will not report May numbers as they will have to finalize the SLA with Client</text>
  </threadedComment>
  <threadedComment ref="AX266" dT="2025-06-25T08:59:31.56" personId="{6777EDD4-E46F-4979-A7E7-6FC0A82E0C8E}" id="{612BA4BD-7102-4BD8-A00D-06B9A870079B}">
    <text>Ops. will not report May numbers as they will have to finalize the SLA with Client</text>
  </threadedComment>
  <threadedComment ref="AY266" dT="2025-06-25T08:59:31.56" personId="{6777EDD4-E46F-4979-A7E7-6FC0A82E0C8E}" id="{9D6F0E8A-FC39-4865-AFC7-0C76760CEDD1}">
    <text>Ops. will not report May numbers as they will have to finalize the SLA with Client</text>
  </threadedComment>
  <threadedComment ref="AZ266" dT="2025-06-25T08:59:31.56" personId="{6777EDD4-E46F-4979-A7E7-6FC0A82E0C8E}" id="{E1EBB647-2E39-465D-A4D5-6F670D72EB21}">
    <text>Ops. will not report May numbers as they will have to finalize the SLA with Client</text>
  </threadedComment>
  <threadedComment ref="BA266" dT="2025-06-25T08:59:31.56" personId="{6777EDD4-E46F-4979-A7E7-6FC0A82E0C8E}" id="{D813A8A8-EDDE-4829-BCE3-E3FB4D110B50}">
    <text>Ops. will not report May numbers as they will have to finalize the SLA with Client</text>
  </threadedComment>
  <threadedComment ref="BB266" dT="2025-06-25T08:59:31.56" personId="{6777EDD4-E46F-4979-A7E7-6FC0A82E0C8E}" id="{7684BA35-FF70-4A1C-A3CD-EACD83AB2935}">
    <text>Ops. will not report May numbers as they will have to finalize the SLA with Client</text>
  </threadedComment>
  <threadedComment ref="BC266" dT="2025-06-25T08:59:31.56" personId="{6777EDD4-E46F-4979-A7E7-6FC0A82E0C8E}" id="{39E4D291-0A3B-4B41-BFE6-1C4C6CD640A3}">
    <text>Ops. will not report May numbers as they will have to finalize the SLA with Client</text>
  </threadedComment>
  <threadedComment ref="BD266" dT="2025-06-25T08:59:31.56" personId="{6777EDD4-E46F-4979-A7E7-6FC0A82E0C8E}" id="{5066041E-E923-4340-9435-CD5E5A795A25}">
    <text>Ops. will not report May numbers as they will have to finalize the SLA with Client</text>
  </threadedComment>
  <threadedComment ref="BE266" dT="2025-06-25T08:59:31.56" personId="{6777EDD4-E46F-4979-A7E7-6FC0A82E0C8E}" id="{9F9298BC-8FD3-4B85-8D90-FDE7E4B1E5DD}">
    <text>Ops. will not report May numbers as they will have to finalize the SLA with Client</text>
  </threadedComment>
  <threadedComment ref="BF266" dT="2025-06-25T08:59:31.56" personId="{6777EDD4-E46F-4979-A7E7-6FC0A82E0C8E}" id="{9E767376-8D5D-4A35-81C0-B715591F76F1}">
    <text>Ops. will not report May numbers as they will have to finalize the SLA with Client</text>
  </threadedComment>
  <threadedComment ref="BG266" dT="2025-06-25T08:59:31.56" personId="{6777EDD4-E46F-4979-A7E7-6FC0A82E0C8E}" id="{90804172-B0C7-4310-BE72-6A91F25DAAD8}">
    <text>Ops. will not report May numbers as they will have to finalize the SLA with Client</text>
  </threadedComment>
  <threadedComment ref="BH266" dT="2025-06-25T08:59:31.56" personId="{6777EDD4-E46F-4979-A7E7-6FC0A82E0C8E}" id="{F075CF68-8443-4FDA-A35D-AD95D40FF687}">
    <text>Ops. will not report May numbers as they will have to finalize the SLA with Client</text>
  </threadedComment>
  <threadedComment ref="BI266" dT="2025-06-25T08:59:31.56" personId="{6777EDD4-E46F-4979-A7E7-6FC0A82E0C8E}" id="{80C5DC76-D702-4E7E-9E29-D1DBAABB7549}">
    <text>Ops. will not report May numbers as they will have to finalize the SLA with Client</text>
  </threadedComment>
  <threadedComment ref="BJ266" dT="2025-06-25T08:59:31.56" personId="{6777EDD4-E46F-4979-A7E7-6FC0A82E0C8E}" id="{CD841E74-F90F-4906-A230-2AEE4138C082}">
    <text>Ops. will not report May numbers as they will have to finalize the SLA with Client</text>
  </threadedComment>
  <threadedComment ref="BK266" dT="2025-06-25T08:59:31.56" personId="{6777EDD4-E46F-4979-A7E7-6FC0A82E0C8E}" id="{4767A0D9-8598-498D-9D83-36C377F1D2B3}">
    <text>Ops. will not report May numbers as they will have to finalize the SLA with Client</text>
  </threadedComment>
  <threadedComment ref="BL266" dT="2025-06-25T08:59:31.56" personId="{6777EDD4-E46F-4979-A7E7-6FC0A82E0C8E}" id="{1D840E80-57BA-4E48-9427-85B0C80B7D52}">
    <text>Ops. will not report May numbers as they will have to finalize the SLA with Client</text>
  </threadedComment>
  <threadedComment ref="BM266" dT="2025-11-24T08:48:01.66" personId="{6777EDD4-E46F-4979-A7E7-6FC0A82E0C8E}" id="{3738C004-98F3-4AE1-88BA-0EF8542B49FB}">
    <text>Account is Inactive</text>
  </threadedComment>
  <threadedComment ref="BN266" dT="2025-06-25T08:59:31.56" personId="{6777EDD4-E46F-4979-A7E7-6FC0A82E0C8E}" id="{0AD1BEA0-7E64-4787-B1D9-5B544D28606C}">
    <text>Ops. will not report May numbers as they will have to finalize the SLA with Client</text>
  </threadedComment>
  <threadedComment ref="BP266" dT="2025-06-25T08:59:31.56" personId="{6777EDD4-E46F-4979-A7E7-6FC0A82E0C8E}" id="{C30BE8E6-F1B3-4218-BC81-64578464B136}">
    <text>Ops. will not report May numbers as they will have to finalize the SLA with Client</text>
  </threadedComment>
  <threadedComment ref="BR266" dT="2025-06-25T08:59:31.56" personId="{6777EDD4-E46F-4979-A7E7-6FC0A82E0C8E}" id="{246DA2CF-C7EE-4465-AA6F-91219A179FC2}">
    <text>Ops. will not report May numbers as they will have to finalize the SLA with Client</text>
  </threadedComment>
  <threadedComment ref="BS266" dT="2026-02-24T13:58:27.89" personId="{7A84A2D1-0B72-4118-92E2-DA71D4FDA6B6}" id="{A4E7451D-BE0B-4F28-B641-970D90DB5EA6}">
    <text>Contract on hold</text>
  </threadedComment>
  <threadedComment ref="AW267" dT="2025-06-25T08:59:31.56" personId="{6777EDD4-E46F-4979-A7E7-6FC0A82E0C8E}" id="{E29D109F-99A7-48DC-B8BB-61BA0007127D}">
    <text>Ops. will not report May numbers as they will have to finalize the SLA with Client</text>
  </threadedComment>
  <threadedComment ref="AX267" dT="2025-06-25T08:59:31.56" personId="{6777EDD4-E46F-4979-A7E7-6FC0A82E0C8E}" id="{8E6A3454-9F1A-4E70-B948-F0B0BCF9D663}">
    <text>Ops. will not report May numbers as they will have to finalize the SLA with Client</text>
  </threadedComment>
  <threadedComment ref="AY267" dT="2025-06-25T08:59:31.56" personId="{6777EDD4-E46F-4979-A7E7-6FC0A82E0C8E}" id="{1CA35E5F-9CCA-4967-B898-E4F5FA11CC48}">
    <text>Ops. will not report May numbers as they will have to finalize the SLA with Client</text>
  </threadedComment>
  <threadedComment ref="AZ267" dT="2025-06-25T08:59:31.56" personId="{6777EDD4-E46F-4979-A7E7-6FC0A82E0C8E}" id="{8250AB67-DA19-411F-BC54-E4736476C720}">
    <text>Ops. will not report May numbers as they will have to finalize the SLA with Client</text>
  </threadedComment>
  <threadedComment ref="BA267" dT="2025-06-25T08:59:31.56" personId="{6777EDD4-E46F-4979-A7E7-6FC0A82E0C8E}" id="{6EA5EBC3-213C-41E5-AD72-B0B1D74BC142}">
    <text>Ops. will not report May numbers as they will have to finalize the SLA with Client</text>
  </threadedComment>
  <threadedComment ref="BB267" dT="2025-06-25T08:59:31.56" personId="{6777EDD4-E46F-4979-A7E7-6FC0A82E0C8E}" id="{A68B4E10-887E-4224-AAAB-DC1C1DA28365}">
    <text>Ops. will not report May numbers as they will have to finalize the SLA with Client</text>
  </threadedComment>
  <threadedComment ref="BC267" dT="2025-06-25T08:59:31.56" personId="{6777EDD4-E46F-4979-A7E7-6FC0A82E0C8E}" id="{6C3CC897-09F3-4C4E-9997-E2BF86A04583}">
    <text>Ops. will not report May numbers as they will have to finalize the SLA with Client</text>
  </threadedComment>
  <threadedComment ref="BD267" dT="2025-06-25T08:59:31.56" personId="{6777EDD4-E46F-4979-A7E7-6FC0A82E0C8E}" id="{DF9E978D-EC5D-4540-A832-529DE0223AE0}">
    <text>Ops. will not report May numbers as they will have to finalize the SLA with Client</text>
  </threadedComment>
  <threadedComment ref="BE267" dT="2025-06-25T08:59:31.56" personId="{6777EDD4-E46F-4979-A7E7-6FC0A82E0C8E}" id="{58B83DB8-BD94-4C37-8066-5D3F6826A63A}">
    <text>Ops. will not report May numbers as they will have to finalize the SLA with Client</text>
  </threadedComment>
  <threadedComment ref="BF267" dT="2025-06-25T08:59:31.56" personId="{6777EDD4-E46F-4979-A7E7-6FC0A82E0C8E}" id="{3025B7A9-B2BB-4894-8400-FEB69D2D35F0}">
    <text>Ops. will not report May numbers as they will have to finalize the SLA with Client</text>
  </threadedComment>
  <threadedComment ref="BG267" dT="2025-06-25T08:59:31.56" personId="{6777EDD4-E46F-4979-A7E7-6FC0A82E0C8E}" id="{FA5FD769-D67C-421D-9577-8990F3A9373E}">
    <text>Ops. will not report May numbers as they will have to finalize the SLA with Client</text>
  </threadedComment>
  <threadedComment ref="BH267" dT="2025-06-25T08:59:31.56" personId="{6777EDD4-E46F-4979-A7E7-6FC0A82E0C8E}" id="{67D43E04-0870-4BCF-9509-110B19C02810}">
    <text>Ops. will not report May numbers as they will have to finalize the SLA with Client</text>
  </threadedComment>
  <threadedComment ref="BI267" dT="2025-06-25T08:59:31.56" personId="{6777EDD4-E46F-4979-A7E7-6FC0A82E0C8E}" id="{BF7DAFBF-6489-48C6-8A6E-31D5ED570196}">
    <text>Ops. will not report May numbers as they will have to finalize the SLA with Client</text>
  </threadedComment>
  <threadedComment ref="BJ267" dT="2025-06-25T08:59:31.56" personId="{6777EDD4-E46F-4979-A7E7-6FC0A82E0C8E}" id="{63A0D346-F5AA-4BF8-A954-23858F3596C8}">
    <text>Ops. will not report May numbers as they will have to finalize the SLA with Client</text>
  </threadedComment>
  <threadedComment ref="BK267" dT="2025-06-25T08:59:31.56" personId="{6777EDD4-E46F-4979-A7E7-6FC0A82E0C8E}" id="{4CB889D9-0CFA-483C-8B30-F76BC34868ED}">
    <text>Ops. will not report May numbers as they will have to finalize the SLA with Client</text>
  </threadedComment>
  <threadedComment ref="BL267" dT="2025-06-25T08:59:31.56" personId="{6777EDD4-E46F-4979-A7E7-6FC0A82E0C8E}" id="{8897C1FF-1ACD-422B-8EDF-8D34EB8799B9}">
    <text>Ops. will not report May numbers as they will have to finalize the SLA with Client</text>
  </threadedComment>
  <threadedComment ref="BM267" dT="2025-11-24T08:48:01.66" personId="{6777EDD4-E46F-4979-A7E7-6FC0A82E0C8E}" id="{D63FE7DE-8841-429C-9B30-2F2D4597F475}">
    <text>Account is Inactive</text>
  </threadedComment>
  <threadedComment ref="BN267" dT="2025-06-25T08:59:31.56" personId="{6777EDD4-E46F-4979-A7E7-6FC0A82E0C8E}" id="{F57BE401-43B2-4E08-B301-5F26EF839E51}">
    <text>Ops. will not report May numbers as they will have to finalize the SLA with Client</text>
  </threadedComment>
  <threadedComment ref="BP267" dT="2025-06-25T08:59:31.56" personId="{6777EDD4-E46F-4979-A7E7-6FC0A82E0C8E}" id="{2A2016BC-85CB-47A5-9803-0B35231ED386}">
    <text>Ops. will not report May numbers as they will have to finalize the SLA with Client</text>
  </threadedComment>
  <threadedComment ref="BR267" dT="2025-06-25T08:59:31.56" personId="{6777EDD4-E46F-4979-A7E7-6FC0A82E0C8E}" id="{9DCF2690-4FA6-4BB6-A99C-41A70A89B2A3}">
    <text>Ops. will not report May numbers as they will have to finalize the SLA with Client</text>
  </threadedComment>
  <threadedComment ref="BS267" dT="2026-02-24T13:58:27.89" personId="{7A84A2D1-0B72-4118-92E2-DA71D4FDA6B6}" id="{9DAA8C4A-BB06-4E60-83EC-9C32DCED6817}">
    <text>Contract on hold</text>
  </threadedComment>
  <threadedComment ref="AW268" dT="2025-06-25T08:59:31.56" personId="{6777EDD4-E46F-4979-A7E7-6FC0A82E0C8E}" id="{A3CE9A43-5829-49CE-869C-D16D29AFF182}">
    <text>Ops. will not report May numbers as they will have to finalize the SLA with Client</text>
  </threadedComment>
  <threadedComment ref="AX268" dT="2025-06-25T08:59:31.56" personId="{6777EDD4-E46F-4979-A7E7-6FC0A82E0C8E}" id="{4A75D42E-9B88-48A3-BAF3-48DFCE601814}">
    <text>Ops. will not report May numbers as they will have to finalize the SLA with Client</text>
  </threadedComment>
  <threadedComment ref="AY268" dT="2025-06-25T08:59:31.56" personId="{6777EDD4-E46F-4979-A7E7-6FC0A82E0C8E}" id="{D0FF8BCE-9660-4B44-A185-3683E4CDE104}">
    <text>Ops. will not report May numbers as they will have to finalize the SLA with Client</text>
  </threadedComment>
  <threadedComment ref="AZ268" dT="2025-06-25T08:59:31.56" personId="{6777EDD4-E46F-4979-A7E7-6FC0A82E0C8E}" id="{73E7B502-E6C2-4CAF-9564-2307823EDA11}">
    <text>Ops. will not report May numbers as they will have to finalize the SLA with Client</text>
  </threadedComment>
  <threadedComment ref="BA268" dT="2025-06-25T08:59:31.56" personId="{6777EDD4-E46F-4979-A7E7-6FC0A82E0C8E}" id="{9F290042-A5E6-41EC-8B31-FC54E8330082}">
    <text>Ops. will not report May numbers as they will have to finalize the SLA with Client</text>
  </threadedComment>
  <threadedComment ref="BB268" dT="2025-06-25T08:59:31.56" personId="{6777EDD4-E46F-4979-A7E7-6FC0A82E0C8E}" id="{7B21B82F-12E7-413E-B04B-76E6F4F10C9B}">
    <text>Ops. will not report May numbers as they will have to finalize the SLA with Client</text>
  </threadedComment>
  <threadedComment ref="BC268" dT="2025-06-25T08:59:31.56" personId="{6777EDD4-E46F-4979-A7E7-6FC0A82E0C8E}" id="{947A535B-5853-4A9B-9735-D6A3275AE32B}">
    <text>Ops. will not report May numbers as they will have to finalize the SLA with Client</text>
  </threadedComment>
  <threadedComment ref="BD268" dT="2025-06-25T08:59:31.56" personId="{6777EDD4-E46F-4979-A7E7-6FC0A82E0C8E}" id="{23627F04-C947-4A4E-80BB-2E206F98016C}">
    <text>Ops. will not report May numbers as they will have to finalize the SLA with Client</text>
  </threadedComment>
  <threadedComment ref="BE268" dT="2025-06-25T08:59:31.56" personId="{6777EDD4-E46F-4979-A7E7-6FC0A82E0C8E}" id="{F418A05D-5823-4C3C-9BDB-1AE1D5BE8264}">
    <text>Ops. will not report May numbers as they will have to finalize the SLA with Client</text>
  </threadedComment>
  <threadedComment ref="BF268" dT="2025-06-25T08:59:31.56" personId="{6777EDD4-E46F-4979-A7E7-6FC0A82E0C8E}" id="{81A5E3D0-DA94-47B4-8EA4-B1A300E16EDF}">
    <text>Ops. will not report May numbers as they will have to finalize the SLA with Client</text>
  </threadedComment>
  <threadedComment ref="BG268" dT="2025-06-25T08:59:31.56" personId="{6777EDD4-E46F-4979-A7E7-6FC0A82E0C8E}" id="{3AFD0369-49F2-4C56-B07E-5506DAC916E3}">
    <text>Ops. will not report May numbers as they will have to finalize the SLA with Client</text>
  </threadedComment>
  <threadedComment ref="BH268" dT="2025-06-25T08:59:31.56" personId="{6777EDD4-E46F-4979-A7E7-6FC0A82E0C8E}" id="{EDE43656-2224-4DB5-B585-E0107CC8C3A8}">
    <text>Ops. will not report May numbers as they will have to finalize the SLA with Client</text>
  </threadedComment>
  <threadedComment ref="BI268" dT="2025-06-25T08:59:31.56" personId="{6777EDD4-E46F-4979-A7E7-6FC0A82E0C8E}" id="{B2CF8C04-B312-4A9E-B2A9-252390B9EB98}">
    <text>Ops. will not report May numbers as they will have to finalize the SLA with Client</text>
  </threadedComment>
  <threadedComment ref="BJ268" dT="2025-06-25T08:59:31.56" personId="{6777EDD4-E46F-4979-A7E7-6FC0A82E0C8E}" id="{4ADCF64A-9017-4BD1-BA4D-94369706C158}">
    <text>Ops. will not report May numbers as they will have to finalize the SLA with Client</text>
  </threadedComment>
  <threadedComment ref="BK268" dT="2025-06-25T08:59:31.56" personId="{6777EDD4-E46F-4979-A7E7-6FC0A82E0C8E}" id="{90A81429-0227-49C8-B4FD-19B333D28D3A}">
    <text>Ops. will not report May numbers as they will have to finalize the SLA with Client</text>
  </threadedComment>
  <threadedComment ref="BL268" dT="2025-06-25T08:59:31.56" personId="{6777EDD4-E46F-4979-A7E7-6FC0A82E0C8E}" id="{8F9DACBC-69A9-4BF6-AD85-02A17BE42832}">
    <text>Ops. will not report May numbers as they will have to finalize the SLA with Client</text>
  </threadedComment>
  <threadedComment ref="BM268" dT="2025-11-24T08:48:01.66" personId="{6777EDD4-E46F-4979-A7E7-6FC0A82E0C8E}" id="{810EBEF4-0249-49F3-BA1F-56A2B2453769}">
    <text>Account is Inactive</text>
  </threadedComment>
  <threadedComment ref="BN268" dT="2025-06-25T08:59:31.56" personId="{6777EDD4-E46F-4979-A7E7-6FC0A82E0C8E}" id="{3E88DB5F-3001-47F3-9BC3-A89E34BC3EEA}">
    <text>Ops. will not report May numbers as they will have to finalize the SLA with Client</text>
  </threadedComment>
  <threadedComment ref="BP268" dT="2025-06-25T08:59:31.56" personId="{6777EDD4-E46F-4979-A7E7-6FC0A82E0C8E}" id="{C96D299E-B6FF-4BED-A555-80B8985B6CEC}">
    <text>Ops. will not report May numbers as they will have to finalize the SLA with Client</text>
  </threadedComment>
  <threadedComment ref="BR268" dT="2025-06-25T08:59:31.56" personId="{6777EDD4-E46F-4979-A7E7-6FC0A82E0C8E}" id="{FE4CEE72-F8E7-461B-AD1C-98AF284DAA0A}">
    <text>Ops. will not report May numbers as they will have to finalize the SLA with Client</text>
  </threadedComment>
  <threadedComment ref="BS268" dT="2026-02-24T13:58:27.89" personId="{7A84A2D1-0B72-4118-92E2-DA71D4FDA6B6}" id="{F15FA2E3-93B4-46E0-AB8A-7B091BE86823}">
    <text>Contract on hold</text>
  </threadedComment>
  <threadedComment ref="AW269" dT="2025-06-25T08:59:31.56" personId="{6777EDD4-E46F-4979-A7E7-6FC0A82E0C8E}" id="{D99BB9DE-200B-465B-998B-E34017994479}">
    <text>Ops. will not report May numbers as they will have to finalize the SLA with Client</text>
  </threadedComment>
  <threadedComment ref="AX269" dT="2025-06-25T08:59:31.56" personId="{6777EDD4-E46F-4979-A7E7-6FC0A82E0C8E}" id="{F6CBF39F-96C5-4F7E-B665-C5BC1B2B07CD}">
    <text>Ops. will not report May numbers as they will have to finalize the SLA with Client</text>
  </threadedComment>
  <threadedComment ref="AY269" dT="2025-06-25T08:59:31.56" personId="{6777EDD4-E46F-4979-A7E7-6FC0A82E0C8E}" id="{C3C6D0B5-BFB9-4F8B-99CC-60D8E4651321}">
    <text>Ops. will not report May numbers as they will have to finalize the SLA with Client</text>
  </threadedComment>
  <threadedComment ref="AZ269" dT="2025-06-25T08:59:31.56" personId="{6777EDD4-E46F-4979-A7E7-6FC0A82E0C8E}" id="{DB4982F4-1D02-4568-801B-A80DA0B3BDB0}">
    <text>Ops. will not report May numbers as they will have to finalize the SLA with Client</text>
  </threadedComment>
  <threadedComment ref="BA269" dT="2025-06-25T08:59:31.56" personId="{6777EDD4-E46F-4979-A7E7-6FC0A82E0C8E}" id="{27409107-9739-4884-8512-E9D1C61DCBFD}">
    <text>Ops. will not report May numbers as they will have to finalize the SLA with Client</text>
  </threadedComment>
  <threadedComment ref="BB269" dT="2025-06-25T08:59:31.56" personId="{6777EDD4-E46F-4979-A7E7-6FC0A82E0C8E}" id="{70CBEB58-5532-4889-868C-40E4554B0E79}">
    <text>Ops. will not report May numbers as they will have to finalize the SLA with Client</text>
  </threadedComment>
  <threadedComment ref="BC269" dT="2025-06-25T08:59:31.56" personId="{6777EDD4-E46F-4979-A7E7-6FC0A82E0C8E}" id="{CA50EFF0-FDDC-4492-ADA2-28C4A04CEB8C}">
    <text>Ops. will not report May numbers as they will have to finalize the SLA with Client</text>
  </threadedComment>
  <threadedComment ref="BD269" dT="2025-06-25T08:59:31.56" personId="{6777EDD4-E46F-4979-A7E7-6FC0A82E0C8E}" id="{A0F0F0E6-2867-4974-B559-869501F76307}">
    <text>Ops. will not report May numbers as they will have to finalize the SLA with Client</text>
  </threadedComment>
  <threadedComment ref="BE269" dT="2025-06-25T08:59:31.56" personId="{6777EDD4-E46F-4979-A7E7-6FC0A82E0C8E}" id="{8120B886-B895-4DFD-A16B-3DCD602E2513}">
    <text>Ops. will not report May numbers as they will have to finalize the SLA with Client</text>
  </threadedComment>
  <threadedComment ref="BF269" dT="2025-06-25T08:59:31.56" personId="{6777EDD4-E46F-4979-A7E7-6FC0A82E0C8E}" id="{27C5C24E-2AAF-4F87-B2AB-127EA3731AEC}">
    <text>Ops. will not report May numbers as they will have to finalize the SLA with Client</text>
  </threadedComment>
  <threadedComment ref="BG269" dT="2025-06-25T08:59:31.56" personId="{6777EDD4-E46F-4979-A7E7-6FC0A82E0C8E}" id="{CFC66A42-CF45-4E13-ACB8-776679B5361E}">
    <text>Ops. will not report May numbers as they will have to finalize the SLA with Client</text>
  </threadedComment>
  <threadedComment ref="BH269" dT="2025-06-25T08:59:31.56" personId="{6777EDD4-E46F-4979-A7E7-6FC0A82E0C8E}" id="{191390B7-0BCF-408B-8D16-BF1E14B1F9AD}">
    <text>Ops. will not report May numbers as they will have to finalize the SLA with Client</text>
  </threadedComment>
  <threadedComment ref="BI269" dT="2025-06-25T08:59:31.56" personId="{6777EDD4-E46F-4979-A7E7-6FC0A82E0C8E}" id="{2FA8FA62-5433-411E-A287-9474B32544DD}">
    <text>Ops. will not report May numbers as they will have to finalize the SLA with Client</text>
  </threadedComment>
  <threadedComment ref="BJ269" dT="2025-06-25T08:59:31.56" personId="{6777EDD4-E46F-4979-A7E7-6FC0A82E0C8E}" id="{62EAC55E-3514-4A40-906C-DBFF0E3340EC}">
    <text>Ops. will not report May numbers as they will have to finalize the SLA with Client</text>
  </threadedComment>
  <threadedComment ref="BK269" dT="2025-06-25T08:59:31.56" personId="{6777EDD4-E46F-4979-A7E7-6FC0A82E0C8E}" id="{7B83A14C-BE47-4E92-9FA4-F21FFAD3E0F2}">
    <text>Ops. will not report May numbers as they will have to finalize the SLA with Client</text>
  </threadedComment>
  <threadedComment ref="BM269" dT="2025-11-24T08:48:01.66" personId="{6777EDD4-E46F-4979-A7E7-6FC0A82E0C8E}" id="{85A412B7-275B-4A17-9786-C5027FE8BE30}">
    <text>Account is Inactive</text>
  </threadedComment>
  <threadedComment ref="BS269" dT="2026-02-24T13:58:27.89" personId="{7A84A2D1-0B72-4118-92E2-DA71D4FDA6B6}" id="{0C076204-DA14-4D86-BC49-5DDE9B568291}">
    <text>Contract on hold</text>
  </threadedComment>
  <threadedComment ref="AW270" dT="2025-06-25T08:59:31.56" personId="{6777EDD4-E46F-4979-A7E7-6FC0A82E0C8E}" id="{07ACB861-3E41-49AE-8D4E-1AEA80F648A8}">
    <text>Ops. will not report May numbers as they will have to finalize the SLA with Client</text>
  </threadedComment>
  <threadedComment ref="AX270" dT="2025-06-25T08:59:31.56" personId="{6777EDD4-E46F-4979-A7E7-6FC0A82E0C8E}" id="{8E751C8A-0075-4B98-B8F2-909AEB319B0B}">
    <text>Ops. will not report May numbers as they will have to finalize the SLA with Client</text>
  </threadedComment>
  <threadedComment ref="AY270" dT="2025-06-25T08:59:31.56" personId="{6777EDD4-E46F-4979-A7E7-6FC0A82E0C8E}" id="{EE48483F-61AB-4619-889E-65CAF018BD5F}">
    <text>Ops. will not report May numbers as they will have to finalize the SLA with Client</text>
  </threadedComment>
  <threadedComment ref="AZ270" dT="2025-06-25T08:59:31.56" personId="{6777EDD4-E46F-4979-A7E7-6FC0A82E0C8E}" id="{8298E4F2-8124-46B5-8B27-1947C37AAD65}">
    <text>Ops. will not report May numbers as they will have to finalize the SLA with Client</text>
  </threadedComment>
  <threadedComment ref="BA270" dT="2025-06-25T08:59:31.56" personId="{6777EDD4-E46F-4979-A7E7-6FC0A82E0C8E}" id="{F7ACBB63-926F-4D18-B85B-2305DE0C2ACE}">
    <text>Ops. will not report May numbers as they will have to finalize the SLA with Client</text>
  </threadedComment>
  <threadedComment ref="BB270" dT="2025-06-25T08:59:31.56" personId="{6777EDD4-E46F-4979-A7E7-6FC0A82E0C8E}" id="{7CABE236-5BF0-4676-8F0C-414F313F6A80}">
    <text>Ops. will not report May numbers as they will have to finalize the SLA with Client</text>
  </threadedComment>
  <threadedComment ref="BC270" dT="2025-06-25T08:59:31.56" personId="{6777EDD4-E46F-4979-A7E7-6FC0A82E0C8E}" id="{D7C35507-3D4E-4EF1-9B8A-CAAAA2CA74B0}">
    <text>Ops. will not report May numbers as they will have to finalize the SLA with Client</text>
  </threadedComment>
  <threadedComment ref="BD270" dT="2025-06-25T08:59:31.56" personId="{6777EDD4-E46F-4979-A7E7-6FC0A82E0C8E}" id="{09ACB7FF-202D-41A1-B594-F0ED2ED6E449}">
    <text>Ops. will not report May numbers as they will have to finalize the SLA with Client</text>
  </threadedComment>
  <threadedComment ref="BE270" dT="2025-06-25T08:59:31.56" personId="{6777EDD4-E46F-4979-A7E7-6FC0A82E0C8E}" id="{7BBB669E-67DB-4506-BC4A-C58247BB882B}">
    <text>Ops. will not report May numbers as they will have to finalize the SLA with Client</text>
  </threadedComment>
  <threadedComment ref="BF270" dT="2025-06-25T08:59:31.56" personId="{6777EDD4-E46F-4979-A7E7-6FC0A82E0C8E}" id="{D6722DC7-1740-49D3-96D9-0AF9BE81FB10}">
    <text>Ops. will not report May numbers as they will have to finalize the SLA with Client</text>
  </threadedComment>
  <threadedComment ref="BG270" dT="2025-06-25T08:59:31.56" personId="{6777EDD4-E46F-4979-A7E7-6FC0A82E0C8E}" id="{2C50D0D8-475B-47A4-BAFF-2B8F8AD0B7F9}">
    <text>Ops. will not report May numbers as they will have to finalize the SLA with Client</text>
  </threadedComment>
  <threadedComment ref="BH270" dT="2025-06-25T08:59:31.56" personId="{6777EDD4-E46F-4979-A7E7-6FC0A82E0C8E}" id="{9F3DA239-4221-4EA8-8C78-BDF71B248F48}">
    <text>Ops. will not report May numbers as they will have to finalize the SLA with Client</text>
  </threadedComment>
  <threadedComment ref="BI270" dT="2025-06-25T08:59:31.56" personId="{6777EDD4-E46F-4979-A7E7-6FC0A82E0C8E}" id="{FFA45B8D-66D6-487F-9021-6002047B9AD1}">
    <text>Ops. will not report May numbers as they will have to finalize the SLA with Client</text>
  </threadedComment>
  <threadedComment ref="BJ270" dT="2025-06-25T08:59:31.56" personId="{6777EDD4-E46F-4979-A7E7-6FC0A82E0C8E}" id="{F41B634F-CE25-4320-97E0-C76FD4524DC1}">
    <text>Ops. will not report May numbers as they will have to finalize the SLA with Client</text>
  </threadedComment>
  <threadedComment ref="BK270" dT="2025-06-25T08:59:31.56" personId="{6777EDD4-E46F-4979-A7E7-6FC0A82E0C8E}" id="{A74BCE9D-5725-4F01-82D6-BC59E61E1E23}">
    <text>Ops. will not report May numbers as they will have to finalize the SLA with Client</text>
  </threadedComment>
  <threadedComment ref="BL270" dT="2025-06-25T08:59:31.56" personId="{6777EDD4-E46F-4979-A7E7-6FC0A82E0C8E}" id="{8E3FF99B-863C-46DB-ACE6-8C93F39F109A}">
    <text>Ops. will not report May numbers as they will have to finalize the SLA with Client</text>
  </threadedComment>
  <threadedComment ref="BM270" dT="2025-11-24T08:48:01.66" personId="{6777EDD4-E46F-4979-A7E7-6FC0A82E0C8E}" id="{B4FC363B-2B0F-4802-A2B0-30CFE3AF33B7}">
    <text>Account is Inactive</text>
  </threadedComment>
  <threadedComment ref="BN270" dT="2025-06-25T08:59:31.56" personId="{6777EDD4-E46F-4979-A7E7-6FC0A82E0C8E}" id="{D39C53DD-8F43-4CB1-BAFE-6453A87F5F7C}">
    <text>Ops. will not report May numbers as they will have to finalize the SLA with Client</text>
  </threadedComment>
  <threadedComment ref="BP270" dT="2025-06-25T08:59:31.56" personId="{6777EDD4-E46F-4979-A7E7-6FC0A82E0C8E}" id="{27E11170-7DDF-489A-B506-68C6F414256E}">
    <text>Ops. will not report May numbers as they will have to finalize the SLA with Client</text>
  </threadedComment>
  <threadedComment ref="BR270" dT="2025-06-25T08:59:31.56" personId="{6777EDD4-E46F-4979-A7E7-6FC0A82E0C8E}" id="{EC9AB2E6-F3DA-46C3-9059-24E9C93A3428}">
    <text>Ops. will not report May numbers as they will have to finalize the SLA with Client</text>
  </threadedComment>
  <threadedComment ref="BS270" dT="2026-02-24T13:58:27.89" personId="{7A84A2D1-0B72-4118-92E2-DA71D4FDA6B6}" id="{C9F1365A-B4A8-486A-8171-1BCC4B47147C}">
    <text>Contract on hold</text>
  </threadedComment>
  <threadedComment ref="AW271" dT="2025-06-25T08:59:31.56" personId="{6777EDD4-E46F-4979-A7E7-6FC0A82E0C8E}" id="{737747A6-96D7-4C6A-9BA2-B93596FDD4EF}">
    <text>Ops. will not report May numbers as they will have to finalize the SLA with Client</text>
  </threadedComment>
  <threadedComment ref="AX271" dT="2025-06-25T08:59:31.56" personId="{6777EDD4-E46F-4979-A7E7-6FC0A82E0C8E}" id="{6B66BFC8-0A25-4B46-B177-7E1037E8726E}">
    <text>Ops. will not report May numbers as they will have to finalize the SLA with Client</text>
  </threadedComment>
  <threadedComment ref="AY271" dT="2025-06-25T08:59:31.56" personId="{6777EDD4-E46F-4979-A7E7-6FC0A82E0C8E}" id="{9E56A1EE-68E6-4819-8B12-318899A24B03}">
    <text>Ops. will not report May numbers as they will have to finalize the SLA with Client</text>
  </threadedComment>
  <threadedComment ref="AZ271" dT="2025-06-25T08:59:31.56" personId="{6777EDD4-E46F-4979-A7E7-6FC0A82E0C8E}" id="{4A810B7C-DC22-402D-9890-F6DE24327EA8}">
    <text>Ops. will not report May numbers as they will have to finalize the SLA with Client</text>
  </threadedComment>
  <threadedComment ref="BA271" dT="2025-06-25T08:59:31.56" personId="{6777EDD4-E46F-4979-A7E7-6FC0A82E0C8E}" id="{9D953454-042B-40FB-A464-445D47643260}">
    <text>Ops. will not report May numbers as they will have to finalize the SLA with Client</text>
  </threadedComment>
  <threadedComment ref="BB271" dT="2025-06-25T08:59:31.56" personId="{6777EDD4-E46F-4979-A7E7-6FC0A82E0C8E}" id="{AF776437-508E-4607-81E9-CE11A96D491B}">
    <text>Ops. will not report May numbers as they will have to finalize the SLA with Client</text>
  </threadedComment>
  <threadedComment ref="BC271" dT="2025-06-25T08:59:31.56" personId="{6777EDD4-E46F-4979-A7E7-6FC0A82E0C8E}" id="{91ABA908-FAC7-485B-B432-2A0B7570A90D}">
    <text>Ops. will not report May numbers as they will have to finalize the SLA with Client</text>
  </threadedComment>
  <threadedComment ref="BD271" dT="2025-06-25T08:59:31.56" personId="{6777EDD4-E46F-4979-A7E7-6FC0A82E0C8E}" id="{6B3D7059-384A-4F37-8DD7-AB53E6146041}">
    <text>Ops. will not report May numbers as they will have to finalize the SLA with Client</text>
  </threadedComment>
  <threadedComment ref="BE271" dT="2025-06-25T08:59:31.56" personId="{6777EDD4-E46F-4979-A7E7-6FC0A82E0C8E}" id="{F7C173F4-9CC1-46D5-9685-E28D2F6E9BDE}">
    <text>Ops. will not report May numbers as they will have to finalize the SLA with Client</text>
  </threadedComment>
  <threadedComment ref="BF271" dT="2025-06-25T08:59:31.56" personId="{6777EDD4-E46F-4979-A7E7-6FC0A82E0C8E}" id="{F114EEBB-0C6F-4FE6-A26C-24C7C0DF42F6}">
    <text>Ops. will not report May numbers as they will have to finalize the SLA with Client</text>
  </threadedComment>
  <threadedComment ref="BG271" dT="2025-06-25T08:59:31.56" personId="{6777EDD4-E46F-4979-A7E7-6FC0A82E0C8E}" id="{6C84AF4D-4D9B-4355-AE50-62327CDF3ADB}">
    <text>Ops. will not report May numbers as they will have to finalize the SLA with Client</text>
  </threadedComment>
  <threadedComment ref="BH271" dT="2025-06-25T08:59:31.56" personId="{6777EDD4-E46F-4979-A7E7-6FC0A82E0C8E}" id="{FFB94523-F372-4A33-9D7B-82DCBE18876A}">
    <text>Ops. will not report May numbers as they will have to finalize the SLA with Client</text>
  </threadedComment>
  <threadedComment ref="BI271" dT="2025-06-25T08:59:31.56" personId="{6777EDD4-E46F-4979-A7E7-6FC0A82E0C8E}" id="{70F35852-F843-453C-A960-2E0CC50C6D98}">
    <text>Ops. will not report May numbers as they will have to finalize the SLA with Client</text>
  </threadedComment>
  <threadedComment ref="BJ271" dT="2025-06-25T08:59:31.56" personId="{6777EDD4-E46F-4979-A7E7-6FC0A82E0C8E}" id="{67AF17BF-FE6C-4BE1-B5CA-C710054BE93D}">
    <text>Ops. will not report May numbers as they will have to finalize the SLA with Client</text>
  </threadedComment>
  <threadedComment ref="BK271" dT="2025-06-25T08:59:31.56" personId="{6777EDD4-E46F-4979-A7E7-6FC0A82E0C8E}" id="{1C079057-D998-40DC-896F-CA7AB6A4A95D}">
    <text>Ops. will not report May numbers as they will have to finalize the SLA with Client</text>
  </threadedComment>
  <threadedComment ref="BL271" dT="2025-06-25T08:59:31.56" personId="{6777EDD4-E46F-4979-A7E7-6FC0A82E0C8E}" id="{BA48A45F-C3EA-4521-9782-1B38194010D0}">
    <text>Ops. will not report May numbers as they will have to finalize the SLA with Client</text>
  </threadedComment>
  <threadedComment ref="BM271" dT="2025-11-24T08:48:01.66" personId="{6777EDD4-E46F-4979-A7E7-6FC0A82E0C8E}" id="{C3796761-CDD0-4C4E-9977-8328108ACB20}">
    <text>Account is Inactive</text>
  </threadedComment>
  <threadedComment ref="BN271" dT="2025-06-25T08:59:31.56" personId="{6777EDD4-E46F-4979-A7E7-6FC0A82E0C8E}" id="{E5F8D7E4-8C3E-4B14-AE1D-CD60043337E1}">
    <text>Ops. will not report May numbers as they will have to finalize the SLA with Client</text>
  </threadedComment>
  <threadedComment ref="BP271" dT="2025-06-25T08:59:31.56" personId="{6777EDD4-E46F-4979-A7E7-6FC0A82E0C8E}" id="{70A4C93E-04E8-4D5D-8FA5-1785A82F816A}">
    <text>Ops. will not report May numbers as they will have to finalize the SLA with Client</text>
  </threadedComment>
  <threadedComment ref="BR271" dT="2025-06-25T08:59:31.56" personId="{6777EDD4-E46F-4979-A7E7-6FC0A82E0C8E}" id="{3F425EBA-A8BD-4FD9-9F99-BC3BFE3D5E51}">
    <text>Ops. will not report May numbers as they will have to finalize the SLA with Client</text>
  </threadedComment>
  <threadedComment ref="BS271" dT="2026-02-24T13:58:27.89" personId="{7A84A2D1-0B72-4118-92E2-DA71D4FDA6B6}" id="{A7447939-F755-433F-8CE4-FC80B1215282}">
    <text>Contract on hold</text>
  </threadedComment>
  <threadedComment ref="AW272" dT="2025-06-25T08:59:31.56" personId="{6777EDD4-E46F-4979-A7E7-6FC0A82E0C8E}" id="{02013D3B-707A-4B1F-B9D0-7FF1A64757F3}">
    <text>Ops. will not report May numbers as they will have to finalize the SLA with Client</text>
  </threadedComment>
  <threadedComment ref="AX272" dT="2025-06-25T08:59:31.56" personId="{6777EDD4-E46F-4979-A7E7-6FC0A82E0C8E}" id="{9C5E2067-4D02-45AF-930E-D62BE237A2AC}">
    <text>Ops. will not report May numbers as they will have to finalize the SLA with Client</text>
  </threadedComment>
  <threadedComment ref="AY272" dT="2025-06-25T08:59:31.56" personId="{6777EDD4-E46F-4979-A7E7-6FC0A82E0C8E}" id="{554CE84F-E1AA-47B8-8477-3CDA608C6B8A}">
    <text>Ops. will not report May numbers as they will have to finalize the SLA with Client</text>
  </threadedComment>
  <threadedComment ref="AZ272" dT="2025-06-25T08:59:31.56" personId="{6777EDD4-E46F-4979-A7E7-6FC0A82E0C8E}" id="{806ED247-BBFC-44F2-9A09-15AB75C7A125}">
    <text>Ops. will not report May numbers as they will have to finalize the SLA with Client</text>
  </threadedComment>
  <threadedComment ref="BA272" dT="2025-06-25T08:59:31.56" personId="{6777EDD4-E46F-4979-A7E7-6FC0A82E0C8E}" id="{AEAF79A1-2963-4AEC-996C-7D5B943FF2A3}">
    <text>Ops. will not report May numbers as they will have to finalize the SLA with Client</text>
  </threadedComment>
  <threadedComment ref="BB272" dT="2025-06-25T08:59:31.56" personId="{6777EDD4-E46F-4979-A7E7-6FC0A82E0C8E}" id="{502A3A6D-1A3C-47AC-B6E0-3EA398BFEF37}">
    <text>Ops. will not report May numbers as they will have to finalize the SLA with Client</text>
  </threadedComment>
  <threadedComment ref="BC272" dT="2025-06-25T08:59:31.56" personId="{6777EDD4-E46F-4979-A7E7-6FC0A82E0C8E}" id="{5B0DD266-1D66-4662-A125-0D2F614A664E}">
    <text>Ops. will not report May numbers as they will have to finalize the SLA with Client</text>
  </threadedComment>
  <threadedComment ref="BD272" dT="2025-06-25T08:59:31.56" personId="{6777EDD4-E46F-4979-A7E7-6FC0A82E0C8E}" id="{FAA19D81-8C46-45F2-A1D9-04DDFF68634B}">
    <text>Ops. will not report May numbers as they will have to finalize the SLA with Client</text>
  </threadedComment>
  <threadedComment ref="BE272" dT="2025-06-25T08:59:31.56" personId="{6777EDD4-E46F-4979-A7E7-6FC0A82E0C8E}" id="{62FEC350-264A-47E3-8F36-5CC6712E018F}">
    <text>Ops. will not report May numbers as they will have to finalize the SLA with Client</text>
  </threadedComment>
  <threadedComment ref="BF272" dT="2025-06-25T08:59:31.56" personId="{6777EDD4-E46F-4979-A7E7-6FC0A82E0C8E}" id="{881171B6-A68D-4251-A7F8-714F061AABBB}">
    <text>Ops. will not report May numbers as they will have to finalize the SLA with Client</text>
  </threadedComment>
  <threadedComment ref="BG272" dT="2025-06-25T08:59:31.56" personId="{6777EDD4-E46F-4979-A7E7-6FC0A82E0C8E}" id="{297BC0D1-9E31-430A-9CCA-AE0FFE155E3C}">
    <text>Ops. will not report May numbers as they will have to finalize the SLA with Client</text>
  </threadedComment>
  <threadedComment ref="BH272" dT="2025-06-25T08:59:31.56" personId="{6777EDD4-E46F-4979-A7E7-6FC0A82E0C8E}" id="{5E73FF2C-382C-48EA-AFF4-2F80900D3A21}">
    <text>Ops. will not report May numbers as they will have to finalize the SLA with Client</text>
  </threadedComment>
  <threadedComment ref="BI272" dT="2025-06-25T08:59:31.56" personId="{6777EDD4-E46F-4979-A7E7-6FC0A82E0C8E}" id="{B072E250-A906-47FC-94DB-0817AD86E5ED}">
    <text>Ops. will not report May numbers as they will have to finalize the SLA with Client</text>
  </threadedComment>
  <threadedComment ref="BJ272" dT="2025-06-25T08:59:31.56" personId="{6777EDD4-E46F-4979-A7E7-6FC0A82E0C8E}" id="{F615C0AC-DAE8-4380-AA45-964234AE209C}">
    <text>Ops. will not report May numbers as they will have to finalize the SLA with Client</text>
  </threadedComment>
  <threadedComment ref="BK272" dT="2025-06-25T08:59:31.56" personId="{6777EDD4-E46F-4979-A7E7-6FC0A82E0C8E}" id="{5534A631-63B0-4474-A0AA-4215625D6791}">
    <text>Ops. will not report May numbers as they will have to finalize the SLA with Client</text>
  </threadedComment>
  <threadedComment ref="BL272" dT="2024-10-18T04:54:46.00" personId="{6777EDD4-E46F-4979-A7E7-6FC0A82E0C8E}" id="{9DBC03C2-9D6C-4FD3-BF53-2CA4D1D73BF1}">
    <text>Project On-Hold</text>
  </threadedComment>
  <threadedComment ref="BM272" dT="2025-11-24T08:48:01.66" personId="{6777EDD4-E46F-4979-A7E7-6FC0A82E0C8E}" id="{A60C3415-5E07-4E51-BC1C-CD94F9359813}">
    <text>Account is Inactive</text>
  </threadedComment>
  <threadedComment ref="BN272" dT="2024-10-18T04:54:46.00" personId="{6777EDD4-E46F-4979-A7E7-6FC0A82E0C8E}" id="{922BCA69-5722-41D7-A152-1F16E6D5AAA0}">
    <text>Project On-Hold</text>
  </threadedComment>
  <threadedComment ref="BP272" dT="2024-10-18T04:54:46.00" personId="{6777EDD4-E46F-4979-A7E7-6FC0A82E0C8E}" id="{6B5E3E62-6D9B-476C-A656-8039108966D1}">
    <text>Project On-Hold</text>
  </threadedComment>
  <threadedComment ref="BR272" dT="2024-10-18T04:54:46.00" personId="{6777EDD4-E46F-4979-A7E7-6FC0A82E0C8E}" id="{329426AD-4998-49D8-B88C-0DE27D7BDDAD}">
    <text>Project On-Hold</text>
  </threadedComment>
  <threadedComment ref="BS272" dT="2026-02-24T13:58:27.89" personId="{7A84A2D1-0B72-4118-92E2-DA71D4FDA6B6}" id="{9E9DCD59-8669-4069-A140-A7ED2FE7A69C}">
    <text>Contract on hold</text>
  </threadedComment>
  <threadedComment ref="Q273" dT="2024-04-19T10:44:52.43" personId="{6777EDD4-E46F-4979-A7E7-6FC0A82E0C8E}" id="{EC6051A8-B73B-455A-BBE7-30073C9C6DF2}">
    <text>Contract not Renew (On Hold)</text>
  </threadedComment>
  <threadedComment ref="R273" dT="2024-04-19T10:44:52.43" personId="{6777EDD4-E46F-4979-A7E7-6FC0A82E0C8E}" id="{C3CFB6D5-235E-45D4-B268-620CDD0B949C}">
    <text>Contract not Renew (On Hold)</text>
  </threadedComment>
  <threadedComment ref="S273" dT="2024-04-19T10:44:52.43" personId="{6777EDD4-E46F-4979-A7E7-6FC0A82E0C8E}" id="{09720A86-EC6F-4162-8B0B-2018AF7C37CE}">
    <text>Contract not Renew (On Hold)</text>
  </threadedComment>
  <threadedComment ref="T273" dT="2024-04-19T10:44:52.43" personId="{6777EDD4-E46F-4979-A7E7-6FC0A82E0C8E}" id="{79849865-9B66-48AE-9165-2645620B627F}">
    <text>Contract not Renew (On Hold)</text>
  </threadedComment>
  <threadedComment ref="U273" dT="2024-04-19T10:44:52.43" personId="{6777EDD4-E46F-4979-A7E7-6FC0A82E0C8E}" id="{E7897B34-5D37-4AB4-8964-741F98797683}">
    <text>Contract not Renew (On Hold)</text>
  </threadedComment>
  <threadedComment ref="V273" dT="2024-04-19T10:44:52.43" personId="{6777EDD4-E46F-4979-A7E7-6FC0A82E0C8E}" id="{A8A5B11D-7040-4DCF-873E-EDF7458BA814}">
    <text>Contract not Renew (On Hold)</text>
  </threadedComment>
  <threadedComment ref="W273" dT="2024-04-19T10:44:52.43" personId="{6777EDD4-E46F-4979-A7E7-6FC0A82E0C8E}" id="{7D6C4D18-82EB-4589-8DFA-7E0A938D1E00}">
    <text>Contract not Renew (On Hold)</text>
  </threadedComment>
  <threadedComment ref="X273" dT="2024-04-19T10:44:52.43" personId="{6777EDD4-E46F-4979-A7E7-6FC0A82E0C8E}" id="{268EF4F5-DBE7-4C17-BD7F-1F507600975F}">
    <text>Contract not Renew (On Hold)</text>
  </threadedComment>
  <threadedComment ref="AA273" dT="2024-10-17T09:53:12.06" personId="{6777EDD4-E46F-4979-A7E7-6FC0A82E0C8E}" id="{FDA1B4D9-6FF2-4188-9B75-20DAE2DFF20E}">
    <text>Hiring is on Hold</text>
  </threadedComment>
  <threadedComment ref="AB273" dT="2024-10-17T09:53:12.06" personId="{6777EDD4-E46F-4979-A7E7-6FC0A82E0C8E}" id="{F3061C50-76BA-421F-8121-81E0574D41E2}">
    <text>Hiring is on Hold</text>
  </threadedComment>
  <threadedComment ref="AC273" dT="2024-10-17T09:53:12.06" personId="{6777EDD4-E46F-4979-A7E7-6FC0A82E0C8E}" id="{53E8261C-F563-4C9E-9372-D44942921AE9}">
    <text>Hiring is on Hold</text>
  </threadedComment>
  <threadedComment ref="AD273" dT="2024-10-17T09:53:12.06" personId="{6777EDD4-E46F-4979-A7E7-6FC0A82E0C8E}" id="{FDC7B628-BC6F-411E-AAB3-BCE3993C0E4C}">
    <text>Hiring is on Hold</text>
  </threadedComment>
  <threadedComment ref="AG273" dT="2024-12-18T08:18:28.30" personId="{6777EDD4-E46F-4979-A7E7-6FC0A82E0C8E}" id="{F4B18FAF-6DD5-471A-8121-EBA8C329EE16}">
    <text>Positions are on-hold</text>
  </threadedComment>
  <threadedComment ref="AH273" dT="2024-12-18T08:18:28.30" personId="{6777EDD4-E46F-4979-A7E7-6FC0A82E0C8E}" id="{D2BC5580-5CB5-43E9-BDED-24AC415E2C97}">
    <text>Positions are on-hold</text>
  </threadedComment>
  <threadedComment ref="AI273" dT="2024-12-18T08:18:28.30" personId="{6777EDD4-E46F-4979-A7E7-6FC0A82E0C8E}" id="{01EC69E6-2BA8-4F61-A0D3-C97237A59987}">
    <text>Positions are on-hold</text>
  </threadedComment>
  <threadedComment ref="AJ273" dT="2024-12-18T08:18:28.30" personId="{6777EDD4-E46F-4979-A7E7-6FC0A82E0C8E}" id="{70E8E8B7-D18F-47E2-9867-E1DE63C31FC8}">
    <text>Positions are on-hold</text>
  </threadedComment>
  <threadedComment ref="AK273" dT="2024-12-18T08:18:28.30" personId="{6777EDD4-E46F-4979-A7E7-6FC0A82E0C8E}" id="{5CCA8B2C-B767-4D9A-9289-477CDEBBB8AF}">
    <text>Positions are on-hold</text>
  </threadedComment>
  <threadedComment ref="AL273" dT="2024-12-18T08:18:28.30" personId="{6777EDD4-E46F-4979-A7E7-6FC0A82E0C8E}" id="{D81867B0-7595-4EF5-9F07-798AF72E3AEC}">
    <text>Positions are on-hold</text>
  </threadedComment>
  <threadedComment ref="AM273" dT="2024-12-18T08:18:28.30" personId="{6777EDD4-E46F-4979-A7E7-6FC0A82E0C8E}" id="{11DE59F3-2DD1-41DF-8E4A-3898A7C26269}">
    <text>Positions are on-hold</text>
  </threadedComment>
  <threadedComment ref="AN273" dT="2024-12-18T08:18:28.30" personId="{6777EDD4-E46F-4979-A7E7-6FC0A82E0C8E}" id="{3B6096B4-F50E-48F3-B08C-84A649D5D085}">
    <text>Positions are on-hold</text>
  </threadedComment>
  <threadedComment ref="AO273" dT="2024-12-18T08:18:28.30" personId="{6777EDD4-E46F-4979-A7E7-6FC0A82E0C8E}" id="{DFF1686E-363A-49A2-B455-0B76124D3D05}">
    <text>Positions are on-hold</text>
  </threadedComment>
  <threadedComment ref="AP273" dT="2024-12-18T08:18:28.30" personId="{6777EDD4-E46F-4979-A7E7-6FC0A82E0C8E}" id="{D9A87091-566C-480C-81B7-8DE3FB7454B4}">
    <text>Positions are on-hold</text>
  </threadedComment>
  <threadedComment ref="AQ273" dT="2024-12-18T08:18:28.30" personId="{6777EDD4-E46F-4979-A7E7-6FC0A82E0C8E}" id="{E96BCAB1-1A8F-4523-BAD4-EA45FD3C71D3}">
    <text>Positions are on-hold</text>
  </threadedComment>
  <threadedComment ref="AR273" dT="2024-12-18T08:18:28.30" personId="{6777EDD4-E46F-4979-A7E7-6FC0A82E0C8E}" id="{0076683F-63EF-48E9-B895-B6B8E3211A91}">
    <text>Positions are on-hold</text>
  </threadedComment>
  <threadedComment ref="AS273" dT="2024-12-18T08:18:28.30" personId="{6777EDD4-E46F-4979-A7E7-6FC0A82E0C8E}" id="{5DB727B5-8ADE-479B-BF47-5EFAF8E681D2}">
    <text>Positions are on-hold</text>
  </threadedComment>
  <threadedComment ref="AT273" dT="2024-12-18T08:18:28.30" personId="{6777EDD4-E46F-4979-A7E7-6FC0A82E0C8E}" id="{C9E675D8-D57A-45DA-A16D-7F5006927792}">
    <text>Positions are on-hold</text>
  </threadedComment>
  <threadedComment ref="AW273" dT="2024-10-18T04:54:46.00" personId="{6777EDD4-E46F-4979-A7E7-6FC0A82E0C8E}" id="{014B262F-0F1C-40F5-9F50-C53F71D00B74}">
    <text>Project On-Hold</text>
  </threadedComment>
  <threadedComment ref="AX273" dT="2024-10-18T04:54:46.00" personId="{6777EDD4-E46F-4979-A7E7-6FC0A82E0C8E}" id="{A16B26CE-0C68-4292-95DF-65626D235EF4}">
    <text>Project On-Hold</text>
  </threadedComment>
  <threadedComment ref="AY273" dT="2024-10-18T04:54:46.00" personId="{6777EDD4-E46F-4979-A7E7-6FC0A82E0C8E}" id="{7D519BBF-D776-4F87-939C-143AD79D8533}">
    <text>Project On-Hold</text>
  </threadedComment>
  <threadedComment ref="AZ273" dT="2024-10-18T04:54:46.00" personId="{6777EDD4-E46F-4979-A7E7-6FC0A82E0C8E}" id="{7972F756-CB34-462C-8105-47DA31970D43}">
    <text>Project On-Hold</text>
  </threadedComment>
  <threadedComment ref="BA273" dT="2024-10-18T04:54:46.00" personId="{6777EDD4-E46F-4979-A7E7-6FC0A82E0C8E}" id="{133E693B-CB83-4B7B-8B60-C0248232CC51}">
    <text>Project On-Hold</text>
  </threadedComment>
  <threadedComment ref="BB273" dT="2024-10-18T04:54:46.00" personId="{6777EDD4-E46F-4979-A7E7-6FC0A82E0C8E}" id="{FE66A0F5-0B5D-47CF-B491-9F17D387383E}">
    <text>Project On-Hold</text>
  </threadedComment>
  <threadedComment ref="BC273" dT="2024-10-18T04:54:46.00" personId="{6777EDD4-E46F-4979-A7E7-6FC0A82E0C8E}" id="{62FFE5CC-19BA-4C2E-AA69-D9D56153BB1F}">
    <text>Project On-Hold</text>
  </threadedComment>
  <threadedComment ref="BD273" dT="2024-10-18T04:54:46.00" personId="{6777EDD4-E46F-4979-A7E7-6FC0A82E0C8E}" id="{5A41DAE5-A71C-42EB-BB23-6FCB206B9A33}">
    <text>Project On-Hold</text>
  </threadedComment>
  <threadedComment ref="BE273" dT="2024-10-18T04:54:46.00" personId="{6777EDD4-E46F-4979-A7E7-6FC0A82E0C8E}" id="{404405E8-1FCC-435A-95E9-B1A033256C23}">
    <text>Project On-Hold</text>
  </threadedComment>
  <threadedComment ref="BF273" dT="2024-10-18T04:54:46.00" personId="{6777EDD4-E46F-4979-A7E7-6FC0A82E0C8E}" id="{23871ADD-8F6F-461F-A626-A3A5135C4956}">
    <text>Project On-Hold</text>
  </threadedComment>
  <threadedComment ref="BG273" dT="2024-10-18T04:54:46.00" personId="{6777EDD4-E46F-4979-A7E7-6FC0A82E0C8E}" id="{2C5FE1A1-2247-4937-A24A-4C86923953DA}">
    <text>Project On-Hold</text>
  </threadedComment>
  <threadedComment ref="BH273" dT="2024-10-18T04:54:46.00" personId="{6777EDD4-E46F-4979-A7E7-6FC0A82E0C8E}" id="{C45BAAD9-4456-43A2-AA28-C92E627C9DE9}">
    <text>Project On-Hold</text>
  </threadedComment>
  <threadedComment ref="BI273" dT="2024-10-18T04:54:46.00" personId="{6777EDD4-E46F-4979-A7E7-6FC0A82E0C8E}" id="{3E5776E2-A70D-46CE-AA98-A947430A2CC3}">
    <text>Project On-Hold</text>
  </threadedComment>
  <threadedComment ref="BJ273" dT="2024-10-18T04:54:46.00" personId="{6777EDD4-E46F-4979-A7E7-6FC0A82E0C8E}" id="{95AD14FB-CDB9-4C86-96C2-0ECE0FC5BEB0}">
    <text>Project On-Hold</text>
  </threadedComment>
  <threadedComment ref="BK273" dT="2024-10-18T04:54:46.00" personId="{6777EDD4-E46F-4979-A7E7-6FC0A82E0C8E}" id="{3139FFB5-C054-41A8-B67F-96451A928B41}">
    <text>Project On-Hold</text>
  </threadedComment>
  <threadedComment ref="BL273" dT="2024-10-18T04:54:46.00" personId="{6777EDD4-E46F-4979-A7E7-6FC0A82E0C8E}" id="{7CF9336A-CAF9-4C54-AC8A-F035BAD8095F}">
    <text>Project On-Hold</text>
  </threadedComment>
  <threadedComment ref="BM273" dT="2024-12-18T08:18:28.30" personId="{6777EDD4-E46F-4979-A7E7-6FC0A82E0C8E}" id="{83B2809A-A3A0-4497-8D18-F69AD7ECC3A0}">
    <text>Positions are on-hold</text>
  </threadedComment>
  <threadedComment ref="BN273" dT="2024-10-18T04:54:46.00" personId="{6777EDD4-E46F-4979-A7E7-6FC0A82E0C8E}" id="{DAFCE64F-2DBC-436D-99E6-E54F57001CCC}">
    <text>Project On-Hold</text>
  </threadedComment>
  <threadedComment ref="BP273" dT="2024-10-18T04:54:46.00" personId="{6777EDD4-E46F-4979-A7E7-6FC0A82E0C8E}" id="{A5B2E866-FC09-4293-93D9-F1FF59D8D053}">
    <text>Project On-Hold</text>
  </threadedComment>
  <threadedComment ref="BR273" dT="2024-10-18T04:54:46.00" personId="{6777EDD4-E46F-4979-A7E7-6FC0A82E0C8E}" id="{E1AB2E17-B890-4A5B-8622-67E26FEA11C6}">
    <text>Project On-Hold</text>
  </threadedComment>
  <threadedComment ref="BS273" dT="2024-10-18T04:54:46.00" personId="{6777EDD4-E46F-4979-A7E7-6FC0A82E0C8E}" id="{56BFFCF7-78C9-439A-9C14-B51D566A5D4B}">
    <text>Project On-Hold</text>
  </threadedComment>
  <threadedComment ref="Q274" dT="2024-04-19T10:44:52.43" personId="{6777EDD4-E46F-4979-A7E7-6FC0A82E0C8E}" id="{AA89D851-9F86-46C9-9057-659CB6265ABE}">
    <text>Contract not Renew (On Hold)</text>
  </threadedComment>
  <threadedComment ref="R274" dT="2024-04-19T10:44:52.43" personId="{6777EDD4-E46F-4979-A7E7-6FC0A82E0C8E}" id="{65C00B76-CEFE-4411-97EB-BC0488314F8E}">
    <text>Contract not Renew (On Hold)</text>
  </threadedComment>
  <threadedComment ref="S274" dT="2024-04-19T10:44:52.43" personId="{6777EDD4-E46F-4979-A7E7-6FC0A82E0C8E}" id="{35C8689C-39FB-424F-9F0E-8A10DE856AEC}">
    <text>Contract not Renew (On Hold)</text>
  </threadedComment>
  <threadedComment ref="T274" dT="2024-04-19T10:44:52.43" personId="{6777EDD4-E46F-4979-A7E7-6FC0A82E0C8E}" id="{9E5E6CF9-2860-4D17-A30C-A38CB0A0699C}">
    <text>Contract not Renew (On Hold)</text>
  </threadedComment>
  <threadedComment ref="U274" dT="2024-04-19T10:44:52.43" personId="{6777EDD4-E46F-4979-A7E7-6FC0A82E0C8E}" id="{80FA3B34-F980-4B77-8B44-0504FF1574FC}">
    <text>Contract not Renew (On Hold)</text>
  </threadedComment>
  <threadedComment ref="V274" dT="2024-04-19T10:44:52.43" personId="{6777EDD4-E46F-4979-A7E7-6FC0A82E0C8E}" id="{BC2B1DD9-A095-4102-8D0E-80CA6AFC29A8}">
    <text>Contract not Renew (On Hold)</text>
  </threadedComment>
  <threadedComment ref="W274" dT="2024-04-19T10:44:52.43" personId="{6777EDD4-E46F-4979-A7E7-6FC0A82E0C8E}" id="{0B9B34B1-E352-42DD-8680-C6919930E46A}">
    <text>Contract not Renew (On Hold)</text>
  </threadedComment>
  <threadedComment ref="X274" dT="2024-04-19T10:44:52.43" personId="{6777EDD4-E46F-4979-A7E7-6FC0A82E0C8E}" id="{07B6C628-720A-4304-A60F-3294D6D3E02D}">
    <text>Contract not Renew (On Hold)</text>
  </threadedComment>
  <threadedComment ref="AA274" dT="2024-10-17T09:53:12.06" personId="{6777EDD4-E46F-4979-A7E7-6FC0A82E0C8E}" id="{DEAA03E8-5847-43BA-B846-E04027E2B29F}">
    <text>Hiring is on Hold</text>
  </threadedComment>
  <threadedComment ref="AB274" dT="2024-10-17T09:53:12.06" personId="{6777EDD4-E46F-4979-A7E7-6FC0A82E0C8E}" id="{590A20EB-AD95-41D2-AE7D-8761B0D659D5}">
    <text>Hiring is on Hold</text>
  </threadedComment>
  <threadedComment ref="AC274" dT="2024-10-17T09:53:12.06" personId="{6777EDD4-E46F-4979-A7E7-6FC0A82E0C8E}" id="{C3EBC4CE-FFB9-4B85-B1CB-ABA9840267E0}">
    <text>Hiring is on Hold</text>
  </threadedComment>
  <threadedComment ref="AD274" dT="2024-10-17T09:53:12.06" personId="{6777EDD4-E46F-4979-A7E7-6FC0A82E0C8E}" id="{349F9EA1-29ED-4ED7-8C06-86497A06669C}">
    <text>Hiring is on Hold</text>
  </threadedComment>
  <threadedComment ref="AG274" dT="2024-12-18T08:18:28.30" personId="{6777EDD4-E46F-4979-A7E7-6FC0A82E0C8E}" id="{61B07038-F97A-4A36-815B-29DF6E75C7F2}">
    <text>Positions are on-hold</text>
  </threadedComment>
  <threadedComment ref="AH274" dT="2024-12-18T08:18:28.30" personId="{6777EDD4-E46F-4979-A7E7-6FC0A82E0C8E}" id="{115DDF5F-5786-4AD7-9AAC-60A56A3C2086}">
    <text>Positions are on-hold</text>
  </threadedComment>
  <threadedComment ref="AI274" dT="2024-12-18T08:18:28.30" personId="{6777EDD4-E46F-4979-A7E7-6FC0A82E0C8E}" id="{527BE84A-8263-46A1-8653-19F76B866016}">
    <text>Positions are on-hold</text>
  </threadedComment>
  <threadedComment ref="AJ274" dT="2024-12-18T08:18:28.30" personId="{6777EDD4-E46F-4979-A7E7-6FC0A82E0C8E}" id="{29B31A64-DA34-4C4C-AEEA-B55B49CBC320}">
    <text>Positions are on-hold</text>
  </threadedComment>
  <threadedComment ref="AK274" dT="2024-12-18T08:18:28.30" personId="{6777EDD4-E46F-4979-A7E7-6FC0A82E0C8E}" id="{8CBC7E58-7DE6-4CCA-8383-6F1D132F32D3}">
    <text>Positions are on-hold</text>
  </threadedComment>
  <threadedComment ref="AL274" dT="2024-12-18T08:18:28.30" personId="{6777EDD4-E46F-4979-A7E7-6FC0A82E0C8E}" id="{2B027EEB-053A-413B-B386-86D3854B9DBA}">
    <text>Positions are on-hold</text>
  </threadedComment>
  <threadedComment ref="AM274" dT="2024-12-18T08:18:28.30" personId="{6777EDD4-E46F-4979-A7E7-6FC0A82E0C8E}" id="{CDC37339-7797-408B-B4E0-D8DBCB6F88F1}">
    <text>Positions are on-hold</text>
  </threadedComment>
  <threadedComment ref="AN274" dT="2024-12-18T08:18:28.30" personId="{6777EDD4-E46F-4979-A7E7-6FC0A82E0C8E}" id="{8CA57C99-E790-4CEC-BDD6-8260BF4FCE02}">
    <text>Positions are on-hold</text>
  </threadedComment>
  <threadedComment ref="AO274" dT="2024-12-18T08:18:28.30" personId="{6777EDD4-E46F-4979-A7E7-6FC0A82E0C8E}" id="{91239C5A-C718-49BC-80D1-4864B1EC95E2}">
    <text>Positions are on-hold</text>
  </threadedComment>
  <threadedComment ref="AP274" dT="2024-12-18T08:18:28.30" personId="{6777EDD4-E46F-4979-A7E7-6FC0A82E0C8E}" id="{6C845819-D02E-4A62-A828-72469A1C7D43}">
    <text>Positions are on-hold</text>
  </threadedComment>
  <threadedComment ref="AQ274" dT="2024-12-18T08:18:28.30" personId="{6777EDD4-E46F-4979-A7E7-6FC0A82E0C8E}" id="{C6510092-9B91-456C-8976-86CA9A286DEF}">
    <text>Positions are on-hold</text>
  </threadedComment>
  <threadedComment ref="AR274" dT="2024-12-18T08:18:28.30" personId="{6777EDD4-E46F-4979-A7E7-6FC0A82E0C8E}" id="{6C47E329-657F-4DD6-B95A-6BC893255D68}">
    <text>Positions are on-hold</text>
  </threadedComment>
  <threadedComment ref="AS274" dT="2024-12-18T08:18:28.30" personId="{6777EDD4-E46F-4979-A7E7-6FC0A82E0C8E}" id="{6ED69961-ABB1-4F36-9F10-C838D0DB4957}">
    <text>Positions are on-hold</text>
  </threadedComment>
  <threadedComment ref="AT274" dT="2024-12-18T08:18:28.30" personId="{6777EDD4-E46F-4979-A7E7-6FC0A82E0C8E}" id="{C83D48B5-D446-493A-9A77-C33393DAECDA}">
    <text>Positions are on-hold</text>
  </threadedComment>
  <threadedComment ref="AU274" dT="2024-12-18T08:18:28.30" personId="{6777EDD4-E46F-4979-A7E7-6FC0A82E0C8E}" id="{CECDB2DF-016D-444F-B939-E8919E237D1F}">
    <text>Positions are on-hold</text>
  </threadedComment>
  <threadedComment ref="AV274" dT="2024-12-18T08:18:28.30" personId="{6777EDD4-E46F-4979-A7E7-6FC0A82E0C8E}" id="{47ED71D5-48EA-4E1C-A522-2DD1098EDD9D}">
    <text>Positions are on-hold</text>
  </threadedComment>
  <threadedComment ref="AW274" dT="2024-10-18T04:54:46.00" personId="{6777EDD4-E46F-4979-A7E7-6FC0A82E0C8E}" id="{33BA4020-8BEE-4502-AA5A-A40B191670C3}">
    <text>Project On-Hold</text>
  </threadedComment>
  <threadedComment ref="AX274" dT="2024-10-18T04:54:46.00" personId="{6777EDD4-E46F-4979-A7E7-6FC0A82E0C8E}" id="{8BF0BBEB-03C2-44B1-BFCA-64C03E05905F}">
    <text>Project On-Hold</text>
  </threadedComment>
  <threadedComment ref="AY274" dT="2024-10-18T04:54:46.00" personId="{6777EDD4-E46F-4979-A7E7-6FC0A82E0C8E}" id="{2FB1B6CD-8688-4CC4-B5D1-7270A996ED85}">
    <text>Project On-Hold</text>
  </threadedComment>
  <threadedComment ref="AZ274" dT="2024-10-18T04:54:46.00" personId="{6777EDD4-E46F-4979-A7E7-6FC0A82E0C8E}" id="{AC159F0A-14FE-47F5-A25E-C4BF036EA421}">
    <text>Project On-Hold</text>
  </threadedComment>
  <threadedComment ref="BA274" dT="2024-10-18T04:54:46.00" personId="{6777EDD4-E46F-4979-A7E7-6FC0A82E0C8E}" id="{6BA92846-3EE7-4026-AA6F-2D1053579B05}">
    <text>Project On-Hold</text>
  </threadedComment>
  <threadedComment ref="BB274" dT="2024-10-18T04:54:46.00" personId="{6777EDD4-E46F-4979-A7E7-6FC0A82E0C8E}" id="{DE065F2D-7549-43FE-BC1E-0271DB754BB0}">
    <text>Project On-Hold</text>
  </threadedComment>
  <threadedComment ref="BC274" dT="2024-10-18T04:54:46.00" personId="{6777EDD4-E46F-4979-A7E7-6FC0A82E0C8E}" id="{141AE0A5-F417-4765-967A-1190CD4AFAC4}">
    <text>Project On-Hold</text>
  </threadedComment>
  <threadedComment ref="BD274" dT="2024-10-18T04:54:46.00" personId="{6777EDD4-E46F-4979-A7E7-6FC0A82E0C8E}" id="{575CBE83-05AD-45EF-A74F-DF2F975B9473}">
    <text>Project On-Hold</text>
  </threadedComment>
  <threadedComment ref="BE274" dT="2024-10-18T04:54:46.00" personId="{6777EDD4-E46F-4979-A7E7-6FC0A82E0C8E}" id="{F9D83F7C-D24E-4E54-B85F-DA951FF466AA}">
    <text>Project On-Hold</text>
  </threadedComment>
  <threadedComment ref="BF274" dT="2024-10-18T04:54:46.00" personId="{6777EDD4-E46F-4979-A7E7-6FC0A82E0C8E}" id="{2E38C9B3-7F81-4E0D-8648-1C963B93E8B5}">
    <text>Project On-Hold</text>
  </threadedComment>
  <threadedComment ref="BG274" dT="2024-10-18T04:54:46.00" personId="{6777EDD4-E46F-4979-A7E7-6FC0A82E0C8E}" id="{419EC6F9-3AF6-45DB-8C28-43CECA2A8B4C}">
    <text>Project On-Hold</text>
  </threadedComment>
  <threadedComment ref="BH274" dT="2024-10-18T04:54:46.00" personId="{6777EDD4-E46F-4979-A7E7-6FC0A82E0C8E}" id="{5CB10710-0C13-4874-B9B5-82C2FE2A7DC3}">
    <text>Project On-Hold</text>
  </threadedComment>
  <threadedComment ref="BI274" dT="2024-10-18T04:54:46.00" personId="{6777EDD4-E46F-4979-A7E7-6FC0A82E0C8E}" id="{CABD0A27-A810-429E-B5D9-9E07E08FA9FE}">
    <text>Project On-Hold</text>
  </threadedComment>
  <threadedComment ref="BJ274" dT="2024-10-18T04:54:46.00" personId="{6777EDD4-E46F-4979-A7E7-6FC0A82E0C8E}" id="{B6C2965D-6497-4421-BC0B-C890CBACBB6E}">
    <text>Project On-Hold</text>
  </threadedComment>
  <threadedComment ref="BK274" dT="2024-10-18T04:54:46.00" personId="{6777EDD4-E46F-4979-A7E7-6FC0A82E0C8E}" id="{D18AC135-0C59-4DA6-8974-5944A6B2CF37}">
    <text>Project On-Hold</text>
  </threadedComment>
  <threadedComment ref="BL274" dT="2024-10-18T04:54:46.00" personId="{6777EDD4-E46F-4979-A7E7-6FC0A82E0C8E}" id="{616BC7B3-8437-4486-8BE9-3C9E3CB80CCF}">
    <text>Project On-Hold</text>
  </threadedComment>
  <threadedComment ref="BN274" dT="2024-10-18T04:54:46.00" personId="{6777EDD4-E46F-4979-A7E7-6FC0A82E0C8E}" id="{61DA0187-D88B-4F30-B162-82A6CF9C055D}">
    <text>Project On-Hold</text>
  </threadedComment>
  <threadedComment ref="BP274" dT="2024-10-18T04:54:46.00" personId="{6777EDD4-E46F-4979-A7E7-6FC0A82E0C8E}" id="{097AA18E-1006-41A0-A01B-EE019A5B0527}">
    <text>Project On-Hold</text>
  </threadedComment>
  <threadedComment ref="BR274" dT="2024-10-18T04:54:46.00" personId="{6777EDD4-E46F-4979-A7E7-6FC0A82E0C8E}" id="{9216D34B-5F94-4BFC-A3AA-5FBFF2A4DC05}">
    <text>Project On-Hold</text>
  </threadedComment>
  <threadedComment ref="BS274" dT="2024-10-18T04:54:46.00" personId="{6777EDD4-E46F-4979-A7E7-6FC0A82E0C8E}" id="{7077C06F-5DF4-4AD6-A6B8-E8864F1E64BC}">
    <text>Project On-Hold</text>
  </threadedComment>
  <threadedComment ref="BU274" dT="2024-12-18T08:18:28.30" personId="{6777EDD4-E46F-4979-A7E7-6FC0A82E0C8E}" id="{2289C2C8-B19E-4F54-87F9-EC9237BC1421}">
    <text>Positions are on-hold</text>
  </threadedComment>
  <threadedComment ref="Q275" dT="2024-04-19T10:44:52.43" personId="{6777EDD4-E46F-4979-A7E7-6FC0A82E0C8E}" id="{327C5B19-B53E-41C7-A0E1-7CAD0E9ECAC4}">
    <text>Contract not Renew (On Hold)</text>
  </threadedComment>
  <threadedComment ref="R275" dT="2024-04-19T10:44:52.43" personId="{6777EDD4-E46F-4979-A7E7-6FC0A82E0C8E}" id="{39276669-2CD9-4292-ABF8-DBEA71E6E418}">
    <text>Contract not Renew (On Hold)</text>
  </threadedComment>
  <threadedComment ref="S275" dT="2024-04-19T10:44:52.43" personId="{6777EDD4-E46F-4979-A7E7-6FC0A82E0C8E}" id="{589FBB2A-5589-4B49-A547-03873DF88B0A}">
    <text>Contract not Renew (On Hold)</text>
  </threadedComment>
  <threadedComment ref="T275" dT="2024-04-19T10:44:52.43" personId="{6777EDD4-E46F-4979-A7E7-6FC0A82E0C8E}" id="{F7890BFD-BDA2-4D55-AE75-95DE8F078A3C}">
    <text>Contract not Renew (On Hold)</text>
  </threadedComment>
  <threadedComment ref="U275" dT="2024-04-19T10:44:52.43" personId="{6777EDD4-E46F-4979-A7E7-6FC0A82E0C8E}" id="{60EE8898-6DDF-4C35-8D4C-F1BE41D2FEBE}">
    <text>Contract not Renew (On Hold)</text>
  </threadedComment>
  <threadedComment ref="V275" dT="2024-04-19T10:44:52.43" personId="{6777EDD4-E46F-4979-A7E7-6FC0A82E0C8E}" id="{C084BFEE-3233-42BB-AFDC-87919A05C250}">
    <text>Contract not Renew (On Hold)</text>
  </threadedComment>
  <threadedComment ref="W275" dT="2024-04-19T10:44:52.43" personId="{6777EDD4-E46F-4979-A7E7-6FC0A82E0C8E}" id="{921ECFF5-8DF5-42D7-9776-028D502C8C13}">
    <text>Contract not Renew (On Hold)</text>
  </threadedComment>
  <threadedComment ref="X275" dT="2024-04-19T10:44:52.43" personId="{6777EDD4-E46F-4979-A7E7-6FC0A82E0C8E}" id="{C5D98708-C566-49D5-BAFA-31EB4F59BA11}">
    <text>Contract not Renew (On Hold)</text>
  </threadedComment>
  <threadedComment ref="AA275" dT="2024-10-17T09:53:12.06" personId="{6777EDD4-E46F-4979-A7E7-6FC0A82E0C8E}" id="{7EDFFAD9-008E-4779-8ACF-95D3D20ED21C}">
    <text>Hiring is on Hold</text>
  </threadedComment>
  <threadedComment ref="AB275" dT="2024-10-17T09:53:12.06" personId="{6777EDD4-E46F-4979-A7E7-6FC0A82E0C8E}" id="{C7480EDB-0D90-4C1D-99C4-0098B4E18404}">
    <text>Hiring is on Hold</text>
  </threadedComment>
  <threadedComment ref="AC275" dT="2024-10-17T09:53:12.06" personId="{6777EDD4-E46F-4979-A7E7-6FC0A82E0C8E}" id="{7CE00C37-64CE-4A46-9500-7BCB55EA4F63}">
    <text>Hiring is on Hold</text>
  </threadedComment>
  <threadedComment ref="AD275" dT="2024-10-17T09:53:12.06" personId="{6777EDD4-E46F-4979-A7E7-6FC0A82E0C8E}" id="{67AA80AA-5558-4966-A714-F37018FAC12B}">
    <text>Hiring is on Hold</text>
  </threadedComment>
  <threadedComment ref="AG275" dT="2024-12-18T08:18:28.30" personId="{6777EDD4-E46F-4979-A7E7-6FC0A82E0C8E}" id="{0BA81D8F-D821-4B97-B019-0EB7FEA61A0F}">
    <text>Positions are on-hold</text>
  </threadedComment>
  <threadedComment ref="AH275" dT="2024-12-18T08:18:28.30" personId="{6777EDD4-E46F-4979-A7E7-6FC0A82E0C8E}" id="{35A29881-6A2B-401A-82E6-93F2AC34127B}">
    <text>Positions are on-hold</text>
  </threadedComment>
  <threadedComment ref="AI275" dT="2024-12-18T08:18:28.30" personId="{6777EDD4-E46F-4979-A7E7-6FC0A82E0C8E}" id="{EEC954B3-5899-4132-B588-C652D495BCFA}">
    <text>Positions are on-hold</text>
  </threadedComment>
  <threadedComment ref="AJ275" dT="2024-12-18T08:18:28.30" personId="{6777EDD4-E46F-4979-A7E7-6FC0A82E0C8E}" id="{5DAD5FFD-0EF3-4E8F-8811-D2F3C8CE4503}">
    <text>Positions are on-hold</text>
  </threadedComment>
  <threadedComment ref="AK275" dT="2024-12-18T08:18:28.30" personId="{6777EDD4-E46F-4979-A7E7-6FC0A82E0C8E}" id="{33416DB9-08D3-42E2-94C2-E42AB895C6D1}">
    <text>Positions are on-hold</text>
  </threadedComment>
  <threadedComment ref="AL275" dT="2024-12-18T08:18:28.30" personId="{6777EDD4-E46F-4979-A7E7-6FC0A82E0C8E}" id="{0D775C6F-2DA8-4B3B-82F5-F83B9B9828E4}">
    <text>Positions are on-hold</text>
  </threadedComment>
  <threadedComment ref="AM275" dT="2024-12-18T08:18:28.30" personId="{6777EDD4-E46F-4979-A7E7-6FC0A82E0C8E}" id="{1721DA29-722F-47B6-9085-5E0B0962D434}">
    <text>Positions are on-hold</text>
  </threadedComment>
  <threadedComment ref="AN275" dT="2024-12-18T08:18:28.30" personId="{6777EDD4-E46F-4979-A7E7-6FC0A82E0C8E}" id="{251174FF-D5B3-468C-9C40-CF2AAD90F546}">
    <text>Positions are on-hold</text>
  </threadedComment>
  <threadedComment ref="AO275" dT="2024-12-18T08:18:28.30" personId="{6777EDD4-E46F-4979-A7E7-6FC0A82E0C8E}" id="{7FA97961-496C-4AF1-ADAD-B09EF78A21A2}">
    <text>Positions are on-hold</text>
  </threadedComment>
  <threadedComment ref="AP275" dT="2024-12-18T08:18:28.30" personId="{6777EDD4-E46F-4979-A7E7-6FC0A82E0C8E}" id="{DB1E2E83-F022-41A5-91FE-55D0021121CC}">
    <text>Positions are on-hold</text>
  </threadedComment>
  <threadedComment ref="AQ275" dT="2024-12-18T08:18:28.30" personId="{6777EDD4-E46F-4979-A7E7-6FC0A82E0C8E}" id="{7C87F253-A516-4B43-99EA-95AA20D77B15}">
    <text>Positions are on-hold</text>
  </threadedComment>
  <threadedComment ref="AR275" dT="2024-12-18T08:18:28.30" personId="{6777EDD4-E46F-4979-A7E7-6FC0A82E0C8E}" id="{522D83A6-9310-49B0-AEF8-2F9F91DEFCBE}">
    <text>Positions are on-hold</text>
  </threadedComment>
  <threadedComment ref="AS275" dT="2024-12-18T08:18:28.30" personId="{6777EDD4-E46F-4979-A7E7-6FC0A82E0C8E}" id="{16DD129B-DB5E-404F-BDE6-CA38979B03A0}">
    <text>Positions are on-hold</text>
  </threadedComment>
  <threadedComment ref="AT275" dT="2024-12-18T08:18:28.30" personId="{6777EDD4-E46F-4979-A7E7-6FC0A82E0C8E}" id="{346B7C20-CCE1-44FD-8C07-DA1FAAB9C6E7}">
    <text>Positions are on-hold</text>
  </threadedComment>
  <threadedComment ref="AU275" dT="2024-12-18T08:18:28.30" personId="{6777EDD4-E46F-4979-A7E7-6FC0A82E0C8E}" id="{4F3EB052-2CE9-482C-9EC8-B5202BBB6A95}">
    <text>Positions are on-hold</text>
  </threadedComment>
  <threadedComment ref="AV275" dT="2024-12-18T08:18:28.30" personId="{6777EDD4-E46F-4979-A7E7-6FC0A82E0C8E}" id="{F44357C4-6F5A-41CD-A9CC-241DFEDBF5CE}">
    <text>Positions are on-hold</text>
  </threadedComment>
  <threadedComment ref="AW275" dT="2024-10-18T04:54:46.00" personId="{6777EDD4-E46F-4979-A7E7-6FC0A82E0C8E}" id="{533CAD49-C4DC-4B02-9DCC-751C843038A6}">
    <text>Project On-Hold</text>
  </threadedComment>
  <threadedComment ref="AX275" dT="2024-10-18T04:54:46.00" personId="{6777EDD4-E46F-4979-A7E7-6FC0A82E0C8E}" id="{0B797C82-39D7-4BFB-8481-50533371CF26}">
    <text>Project On-Hold</text>
  </threadedComment>
  <threadedComment ref="AY275" dT="2024-10-18T04:54:46.00" personId="{6777EDD4-E46F-4979-A7E7-6FC0A82E0C8E}" id="{0684BA3B-2FB8-4BC5-A93D-847540D116D8}">
    <text>Project On-Hold</text>
  </threadedComment>
  <threadedComment ref="AZ275" dT="2024-10-18T04:54:46.00" personId="{6777EDD4-E46F-4979-A7E7-6FC0A82E0C8E}" id="{1EB66DF9-E926-4186-99BD-CE36318425AE}">
    <text>Project On-Hold</text>
  </threadedComment>
  <threadedComment ref="BA275" dT="2024-10-18T04:54:46.00" personId="{6777EDD4-E46F-4979-A7E7-6FC0A82E0C8E}" id="{BAE0DE1D-2D8E-49B2-B427-D888CA14A539}">
    <text>Project On-Hold</text>
  </threadedComment>
  <threadedComment ref="BB275" dT="2024-10-18T04:54:46.00" personId="{6777EDD4-E46F-4979-A7E7-6FC0A82E0C8E}" id="{532E204F-7043-49AE-A9BF-DB3B71671A8E}">
    <text>Project On-Hold</text>
  </threadedComment>
  <threadedComment ref="BC275" dT="2024-10-18T04:54:46.00" personId="{6777EDD4-E46F-4979-A7E7-6FC0A82E0C8E}" id="{41C65399-9D5B-4A13-A42E-42D93BB4C1B4}">
    <text>Project On-Hold</text>
  </threadedComment>
  <threadedComment ref="BD275" dT="2024-10-18T04:54:46.00" personId="{6777EDD4-E46F-4979-A7E7-6FC0A82E0C8E}" id="{2F81BE60-ECA3-4EA5-A388-481D43B7DE71}">
    <text>Project On-Hold</text>
  </threadedComment>
  <threadedComment ref="BE275" dT="2024-10-18T04:54:46.00" personId="{6777EDD4-E46F-4979-A7E7-6FC0A82E0C8E}" id="{22989F3C-E920-4248-817D-34C511BE3914}">
    <text>Project On-Hold</text>
  </threadedComment>
  <threadedComment ref="BF275" dT="2024-10-18T04:54:46.00" personId="{6777EDD4-E46F-4979-A7E7-6FC0A82E0C8E}" id="{CF840C0F-0C62-4B57-B9CD-5D251825A450}">
    <text>Project On-Hold</text>
  </threadedComment>
  <threadedComment ref="BG275" dT="2024-10-18T04:54:46.00" personId="{6777EDD4-E46F-4979-A7E7-6FC0A82E0C8E}" id="{A2B028B4-2D1B-4348-9A79-F88CAEDA7620}">
    <text>Project On-Hold</text>
  </threadedComment>
  <threadedComment ref="BH275" dT="2024-10-18T04:54:46.00" personId="{6777EDD4-E46F-4979-A7E7-6FC0A82E0C8E}" id="{80893E38-CC44-4577-B273-277C4551306B}">
    <text>Project On-Hold</text>
  </threadedComment>
  <threadedComment ref="BI275" dT="2024-10-18T04:54:46.00" personId="{6777EDD4-E46F-4979-A7E7-6FC0A82E0C8E}" id="{0DB56EC3-8BD3-4F1F-A04E-6C0CC88138F0}">
    <text>Project On-Hold</text>
  </threadedComment>
  <threadedComment ref="BJ275" dT="2024-10-18T04:54:46.00" personId="{6777EDD4-E46F-4979-A7E7-6FC0A82E0C8E}" id="{F05BB37F-5CBE-47E0-8E5A-7CD874E64EE4}">
    <text>Project On-Hold</text>
  </threadedComment>
  <threadedComment ref="BK275" dT="2024-10-18T04:54:46.00" personId="{6777EDD4-E46F-4979-A7E7-6FC0A82E0C8E}" id="{7453AECE-F36B-4FB8-ADD5-D37FB9D70C12}">
    <text>Project On-Hold</text>
  </threadedComment>
  <threadedComment ref="BL275" dT="2024-10-18T04:54:46.00" personId="{6777EDD4-E46F-4979-A7E7-6FC0A82E0C8E}" id="{5580CAC2-3BB4-40DA-815F-6F60D0C382AB}">
    <text>Project On-Hold</text>
  </threadedComment>
  <threadedComment ref="BN275" dT="2024-10-18T04:54:46.00" personId="{6777EDD4-E46F-4979-A7E7-6FC0A82E0C8E}" id="{95295784-98E4-421D-AB93-A7FCD4F40BDD}">
    <text>Project On-Hold</text>
  </threadedComment>
  <threadedComment ref="BP275" dT="2024-10-18T04:54:46.00" personId="{6777EDD4-E46F-4979-A7E7-6FC0A82E0C8E}" id="{063068E1-9A63-419D-9BAC-B92A5B546260}">
    <text>Project On-Hold</text>
  </threadedComment>
  <threadedComment ref="BR275" dT="2024-10-18T04:54:46.00" personId="{6777EDD4-E46F-4979-A7E7-6FC0A82E0C8E}" id="{44EC09D8-9D7C-4DBB-8A9D-57C4742139CA}">
    <text>Project On-Hold</text>
  </threadedComment>
  <threadedComment ref="BS275" dT="2024-10-18T04:54:46.00" personId="{6777EDD4-E46F-4979-A7E7-6FC0A82E0C8E}" id="{C80437B8-9F02-4B57-9136-4B38AF38E4C0}">
    <text>Project On-Hold</text>
  </threadedComment>
  <threadedComment ref="BU275" dT="2024-12-18T08:18:28.30" personId="{6777EDD4-E46F-4979-A7E7-6FC0A82E0C8E}" id="{FBD44086-1D35-4B42-A8C4-D12CE2AE66A7}">
    <text>Positions are on-hold</text>
  </threadedComment>
  <threadedComment ref="Q276" dT="2024-04-19T10:44:52.43" personId="{6777EDD4-E46F-4979-A7E7-6FC0A82E0C8E}" id="{DF00347F-C64E-41ED-B7B4-50EC64E41F37}">
    <text>Contract not Renew (On Hold)</text>
  </threadedComment>
  <threadedComment ref="R276" dT="2024-04-19T10:44:52.43" personId="{6777EDD4-E46F-4979-A7E7-6FC0A82E0C8E}" id="{F2C23187-4E96-4AA5-8C6F-F0FCA8139023}">
    <text>Contract not Renew (On Hold)</text>
  </threadedComment>
  <threadedComment ref="S276" dT="2024-04-19T10:44:52.43" personId="{6777EDD4-E46F-4979-A7E7-6FC0A82E0C8E}" id="{D49BA014-7807-4CD7-9BBA-7A3A3ED2C3F0}">
    <text>Contract not Renew (On Hold)</text>
  </threadedComment>
  <threadedComment ref="T276" dT="2024-04-19T10:44:52.43" personId="{6777EDD4-E46F-4979-A7E7-6FC0A82E0C8E}" id="{735CF6FA-997B-4FAE-A091-7BF92B08A6A8}">
    <text>Contract not Renew (On Hold)</text>
  </threadedComment>
  <threadedComment ref="U276" dT="2024-04-19T10:44:52.43" personId="{6777EDD4-E46F-4979-A7E7-6FC0A82E0C8E}" id="{19464C7D-A3D7-4D5D-A196-BFFADAF9C199}">
    <text>Contract not Renew (On Hold)</text>
  </threadedComment>
  <threadedComment ref="V276" dT="2024-04-19T10:44:52.43" personId="{6777EDD4-E46F-4979-A7E7-6FC0A82E0C8E}" id="{072E9AFF-3061-4007-B923-D9700273953E}">
    <text>Contract not Renew (On Hold)</text>
  </threadedComment>
  <threadedComment ref="W276" dT="2024-04-19T10:44:52.43" personId="{6777EDD4-E46F-4979-A7E7-6FC0A82E0C8E}" id="{B4719446-DC35-4099-9202-B52E5BAAC781}">
    <text>Contract not Renew (On Hold)</text>
  </threadedComment>
  <threadedComment ref="X276" dT="2024-04-19T10:44:52.43" personId="{6777EDD4-E46F-4979-A7E7-6FC0A82E0C8E}" id="{AD0C0D78-B976-4A33-BD16-363D6B8A879F}">
    <text>Contract not Renew (On Hold)</text>
  </threadedComment>
  <threadedComment ref="AA276" dT="2024-10-17T09:53:12.06" personId="{6777EDD4-E46F-4979-A7E7-6FC0A82E0C8E}" id="{D51DF7D5-0633-4703-937C-5BE00F3DD93B}">
    <text>Hiring is on Hold</text>
  </threadedComment>
  <threadedComment ref="AB276" dT="2024-10-17T09:53:12.06" personId="{6777EDD4-E46F-4979-A7E7-6FC0A82E0C8E}" id="{388AA35B-C803-4970-9694-495DD637BBAE}">
    <text>Hiring is on Hold</text>
  </threadedComment>
  <threadedComment ref="AC276" dT="2024-10-17T09:53:12.06" personId="{6777EDD4-E46F-4979-A7E7-6FC0A82E0C8E}" id="{331A910B-B81E-46AB-AFBB-23D3A324B0BE}">
    <text>Hiring is on Hold</text>
  </threadedComment>
  <threadedComment ref="AD276" dT="2024-10-17T09:53:12.06" personId="{6777EDD4-E46F-4979-A7E7-6FC0A82E0C8E}" id="{077A71CF-D833-48A9-8963-C44EBBA8AD99}">
    <text>Hiring is on Hold</text>
  </threadedComment>
  <threadedComment ref="AG276" dT="2024-12-18T08:18:28.30" personId="{6777EDD4-E46F-4979-A7E7-6FC0A82E0C8E}" id="{28AEC18D-5A75-4DE7-A9A3-66AA316F99DF}">
    <text>Positions are on-hold</text>
  </threadedComment>
  <threadedComment ref="AH276" dT="2024-12-18T08:18:28.30" personId="{6777EDD4-E46F-4979-A7E7-6FC0A82E0C8E}" id="{83E8A8A3-92B1-4FE0-B38A-998ACB21426A}">
    <text>Positions are on-hold</text>
  </threadedComment>
  <threadedComment ref="AI276" dT="2024-12-18T08:18:28.30" personId="{6777EDD4-E46F-4979-A7E7-6FC0A82E0C8E}" id="{8F5F9453-DD6A-441D-BD2E-DC34EDEDCF02}">
    <text>Positions are on-hold</text>
  </threadedComment>
  <threadedComment ref="AJ276" dT="2024-12-18T08:18:28.30" personId="{6777EDD4-E46F-4979-A7E7-6FC0A82E0C8E}" id="{287861FD-F6DE-4B0E-800B-5058AE8B219C}">
    <text>Positions are on-hold</text>
  </threadedComment>
  <threadedComment ref="AK276" dT="2024-12-18T08:18:28.30" personId="{6777EDD4-E46F-4979-A7E7-6FC0A82E0C8E}" id="{0F7535DF-5C0A-4DF9-9794-685CEB253B10}">
    <text>Positions are on-hold</text>
  </threadedComment>
  <threadedComment ref="AL276" dT="2024-12-18T08:18:28.30" personId="{6777EDD4-E46F-4979-A7E7-6FC0A82E0C8E}" id="{313C8074-7C80-43FB-9C80-EA0AED1B703D}">
    <text>Positions are on-hold</text>
  </threadedComment>
  <threadedComment ref="AM276" dT="2024-12-18T08:18:28.30" personId="{6777EDD4-E46F-4979-A7E7-6FC0A82E0C8E}" id="{2CC14D4F-5C7E-48B1-8E5F-06D40C69A231}">
    <text>Positions are on-hold</text>
  </threadedComment>
  <threadedComment ref="AN276" dT="2024-12-18T08:18:28.30" personId="{6777EDD4-E46F-4979-A7E7-6FC0A82E0C8E}" id="{04315BFD-C010-45FE-9F1E-9ACD51AAC4BA}">
    <text>Positions are on-hold</text>
  </threadedComment>
  <threadedComment ref="AO276" dT="2024-12-18T08:18:28.30" personId="{6777EDD4-E46F-4979-A7E7-6FC0A82E0C8E}" id="{37AB765A-CBBE-45ED-921A-2956B1A41F53}">
    <text>Positions are on-hold</text>
  </threadedComment>
  <threadedComment ref="AP276" dT="2024-12-18T08:18:28.30" personId="{6777EDD4-E46F-4979-A7E7-6FC0A82E0C8E}" id="{9ED3852E-0B93-4CFF-8B90-FAB506703905}">
    <text>Positions are on-hold</text>
  </threadedComment>
  <threadedComment ref="AQ276" dT="2024-12-18T08:18:28.30" personId="{6777EDD4-E46F-4979-A7E7-6FC0A82E0C8E}" id="{BD5981C4-69F2-49A4-91C0-06D21F0CD053}">
    <text>Positions are on-hold</text>
  </threadedComment>
  <threadedComment ref="AR276" dT="2024-12-18T08:18:28.30" personId="{6777EDD4-E46F-4979-A7E7-6FC0A82E0C8E}" id="{9694CA73-A927-437F-BCCB-9F6DBE4AD6E9}">
    <text>Positions are on-hold</text>
  </threadedComment>
  <threadedComment ref="AS276" dT="2024-12-18T08:18:28.30" personId="{6777EDD4-E46F-4979-A7E7-6FC0A82E0C8E}" id="{E4F39DDE-377B-4757-976B-FA99539ED925}">
    <text>Positions are on-hold</text>
  </threadedComment>
  <threadedComment ref="AT276" dT="2024-12-18T08:18:28.30" personId="{6777EDD4-E46F-4979-A7E7-6FC0A82E0C8E}" id="{B5C5D522-76E2-4F7D-9922-3701574E4C9F}">
    <text>Positions are on-hold</text>
  </threadedComment>
  <threadedComment ref="AU276" dT="2024-12-18T08:18:28.30" personId="{6777EDD4-E46F-4979-A7E7-6FC0A82E0C8E}" id="{F3BB8C47-B2EC-48FF-BCFA-AAE836AB502C}">
    <text>Positions are on-hold</text>
  </threadedComment>
  <threadedComment ref="AV276" dT="2024-12-18T08:18:28.30" personId="{6777EDD4-E46F-4979-A7E7-6FC0A82E0C8E}" id="{67FA8592-9861-4C0E-B8C8-A5485A35805A}">
    <text>Positions are on-hold</text>
  </threadedComment>
  <threadedComment ref="AW276" dT="2024-10-18T04:54:46.00" personId="{6777EDD4-E46F-4979-A7E7-6FC0A82E0C8E}" id="{8F64CE66-6812-4EFE-B80A-3B7515433A25}">
    <text>Project On-Hold</text>
  </threadedComment>
  <threadedComment ref="AX276" dT="2024-10-18T04:54:46.00" personId="{6777EDD4-E46F-4979-A7E7-6FC0A82E0C8E}" id="{0E408BEA-0EBA-442E-A7E8-C80EBC0C1745}">
    <text>Project On-Hold</text>
  </threadedComment>
  <threadedComment ref="AY276" dT="2024-10-18T04:54:46.00" personId="{6777EDD4-E46F-4979-A7E7-6FC0A82E0C8E}" id="{8E90220F-7CF6-4E93-8E60-0A4B718C436D}">
    <text>Project On-Hold</text>
  </threadedComment>
  <threadedComment ref="AZ276" dT="2024-10-18T04:54:46.00" personId="{6777EDD4-E46F-4979-A7E7-6FC0A82E0C8E}" id="{2406DA50-9454-4716-AB9B-986245E63204}">
    <text>Project On-Hold</text>
  </threadedComment>
  <threadedComment ref="BA276" dT="2024-10-18T04:54:46.00" personId="{6777EDD4-E46F-4979-A7E7-6FC0A82E0C8E}" id="{A0FD1DE9-F08D-4B8E-938D-C92E50483983}">
    <text>Project On-Hold</text>
  </threadedComment>
  <threadedComment ref="BB276" dT="2024-10-18T04:54:46.00" personId="{6777EDD4-E46F-4979-A7E7-6FC0A82E0C8E}" id="{56575CFC-B6B6-4B83-940B-AE1196276DC3}">
    <text>Project On-Hold</text>
  </threadedComment>
  <threadedComment ref="BC276" dT="2024-10-18T04:54:46.00" personId="{6777EDD4-E46F-4979-A7E7-6FC0A82E0C8E}" id="{D88663C9-69EB-42C4-A589-333A046B899D}">
    <text>Project On-Hold</text>
  </threadedComment>
  <threadedComment ref="BD276" dT="2024-10-18T04:54:46.00" personId="{6777EDD4-E46F-4979-A7E7-6FC0A82E0C8E}" id="{E5CBF8E4-7C72-42CD-A772-34898306F903}">
    <text>Project On-Hold</text>
  </threadedComment>
  <threadedComment ref="BE276" dT="2024-10-18T04:54:46.00" personId="{6777EDD4-E46F-4979-A7E7-6FC0A82E0C8E}" id="{04E82767-AD09-4076-9A31-7C325781E3A8}">
    <text>Project On-Hold</text>
  </threadedComment>
  <threadedComment ref="BF276" dT="2024-10-18T04:54:46.00" personId="{6777EDD4-E46F-4979-A7E7-6FC0A82E0C8E}" id="{6F9DD42F-0B95-4A27-A99A-F3BB59134312}">
    <text>Project On-Hold</text>
  </threadedComment>
  <threadedComment ref="BG276" dT="2024-10-18T04:54:46.00" personId="{6777EDD4-E46F-4979-A7E7-6FC0A82E0C8E}" id="{D76F0095-3023-468B-80D4-57DF42AF7109}">
    <text>Project On-Hold</text>
  </threadedComment>
  <threadedComment ref="BH276" dT="2024-10-18T04:54:46.00" personId="{6777EDD4-E46F-4979-A7E7-6FC0A82E0C8E}" id="{78A5748A-40E2-4AA3-8327-7035F00D1295}">
    <text>Project On-Hold</text>
  </threadedComment>
  <threadedComment ref="BI276" dT="2024-10-18T04:54:46.00" personId="{6777EDD4-E46F-4979-A7E7-6FC0A82E0C8E}" id="{49D6164E-CDE6-4DAE-8055-9FF69099E48E}">
    <text>Project On-Hold</text>
  </threadedComment>
  <threadedComment ref="BJ276" dT="2024-10-18T04:54:46.00" personId="{6777EDD4-E46F-4979-A7E7-6FC0A82E0C8E}" id="{2CD97832-B2D9-4926-988C-F57DFA32C827}">
    <text>Project On-Hold</text>
  </threadedComment>
  <threadedComment ref="BK276" dT="2024-10-18T04:54:46.00" personId="{6777EDD4-E46F-4979-A7E7-6FC0A82E0C8E}" id="{4D9B3C51-7265-4F39-B524-FA4E2BF55C21}">
    <text>Project On-Hold</text>
  </threadedComment>
  <threadedComment ref="BL276" dT="2024-10-18T04:54:46.00" personId="{6777EDD4-E46F-4979-A7E7-6FC0A82E0C8E}" id="{16F4E336-1B1B-4814-AA3F-C1ACD000C2AC}">
    <text>Project On-Hold</text>
  </threadedComment>
  <threadedComment ref="BN276" dT="2024-10-18T04:54:46.00" personId="{6777EDD4-E46F-4979-A7E7-6FC0A82E0C8E}" id="{E46C7E8E-6EA5-4B50-9A24-F7132FEB1E84}">
    <text>Project On-Hold</text>
  </threadedComment>
  <threadedComment ref="BP276" dT="2024-10-18T04:54:46.00" personId="{6777EDD4-E46F-4979-A7E7-6FC0A82E0C8E}" id="{3CE29C22-858F-4E12-8C34-FDC6E59D92EB}">
    <text>Project On-Hold</text>
  </threadedComment>
  <threadedComment ref="BR276" dT="2024-10-18T04:54:46.00" personId="{6777EDD4-E46F-4979-A7E7-6FC0A82E0C8E}" id="{C1D47264-8B55-48CE-8F7F-1888805BE75E}">
    <text>Project On-Hold</text>
  </threadedComment>
  <threadedComment ref="BS276" dT="2024-10-18T04:54:46.00" personId="{6777EDD4-E46F-4979-A7E7-6FC0A82E0C8E}" id="{66E0876B-97D4-4AE8-9C78-1BE7A3142C81}">
    <text>Project On-Hold</text>
  </threadedComment>
  <threadedComment ref="BU276" dT="2024-12-18T08:18:28.30" personId="{6777EDD4-E46F-4979-A7E7-6FC0A82E0C8E}" id="{51DA2C44-EA40-467D-931B-BE8501932414}">
    <text>Positions are on-hold</text>
  </threadedComment>
  <threadedComment ref="Q277" dT="2024-04-19T10:44:52.43" personId="{6777EDD4-E46F-4979-A7E7-6FC0A82E0C8E}" id="{72618822-808D-4F80-A6CF-B20FAE2A8A8B}">
    <text>Contract not Renew (On Hold)</text>
  </threadedComment>
  <threadedComment ref="R277" dT="2024-04-19T10:44:52.43" personId="{6777EDD4-E46F-4979-A7E7-6FC0A82E0C8E}" id="{26D10400-B1CC-4D74-B715-01775CC732EE}">
    <text>Contract not Renew (On Hold)</text>
  </threadedComment>
  <threadedComment ref="S277" dT="2024-04-19T10:44:52.43" personId="{6777EDD4-E46F-4979-A7E7-6FC0A82E0C8E}" id="{F58DC6AA-64F2-4484-9956-C06A024ADD5B}">
    <text>Contract not Renew (On Hold)</text>
  </threadedComment>
  <threadedComment ref="T277" dT="2024-04-19T10:44:52.43" personId="{6777EDD4-E46F-4979-A7E7-6FC0A82E0C8E}" id="{ED39EB0E-6A3E-4C53-8D20-CE02C8E1FEB0}">
    <text>Contract not Renew (On Hold)</text>
  </threadedComment>
  <threadedComment ref="U277" dT="2024-04-19T10:44:52.43" personId="{6777EDD4-E46F-4979-A7E7-6FC0A82E0C8E}" id="{6777A481-721F-44D3-8FFD-C68610643DF5}">
    <text>Contract not Renew (On Hold)</text>
  </threadedComment>
  <threadedComment ref="V277" dT="2024-04-19T10:44:52.43" personId="{6777EDD4-E46F-4979-A7E7-6FC0A82E0C8E}" id="{EDA25C02-C0B1-4F89-A3CB-6B47526F4756}">
    <text>Contract not Renew (On Hold)</text>
  </threadedComment>
  <threadedComment ref="W277" dT="2024-04-19T10:44:52.43" personId="{6777EDD4-E46F-4979-A7E7-6FC0A82E0C8E}" id="{94236363-C7CC-4BD6-9C6D-C1A1770AD785}">
    <text>Contract not Renew (On Hold)</text>
  </threadedComment>
  <threadedComment ref="X277" dT="2024-04-19T10:44:52.43" personId="{6777EDD4-E46F-4979-A7E7-6FC0A82E0C8E}" id="{8E318C82-3ECA-46FB-A45A-0400AFE78849}">
    <text>Contract not Renew (On Hold)</text>
  </threadedComment>
  <threadedComment ref="AA277" dT="2024-10-17T09:53:12.06" personId="{6777EDD4-E46F-4979-A7E7-6FC0A82E0C8E}" id="{641BC47D-B1A1-44C8-91EA-E14F529F8033}">
    <text>Hiring is on Hold</text>
  </threadedComment>
  <threadedComment ref="AB277" dT="2024-10-17T09:53:12.06" personId="{6777EDD4-E46F-4979-A7E7-6FC0A82E0C8E}" id="{33CB43FD-DC3B-49A2-A6CD-FEB4FB7443E8}">
    <text>Hiring is on Hold</text>
  </threadedComment>
  <threadedComment ref="AC277" dT="2024-10-17T09:53:12.06" personId="{6777EDD4-E46F-4979-A7E7-6FC0A82E0C8E}" id="{244A1828-DD90-4CAF-86F5-DCA7E6F8DABA}">
    <text>Hiring is on Hold</text>
  </threadedComment>
  <threadedComment ref="AD277" dT="2024-10-17T09:53:12.06" personId="{6777EDD4-E46F-4979-A7E7-6FC0A82E0C8E}" id="{EC49B29D-E42D-4713-812E-B8AEE117F201}">
    <text>Hiring is on Hold</text>
  </threadedComment>
  <threadedComment ref="AG277" dT="2024-12-18T08:18:28.30" personId="{6777EDD4-E46F-4979-A7E7-6FC0A82E0C8E}" id="{AE50BB1F-603A-4770-8A19-171897EF216C}">
    <text>Positions are on-hold</text>
  </threadedComment>
  <threadedComment ref="AH277" dT="2024-12-18T08:18:28.30" personId="{6777EDD4-E46F-4979-A7E7-6FC0A82E0C8E}" id="{CA61CE32-F1B6-4CB6-B9A3-A9AE51C39DCB}">
    <text>Positions are on-hold</text>
  </threadedComment>
  <threadedComment ref="AI277" dT="2024-12-18T08:18:28.30" personId="{6777EDD4-E46F-4979-A7E7-6FC0A82E0C8E}" id="{0B2E4682-5BD7-42F7-8E43-D75190860942}">
    <text>Positions are on-hold</text>
  </threadedComment>
  <threadedComment ref="AJ277" dT="2024-12-18T08:18:28.30" personId="{6777EDD4-E46F-4979-A7E7-6FC0A82E0C8E}" id="{E21BB721-9796-438C-95FC-9ED6F1223713}">
    <text>Positions are on-hold</text>
  </threadedComment>
  <threadedComment ref="AK277" dT="2024-12-18T08:18:28.30" personId="{6777EDD4-E46F-4979-A7E7-6FC0A82E0C8E}" id="{B3C22212-C669-4375-B2A8-75B7927C71C3}">
    <text>Positions are on-hold</text>
  </threadedComment>
  <threadedComment ref="AL277" dT="2024-12-18T08:18:28.30" personId="{6777EDD4-E46F-4979-A7E7-6FC0A82E0C8E}" id="{ACD86DBC-01F0-4D9B-AF52-E765EF1BDD4D}">
    <text>Positions are on-hold</text>
  </threadedComment>
  <threadedComment ref="AM277" dT="2024-12-18T08:18:28.30" personId="{6777EDD4-E46F-4979-A7E7-6FC0A82E0C8E}" id="{D20031E8-3B85-4841-9A55-64376ACC6323}">
    <text>Positions are on-hold</text>
  </threadedComment>
  <threadedComment ref="AN277" dT="2024-12-18T08:18:28.30" personId="{6777EDD4-E46F-4979-A7E7-6FC0A82E0C8E}" id="{7EEEE07F-9F3C-4822-B7BB-851C0EF4017A}">
    <text>Positions are on-hold</text>
  </threadedComment>
  <threadedComment ref="AO277" dT="2024-12-18T08:18:28.30" personId="{6777EDD4-E46F-4979-A7E7-6FC0A82E0C8E}" id="{AB7568AF-9368-4E9D-9C41-F4E4CE2F58D8}">
    <text>Positions are on-hold</text>
  </threadedComment>
  <threadedComment ref="AP277" dT="2024-12-18T08:18:28.30" personId="{6777EDD4-E46F-4979-A7E7-6FC0A82E0C8E}" id="{E49DDE7E-B887-4DD1-AA01-94CD4365EBDF}">
    <text>Positions are on-hold</text>
  </threadedComment>
  <threadedComment ref="AQ277" dT="2024-12-18T08:18:28.30" personId="{6777EDD4-E46F-4979-A7E7-6FC0A82E0C8E}" id="{8FB80C4E-BD78-4D20-ACF1-E6523FB26FF4}">
    <text>Positions are on-hold</text>
  </threadedComment>
  <threadedComment ref="AR277" dT="2024-12-18T08:18:28.30" personId="{6777EDD4-E46F-4979-A7E7-6FC0A82E0C8E}" id="{02F54B46-7A4B-446B-9039-2D7253C85A5F}">
    <text>Positions are on-hold</text>
  </threadedComment>
  <threadedComment ref="AS277" dT="2024-12-18T08:18:28.30" personId="{6777EDD4-E46F-4979-A7E7-6FC0A82E0C8E}" id="{36C0AF0D-233B-477F-BC78-0115310690DE}">
    <text>Positions are on-hold</text>
  </threadedComment>
  <threadedComment ref="AT277" dT="2024-12-18T08:18:28.30" personId="{6777EDD4-E46F-4979-A7E7-6FC0A82E0C8E}" id="{958E6D79-953E-46DB-8C34-ADDB161E3923}">
    <text>Positions are on-hold</text>
  </threadedComment>
  <threadedComment ref="AU277" dT="2024-12-18T08:18:28.30" personId="{6777EDD4-E46F-4979-A7E7-6FC0A82E0C8E}" id="{54317230-3D49-474C-ADFD-6BC0981AC7EE}">
    <text>Positions are on-hold</text>
  </threadedComment>
  <threadedComment ref="AV277" dT="2024-12-18T08:18:28.30" personId="{6777EDD4-E46F-4979-A7E7-6FC0A82E0C8E}" id="{87D5833F-CC21-4D1B-9B36-F561AE1FC623}">
    <text>Positions are on-hold</text>
  </threadedComment>
  <threadedComment ref="AW277" dT="2024-10-18T04:54:46.00" personId="{6777EDD4-E46F-4979-A7E7-6FC0A82E0C8E}" id="{A8A3A79A-63F1-43B8-A7F2-4B96C79EC64A}">
    <text>Project On-Hold</text>
  </threadedComment>
  <threadedComment ref="AX277" dT="2024-10-18T04:54:46.00" personId="{6777EDD4-E46F-4979-A7E7-6FC0A82E0C8E}" id="{6C78E210-34A2-48C0-A6BD-6B7A68C0F027}">
    <text>Project On-Hold</text>
  </threadedComment>
  <threadedComment ref="AY277" dT="2024-10-18T04:54:46.00" personId="{6777EDD4-E46F-4979-A7E7-6FC0A82E0C8E}" id="{D51646DD-FAFB-441A-8BB2-69442E2AE132}">
    <text>Project On-Hold</text>
  </threadedComment>
  <threadedComment ref="AZ277" dT="2024-10-18T04:54:46.00" personId="{6777EDD4-E46F-4979-A7E7-6FC0A82E0C8E}" id="{A6F05874-FB9D-45F5-860A-35DE68B62151}">
    <text>Project On-Hold</text>
  </threadedComment>
  <threadedComment ref="BA277" dT="2024-10-18T04:54:46.00" personId="{6777EDD4-E46F-4979-A7E7-6FC0A82E0C8E}" id="{A32A7D78-A918-498E-86D4-876F191BF764}">
    <text>Project On-Hold</text>
  </threadedComment>
  <threadedComment ref="BB277" dT="2024-10-18T04:54:46.00" personId="{6777EDD4-E46F-4979-A7E7-6FC0A82E0C8E}" id="{686A0C0F-E002-4841-A883-4E0C14BF1E76}">
    <text>Project On-Hold</text>
  </threadedComment>
  <threadedComment ref="BC277" dT="2024-10-18T04:54:46.00" personId="{6777EDD4-E46F-4979-A7E7-6FC0A82E0C8E}" id="{2F74E27E-6FC2-4ADD-8623-7B2657E78AB4}">
    <text>Project On-Hold</text>
  </threadedComment>
  <threadedComment ref="BD277" dT="2024-10-18T04:54:46.00" personId="{6777EDD4-E46F-4979-A7E7-6FC0A82E0C8E}" id="{8D1FBA96-74BB-4DE6-BFA0-54235D846C32}">
    <text>Project On-Hold</text>
  </threadedComment>
  <threadedComment ref="BE277" dT="2024-10-18T04:54:46.00" personId="{6777EDD4-E46F-4979-A7E7-6FC0A82E0C8E}" id="{0C55249B-D313-4504-BC3E-2788AF9DE5E0}">
    <text>Project On-Hold</text>
  </threadedComment>
  <threadedComment ref="BF277" dT="2024-10-18T04:54:46.00" personId="{6777EDD4-E46F-4979-A7E7-6FC0A82E0C8E}" id="{51A417AC-1E91-4408-AC1D-D501F3C38406}">
    <text>Project On-Hold</text>
  </threadedComment>
  <threadedComment ref="BG277" dT="2024-10-18T04:54:46.00" personId="{6777EDD4-E46F-4979-A7E7-6FC0A82E0C8E}" id="{D568997C-5DDA-493E-88B4-41CAF2E06A74}">
    <text>Project On-Hold</text>
  </threadedComment>
  <threadedComment ref="BH277" dT="2024-10-18T04:54:46.00" personId="{6777EDD4-E46F-4979-A7E7-6FC0A82E0C8E}" id="{2A95B3A7-A673-4978-B23C-AED7E276572B}">
    <text>Project On-Hold</text>
  </threadedComment>
  <threadedComment ref="BI277" dT="2024-10-18T04:54:46.00" personId="{6777EDD4-E46F-4979-A7E7-6FC0A82E0C8E}" id="{EE902662-0AB3-4FC7-91BB-4EEC03B5AC97}">
    <text>Project On-Hold</text>
  </threadedComment>
  <threadedComment ref="BJ277" dT="2024-10-18T04:54:46.00" personId="{6777EDD4-E46F-4979-A7E7-6FC0A82E0C8E}" id="{FEFD02A1-79E3-42F0-86FB-C470C6BDAC0F}">
    <text>Project On-Hold</text>
  </threadedComment>
  <threadedComment ref="BK277" dT="2024-10-18T04:54:46.00" personId="{6777EDD4-E46F-4979-A7E7-6FC0A82E0C8E}" id="{CBBCC90B-EF67-4003-AE92-15B1A460A0DB}">
    <text>Project On-Hold</text>
  </threadedComment>
  <threadedComment ref="BL277" dT="2024-10-18T04:54:46.00" personId="{6777EDD4-E46F-4979-A7E7-6FC0A82E0C8E}" id="{0EE466EA-41BC-4EFB-89EC-D96454308C71}">
    <text>Project On-Hold</text>
  </threadedComment>
  <threadedComment ref="BN277" dT="2024-10-18T04:54:46.00" personId="{6777EDD4-E46F-4979-A7E7-6FC0A82E0C8E}" id="{FCCE3344-FE22-4CF1-B95A-24F9D677AD44}">
    <text>Project On-Hold</text>
  </threadedComment>
  <threadedComment ref="BP277" dT="2024-10-18T04:54:46.00" personId="{6777EDD4-E46F-4979-A7E7-6FC0A82E0C8E}" id="{143F2E3C-0E80-42D2-B21E-1BD85A82A848}">
    <text>Project On-Hold</text>
  </threadedComment>
  <threadedComment ref="BR277" dT="2024-10-18T04:54:46.00" personId="{6777EDD4-E46F-4979-A7E7-6FC0A82E0C8E}" id="{48967875-5190-45A1-AFBB-4D2D9ABA49F4}">
    <text>Project On-Hold</text>
  </threadedComment>
  <threadedComment ref="BS277" dT="2024-10-18T04:54:46.00" personId="{6777EDD4-E46F-4979-A7E7-6FC0A82E0C8E}" id="{6CD071CF-2F43-4A0D-A02A-AACFD4DADA39}">
    <text>Project On-Hold</text>
  </threadedComment>
  <threadedComment ref="BU277" dT="2024-12-18T08:18:28.30" personId="{6777EDD4-E46F-4979-A7E7-6FC0A82E0C8E}" id="{5703A738-BD7B-41F6-A0A0-238B5FD13BAB}">
    <text>Positions are on-hold</text>
  </threadedComment>
  <threadedComment ref="Q278" dT="2024-04-19T10:44:52.43" personId="{6777EDD4-E46F-4979-A7E7-6FC0A82E0C8E}" id="{9D8A0A20-B119-47A8-8E7D-9B26D028A026}">
    <text>Contract not Renew (On Hold)</text>
  </threadedComment>
  <threadedComment ref="R278" dT="2024-04-19T10:44:52.43" personId="{6777EDD4-E46F-4979-A7E7-6FC0A82E0C8E}" id="{3807F40A-E784-40E8-8BA3-A1D19CBB5E4D}">
    <text>Contract not Renew (On Hold)</text>
  </threadedComment>
  <threadedComment ref="S278" dT="2024-04-19T10:44:52.43" personId="{6777EDD4-E46F-4979-A7E7-6FC0A82E0C8E}" id="{E0207894-1ACC-4A26-86E8-395226B4F3C0}">
    <text>Contract not Renew (On Hold)</text>
  </threadedComment>
  <threadedComment ref="T278" dT="2024-04-19T10:44:52.43" personId="{6777EDD4-E46F-4979-A7E7-6FC0A82E0C8E}" id="{A1626E88-2586-499F-B141-D7E6039B05E4}">
    <text>Contract not Renew (On Hold)</text>
  </threadedComment>
  <threadedComment ref="U278" dT="2024-04-19T10:44:52.43" personId="{6777EDD4-E46F-4979-A7E7-6FC0A82E0C8E}" id="{F64D4866-AB02-4A91-93E0-DB694EBB113F}">
    <text>Contract not Renew (On Hold)</text>
  </threadedComment>
  <threadedComment ref="V278" dT="2024-04-19T10:44:52.43" personId="{6777EDD4-E46F-4979-A7E7-6FC0A82E0C8E}" id="{FB391210-4FB3-4C22-B0C3-ABA5D1A4511D}">
    <text>Contract not Renew (On Hold)</text>
  </threadedComment>
  <threadedComment ref="W278" dT="2024-04-19T10:44:52.43" personId="{6777EDD4-E46F-4979-A7E7-6FC0A82E0C8E}" id="{48ACFB1B-F75A-447F-8DC4-B3E564552AE1}">
    <text>Contract not Renew (On Hold)</text>
  </threadedComment>
  <threadedComment ref="X278" dT="2024-04-19T10:44:52.43" personId="{6777EDD4-E46F-4979-A7E7-6FC0A82E0C8E}" id="{197ECE57-76E6-4DBB-9C81-F66FB70E2B96}">
    <text>Contract not Renew (On Hold)</text>
  </threadedComment>
  <threadedComment ref="AA278" dT="2024-10-17T09:53:12.06" personId="{6777EDD4-E46F-4979-A7E7-6FC0A82E0C8E}" id="{A67976CD-303C-4EB0-A815-B5E83F6D20DB}">
    <text>Hiring is on Hold</text>
  </threadedComment>
  <threadedComment ref="AB278" dT="2024-10-17T09:53:12.06" personId="{6777EDD4-E46F-4979-A7E7-6FC0A82E0C8E}" id="{5129B481-8861-4AF7-8B1F-810E482E494E}">
    <text>Hiring is on Hold</text>
  </threadedComment>
  <threadedComment ref="AC278" dT="2024-10-17T09:53:12.06" personId="{6777EDD4-E46F-4979-A7E7-6FC0A82E0C8E}" id="{35155219-0BC8-4C94-9E05-3856829BE363}">
    <text>Hiring is on Hold</text>
  </threadedComment>
  <threadedComment ref="AD278" dT="2024-10-17T09:53:12.06" personId="{6777EDD4-E46F-4979-A7E7-6FC0A82E0C8E}" id="{801BAFFF-6F3B-41E2-A271-E0ED2DAE1D40}">
    <text>Hiring is on Hold</text>
  </threadedComment>
  <threadedComment ref="AG278" dT="2024-12-18T08:18:28.30" personId="{6777EDD4-E46F-4979-A7E7-6FC0A82E0C8E}" id="{D1434016-7664-426E-AFF8-5C58707F7F1D}">
    <text>Positions are on-hold</text>
  </threadedComment>
  <threadedComment ref="AH278" dT="2024-12-18T08:18:28.30" personId="{6777EDD4-E46F-4979-A7E7-6FC0A82E0C8E}" id="{BEF9139D-8B7F-4EC2-9AB9-281B29F2D5A7}">
    <text>Positions are on-hold</text>
  </threadedComment>
  <threadedComment ref="AI278" dT="2024-12-18T08:18:28.30" personId="{6777EDD4-E46F-4979-A7E7-6FC0A82E0C8E}" id="{D915D430-163F-4440-B538-99BEBBE712B8}">
    <text>Positions are on-hold</text>
  </threadedComment>
  <threadedComment ref="AJ278" dT="2024-12-18T08:18:28.30" personId="{6777EDD4-E46F-4979-A7E7-6FC0A82E0C8E}" id="{B58A3ED8-A7C5-462F-96C2-3A86BD01FCAE}">
    <text>Positions are on-hold</text>
  </threadedComment>
  <threadedComment ref="AK278" dT="2024-12-18T08:18:28.30" personId="{6777EDD4-E46F-4979-A7E7-6FC0A82E0C8E}" id="{0A09473A-3088-48D6-BBB0-0730538E0A51}">
    <text>Positions are on-hold</text>
  </threadedComment>
  <threadedComment ref="AL278" dT="2024-12-18T08:18:28.30" personId="{6777EDD4-E46F-4979-A7E7-6FC0A82E0C8E}" id="{3211B298-5DB4-4084-BF61-A3015C503FB9}">
    <text>Positions are on-hold</text>
  </threadedComment>
  <threadedComment ref="AM278" dT="2024-12-18T08:18:28.30" personId="{6777EDD4-E46F-4979-A7E7-6FC0A82E0C8E}" id="{3BAA5F60-552C-40DE-83C1-A758E9440C17}">
    <text>Positions are on-hold</text>
  </threadedComment>
  <threadedComment ref="AN278" dT="2024-12-18T08:18:28.30" personId="{6777EDD4-E46F-4979-A7E7-6FC0A82E0C8E}" id="{544B0944-3159-4E15-BF03-50295C12AE4B}">
    <text>Positions are on-hold</text>
  </threadedComment>
  <threadedComment ref="AO278" dT="2024-12-18T08:18:28.30" personId="{6777EDD4-E46F-4979-A7E7-6FC0A82E0C8E}" id="{DC123FF3-5E56-47E7-BD68-EE5650A0BB9E}">
    <text>Positions are on-hold</text>
  </threadedComment>
  <threadedComment ref="AP278" dT="2024-12-18T08:18:28.30" personId="{6777EDD4-E46F-4979-A7E7-6FC0A82E0C8E}" id="{8E5FFA60-3F80-40D8-B1EF-BE3A36A3B200}">
    <text>Positions are on-hold</text>
  </threadedComment>
  <threadedComment ref="AQ278" dT="2024-12-18T08:18:28.30" personId="{6777EDD4-E46F-4979-A7E7-6FC0A82E0C8E}" id="{F434ADED-36B3-41ED-845D-F3826D07A7B4}">
    <text>Positions are on-hold</text>
  </threadedComment>
  <threadedComment ref="AR278" dT="2024-12-18T08:18:28.30" personId="{6777EDD4-E46F-4979-A7E7-6FC0A82E0C8E}" id="{9E439A54-710E-4EB3-8351-5620EAAEBB1F}">
    <text>Positions are on-hold</text>
  </threadedComment>
  <threadedComment ref="AS278" dT="2024-12-18T08:18:28.30" personId="{6777EDD4-E46F-4979-A7E7-6FC0A82E0C8E}" id="{99949B66-54F0-40C4-87DC-FD8045E2D5BD}">
    <text>Positions are on-hold</text>
  </threadedComment>
  <threadedComment ref="AT278" dT="2024-12-18T08:18:28.30" personId="{6777EDD4-E46F-4979-A7E7-6FC0A82E0C8E}" id="{B95B927B-475B-433E-8CC3-38C8BF71DD98}">
    <text>Positions are on-hold</text>
  </threadedComment>
  <threadedComment ref="AU278" dT="2024-12-18T08:18:28.30" personId="{6777EDD4-E46F-4979-A7E7-6FC0A82E0C8E}" id="{C73D5E7E-81EB-4920-BA50-62DD1C0E2107}">
    <text>Positions are on-hold</text>
  </threadedComment>
  <threadedComment ref="AV278" dT="2024-12-18T08:18:28.30" personId="{6777EDD4-E46F-4979-A7E7-6FC0A82E0C8E}" id="{5F0ECF28-EAFA-4503-B4D2-107367DE21FA}">
    <text>Positions are on-hold</text>
  </threadedComment>
  <threadedComment ref="AW278" dT="2024-10-18T04:54:46.00" personId="{6777EDD4-E46F-4979-A7E7-6FC0A82E0C8E}" id="{4005EABE-3677-4C81-994B-54172016184B}">
    <text>Project On-Hold</text>
  </threadedComment>
  <threadedComment ref="AX278" dT="2024-10-18T04:54:46.00" personId="{6777EDD4-E46F-4979-A7E7-6FC0A82E0C8E}" id="{A87CD128-BCB2-4A18-B3E6-86559305DB90}">
    <text>Project On-Hold</text>
  </threadedComment>
  <threadedComment ref="AY278" dT="2024-10-18T04:54:46.00" personId="{6777EDD4-E46F-4979-A7E7-6FC0A82E0C8E}" id="{63F5F811-8616-4907-9532-38C30860AF33}">
    <text>Project On-Hold</text>
  </threadedComment>
  <threadedComment ref="AZ278" dT="2024-10-18T04:54:46.00" personId="{6777EDD4-E46F-4979-A7E7-6FC0A82E0C8E}" id="{C610C6E2-91A9-4032-B1A8-E9507C3F9937}">
    <text>Project On-Hold</text>
  </threadedComment>
  <threadedComment ref="BA278" dT="2024-10-18T04:54:46.00" personId="{6777EDD4-E46F-4979-A7E7-6FC0A82E0C8E}" id="{88DCC8F2-E3C7-430F-8CE0-F0CB032EBA52}">
    <text>Project On-Hold</text>
  </threadedComment>
  <threadedComment ref="BB278" dT="2024-10-18T04:54:46.00" personId="{6777EDD4-E46F-4979-A7E7-6FC0A82E0C8E}" id="{67DD21B0-EAE7-436F-8538-8E1786B4AD24}">
    <text>Project On-Hold</text>
  </threadedComment>
  <threadedComment ref="BC278" dT="2024-10-18T04:54:46.00" personId="{6777EDD4-E46F-4979-A7E7-6FC0A82E0C8E}" id="{F44CFC80-297C-4CE4-A8DA-270AA41BE605}">
    <text>Project On-Hold</text>
  </threadedComment>
  <threadedComment ref="BD278" dT="2024-10-18T04:54:46.00" personId="{6777EDD4-E46F-4979-A7E7-6FC0A82E0C8E}" id="{47D9C644-DF62-4940-A54D-99DF4032A7EA}">
    <text>Project On-Hold</text>
  </threadedComment>
  <threadedComment ref="BE278" dT="2024-10-18T04:54:46.00" personId="{6777EDD4-E46F-4979-A7E7-6FC0A82E0C8E}" id="{F3E73150-FB06-4BAE-A2F8-0CEA292BC64A}">
    <text>Project On-Hold</text>
  </threadedComment>
  <threadedComment ref="BF278" dT="2024-10-18T04:54:46.00" personId="{6777EDD4-E46F-4979-A7E7-6FC0A82E0C8E}" id="{A6C09476-76A0-4468-ABDD-2A1875FD169A}">
    <text>Project On-Hold</text>
  </threadedComment>
  <threadedComment ref="BG278" dT="2024-10-18T04:54:46.00" personId="{6777EDD4-E46F-4979-A7E7-6FC0A82E0C8E}" id="{41256EF4-619E-46B8-BD51-A65779404EED}">
    <text>Project On-Hold</text>
  </threadedComment>
  <threadedComment ref="BH278" dT="2024-10-18T04:54:46.00" personId="{6777EDD4-E46F-4979-A7E7-6FC0A82E0C8E}" id="{31FAAA94-6D20-4E56-9078-85BA8C035169}">
    <text>Project On-Hold</text>
  </threadedComment>
  <threadedComment ref="BI278" dT="2024-10-18T04:54:46.00" personId="{6777EDD4-E46F-4979-A7E7-6FC0A82E0C8E}" id="{C1A06E73-E539-4047-A324-0EF3C7ED5B65}">
    <text>Project On-Hold</text>
  </threadedComment>
  <threadedComment ref="BJ278" dT="2024-10-18T04:54:46.00" personId="{6777EDD4-E46F-4979-A7E7-6FC0A82E0C8E}" id="{79A96522-786B-4B68-BB3A-B11736DE23C3}">
    <text>Project On-Hold</text>
  </threadedComment>
  <threadedComment ref="BK278" dT="2024-10-18T04:54:46.00" personId="{6777EDD4-E46F-4979-A7E7-6FC0A82E0C8E}" id="{D6C30FA2-1474-4FF8-8593-F522EB5C1D28}">
    <text>Project On-Hold</text>
  </threadedComment>
  <threadedComment ref="BL278" dT="2024-10-18T04:54:46.00" personId="{6777EDD4-E46F-4979-A7E7-6FC0A82E0C8E}" id="{565EB559-092B-443E-9EAC-9140D1DE0A13}">
    <text>Project On-Hold</text>
  </threadedComment>
  <threadedComment ref="BN278" dT="2024-10-18T04:54:46.00" personId="{6777EDD4-E46F-4979-A7E7-6FC0A82E0C8E}" id="{B7D58ECA-A7C6-4C17-B6D1-70EAF36434A8}">
    <text>Project On-Hold</text>
  </threadedComment>
  <threadedComment ref="BP278" dT="2024-10-18T04:54:46.00" personId="{6777EDD4-E46F-4979-A7E7-6FC0A82E0C8E}" id="{DD7EC10C-D2D7-4BE2-BD20-E08F17B7DB20}">
    <text>Project On-Hold</text>
  </threadedComment>
  <threadedComment ref="BR278" dT="2024-10-18T04:54:46.00" personId="{6777EDD4-E46F-4979-A7E7-6FC0A82E0C8E}" id="{ED358A74-E4FE-4CA4-9CBB-8FC0DDF692B0}">
    <text>Project On-Hold</text>
  </threadedComment>
  <threadedComment ref="BS278" dT="2024-10-18T04:54:46.00" personId="{6777EDD4-E46F-4979-A7E7-6FC0A82E0C8E}" id="{4F430759-7C39-4642-A879-96A6E28D7A75}">
    <text>Project On-Hold</text>
  </threadedComment>
  <threadedComment ref="BU278" dT="2024-12-18T08:18:28.30" personId="{6777EDD4-E46F-4979-A7E7-6FC0A82E0C8E}" id="{FA1137DB-41BE-4C9C-A4E9-4DAED0EB192F}">
    <text>Positions are on-hold</text>
  </threadedComment>
  <threadedComment ref="Q279" dT="2024-04-19T10:44:52.43" personId="{6777EDD4-E46F-4979-A7E7-6FC0A82E0C8E}" id="{C5D96D4E-F4B7-4F22-BD11-08A08A7E3841}">
    <text>Contract not Renew (On Hold)</text>
  </threadedComment>
  <threadedComment ref="R279" dT="2024-04-19T10:44:52.43" personId="{6777EDD4-E46F-4979-A7E7-6FC0A82E0C8E}" id="{A40BE8A7-FBE8-4865-AA1D-DC2D2DFDBA15}">
    <text>Contract not Renew (On Hold)</text>
  </threadedComment>
  <threadedComment ref="S279" dT="2024-04-19T10:44:52.43" personId="{6777EDD4-E46F-4979-A7E7-6FC0A82E0C8E}" id="{6B646ABC-A984-4185-B5B4-338388EEE9F2}">
    <text>Contract not Renew (On Hold)</text>
  </threadedComment>
  <threadedComment ref="T279" dT="2024-04-19T10:44:52.43" personId="{6777EDD4-E46F-4979-A7E7-6FC0A82E0C8E}" id="{1DDFFBC8-DAC1-4E9A-B957-4C7B92CF720D}">
    <text>Contract not Renew (On Hold)</text>
  </threadedComment>
  <threadedComment ref="U279" dT="2024-04-19T10:44:52.43" personId="{6777EDD4-E46F-4979-A7E7-6FC0A82E0C8E}" id="{23DB9216-0FE4-438C-8DD9-DD2B5742F3D6}">
    <text>Contract not Renew (On Hold)</text>
  </threadedComment>
  <threadedComment ref="V279" dT="2024-04-19T10:44:52.43" personId="{6777EDD4-E46F-4979-A7E7-6FC0A82E0C8E}" id="{6C52F66A-2472-491E-BF69-445B4AC05197}">
    <text>Contract not Renew (On Hold)</text>
  </threadedComment>
  <threadedComment ref="W279" dT="2024-04-19T10:44:52.43" personId="{6777EDD4-E46F-4979-A7E7-6FC0A82E0C8E}" id="{E610FBA0-8FD1-4E58-8EA7-09E20688AFE8}">
    <text>Contract not Renew (On Hold)</text>
  </threadedComment>
  <threadedComment ref="X279" dT="2024-04-19T10:44:52.43" personId="{6777EDD4-E46F-4979-A7E7-6FC0A82E0C8E}" id="{90EB6B2E-D914-4C43-A947-791271BA4ED3}">
    <text>Contract not Renew (On Hold)</text>
  </threadedComment>
  <threadedComment ref="AA279" dT="2024-10-17T09:53:12.06" personId="{6777EDD4-E46F-4979-A7E7-6FC0A82E0C8E}" id="{45715ED5-C2E7-4389-982B-7B7BD378FADB}">
    <text>Hiring is on Hold</text>
  </threadedComment>
  <threadedComment ref="AB279" dT="2024-10-17T09:53:12.06" personId="{6777EDD4-E46F-4979-A7E7-6FC0A82E0C8E}" id="{62BAAF28-F3F1-440F-AB91-4F4ECDC936F8}">
    <text>Hiring is on Hold</text>
  </threadedComment>
  <threadedComment ref="AC279" dT="2024-10-17T09:53:12.06" personId="{6777EDD4-E46F-4979-A7E7-6FC0A82E0C8E}" id="{87D2B0CC-6784-463E-8E89-DA1323A60A37}">
    <text>Hiring is on Hold</text>
  </threadedComment>
  <threadedComment ref="AD279" dT="2024-10-17T09:53:12.06" personId="{6777EDD4-E46F-4979-A7E7-6FC0A82E0C8E}" id="{F93B64AC-DB7E-4C78-92F0-F5FD69AE1273}">
    <text>Hiring is on Hold</text>
  </threadedComment>
  <threadedComment ref="AG279" dT="2024-12-18T08:18:28.30" personId="{6777EDD4-E46F-4979-A7E7-6FC0A82E0C8E}" id="{BD8BB8BE-F285-4F45-900A-E9271F864ADB}">
    <text>Positions are on-hold</text>
  </threadedComment>
  <threadedComment ref="AH279" dT="2024-12-18T08:18:28.30" personId="{6777EDD4-E46F-4979-A7E7-6FC0A82E0C8E}" id="{2BC7944B-6032-4FC6-BD97-62B842A522E8}">
    <text>Positions are on-hold</text>
  </threadedComment>
  <threadedComment ref="AI279" dT="2024-12-18T08:18:28.30" personId="{6777EDD4-E46F-4979-A7E7-6FC0A82E0C8E}" id="{35771493-D365-4711-AE6F-B601B2633D87}">
    <text>Positions are on-hold</text>
  </threadedComment>
  <threadedComment ref="AJ279" dT="2024-12-18T08:18:28.30" personId="{6777EDD4-E46F-4979-A7E7-6FC0A82E0C8E}" id="{C24EC100-FE66-4A64-849B-3A92AFCA98F1}">
    <text>Positions are on-hold</text>
  </threadedComment>
  <threadedComment ref="AK279" dT="2024-12-18T08:18:28.30" personId="{6777EDD4-E46F-4979-A7E7-6FC0A82E0C8E}" id="{E5912C10-1238-40F7-B5BC-F06840CB337D}">
    <text>Positions are on-hold</text>
  </threadedComment>
  <threadedComment ref="AL279" dT="2024-12-18T08:18:28.30" personId="{6777EDD4-E46F-4979-A7E7-6FC0A82E0C8E}" id="{D31C2835-D0C2-44A8-9A60-A89E29E74DFC}">
    <text>Positions are on-hold</text>
  </threadedComment>
  <threadedComment ref="AM279" dT="2024-12-18T08:18:28.30" personId="{6777EDD4-E46F-4979-A7E7-6FC0A82E0C8E}" id="{5C6CF03F-6635-4BF0-8A0D-9C87CA715A42}">
    <text>Positions are on-hold</text>
  </threadedComment>
  <threadedComment ref="AN279" dT="2024-12-18T08:18:28.30" personId="{6777EDD4-E46F-4979-A7E7-6FC0A82E0C8E}" id="{6892115A-E358-47FF-AA44-2E269CC2BC3A}">
    <text>Positions are on-hold</text>
  </threadedComment>
  <threadedComment ref="AO279" dT="2024-12-18T08:18:28.30" personId="{6777EDD4-E46F-4979-A7E7-6FC0A82E0C8E}" id="{3F7FBD6F-D5AB-4841-B008-23E3D9D120BD}">
    <text>Positions are on-hold</text>
  </threadedComment>
  <threadedComment ref="AP279" dT="2024-12-18T08:18:28.30" personId="{6777EDD4-E46F-4979-A7E7-6FC0A82E0C8E}" id="{1FB9B9BD-4B2F-433F-999E-74E5D630E0C0}">
    <text>Positions are on-hold</text>
  </threadedComment>
  <threadedComment ref="AQ279" dT="2024-12-18T08:18:28.30" personId="{6777EDD4-E46F-4979-A7E7-6FC0A82E0C8E}" id="{F2699BC7-CAE7-4AE1-8E4D-060F24AAD4DA}">
    <text>Positions are on-hold</text>
  </threadedComment>
  <threadedComment ref="AR279" dT="2024-12-18T08:18:28.30" personId="{6777EDD4-E46F-4979-A7E7-6FC0A82E0C8E}" id="{252D05F0-7320-48EB-81E1-B704A8AA2AE1}">
    <text>Positions are on-hold</text>
  </threadedComment>
  <threadedComment ref="AS279" dT="2024-12-18T08:18:28.30" personId="{6777EDD4-E46F-4979-A7E7-6FC0A82E0C8E}" id="{597F892B-11CA-4682-8680-1F8CCCF19827}">
    <text>Positions are on-hold</text>
  </threadedComment>
  <threadedComment ref="AT279" dT="2024-12-18T08:18:28.30" personId="{6777EDD4-E46F-4979-A7E7-6FC0A82E0C8E}" id="{2C5360C7-251B-4721-AD11-5D2ECD5CF73F}">
    <text>Positions are on-hold</text>
  </threadedComment>
  <threadedComment ref="AU279" dT="2024-12-18T08:18:28.30" personId="{6777EDD4-E46F-4979-A7E7-6FC0A82E0C8E}" id="{A3B7F58F-593F-45F5-8C58-03508E5FD4F5}">
    <text>Positions are on-hold</text>
  </threadedComment>
  <threadedComment ref="AV279" dT="2024-12-18T08:18:28.30" personId="{6777EDD4-E46F-4979-A7E7-6FC0A82E0C8E}" id="{B414F994-06DE-434B-B751-A34CFC6D4D27}">
    <text>Positions are on-hold</text>
  </threadedComment>
  <threadedComment ref="AW279" dT="2024-10-18T04:54:46.00" personId="{6777EDD4-E46F-4979-A7E7-6FC0A82E0C8E}" id="{CC5A95FE-C722-4290-B664-EF4999B7ECF1}">
    <text>Project On-Hold</text>
  </threadedComment>
  <threadedComment ref="AX279" dT="2024-10-18T04:54:46.00" personId="{6777EDD4-E46F-4979-A7E7-6FC0A82E0C8E}" id="{BF323B93-432D-4D8D-9BC0-B6B3E906B5A0}">
    <text>Project On-Hold</text>
  </threadedComment>
  <threadedComment ref="AY279" dT="2024-10-18T04:54:46.00" personId="{6777EDD4-E46F-4979-A7E7-6FC0A82E0C8E}" id="{FC30E178-B090-4260-80E5-D997A882F22F}">
    <text>Project On-Hold</text>
  </threadedComment>
  <threadedComment ref="AZ279" dT="2024-10-18T04:54:46.00" personId="{6777EDD4-E46F-4979-A7E7-6FC0A82E0C8E}" id="{5828E670-AD63-47DF-A4DD-F4A9EB8EEAE6}">
    <text>Project On-Hold</text>
  </threadedComment>
  <threadedComment ref="BA279" dT="2024-10-18T04:54:46.00" personId="{6777EDD4-E46F-4979-A7E7-6FC0A82E0C8E}" id="{93DBEB74-C102-46C5-ADFD-27CC824C79C0}">
    <text>Project On-Hold</text>
  </threadedComment>
  <threadedComment ref="BB279" dT="2024-10-18T04:54:46.00" personId="{6777EDD4-E46F-4979-A7E7-6FC0A82E0C8E}" id="{614ADD63-5BE1-4B9A-9B5D-35B113F59556}">
    <text>Project On-Hold</text>
  </threadedComment>
  <threadedComment ref="BC279" dT="2024-10-18T04:54:46.00" personId="{6777EDD4-E46F-4979-A7E7-6FC0A82E0C8E}" id="{B4357532-47F4-437B-8936-E29A2B89F57D}">
    <text>Project On-Hold</text>
  </threadedComment>
  <threadedComment ref="BD279" dT="2024-10-18T04:54:46.00" personId="{6777EDD4-E46F-4979-A7E7-6FC0A82E0C8E}" id="{582BB8B1-F673-4F55-A1F2-76A3D5DB4AD9}">
    <text>Project On-Hold</text>
  </threadedComment>
  <threadedComment ref="BE279" dT="2024-10-18T04:54:46.00" personId="{6777EDD4-E46F-4979-A7E7-6FC0A82E0C8E}" id="{C6E04B43-40E6-48E3-AC8F-E13C41620B6C}">
    <text>Project On-Hold</text>
  </threadedComment>
  <threadedComment ref="BF279" dT="2024-10-18T04:54:46.00" personId="{6777EDD4-E46F-4979-A7E7-6FC0A82E0C8E}" id="{A268F96B-2992-4B97-B957-4A3DD5E3701C}">
    <text>Project On-Hold</text>
  </threadedComment>
  <threadedComment ref="BG279" dT="2024-10-18T04:54:46.00" personId="{6777EDD4-E46F-4979-A7E7-6FC0A82E0C8E}" id="{9B4FED4F-5791-4821-8E3C-1CA0B6368BD6}">
    <text>Project On-Hold</text>
  </threadedComment>
  <threadedComment ref="BH279" dT="2024-10-18T04:54:46.00" personId="{6777EDD4-E46F-4979-A7E7-6FC0A82E0C8E}" id="{E39AF8FC-EC78-4980-80F4-9F32A18288B1}">
    <text>Project On-Hold</text>
  </threadedComment>
  <threadedComment ref="BI279" dT="2024-10-18T04:54:46.00" personId="{6777EDD4-E46F-4979-A7E7-6FC0A82E0C8E}" id="{A2F2A992-7380-407D-9F9C-916897A2B958}">
    <text>Project On-Hold</text>
  </threadedComment>
  <threadedComment ref="BJ279" dT="2024-10-18T04:54:46.00" personId="{6777EDD4-E46F-4979-A7E7-6FC0A82E0C8E}" id="{63B07DE7-8DEB-4E2B-B864-6286877DC532}">
    <text>Project On-Hold</text>
  </threadedComment>
  <threadedComment ref="BK279" dT="2024-10-18T04:54:46.00" personId="{6777EDD4-E46F-4979-A7E7-6FC0A82E0C8E}" id="{266599C8-A9FB-4618-BFE9-4387FA4E66BE}">
    <text>Project On-Hold</text>
  </threadedComment>
  <threadedComment ref="BL279" dT="2024-10-18T04:54:46.00" personId="{6777EDD4-E46F-4979-A7E7-6FC0A82E0C8E}" id="{3E6818AD-5A01-4A72-99B1-F910AA08D234}">
    <text>Project On-Hold</text>
  </threadedComment>
  <threadedComment ref="BN279" dT="2024-10-18T04:54:46.00" personId="{6777EDD4-E46F-4979-A7E7-6FC0A82E0C8E}" id="{09CA1BDB-741B-4DE9-9561-DBFBF52610FF}">
    <text>Project On-Hold</text>
  </threadedComment>
  <threadedComment ref="BP279" dT="2024-10-18T04:54:46.00" personId="{6777EDD4-E46F-4979-A7E7-6FC0A82E0C8E}" id="{923E0860-B8E9-40B5-BCDC-E92CA1ADD469}">
    <text>Project On-Hold</text>
  </threadedComment>
  <threadedComment ref="BR279" dT="2024-10-18T04:54:46.00" personId="{6777EDD4-E46F-4979-A7E7-6FC0A82E0C8E}" id="{99F0BE0E-10C2-43EE-BBAB-BB003527FFA2}">
    <text>Project On-Hold</text>
  </threadedComment>
  <threadedComment ref="BS279" dT="2024-10-18T04:54:46.00" personId="{6777EDD4-E46F-4979-A7E7-6FC0A82E0C8E}" id="{0E8360E9-3C00-4EDC-8643-BE68323A93EA}">
    <text>Project On-Hold</text>
  </threadedComment>
  <threadedComment ref="BU279" dT="2024-12-18T08:18:28.30" personId="{6777EDD4-E46F-4979-A7E7-6FC0A82E0C8E}" id="{60CE0A9C-B546-40CD-A173-74AF4ED2446D}">
    <text>Positions are on-hold</text>
  </threadedComment>
  <threadedComment ref="Q280" dT="2024-05-10T10:44:42.37" personId="{81349F11-00FE-4654-AB80-28AAFDB5B552}" id="{B23959F5-AC9A-4358-B11D-D6ADEED61C80}">
    <text xml:space="preserve">Numbers reported without target approval
</text>
  </threadedComment>
  <threadedComment ref="S280" dT="2024-05-10T10:44:42.37" personId="{81349F11-00FE-4654-AB80-28AAFDB5B552}" id="{10010C62-3F49-4973-9F31-B3B6587A3C48}">
    <text xml:space="preserve">Numbers reported without target approval
</text>
  </threadedComment>
  <threadedComment ref="Q281" dT="2024-05-10T12:45:32.63" personId="{81349F11-00FE-4654-AB80-28AAFDB5B552}" id="{FF3C3E3F-DF9E-44B3-A6DF-5DDCB14B6A6E}">
    <text xml:space="preserve">Numbers reported without target approval
</text>
  </threadedComment>
  <threadedComment ref="S281" dT="2024-05-10T12:45:32.63" personId="{81349F11-00FE-4654-AB80-28AAFDB5B552}" id="{ECB80A19-6288-4C4C-A696-84AF808DB27B}">
    <text xml:space="preserve">Numbers reported without target approval
</text>
  </threadedComment>
  <threadedComment ref="Q282" dT="2024-05-10T12:45:38.24" personId="{81349F11-00FE-4654-AB80-28AAFDB5B552}" id="{E2DD0DE5-024A-464C-9FE2-D187CE8F6C2D}">
    <text xml:space="preserve">Numbers reported without target approval
</text>
  </threadedComment>
  <threadedComment ref="S282" dT="2024-05-10T12:45:38.24" personId="{81349F11-00FE-4654-AB80-28AAFDB5B552}" id="{81718712-1862-42AA-BDAA-634D25BC338F}">
    <text xml:space="preserve">Numbers reported without target approval
</text>
  </threadedComment>
  <threadedComment ref="Q283" dT="2024-05-10T10:44:55.40" personId="{81349F11-00FE-4654-AB80-28AAFDB5B552}" id="{2EE8A242-E32F-4C1C-BF63-74C2897E7C5D}">
    <text xml:space="preserve">Numbers reported without target approval
</text>
  </threadedComment>
  <threadedComment ref="S283" dT="2024-05-10T10:44:55.40" personId="{81349F11-00FE-4654-AB80-28AAFDB5B552}" id="{159A4CB5-B78B-4E13-A485-401641E6BC87}">
    <text xml:space="preserve">Numbers reported without target approval
</text>
  </threadedComment>
  <threadedComment ref="Q284" dT="2024-05-10T10:45:05.51" personId="{81349F11-00FE-4654-AB80-28AAFDB5B552}" id="{E15388B1-9C93-4C12-A222-4748683D9DD2}">
    <text xml:space="preserve">Numbers reported without target approval
</text>
  </threadedComment>
  <threadedComment ref="S284" dT="2024-05-10T10:45:05.51" personId="{81349F11-00FE-4654-AB80-28AAFDB5B552}" id="{634D0218-AD1D-458F-84F9-AF7803846FEE}">
    <text xml:space="preserve">Numbers reported without target approval
</text>
  </threadedComment>
  <threadedComment ref="Q285" dT="2024-05-10T10:45:09.31" personId="{81349F11-00FE-4654-AB80-28AAFDB5B552}" id="{682175AA-6998-4935-9870-60112D931ED4}">
    <text xml:space="preserve">Numbers reported without target approval
</text>
  </threadedComment>
  <threadedComment ref="S285" dT="2024-05-10T10:45:09.31" personId="{81349F11-00FE-4654-AB80-28AAFDB5B552}" id="{4FDABFFF-248E-49F4-9CFC-FB7E204F747E}">
    <text xml:space="preserve">Numbers reported without target approval
</text>
  </threadedComment>
  <threadedComment ref="Q286" dT="2024-05-10T10:45:13.45" personId="{81349F11-00FE-4654-AB80-28AAFDB5B552}" id="{6BE4079A-07AD-463B-9267-59AEF4BE16F3}">
    <text xml:space="preserve">Numbers reported without target approval
</text>
  </threadedComment>
  <threadedComment ref="S286" dT="2024-05-10T10:45:13.45" personId="{81349F11-00FE-4654-AB80-28AAFDB5B552}" id="{7232E170-1511-4867-BCE8-69B01AD58478}">
    <text xml:space="preserve">Numbers reported without target approval
</text>
  </threadedComment>
  <threadedComment ref="Q287" dT="2024-05-10T10:45:17.84" personId="{81349F11-00FE-4654-AB80-28AAFDB5B552}" id="{69F15657-133B-43DB-B467-DC0A915F77E0}">
    <text xml:space="preserve">Numbers reported without target approval
</text>
  </threadedComment>
  <threadedComment ref="S287" dT="2024-05-10T10:45:17.84" personId="{81349F11-00FE-4654-AB80-28AAFDB5B552}" id="{CC337E45-0312-4963-838F-A5FE2928926F}">
    <text xml:space="preserve">Numbers reported without target approval
</text>
  </threadedComment>
  <threadedComment ref="BK287" dT="2025-11-21T09:43:07.52" personId="{728803BD-3A25-4F6F-BA7C-1EDF8A148B73}" id="{6AAFDEE9-8ACF-4D28-816C-C32EBBCBB992}">
    <text xml:space="preserve">To be excluded as discussed with Kirti same has been discontinued </text>
  </threadedComment>
  <threadedComment ref="BL287" dT="2025-11-21T09:43:07.52" personId="{728803BD-3A25-4F6F-BA7C-1EDF8A148B73}" id="{B1D6FA4C-D242-456F-A6E4-3D369AE4ED93}">
    <text xml:space="preserve">To be excluded as discussed with Kirti same has been discontinued </text>
  </threadedComment>
  <threadedComment ref="BN287" dT="2025-11-21T09:43:07.52" personId="{728803BD-3A25-4F6F-BA7C-1EDF8A148B73}" id="{32D410FB-737C-4E86-9D63-4E66FAC94E81}">
    <text xml:space="preserve">To be excluded as discussed with Kirti same has been discontinued </text>
  </threadedComment>
  <threadedComment ref="BP287" dT="2025-11-21T09:43:07.52" personId="{728803BD-3A25-4F6F-BA7C-1EDF8A148B73}" id="{06BA720A-B986-4DB8-95DE-5C5531565CF4}">
    <text xml:space="preserve">To be excluded as discussed with Kirti same has been discontinued </text>
  </threadedComment>
  <threadedComment ref="BR287" dT="2025-11-21T09:43:07.52" personId="{728803BD-3A25-4F6F-BA7C-1EDF8A148B73}" id="{F97DDEE6-84E3-41B6-ACA4-4BA97D449138}">
    <text xml:space="preserve">To be excluded as discussed with Kirti same has been discontinued </text>
  </threadedComment>
  <threadedComment ref="S288" dT="2024-06-15T06:17:04.00" personId="{6777EDD4-E46F-4979-A7E7-6FC0A82E0C8E}" id="{FC937FC7-0D71-4B0F-A5A6-8E93AD214B50}">
    <text>Project on-hold</text>
  </threadedComment>
  <threadedComment ref="T288" dT="2024-06-15T06:17:04.00" personId="{6777EDD4-E46F-4979-A7E7-6FC0A82E0C8E}" id="{BE80736E-DCC0-4AF8-9C17-DF99E9D379BA}">
    <text>Project on-hold</text>
  </threadedComment>
  <threadedComment ref="U288" dT="2024-06-15T06:17:04.00" personId="{6777EDD4-E46F-4979-A7E7-6FC0A82E0C8E}" id="{E1DF5E63-6BF9-4622-BF26-7A91D1F3A613}">
    <text>Project on-hold</text>
  </threadedComment>
  <threadedComment ref="V288" dT="2024-06-15T06:17:04.00" personId="{6777EDD4-E46F-4979-A7E7-6FC0A82E0C8E}" id="{0F3692B3-A7B9-4AE9-B851-E417C14441FE}">
    <text>Project on-hold</text>
  </threadedComment>
  <threadedComment ref="W288" dT="2024-06-15T06:17:04.00" personId="{6777EDD4-E46F-4979-A7E7-6FC0A82E0C8E}" id="{94012305-CA78-4596-AFB8-FD0EBDE82B79}">
    <text>Project on-hold</text>
  </threadedComment>
  <threadedComment ref="X288" dT="2024-06-15T06:17:04.00" personId="{6777EDD4-E46F-4979-A7E7-6FC0A82E0C8E}" id="{DC404A47-64FA-4A9C-A133-81F25788CE19}">
    <text>Project on-hold</text>
  </threadedComment>
  <threadedComment ref="AA288" dT="2024-10-18T04:56:20.13" personId="{6777EDD4-E46F-4979-A7E7-6FC0A82E0C8E}" id="{8EB2846D-BC18-483D-9CB4-2222187678B8}">
    <text>Project On-Hold</text>
  </threadedComment>
  <threadedComment ref="AB288" dT="2024-10-18T04:56:20.13" personId="{6777EDD4-E46F-4979-A7E7-6FC0A82E0C8E}" id="{555FB30F-E5C7-4E1C-97AA-952A806A6130}">
    <text>Project On-Hold</text>
  </threadedComment>
  <threadedComment ref="AC288" dT="2024-10-18T04:56:20.13" personId="{6777EDD4-E46F-4979-A7E7-6FC0A82E0C8E}" id="{63459E5C-A3C2-46E7-890F-7563A8AD6C33}">
    <text>Project On-Hold</text>
  </threadedComment>
  <threadedComment ref="AD288" dT="2024-10-18T04:56:20.13" personId="{6777EDD4-E46F-4979-A7E7-6FC0A82E0C8E}" id="{28FE8AD0-6987-4807-B82F-93CF86B943E6}">
    <text>Project On-Hold</text>
  </threadedComment>
  <threadedComment ref="AE288" dT="2024-10-18T04:56:20.13" personId="{6777EDD4-E46F-4979-A7E7-6FC0A82E0C8E}" id="{094287E1-58A7-49E3-8EDD-060BBEB0B3EC}">
    <text>Project On-Hold</text>
  </threadedComment>
  <threadedComment ref="AF288" dT="2024-10-18T04:56:20.13" personId="{6777EDD4-E46F-4979-A7E7-6FC0A82E0C8E}" id="{9FFCBF70-2DAD-4B5F-ADE3-1E9C55986ABF}">
    <text>Project On-Hold</text>
  </threadedComment>
  <threadedComment ref="AG288" dT="2024-10-18T04:56:20.13" personId="{6777EDD4-E46F-4979-A7E7-6FC0A82E0C8E}" id="{1D4BE8B7-A5ED-42D7-B150-165DEB4D99E7}">
    <text>Project On-Hold</text>
  </threadedComment>
  <threadedComment ref="AH288" dT="2024-10-18T04:56:20.13" personId="{6777EDD4-E46F-4979-A7E7-6FC0A82E0C8E}" id="{ECB0C6CB-80A9-4306-90F9-FB54CB3FC8C6}">
    <text>Project On-Hold</text>
  </threadedComment>
  <threadedComment ref="AI288" dT="2024-10-18T04:54:46.00" personId="{6777EDD4-E46F-4979-A7E7-6FC0A82E0C8E}" id="{89E77589-FA0A-4C02-B14B-56696F02CC0A}">
    <text>Project On-Hold</text>
  </threadedComment>
  <threadedComment ref="AJ288" dT="2024-10-18T04:54:46.00" personId="{6777EDD4-E46F-4979-A7E7-6FC0A82E0C8E}" id="{76559D8C-36D2-41C0-944E-2B3779D5B67A}">
    <text>Project On-Hold</text>
  </threadedComment>
  <threadedComment ref="AK288" dT="2024-10-18T04:54:46.00" personId="{6777EDD4-E46F-4979-A7E7-6FC0A82E0C8E}" id="{2C661F4E-6FEA-4C61-8176-06AE547AB8B6}">
    <text>Project On-Hold</text>
  </threadedComment>
  <threadedComment ref="AL288" dT="2024-10-18T04:54:46.00" personId="{6777EDD4-E46F-4979-A7E7-6FC0A82E0C8E}" id="{F5E08D2C-5434-424D-A810-41408B5BC806}">
    <text>Project On-Hold</text>
  </threadedComment>
  <threadedComment ref="AM288" dT="2024-10-18T04:54:46.00" personId="{6777EDD4-E46F-4979-A7E7-6FC0A82E0C8E}" id="{A1F6E481-73A2-44D9-861B-4C5A9F26E3EF}">
    <text>Project On-Hold</text>
  </threadedComment>
  <threadedComment ref="AN288" dT="2024-10-18T04:54:46.00" personId="{6777EDD4-E46F-4979-A7E7-6FC0A82E0C8E}" id="{57AF68BF-24BE-4654-B08E-990D552DCBB1}">
    <text>Project On-Hold</text>
  </threadedComment>
  <threadedComment ref="AO288" dT="2024-10-18T04:54:46.00" personId="{6777EDD4-E46F-4979-A7E7-6FC0A82E0C8E}" id="{9242ACF4-2FAF-44C2-9B3F-9CD1D19F2183}">
    <text>Project On-Hold</text>
  </threadedComment>
  <threadedComment ref="AP288" dT="2024-10-18T04:54:46.00" personId="{6777EDD4-E46F-4979-A7E7-6FC0A82E0C8E}" id="{B5617969-5F71-408A-8E7E-DA44C6E59659}">
    <text>Project On-Hold</text>
  </threadedComment>
  <threadedComment ref="AQ288" dT="2024-10-18T04:54:46.00" personId="{6777EDD4-E46F-4979-A7E7-6FC0A82E0C8E}" id="{4006D595-72A7-48DE-AE16-0F965A95384F}">
    <text>Project On-Hold</text>
  </threadedComment>
  <threadedComment ref="AR288" dT="2024-10-18T04:54:46.00" personId="{6777EDD4-E46F-4979-A7E7-6FC0A82E0C8E}" id="{DEB721D3-AB8A-425C-9602-8C5947DD577D}">
    <text>Project On-Hold</text>
  </threadedComment>
  <threadedComment ref="AS288" dT="2024-10-18T04:54:46.00" personId="{6777EDD4-E46F-4979-A7E7-6FC0A82E0C8E}" id="{BAD417C5-79E7-4B4E-80D0-A2978EE9B9D8}">
    <text>Project On-Hold</text>
  </threadedComment>
  <threadedComment ref="AT288" dT="2024-10-18T04:54:46.00" personId="{6777EDD4-E46F-4979-A7E7-6FC0A82E0C8E}" id="{670184EC-FA17-4B0D-89AD-13008A60DC05}">
    <text>Project On-Hold</text>
  </threadedComment>
  <threadedComment ref="AU288" dT="2024-10-18T04:54:46.00" personId="{6777EDD4-E46F-4979-A7E7-6FC0A82E0C8E}" id="{02D60A7C-B7DF-4409-8A4B-8517B742E805}">
    <text>Project On-Hold</text>
  </threadedComment>
  <threadedComment ref="AV288" dT="2024-10-18T04:54:46.00" personId="{6777EDD4-E46F-4979-A7E7-6FC0A82E0C8E}" id="{1220D8D3-D6F7-49F5-97CC-79530AFCF530}">
    <text>Project On-Hold</text>
  </threadedComment>
  <threadedComment ref="AW288" dT="2024-10-18T04:54:46.00" personId="{6777EDD4-E46F-4979-A7E7-6FC0A82E0C8E}" id="{CC9D5F14-FE23-4142-9F04-5F12D013A780}">
    <text>Project On-Hold</text>
  </threadedComment>
  <threadedComment ref="AX288" dT="2024-10-18T04:54:46.00" personId="{6777EDD4-E46F-4979-A7E7-6FC0A82E0C8E}" id="{838F5ABA-7257-4D17-9578-0C4D0D25A0A6}">
    <text>Project On-Hold</text>
  </threadedComment>
  <threadedComment ref="AY288" dT="2024-10-18T04:54:46.00" personId="{6777EDD4-E46F-4979-A7E7-6FC0A82E0C8E}" id="{1E596949-F40C-4963-9707-03C0EB767EC5}">
    <text>Project On-Hold</text>
  </threadedComment>
  <threadedComment ref="AZ288" dT="2024-10-18T04:54:46.00" personId="{6777EDD4-E46F-4979-A7E7-6FC0A82E0C8E}" id="{D229E356-DAFF-4D0D-B892-AFEC9981DDCB}">
    <text>Project On-Hold</text>
  </threadedComment>
  <threadedComment ref="BA288" dT="2024-10-18T04:54:46.00" personId="{6777EDD4-E46F-4979-A7E7-6FC0A82E0C8E}" id="{9B056E43-6985-45C4-B9A4-B9768F7CF687}">
    <text>Project On-Hold</text>
  </threadedComment>
  <threadedComment ref="BB288" dT="2024-10-18T04:54:46.00" personId="{6777EDD4-E46F-4979-A7E7-6FC0A82E0C8E}" id="{75E3EE53-3139-45C2-89FF-A158BA25AF41}">
    <text>Project On-Hold</text>
  </threadedComment>
  <threadedComment ref="BC288" dT="2024-10-18T04:54:46.00" personId="{6777EDD4-E46F-4979-A7E7-6FC0A82E0C8E}" id="{7B63BBA3-1C40-4E56-A68E-5ABE9F4DDD9D}">
    <text>Project On-Hold</text>
  </threadedComment>
  <threadedComment ref="BD288" dT="2024-10-18T04:54:46.00" personId="{6777EDD4-E46F-4979-A7E7-6FC0A82E0C8E}" id="{787A5A54-3D1E-4D8E-B239-6DA54E4E9C89}">
    <text>Project On-Hold</text>
  </threadedComment>
  <threadedComment ref="BE288" dT="2024-10-18T04:54:46.00" personId="{6777EDD4-E46F-4979-A7E7-6FC0A82E0C8E}" id="{4844F365-A96C-479A-84B3-2800B5B51006}">
    <text>Project On-Hold</text>
  </threadedComment>
  <threadedComment ref="BF288" dT="2024-10-18T04:54:46.00" personId="{6777EDD4-E46F-4979-A7E7-6FC0A82E0C8E}" id="{2B408719-4027-4C7E-A6DD-B2B45549FFFE}">
    <text>Project On-Hold</text>
  </threadedComment>
  <threadedComment ref="BG288" dT="2024-10-18T04:54:46.00" personId="{6777EDD4-E46F-4979-A7E7-6FC0A82E0C8E}" id="{0B26EF4C-D81C-4AD4-864D-11F4CEF40550}">
    <text>Project On-Hold</text>
  </threadedComment>
  <threadedComment ref="BH288" dT="2024-10-18T04:54:46.00" personId="{6777EDD4-E46F-4979-A7E7-6FC0A82E0C8E}" id="{C2F9045D-CC44-4699-BD28-3A04AC8A52FC}">
    <text>Project On-Hold</text>
  </threadedComment>
  <threadedComment ref="BI288" dT="2024-10-18T04:54:46.00" personId="{6777EDD4-E46F-4979-A7E7-6FC0A82E0C8E}" id="{323F1BF4-07BA-489E-AE22-790DE3C83AEF}">
    <text>Project On-Hold</text>
  </threadedComment>
  <threadedComment ref="BJ288" dT="2024-10-18T04:54:46.00" personId="{6777EDD4-E46F-4979-A7E7-6FC0A82E0C8E}" id="{0CE67574-DE6F-471A-9C88-B6A8D6B0C89B}">
    <text>Project On-Hold</text>
  </threadedComment>
  <threadedComment ref="BK288" dT="2024-10-18T04:54:46.00" personId="{6777EDD4-E46F-4979-A7E7-6FC0A82E0C8E}" id="{FC40620C-FA82-4089-B4C4-C3FD0F605F91}">
    <text>Project On-Hold</text>
  </threadedComment>
  <threadedComment ref="BL288" dT="2024-10-18T04:54:46.00" personId="{6777EDD4-E46F-4979-A7E7-6FC0A82E0C8E}" id="{D0488901-C239-4A22-A01E-DAD6DA906157}">
    <text>Project On-Hold</text>
  </threadedComment>
  <threadedComment ref="BN288" dT="2024-10-18T04:54:46.00" personId="{6777EDD4-E46F-4979-A7E7-6FC0A82E0C8E}" id="{7BB1192A-E406-4CDE-ADE2-AD563141B41F}">
    <text>Project On-Hold</text>
  </threadedComment>
  <threadedComment ref="BP288" dT="2024-10-18T04:54:46.00" personId="{6777EDD4-E46F-4979-A7E7-6FC0A82E0C8E}" id="{55062746-BA23-4994-968B-8B9C1AAE265B}">
    <text>Project On-Hold</text>
  </threadedComment>
  <threadedComment ref="BR288" dT="2024-10-18T04:54:46.00" personId="{6777EDD4-E46F-4979-A7E7-6FC0A82E0C8E}" id="{672E5DB6-DCF0-422D-9958-3C82D87B3D10}">
    <text>Project On-Hold</text>
  </threadedComment>
  <threadedComment ref="BS288" dT="2024-10-18T04:54:46.00" personId="{6777EDD4-E46F-4979-A7E7-6FC0A82E0C8E}" id="{F7798AC8-D924-4811-9A61-CB8B9D855067}">
    <text>Project On-Hold</text>
  </threadedComment>
  <threadedComment ref="BU288" dT="2024-10-18T04:54:46.00" personId="{6777EDD4-E46F-4979-A7E7-6FC0A82E0C8E}" id="{8E84DA90-A552-425D-A32E-4684EA57207F}">
    <text>Project On-Hold</text>
  </threadedComment>
  <threadedComment ref="S289" dT="2024-06-15T06:17:04.00" personId="{6777EDD4-E46F-4979-A7E7-6FC0A82E0C8E}" id="{5CA51126-E085-4F99-8D63-481DA79BD1E7}">
    <text>Project on-hold</text>
  </threadedComment>
  <threadedComment ref="T289" dT="2024-06-15T06:17:04.00" personId="{6777EDD4-E46F-4979-A7E7-6FC0A82E0C8E}" id="{37C1ABE9-E69D-452C-9D58-0649819510FE}">
    <text>Project on-hold</text>
  </threadedComment>
  <threadedComment ref="U289" dT="2024-06-15T06:17:04.00" personId="{6777EDD4-E46F-4979-A7E7-6FC0A82E0C8E}" id="{FA69C043-E56B-4B5E-84FE-3238FD2AFCDF}">
    <text>Project on-hold</text>
  </threadedComment>
  <threadedComment ref="V289" dT="2024-06-15T06:17:04.00" personId="{6777EDD4-E46F-4979-A7E7-6FC0A82E0C8E}" id="{635D02BB-8AAA-46F5-AFC1-0EC1D3DA7FFC}">
    <text>Project on-hold</text>
  </threadedComment>
  <threadedComment ref="W289" dT="2024-06-15T06:17:04.00" personId="{6777EDD4-E46F-4979-A7E7-6FC0A82E0C8E}" id="{55D7B563-B429-4307-9B00-C13597B3F334}">
    <text>Project on-hold</text>
  </threadedComment>
  <threadedComment ref="X289" dT="2024-06-15T06:17:04.00" personId="{6777EDD4-E46F-4979-A7E7-6FC0A82E0C8E}" id="{51825BB6-93EF-4C82-B860-BF3543A175A4}">
    <text>Project on-hold</text>
  </threadedComment>
  <threadedComment ref="AA289" dT="2024-10-18T04:56:20.13" personId="{6777EDD4-E46F-4979-A7E7-6FC0A82E0C8E}" id="{AA801D5A-4B21-4AF4-9CED-B09B0B1BAD0B}">
    <text>Project On-Hold</text>
  </threadedComment>
  <threadedComment ref="AB289" dT="2024-10-18T04:56:20.13" personId="{6777EDD4-E46F-4979-A7E7-6FC0A82E0C8E}" id="{0C22E29D-9F1A-42CB-AB8E-C05E45A8862B}">
    <text>Project On-Hold</text>
  </threadedComment>
  <threadedComment ref="AC289" dT="2024-10-18T04:56:20.13" personId="{6777EDD4-E46F-4979-A7E7-6FC0A82E0C8E}" id="{04723986-4FAA-4BD8-9D1F-1113E9657978}">
    <text>Project On-Hold</text>
  </threadedComment>
  <threadedComment ref="AD289" dT="2024-10-18T04:56:20.13" personId="{6777EDD4-E46F-4979-A7E7-6FC0A82E0C8E}" id="{772ED78A-9C2F-43BE-A9A3-036B8DBB17FD}">
    <text>Project On-Hold</text>
  </threadedComment>
  <threadedComment ref="AE289" dT="2024-10-18T04:56:20.13" personId="{6777EDD4-E46F-4979-A7E7-6FC0A82E0C8E}" id="{FDB8E592-11DC-4EE8-9090-63CE5A41758D}">
    <text>Project On-Hold</text>
  </threadedComment>
  <threadedComment ref="AF289" dT="2024-10-18T04:56:20.13" personId="{6777EDD4-E46F-4979-A7E7-6FC0A82E0C8E}" id="{564C3DBE-D2CF-48E0-8E48-D3B10F5FCE6C}">
    <text>Project On-Hold</text>
  </threadedComment>
  <threadedComment ref="AG289" dT="2024-10-18T04:56:20.13" personId="{6777EDD4-E46F-4979-A7E7-6FC0A82E0C8E}" id="{70B8F752-221A-405E-ADB2-B27AFADC3339}">
    <text>Project On-Hold</text>
  </threadedComment>
  <threadedComment ref="AH289" dT="2024-10-18T04:56:20.13" personId="{6777EDD4-E46F-4979-A7E7-6FC0A82E0C8E}" id="{7E685A4F-129F-4C4D-8268-E15C33B2FAA2}">
    <text>Project On-Hold</text>
  </threadedComment>
  <threadedComment ref="AI289" dT="2024-10-18T04:54:46.00" personId="{6777EDD4-E46F-4979-A7E7-6FC0A82E0C8E}" id="{EA075DE3-E769-4754-90D2-1C89AB8FFF49}">
    <text>Project On-Hold</text>
  </threadedComment>
  <threadedComment ref="AJ289" dT="2024-10-18T04:54:46.00" personId="{6777EDD4-E46F-4979-A7E7-6FC0A82E0C8E}" id="{38BA9402-B562-465F-8329-A429CEEAB4D8}">
    <text>Project On-Hold</text>
  </threadedComment>
  <threadedComment ref="AK289" dT="2024-10-18T04:54:46.00" personId="{6777EDD4-E46F-4979-A7E7-6FC0A82E0C8E}" id="{CF136D49-3395-47D5-8AF3-D3404DDCC4D3}">
    <text>Project On-Hold</text>
  </threadedComment>
  <threadedComment ref="AL289" dT="2024-10-18T04:54:46.00" personId="{6777EDD4-E46F-4979-A7E7-6FC0A82E0C8E}" id="{B8503911-C880-45EF-B3D2-1A6BEF7AFC77}">
    <text>Project On-Hold</text>
  </threadedComment>
  <threadedComment ref="AM289" dT="2024-10-18T04:54:46.00" personId="{6777EDD4-E46F-4979-A7E7-6FC0A82E0C8E}" id="{0019FB5A-9007-4083-9091-B4F7CAE8F007}">
    <text>Project On-Hold</text>
  </threadedComment>
  <threadedComment ref="AN289" dT="2024-10-18T04:54:46.00" personId="{6777EDD4-E46F-4979-A7E7-6FC0A82E0C8E}" id="{5E272853-6AD1-4220-A276-5FF9386C9377}">
    <text>Project On-Hold</text>
  </threadedComment>
  <threadedComment ref="AO289" dT="2024-10-18T04:54:46.00" personId="{6777EDD4-E46F-4979-A7E7-6FC0A82E0C8E}" id="{30487DCF-D56B-48CB-8E31-9B3ED8B4F415}">
    <text>Project On-Hold</text>
  </threadedComment>
  <threadedComment ref="AP289" dT="2024-10-18T04:54:46.00" personId="{6777EDD4-E46F-4979-A7E7-6FC0A82E0C8E}" id="{905BCE93-E585-44AC-ADE0-3210FA19C360}">
    <text>Project On-Hold</text>
  </threadedComment>
  <threadedComment ref="AQ289" dT="2024-10-18T04:54:46.00" personId="{6777EDD4-E46F-4979-A7E7-6FC0A82E0C8E}" id="{FB20643D-7954-4A4E-8525-2447BCEFFDA1}">
    <text>Project On-Hold</text>
  </threadedComment>
  <threadedComment ref="AR289" dT="2024-10-18T04:54:46.00" personId="{6777EDD4-E46F-4979-A7E7-6FC0A82E0C8E}" id="{607FB466-F1A0-47AF-A519-829D71E0730F}">
    <text>Project On-Hold</text>
  </threadedComment>
  <threadedComment ref="AS289" dT="2024-10-18T04:54:46.00" personId="{6777EDD4-E46F-4979-A7E7-6FC0A82E0C8E}" id="{55FFA8B0-145B-4576-BA11-EB8078F4C43D}">
    <text>Project On-Hold</text>
  </threadedComment>
  <threadedComment ref="AT289" dT="2024-10-18T04:54:46.00" personId="{6777EDD4-E46F-4979-A7E7-6FC0A82E0C8E}" id="{E6C23203-3012-463F-A897-133C77FB0BDA}">
    <text>Project On-Hold</text>
  </threadedComment>
  <threadedComment ref="AU289" dT="2024-10-18T04:54:46.00" personId="{6777EDD4-E46F-4979-A7E7-6FC0A82E0C8E}" id="{B5C39F49-9AB5-4ECC-8949-949A8163B88F}">
    <text>Project On-Hold</text>
  </threadedComment>
  <threadedComment ref="AV289" dT="2024-10-18T04:54:46.00" personId="{6777EDD4-E46F-4979-A7E7-6FC0A82E0C8E}" id="{31D69BBB-46A7-4F68-81D9-247A0BD95957}">
    <text>Project On-Hold</text>
  </threadedComment>
  <threadedComment ref="AW289" dT="2024-10-18T04:54:46.00" personId="{6777EDD4-E46F-4979-A7E7-6FC0A82E0C8E}" id="{92BE7F28-3DD4-445A-9E41-2CAEC251027B}">
    <text>Project On-Hold</text>
  </threadedComment>
  <threadedComment ref="AX289" dT="2024-10-18T04:54:46.00" personId="{6777EDD4-E46F-4979-A7E7-6FC0A82E0C8E}" id="{174116D6-FBBC-4C78-BA49-699C4E2F79F4}">
    <text>Project On-Hold</text>
  </threadedComment>
  <threadedComment ref="AY289" dT="2024-10-18T04:54:46.00" personId="{6777EDD4-E46F-4979-A7E7-6FC0A82E0C8E}" id="{056CAD84-5B08-4055-AD40-BDA45D75EA1A}">
    <text>Project On-Hold</text>
  </threadedComment>
  <threadedComment ref="AZ289" dT="2024-10-18T04:54:46.00" personId="{6777EDD4-E46F-4979-A7E7-6FC0A82E0C8E}" id="{1307F47B-58BF-4A3A-9262-152D28D2884B}">
    <text>Project On-Hold</text>
  </threadedComment>
  <threadedComment ref="BA289" dT="2024-10-18T04:54:46.00" personId="{6777EDD4-E46F-4979-A7E7-6FC0A82E0C8E}" id="{53EFF2E0-0191-40A4-8B8D-A3A2F6009267}">
    <text>Project On-Hold</text>
  </threadedComment>
  <threadedComment ref="BB289" dT="2024-10-18T04:54:46.00" personId="{6777EDD4-E46F-4979-A7E7-6FC0A82E0C8E}" id="{642C017F-C310-4335-8F24-9781FA76DC90}">
    <text>Project On-Hold</text>
  </threadedComment>
  <threadedComment ref="BC289" dT="2024-10-18T04:54:46.00" personId="{6777EDD4-E46F-4979-A7E7-6FC0A82E0C8E}" id="{398955D9-62C3-4FCF-869E-A62EAD89B6B5}">
    <text>Project On-Hold</text>
  </threadedComment>
  <threadedComment ref="BD289" dT="2024-10-18T04:54:46.00" personId="{6777EDD4-E46F-4979-A7E7-6FC0A82E0C8E}" id="{745623BB-A0A8-466C-B0D6-9850E95FF08C}">
    <text>Project On-Hold</text>
  </threadedComment>
  <threadedComment ref="BE289" dT="2024-10-18T04:54:46.00" personId="{6777EDD4-E46F-4979-A7E7-6FC0A82E0C8E}" id="{5578B92A-B724-4A6B-AEE6-17B62EF72381}">
    <text>Project On-Hold</text>
  </threadedComment>
  <threadedComment ref="BF289" dT="2024-10-18T04:54:46.00" personId="{6777EDD4-E46F-4979-A7E7-6FC0A82E0C8E}" id="{88DAA459-1376-4BDD-B60B-2E9B8B4A9731}">
    <text>Project On-Hold</text>
  </threadedComment>
  <threadedComment ref="BG289" dT="2024-10-18T04:54:46.00" personId="{6777EDD4-E46F-4979-A7E7-6FC0A82E0C8E}" id="{B4CA5B06-C755-4610-9646-1CB5B4C69F7E}">
    <text>Project On-Hold</text>
  </threadedComment>
  <threadedComment ref="BH289" dT="2024-10-18T04:54:46.00" personId="{6777EDD4-E46F-4979-A7E7-6FC0A82E0C8E}" id="{2A04C584-12F2-43F7-B6F7-8F01D2DDD33F}">
    <text>Project On-Hold</text>
  </threadedComment>
  <threadedComment ref="BI289" dT="2024-10-18T04:54:46.00" personId="{6777EDD4-E46F-4979-A7E7-6FC0A82E0C8E}" id="{72D4AB89-3A68-4455-B487-8184E88A721F}">
    <text>Project On-Hold</text>
  </threadedComment>
  <threadedComment ref="BJ289" dT="2024-10-18T04:54:46.00" personId="{6777EDD4-E46F-4979-A7E7-6FC0A82E0C8E}" id="{4164DD5D-7C59-4EB4-90FB-1CE0CA2AEB5A}">
    <text>Project On-Hold</text>
  </threadedComment>
  <threadedComment ref="BK289" dT="2024-10-18T04:54:46.00" personId="{6777EDD4-E46F-4979-A7E7-6FC0A82E0C8E}" id="{937EF08E-C4B4-482C-B2BB-E23AFB225619}">
    <text>Project On-Hold</text>
  </threadedComment>
  <threadedComment ref="BL289" dT="2024-10-18T04:54:46.00" personId="{6777EDD4-E46F-4979-A7E7-6FC0A82E0C8E}" id="{7F99FA86-3799-4F21-9C11-53F661EB65A5}">
    <text>Project On-Hold</text>
  </threadedComment>
  <threadedComment ref="BN289" dT="2024-10-18T04:54:46.00" personId="{6777EDD4-E46F-4979-A7E7-6FC0A82E0C8E}" id="{7352B3D6-4FB7-4661-A39A-F983BEB1CAD8}">
    <text>Project On-Hold</text>
  </threadedComment>
  <threadedComment ref="BP289" dT="2024-10-18T04:54:46.00" personId="{6777EDD4-E46F-4979-A7E7-6FC0A82E0C8E}" id="{773C01F4-3596-47D1-AEF2-D39A04A87535}">
    <text>Project On-Hold</text>
  </threadedComment>
  <threadedComment ref="BR289" dT="2024-10-18T04:54:46.00" personId="{6777EDD4-E46F-4979-A7E7-6FC0A82E0C8E}" id="{471A71BB-F88E-43ED-B914-6FB3A23D6B54}">
    <text>Project On-Hold</text>
  </threadedComment>
  <threadedComment ref="BS289" dT="2024-10-18T04:54:46.00" personId="{6777EDD4-E46F-4979-A7E7-6FC0A82E0C8E}" id="{F84430C0-1BDC-471E-9CEE-0B44FE73D93A}">
    <text>Project On-Hold</text>
  </threadedComment>
  <threadedComment ref="BU289" dT="2024-10-18T04:54:46.00" personId="{6777EDD4-E46F-4979-A7E7-6FC0A82E0C8E}" id="{37895808-1EB7-4AFE-8419-9541F7EC6CEE}">
    <text>Project On-Hold</text>
  </threadedComment>
  <threadedComment ref="S290" dT="2024-06-15T06:17:04.00" personId="{6777EDD4-E46F-4979-A7E7-6FC0A82E0C8E}" id="{B254F1B8-158C-4D87-9370-1F0C289CF4DD}">
    <text>Project on-hold</text>
  </threadedComment>
  <threadedComment ref="T290" dT="2024-06-15T06:17:04.00" personId="{6777EDD4-E46F-4979-A7E7-6FC0A82E0C8E}" id="{5A6D7A16-CA5D-4848-B91E-DD5234D6FA4D}">
    <text>Project on-hold</text>
  </threadedComment>
  <threadedComment ref="U290" dT="2024-06-15T06:17:04.00" personId="{6777EDD4-E46F-4979-A7E7-6FC0A82E0C8E}" id="{BA4C0E47-39B1-4721-AC87-6753108ED3D6}">
    <text>Project on-hold</text>
  </threadedComment>
  <threadedComment ref="V290" dT="2024-06-15T06:17:04.00" personId="{6777EDD4-E46F-4979-A7E7-6FC0A82E0C8E}" id="{9F345AC7-15F1-4CCE-BBFC-A4558B97EB1F}">
    <text>Project on-hold</text>
  </threadedComment>
  <threadedComment ref="W290" dT="2024-06-15T06:17:04.00" personId="{6777EDD4-E46F-4979-A7E7-6FC0A82E0C8E}" id="{6153D8A9-D056-416C-B91D-0FD87C99AC45}">
    <text>Project on-hold</text>
  </threadedComment>
  <threadedComment ref="X290" dT="2024-06-15T06:17:04.00" personId="{6777EDD4-E46F-4979-A7E7-6FC0A82E0C8E}" id="{9837F84D-8804-477B-B004-26999305C20C}">
    <text>Project on-hold</text>
  </threadedComment>
  <threadedComment ref="AA290" dT="2024-10-18T04:56:20.13" personId="{6777EDD4-E46F-4979-A7E7-6FC0A82E0C8E}" id="{A2AC20C1-8480-4BFC-8B0F-9B3A5355A8C1}">
    <text>Project On-Hold</text>
  </threadedComment>
  <threadedComment ref="AB290" dT="2024-10-18T04:56:20.13" personId="{6777EDD4-E46F-4979-A7E7-6FC0A82E0C8E}" id="{275987FE-CB81-4CBB-9565-63620E767BC8}">
    <text>Project On-Hold</text>
  </threadedComment>
  <threadedComment ref="AC290" dT="2024-10-18T04:56:20.13" personId="{6777EDD4-E46F-4979-A7E7-6FC0A82E0C8E}" id="{D09ED14E-FFCA-4FE5-97FC-35C9D197A73A}">
    <text>Project On-Hold</text>
  </threadedComment>
  <threadedComment ref="AD290" dT="2024-10-18T04:56:20.13" personId="{6777EDD4-E46F-4979-A7E7-6FC0A82E0C8E}" id="{C1183B8E-ABA0-4E04-88BA-DE38B3A793BD}">
    <text>Project On-Hold</text>
  </threadedComment>
  <threadedComment ref="AE290" dT="2024-10-18T04:56:20.13" personId="{6777EDD4-E46F-4979-A7E7-6FC0A82E0C8E}" id="{D43F4553-02C3-4E59-8C38-D9482A1E8FBE}">
    <text>Project On-Hold</text>
  </threadedComment>
  <threadedComment ref="AF290" dT="2024-10-18T04:56:20.13" personId="{6777EDD4-E46F-4979-A7E7-6FC0A82E0C8E}" id="{CC6DD210-F708-43ED-8DA0-2DCD4C407F34}">
    <text>Project On-Hold</text>
  </threadedComment>
  <threadedComment ref="AG290" dT="2024-10-18T04:56:20.13" personId="{6777EDD4-E46F-4979-A7E7-6FC0A82E0C8E}" id="{55F39DF3-1E3D-4D5E-8481-F32FA7B21524}">
    <text>Project On-Hold</text>
  </threadedComment>
  <threadedComment ref="AH290" dT="2024-10-18T04:56:20.13" personId="{6777EDD4-E46F-4979-A7E7-6FC0A82E0C8E}" id="{BE4232B2-4542-49E7-B0F6-C4640F1C6870}">
    <text>Project On-Hold</text>
  </threadedComment>
  <threadedComment ref="AI290" dT="2024-10-18T04:54:46.00" personId="{6777EDD4-E46F-4979-A7E7-6FC0A82E0C8E}" id="{B2502AFE-7A76-4D9B-8E25-CA5196A1BEB0}">
    <text>Project On-Hold</text>
  </threadedComment>
  <threadedComment ref="AJ290" dT="2024-10-18T04:54:46.00" personId="{6777EDD4-E46F-4979-A7E7-6FC0A82E0C8E}" id="{A35725E2-4158-4A57-AD66-DA1CB429E3D6}">
    <text>Project On-Hold</text>
  </threadedComment>
  <threadedComment ref="AK290" dT="2024-10-18T04:54:46.00" personId="{6777EDD4-E46F-4979-A7E7-6FC0A82E0C8E}" id="{AD587208-127B-44D1-B8F3-4A4508EC7A3E}">
    <text>Project On-Hold</text>
  </threadedComment>
  <threadedComment ref="AL290" dT="2024-10-18T04:54:46.00" personId="{6777EDD4-E46F-4979-A7E7-6FC0A82E0C8E}" id="{36FAC70C-1BA4-4A6D-810D-BB33B7A4D938}">
    <text>Project On-Hold</text>
  </threadedComment>
  <threadedComment ref="AM290" dT="2024-10-18T04:54:46.00" personId="{6777EDD4-E46F-4979-A7E7-6FC0A82E0C8E}" id="{3E9BBE93-2924-4451-884E-2196F515518A}">
    <text>Project On-Hold</text>
  </threadedComment>
  <threadedComment ref="AN290" dT="2024-10-18T04:54:46.00" personId="{6777EDD4-E46F-4979-A7E7-6FC0A82E0C8E}" id="{D2DB6488-B071-43E1-8830-5511F225296A}">
    <text>Project On-Hold</text>
  </threadedComment>
  <threadedComment ref="AO290" dT="2024-10-18T04:54:46.00" personId="{6777EDD4-E46F-4979-A7E7-6FC0A82E0C8E}" id="{A71003E5-04E6-4B93-9553-67CC18D6D553}">
    <text>Project On-Hold</text>
  </threadedComment>
  <threadedComment ref="AP290" dT="2024-10-18T04:54:46.00" personId="{6777EDD4-E46F-4979-A7E7-6FC0A82E0C8E}" id="{3C837DFC-83DD-4F5F-B031-6F28FB69A755}">
    <text>Project On-Hold</text>
  </threadedComment>
  <threadedComment ref="AQ290" dT="2024-10-18T04:54:46.00" personId="{6777EDD4-E46F-4979-A7E7-6FC0A82E0C8E}" id="{63F707D9-E2A9-4211-B4BD-B09ACD3B47E7}">
    <text>Project On-Hold</text>
  </threadedComment>
  <threadedComment ref="AR290" dT="2024-10-18T04:54:46.00" personId="{6777EDD4-E46F-4979-A7E7-6FC0A82E0C8E}" id="{2A8F48A1-735C-43B4-B765-0DF45387011B}">
    <text>Project On-Hold</text>
  </threadedComment>
  <threadedComment ref="AS290" dT="2024-10-18T04:54:46.00" personId="{6777EDD4-E46F-4979-A7E7-6FC0A82E0C8E}" id="{6E810D72-A71E-4E7F-BDF7-6A97B9EA08B4}">
    <text>Project On-Hold</text>
  </threadedComment>
  <threadedComment ref="AT290" dT="2024-10-18T04:54:46.00" personId="{6777EDD4-E46F-4979-A7E7-6FC0A82E0C8E}" id="{1A0D51D9-736E-411F-9EE5-D3BC97160248}">
    <text>Project On-Hold</text>
  </threadedComment>
  <threadedComment ref="AU290" dT="2024-10-18T04:54:46.00" personId="{6777EDD4-E46F-4979-A7E7-6FC0A82E0C8E}" id="{4F380CE0-3034-43A0-8DB1-18330EDFBE46}">
    <text>Project On-Hold</text>
  </threadedComment>
  <threadedComment ref="AV290" dT="2024-10-18T04:54:46.00" personId="{6777EDD4-E46F-4979-A7E7-6FC0A82E0C8E}" id="{2CD30CDF-9003-4AEB-9BB9-BCC59B2DA599}">
    <text>Project On-Hold</text>
  </threadedComment>
  <threadedComment ref="AW290" dT="2024-10-18T04:54:46.00" personId="{6777EDD4-E46F-4979-A7E7-6FC0A82E0C8E}" id="{0482235F-078A-48DA-BF68-3D6B5AA6D5A1}">
    <text>Project On-Hold</text>
  </threadedComment>
  <threadedComment ref="AX290" dT="2024-10-18T04:54:46.00" personId="{6777EDD4-E46F-4979-A7E7-6FC0A82E0C8E}" id="{07B7555C-75D1-47F5-BBB0-4687FB407A6C}">
    <text>Project On-Hold</text>
  </threadedComment>
  <threadedComment ref="AY290" dT="2024-10-18T04:54:46.00" personId="{6777EDD4-E46F-4979-A7E7-6FC0A82E0C8E}" id="{93D4B644-1202-45ED-BAD6-F0D31EA161BB}">
    <text>Project On-Hold</text>
  </threadedComment>
  <threadedComment ref="AZ290" dT="2024-10-18T04:54:46.00" personId="{6777EDD4-E46F-4979-A7E7-6FC0A82E0C8E}" id="{F6B94607-F736-4E93-81C2-434A90BC35C0}">
    <text>Project On-Hold</text>
  </threadedComment>
  <threadedComment ref="BA290" dT="2024-10-18T04:54:46.00" personId="{6777EDD4-E46F-4979-A7E7-6FC0A82E0C8E}" id="{52C12A1F-CF18-4D3F-AAC6-0FA8C57F3EE4}">
    <text>Project On-Hold</text>
  </threadedComment>
  <threadedComment ref="BB290" dT="2024-10-18T04:54:46.00" personId="{6777EDD4-E46F-4979-A7E7-6FC0A82E0C8E}" id="{785D4708-6063-44D7-8BFA-9EF291AA17F9}">
    <text>Project On-Hold</text>
  </threadedComment>
  <threadedComment ref="BC290" dT="2024-10-18T04:54:46.00" personId="{6777EDD4-E46F-4979-A7E7-6FC0A82E0C8E}" id="{B19DA842-BFAF-4C33-8F10-D765A5C7884A}">
    <text>Project On-Hold</text>
  </threadedComment>
  <threadedComment ref="BD290" dT="2024-10-18T04:54:46.00" personId="{6777EDD4-E46F-4979-A7E7-6FC0A82E0C8E}" id="{9B81AE8F-0C06-4699-BD8A-8D3E3C346558}">
    <text>Project On-Hold</text>
  </threadedComment>
  <threadedComment ref="BE290" dT="2024-10-18T04:54:46.00" personId="{6777EDD4-E46F-4979-A7E7-6FC0A82E0C8E}" id="{9515FE71-031E-4B02-A9A1-DA0E7C834C71}">
    <text>Project On-Hold</text>
  </threadedComment>
  <threadedComment ref="BF290" dT="2024-10-18T04:54:46.00" personId="{6777EDD4-E46F-4979-A7E7-6FC0A82E0C8E}" id="{9314D311-F189-47A1-992E-550507E3FA3F}">
    <text>Project On-Hold</text>
  </threadedComment>
  <threadedComment ref="BG290" dT="2024-10-18T04:54:46.00" personId="{6777EDD4-E46F-4979-A7E7-6FC0A82E0C8E}" id="{B1FBA51A-0F3A-436C-8B33-DEB890AB404E}">
    <text>Project On-Hold</text>
  </threadedComment>
  <threadedComment ref="BH290" dT="2024-10-18T04:54:46.00" personId="{6777EDD4-E46F-4979-A7E7-6FC0A82E0C8E}" id="{C1CEB1AC-EF75-4693-BF61-0DEC6CF234E5}">
    <text>Project On-Hold</text>
  </threadedComment>
  <threadedComment ref="BI290" dT="2024-10-18T04:54:46.00" personId="{6777EDD4-E46F-4979-A7E7-6FC0A82E0C8E}" id="{C055BDE3-39F9-40C6-BFAA-8E415A1A8A47}">
    <text>Project On-Hold</text>
  </threadedComment>
  <threadedComment ref="BJ290" dT="2024-10-18T04:54:46.00" personId="{6777EDD4-E46F-4979-A7E7-6FC0A82E0C8E}" id="{7E7309B3-E476-4419-A282-78BABB7569D5}">
    <text>Project On-Hold</text>
  </threadedComment>
  <threadedComment ref="BK290" dT="2024-10-18T04:54:46.00" personId="{6777EDD4-E46F-4979-A7E7-6FC0A82E0C8E}" id="{256937CF-CAE2-4CB9-8975-DDFF9B91A8A2}">
    <text>Project On-Hold</text>
  </threadedComment>
  <threadedComment ref="BL290" dT="2024-10-18T04:54:46.00" personId="{6777EDD4-E46F-4979-A7E7-6FC0A82E0C8E}" id="{4AB6C27A-DC14-4D97-A803-BEF5AE56D096}">
    <text>Project On-Hold</text>
  </threadedComment>
  <threadedComment ref="BN290" dT="2024-10-18T04:54:46.00" personId="{6777EDD4-E46F-4979-A7E7-6FC0A82E0C8E}" id="{C43F9AFF-4935-439A-8ADF-7F0D87A59F06}">
    <text>Project On-Hold</text>
  </threadedComment>
  <threadedComment ref="BP290" dT="2024-10-18T04:54:46.00" personId="{6777EDD4-E46F-4979-A7E7-6FC0A82E0C8E}" id="{C642416F-A782-4A30-B8CD-7280AAE30701}">
    <text>Project On-Hold</text>
  </threadedComment>
  <threadedComment ref="BR290" dT="2024-10-18T04:54:46.00" personId="{6777EDD4-E46F-4979-A7E7-6FC0A82E0C8E}" id="{1CC9CB2B-9E73-46F9-8F63-00071E5D08CD}">
    <text>Project On-Hold</text>
  </threadedComment>
  <threadedComment ref="BS290" dT="2024-10-18T04:54:46.00" personId="{6777EDD4-E46F-4979-A7E7-6FC0A82E0C8E}" id="{CD6FC5E7-65BC-490E-B5D5-2816CB29426F}">
    <text>Project On-Hold</text>
  </threadedComment>
  <threadedComment ref="BU290" dT="2024-10-18T04:54:46.00" personId="{6777EDD4-E46F-4979-A7E7-6FC0A82E0C8E}" id="{8246B54F-4A8A-4BC9-9FAF-3853B7CC3032}">
    <text>Project On-Hold</text>
  </threadedComment>
  <threadedComment ref="S291" dT="2024-06-15T06:17:04.00" personId="{6777EDD4-E46F-4979-A7E7-6FC0A82E0C8E}" id="{FF676091-58A2-41FC-B5F6-4F8A973FDB99}">
    <text>Project on-hold</text>
  </threadedComment>
  <threadedComment ref="T291" dT="2024-06-15T06:17:04.00" personId="{6777EDD4-E46F-4979-A7E7-6FC0A82E0C8E}" id="{26DE6CB7-310C-4C40-B7B8-FF977AC677B0}">
    <text>Project on-hold</text>
  </threadedComment>
  <threadedComment ref="U291" dT="2024-06-15T06:17:04.00" personId="{6777EDD4-E46F-4979-A7E7-6FC0A82E0C8E}" id="{0AB86EA4-77FA-4DE7-BAAB-38A008303884}">
    <text>Project on-hold</text>
  </threadedComment>
  <threadedComment ref="V291" dT="2024-06-15T06:17:04.00" personId="{6777EDD4-E46F-4979-A7E7-6FC0A82E0C8E}" id="{D29ED67B-D793-4A00-9995-94DF4BA026F7}">
    <text>Project on-hold</text>
  </threadedComment>
  <threadedComment ref="W291" dT="2024-06-15T06:17:04.00" personId="{6777EDD4-E46F-4979-A7E7-6FC0A82E0C8E}" id="{C8FD8057-332B-4B44-9371-4E98B99476BF}">
    <text>Project on-hold</text>
  </threadedComment>
  <threadedComment ref="X291" dT="2024-06-15T06:17:04.00" personId="{6777EDD4-E46F-4979-A7E7-6FC0A82E0C8E}" id="{014518FE-9F8A-420D-8E3C-2A7DBDFB1FDF}">
    <text>Project on-hold</text>
  </threadedComment>
  <threadedComment ref="AA291" dT="2024-10-18T04:56:20.13" personId="{6777EDD4-E46F-4979-A7E7-6FC0A82E0C8E}" id="{1FECEA48-AE00-4DCA-A0A9-F5302F8C0ADA}">
    <text>Project On-Hold</text>
  </threadedComment>
  <threadedComment ref="AB291" dT="2024-10-18T04:56:20.13" personId="{6777EDD4-E46F-4979-A7E7-6FC0A82E0C8E}" id="{378A8F4D-7FCD-4543-AA9A-43B3B893B2CE}">
    <text>Project On-Hold</text>
  </threadedComment>
  <threadedComment ref="AC291" dT="2024-10-18T04:56:20.13" personId="{6777EDD4-E46F-4979-A7E7-6FC0A82E0C8E}" id="{5DE17068-9285-44DA-9066-9F1E73262F2C}">
    <text>Project On-Hold</text>
  </threadedComment>
  <threadedComment ref="AD291" dT="2024-10-18T04:56:20.13" personId="{6777EDD4-E46F-4979-A7E7-6FC0A82E0C8E}" id="{86A5A2A9-769E-432D-B542-6A2B8952D435}">
    <text>Project On-Hold</text>
  </threadedComment>
  <threadedComment ref="AE291" dT="2024-10-18T04:56:20.13" personId="{6777EDD4-E46F-4979-A7E7-6FC0A82E0C8E}" id="{5515E28F-D8D4-40DE-BA2A-48E297B9FB1C}">
    <text>Project On-Hold</text>
  </threadedComment>
  <threadedComment ref="AF291" dT="2024-10-18T04:56:20.13" personId="{6777EDD4-E46F-4979-A7E7-6FC0A82E0C8E}" id="{7A963444-1190-4C8B-98B3-23671CAB5E9E}">
    <text>Project On-Hold</text>
  </threadedComment>
  <threadedComment ref="AG291" dT="2024-10-18T04:56:20.13" personId="{6777EDD4-E46F-4979-A7E7-6FC0A82E0C8E}" id="{6FA9816E-CBC0-42C9-BBC0-ADCD23D7BDC7}">
    <text>Project On-Hold</text>
  </threadedComment>
  <threadedComment ref="AH291" dT="2024-10-18T04:56:20.13" personId="{6777EDD4-E46F-4979-A7E7-6FC0A82E0C8E}" id="{56F8BBB7-0D76-449C-A9CB-50016DCE940F}">
    <text>Project On-Hold</text>
  </threadedComment>
  <threadedComment ref="AI291" dT="2024-10-18T04:54:46.00" personId="{6777EDD4-E46F-4979-A7E7-6FC0A82E0C8E}" id="{684E4F46-53DE-4722-9C58-2E0D9A03CA7F}">
    <text>Project On-Hold</text>
  </threadedComment>
  <threadedComment ref="AJ291" dT="2024-10-18T04:54:46.00" personId="{6777EDD4-E46F-4979-A7E7-6FC0A82E0C8E}" id="{2EB924EE-14BD-45AF-9340-78E5D60A9352}">
    <text>Project On-Hold</text>
  </threadedComment>
  <threadedComment ref="AK291" dT="2024-10-18T04:54:46.00" personId="{6777EDD4-E46F-4979-A7E7-6FC0A82E0C8E}" id="{144A26DA-1BD7-43F4-AC04-E541BB373370}">
    <text>Project On-Hold</text>
  </threadedComment>
  <threadedComment ref="AL291" dT="2024-10-18T04:54:46.00" personId="{6777EDD4-E46F-4979-A7E7-6FC0A82E0C8E}" id="{B4F4A38F-E738-448A-87E2-EC2CF4605048}">
    <text>Project On-Hold</text>
  </threadedComment>
  <threadedComment ref="AM291" dT="2024-10-18T04:54:46.00" personId="{6777EDD4-E46F-4979-A7E7-6FC0A82E0C8E}" id="{1FD3CA4C-E4D7-498E-ABD3-E2D87151DF9C}">
    <text>Project On-Hold</text>
  </threadedComment>
  <threadedComment ref="AN291" dT="2024-10-18T04:54:46.00" personId="{6777EDD4-E46F-4979-A7E7-6FC0A82E0C8E}" id="{D5420438-6B53-4B43-BB17-E53D161D5678}">
    <text>Project On-Hold</text>
  </threadedComment>
  <threadedComment ref="AO291" dT="2024-10-18T04:54:46.00" personId="{6777EDD4-E46F-4979-A7E7-6FC0A82E0C8E}" id="{19146739-FB0C-4BB6-8887-8B48E5FA71EF}">
    <text>Project On-Hold</text>
  </threadedComment>
  <threadedComment ref="AP291" dT="2024-10-18T04:54:46.00" personId="{6777EDD4-E46F-4979-A7E7-6FC0A82E0C8E}" id="{AF308F9F-40F2-4245-AA21-ECF82AA94389}">
    <text>Project On-Hold</text>
  </threadedComment>
  <threadedComment ref="AQ291" dT="2024-10-18T04:54:46.00" personId="{6777EDD4-E46F-4979-A7E7-6FC0A82E0C8E}" id="{2537ED68-FCFC-40F3-8208-169E0B084E4F}">
    <text>Project On-Hold</text>
  </threadedComment>
  <threadedComment ref="AR291" dT="2024-10-18T04:54:46.00" personId="{6777EDD4-E46F-4979-A7E7-6FC0A82E0C8E}" id="{157EAC24-4DBD-48DB-8DDC-976799AC35EF}">
    <text>Project On-Hold</text>
  </threadedComment>
  <threadedComment ref="AS291" dT="2024-10-18T04:54:46.00" personId="{6777EDD4-E46F-4979-A7E7-6FC0A82E0C8E}" id="{927F0888-A202-4DC6-AF56-AFC54145B09D}">
    <text>Project On-Hold</text>
  </threadedComment>
  <threadedComment ref="AT291" dT="2024-10-18T04:54:46.00" personId="{6777EDD4-E46F-4979-A7E7-6FC0A82E0C8E}" id="{5979E7AE-1E8F-44DC-AC95-4732BB534EEA}">
    <text>Project On-Hold</text>
  </threadedComment>
  <threadedComment ref="AU291" dT="2024-10-18T04:54:46.00" personId="{6777EDD4-E46F-4979-A7E7-6FC0A82E0C8E}" id="{92EED137-7485-43CC-AEA7-A5A520AF3024}">
    <text>Project On-Hold</text>
  </threadedComment>
  <threadedComment ref="AV291" dT="2024-10-18T04:54:46.00" personId="{6777EDD4-E46F-4979-A7E7-6FC0A82E0C8E}" id="{A15531A1-7AD1-4087-A0C6-24A014BF17C6}">
    <text>Project On-Hold</text>
  </threadedComment>
  <threadedComment ref="AW291" dT="2024-10-18T04:54:46.00" personId="{6777EDD4-E46F-4979-A7E7-6FC0A82E0C8E}" id="{935E88FD-3DB5-4EEE-BB0F-3A1063F8400B}">
    <text>Project On-Hold</text>
  </threadedComment>
  <threadedComment ref="AX291" dT="2024-10-18T04:54:46.00" personId="{6777EDD4-E46F-4979-A7E7-6FC0A82E0C8E}" id="{B5DAC3FA-10B1-477C-BBCA-77DAF1CF549E}">
    <text>Project On-Hold</text>
  </threadedComment>
  <threadedComment ref="AY291" dT="2024-10-18T04:54:46.00" personId="{6777EDD4-E46F-4979-A7E7-6FC0A82E0C8E}" id="{4512AF50-D920-40CB-8ABD-0361A98C9340}">
    <text>Project On-Hold</text>
  </threadedComment>
  <threadedComment ref="AZ291" dT="2024-10-18T04:54:46.00" personId="{6777EDD4-E46F-4979-A7E7-6FC0A82E0C8E}" id="{450A1A85-D916-4202-8F4E-69E221B71E04}">
    <text>Project On-Hold</text>
  </threadedComment>
  <threadedComment ref="BA291" dT="2024-10-18T04:54:46.00" personId="{6777EDD4-E46F-4979-A7E7-6FC0A82E0C8E}" id="{65A99C96-F502-4BEE-96FC-4072F3FD2709}">
    <text>Project On-Hold</text>
  </threadedComment>
  <threadedComment ref="BB291" dT="2024-10-18T04:54:46.00" personId="{6777EDD4-E46F-4979-A7E7-6FC0A82E0C8E}" id="{514B7C29-5F2B-4413-AF57-4D8B01A89339}">
    <text>Project On-Hold</text>
  </threadedComment>
  <threadedComment ref="BC291" dT="2024-10-18T04:54:46.00" personId="{6777EDD4-E46F-4979-A7E7-6FC0A82E0C8E}" id="{7D6CC232-9FC6-4958-B051-3DD7EE60ED57}">
    <text>Project On-Hold</text>
  </threadedComment>
  <threadedComment ref="BD291" dT="2024-10-18T04:54:46.00" personId="{6777EDD4-E46F-4979-A7E7-6FC0A82E0C8E}" id="{E4DF470B-59BA-465A-978D-B79FE5A4CE18}">
    <text>Project On-Hold</text>
  </threadedComment>
  <threadedComment ref="BE291" dT="2024-10-18T04:54:46.00" personId="{6777EDD4-E46F-4979-A7E7-6FC0A82E0C8E}" id="{470C5907-4AD5-4ADE-8A40-C41E90E657AD}">
    <text>Project On-Hold</text>
  </threadedComment>
  <threadedComment ref="BF291" dT="2024-10-18T04:54:46.00" personId="{6777EDD4-E46F-4979-A7E7-6FC0A82E0C8E}" id="{ED8464DE-BCF6-4741-AEBB-BFF1EF03BC4D}">
    <text>Project On-Hold</text>
  </threadedComment>
  <threadedComment ref="BG291" dT="2024-10-18T04:54:46.00" personId="{6777EDD4-E46F-4979-A7E7-6FC0A82E0C8E}" id="{DFA287FB-E995-450C-9F21-66442F264CB9}">
    <text>Project On-Hold</text>
  </threadedComment>
  <threadedComment ref="BH291" dT="2024-10-18T04:54:46.00" personId="{6777EDD4-E46F-4979-A7E7-6FC0A82E0C8E}" id="{C0F5B1C0-1DD9-462D-91C7-F1A49416F5EE}">
    <text>Project On-Hold</text>
  </threadedComment>
  <threadedComment ref="BI291" dT="2024-10-18T04:54:46.00" personId="{6777EDD4-E46F-4979-A7E7-6FC0A82E0C8E}" id="{43BB17F6-F73A-4955-BCF8-91B5F7E874F6}">
    <text>Project On-Hold</text>
  </threadedComment>
  <threadedComment ref="BJ291" dT="2024-10-18T04:54:46.00" personId="{6777EDD4-E46F-4979-A7E7-6FC0A82E0C8E}" id="{B94DE549-D9A9-4AEC-B39F-B4EA772BF1DC}">
    <text>Project On-Hold</text>
  </threadedComment>
  <threadedComment ref="BK291" dT="2024-10-18T04:54:46.00" personId="{6777EDD4-E46F-4979-A7E7-6FC0A82E0C8E}" id="{140AA3F8-E66E-4118-B433-70434DA9BCB2}">
    <text>Project On-Hold</text>
  </threadedComment>
  <threadedComment ref="BL291" dT="2024-10-18T04:54:46.00" personId="{6777EDD4-E46F-4979-A7E7-6FC0A82E0C8E}" id="{E25A6C06-7AC5-4DCC-B268-1C0CC6FE3D52}">
    <text>Project On-Hold</text>
  </threadedComment>
  <threadedComment ref="BN291" dT="2024-10-18T04:54:46.00" personId="{6777EDD4-E46F-4979-A7E7-6FC0A82E0C8E}" id="{F2A9E45E-68F7-4F8E-B0A4-30A9D3A95C44}">
    <text>Project On-Hold</text>
  </threadedComment>
  <threadedComment ref="BP291" dT="2024-10-18T04:54:46.00" personId="{6777EDD4-E46F-4979-A7E7-6FC0A82E0C8E}" id="{F4EAE366-B1CB-40A4-A2E4-0DF0896312E3}">
    <text>Project On-Hold</text>
  </threadedComment>
  <threadedComment ref="BR291" dT="2024-10-18T04:54:46.00" personId="{6777EDD4-E46F-4979-A7E7-6FC0A82E0C8E}" id="{1E59DA6E-D779-420B-AE28-2BF0ED6A3668}">
    <text>Project On-Hold</text>
  </threadedComment>
  <threadedComment ref="BS291" dT="2024-10-18T04:54:46.00" personId="{6777EDD4-E46F-4979-A7E7-6FC0A82E0C8E}" id="{DF6543B3-CAFB-43FC-88EC-E0E7B98BAB83}">
    <text>Project On-Hold</text>
  </threadedComment>
  <threadedComment ref="BU291" dT="2024-10-18T04:54:46.00" personId="{6777EDD4-E46F-4979-A7E7-6FC0A82E0C8E}" id="{425F2372-7CE6-4B43-91B0-F37677D8760A}">
    <text>Project On-Hold</text>
  </threadedComment>
  <threadedComment ref="S292" dT="2024-06-15T06:17:04.00" personId="{6777EDD4-E46F-4979-A7E7-6FC0A82E0C8E}" id="{758B5D7C-268F-451B-85F3-2BA4B258E42C}">
    <text>Project on-hold</text>
  </threadedComment>
  <threadedComment ref="T292" dT="2024-06-15T06:17:04.00" personId="{6777EDD4-E46F-4979-A7E7-6FC0A82E0C8E}" id="{5460B92D-E8C2-4486-B0EC-AA695302559D}">
    <text>Project on-hold</text>
  </threadedComment>
  <threadedComment ref="U292" dT="2024-06-15T06:17:04.00" personId="{6777EDD4-E46F-4979-A7E7-6FC0A82E0C8E}" id="{6A962A75-A95A-4854-8ACA-AE9C57B2381C}">
    <text>Project on-hold</text>
  </threadedComment>
  <threadedComment ref="V292" dT="2024-06-15T06:17:04.00" personId="{6777EDD4-E46F-4979-A7E7-6FC0A82E0C8E}" id="{DB1FC11B-BBD4-4B93-A7CE-1B12B9ED56CF}">
    <text>Project on-hold</text>
  </threadedComment>
  <threadedComment ref="W292" dT="2024-06-15T06:17:04.00" personId="{6777EDD4-E46F-4979-A7E7-6FC0A82E0C8E}" id="{9F9EB71E-42A0-4563-8C9A-6484F654CD19}">
    <text>Project on-hold</text>
  </threadedComment>
  <threadedComment ref="X292" dT="2024-06-15T06:17:04.00" personId="{6777EDD4-E46F-4979-A7E7-6FC0A82E0C8E}" id="{F814B825-9976-4F15-9608-808AC2C1C876}">
    <text>Project on-hold</text>
  </threadedComment>
  <threadedComment ref="AA292" dT="2024-10-18T04:56:20.13" personId="{6777EDD4-E46F-4979-A7E7-6FC0A82E0C8E}" id="{005B9B50-CBD0-43CE-918F-9038217B803C}">
    <text>Project On-Hold</text>
  </threadedComment>
  <threadedComment ref="AB292" dT="2024-10-18T04:56:20.13" personId="{6777EDD4-E46F-4979-A7E7-6FC0A82E0C8E}" id="{244D5E2B-4DAF-46D2-AF95-8F1BE256F03A}">
    <text>Project On-Hold</text>
  </threadedComment>
  <threadedComment ref="AC292" dT="2024-10-18T04:56:20.13" personId="{6777EDD4-E46F-4979-A7E7-6FC0A82E0C8E}" id="{F59DD878-BA08-42EB-BCC4-0898DCBF21E6}">
    <text>Project On-Hold</text>
  </threadedComment>
  <threadedComment ref="AD292" dT="2024-10-18T04:56:20.13" personId="{6777EDD4-E46F-4979-A7E7-6FC0A82E0C8E}" id="{B4C14DDD-DF90-4C5B-90EC-F2951E79790F}">
    <text>Project On-Hold</text>
  </threadedComment>
  <threadedComment ref="AE292" dT="2024-10-18T04:56:20.13" personId="{6777EDD4-E46F-4979-A7E7-6FC0A82E0C8E}" id="{847B0229-045C-4BA0-AB22-716C6984C63C}">
    <text>Project On-Hold</text>
  </threadedComment>
  <threadedComment ref="AF292" dT="2024-10-18T04:56:20.13" personId="{6777EDD4-E46F-4979-A7E7-6FC0A82E0C8E}" id="{341CD164-FE86-401F-BF8F-93E8F495176F}">
    <text>Project On-Hold</text>
  </threadedComment>
  <threadedComment ref="AG292" dT="2024-10-18T04:56:20.13" personId="{6777EDD4-E46F-4979-A7E7-6FC0A82E0C8E}" id="{01808A2A-D74B-4276-B74F-C87EF6963EFB}">
    <text>Project On-Hold</text>
  </threadedComment>
  <threadedComment ref="AH292" dT="2024-10-18T04:56:20.13" personId="{6777EDD4-E46F-4979-A7E7-6FC0A82E0C8E}" id="{346CDBF9-1577-479B-9655-D63D88DAAAE9}">
    <text>Project On-Hold</text>
  </threadedComment>
  <threadedComment ref="AI292" dT="2024-10-18T04:54:46.00" personId="{6777EDD4-E46F-4979-A7E7-6FC0A82E0C8E}" id="{6550C285-21B1-45BD-A047-175F77F4C969}">
    <text>Project On-Hold</text>
  </threadedComment>
  <threadedComment ref="AJ292" dT="2024-10-18T04:54:46.00" personId="{6777EDD4-E46F-4979-A7E7-6FC0A82E0C8E}" id="{2622B860-13F8-4141-BBBB-DCE50FF23807}">
    <text>Project On-Hold</text>
  </threadedComment>
  <threadedComment ref="AK292" dT="2024-10-18T04:54:46.00" personId="{6777EDD4-E46F-4979-A7E7-6FC0A82E0C8E}" id="{CCA568D6-453F-4E04-84E3-691B2063AAC7}">
    <text>Project On-Hold</text>
  </threadedComment>
  <threadedComment ref="AL292" dT="2024-10-18T04:54:46.00" personId="{6777EDD4-E46F-4979-A7E7-6FC0A82E0C8E}" id="{782C2363-D0DE-49E2-AB1E-70496D795096}">
    <text>Project On-Hold</text>
  </threadedComment>
  <threadedComment ref="AM292" dT="2024-10-18T04:54:46.00" personId="{6777EDD4-E46F-4979-A7E7-6FC0A82E0C8E}" id="{FA41AA05-0A50-494E-A945-B0B85A83CF74}">
    <text>Project On-Hold</text>
  </threadedComment>
  <threadedComment ref="AN292" dT="2024-10-18T04:54:46.00" personId="{6777EDD4-E46F-4979-A7E7-6FC0A82E0C8E}" id="{D8DE2E57-67C0-414D-A313-FD424E9487B6}">
    <text>Project On-Hold</text>
  </threadedComment>
  <threadedComment ref="AO292" dT="2024-10-18T04:54:46.00" personId="{6777EDD4-E46F-4979-A7E7-6FC0A82E0C8E}" id="{C7F4C1F1-6589-48D6-819D-60D283A8AD84}">
    <text>Project On-Hold</text>
  </threadedComment>
  <threadedComment ref="AP292" dT="2024-10-18T04:54:46.00" personId="{6777EDD4-E46F-4979-A7E7-6FC0A82E0C8E}" id="{F06C5249-8B32-4821-A4B5-14BF1FF61B75}">
    <text>Project On-Hold</text>
  </threadedComment>
  <threadedComment ref="AQ292" dT="2024-10-18T04:54:46.00" personId="{6777EDD4-E46F-4979-A7E7-6FC0A82E0C8E}" id="{ED88339B-35D4-4349-9736-B2069DD8AB4C}">
    <text>Project On-Hold</text>
  </threadedComment>
  <threadedComment ref="AR292" dT="2024-10-18T04:54:46.00" personId="{6777EDD4-E46F-4979-A7E7-6FC0A82E0C8E}" id="{E883700C-1849-4D45-B8D5-043A09A268D3}">
    <text>Project On-Hold</text>
  </threadedComment>
  <threadedComment ref="AS292" dT="2024-10-18T04:54:46.00" personId="{6777EDD4-E46F-4979-A7E7-6FC0A82E0C8E}" id="{D1BDE99D-01DB-4E85-9A4A-4B4D836B63C9}">
    <text>Project On-Hold</text>
  </threadedComment>
  <threadedComment ref="AT292" dT="2024-10-18T04:54:46.00" personId="{6777EDD4-E46F-4979-A7E7-6FC0A82E0C8E}" id="{FDDE07FA-A6A3-4E3B-8C5F-E08CF4C50DAD}">
    <text>Project On-Hold</text>
  </threadedComment>
  <threadedComment ref="AU292" dT="2024-10-18T04:54:46.00" personId="{6777EDD4-E46F-4979-A7E7-6FC0A82E0C8E}" id="{21260B1D-2593-4CBA-9132-E60279246894}">
    <text>Project On-Hold</text>
  </threadedComment>
  <threadedComment ref="AV292" dT="2024-10-18T04:54:46.00" personId="{6777EDD4-E46F-4979-A7E7-6FC0A82E0C8E}" id="{015785AF-10C8-4C10-8628-AB253F94F982}">
    <text>Project On-Hold</text>
  </threadedComment>
  <threadedComment ref="AW292" dT="2024-10-18T04:54:46.00" personId="{6777EDD4-E46F-4979-A7E7-6FC0A82E0C8E}" id="{4E7A2A79-03BA-4901-822D-389E00143929}">
    <text>Project On-Hold</text>
  </threadedComment>
  <threadedComment ref="AX292" dT="2024-10-18T04:54:46.00" personId="{6777EDD4-E46F-4979-A7E7-6FC0A82E0C8E}" id="{83F5F7F8-B45B-4EC4-BF3C-629762A61A6A}">
    <text>Project On-Hold</text>
  </threadedComment>
  <threadedComment ref="AY292" dT="2024-10-18T04:54:46.00" personId="{6777EDD4-E46F-4979-A7E7-6FC0A82E0C8E}" id="{32C651AF-9B11-42DF-AB74-1F2A6EB30C35}">
    <text>Project On-Hold</text>
  </threadedComment>
  <threadedComment ref="AZ292" dT="2024-10-18T04:54:46.00" personId="{6777EDD4-E46F-4979-A7E7-6FC0A82E0C8E}" id="{C83BBD4B-F812-4AFB-BB3B-75DC2D32CBB4}">
    <text>Project On-Hold</text>
  </threadedComment>
  <threadedComment ref="BA292" dT="2024-10-18T04:54:46.00" personId="{6777EDD4-E46F-4979-A7E7-6FC0A82E0C8E}" id="{1446F4FA-EE68-47ED-8138-5A7CA6568F3E}">
    <text>Project On-Hold</text>
  </threadedComment>
  <threadedComment ref="BB292" dT="2024-10-18T04:54:46.00" personId="{6777EDD4-E46F-4979-A7E7-6FC0A82E0C8E}" id="{DE25B644-1615-40A2-82E1-A6806B7650F7}">
    <text>Project On-Hold</text>
  </threadedComment>
  <threadedComment ref="BC292" dT="2024-10-18T04:54:46.00" personId="{6777EDD4-E46F-4979-A7E7-6FC0A82E0C8E}" id="{45E3AA54-0D4D-4E66-AAD7-AA63C98371DF}">
    <text>Project On-Hold</text>
  </threadedComment>
  <threadedComment ref="BD292" dT="2024-10-18T04:54:46.00" personId="{6777EDD4-E46F-4979-A7E7-6FC0A82E0C8E}" id="{926709E6-C3CB-4441-89FA-C4E1078EEC4C}">
    <text>Project On-Hold</text>
  </threadedComment>
  <threadedComment ref="BE292" dT="2024-10-18T04:54:46.00" personId="{6777EDD4-E46F-4979-A7E7-6FC0A82E0C8E}" id="{16D306F1-17B0-4A12-9076-957F0B3514E6}">
    <text>Project On-Hold</text>
  </threadedComment>
  <threadedComment ref="BF292" dT="2024-10-18T04:54:46.00" personId="{6777EDD4-E46F-4979-A7E7-6FC0A82E0C8E}" id="{4A1F61D1-9F12-4FDB-BB9E-F303B7C7ADE7}">
    <text>Project On-Hold</text>
  </threadedComment>
  <threadedComment ref="BG292" dT="2024-10-18T04:54:46.00" personId="{6777EDD4-E46F-4979-A7E7-6FC0A82E0C8E}" id="{4B1AF133-106E-473C-80C2-B3238D0927B2}">
    <text>Project On-Hold</text>
  </threadedComment>
  <threadedComment ref="BH292" dT="2024-10-18T04:54:46.00" personId="{6777EDD4-E46F-4979-A7E7-6FC0A82E0C8E}" id="{5D43C7EC-B4CC-494D-A40F-1BC8DFE0B162}">
    <text>Project On-Hold</text>
  </threadedComment>
  <threadedComment ref="BI292" dT="2024-10-18T04:54:46.00" personId="{6777EDD4-E46F-4979-A7E7-6FC0A82E0C8E}" id="{EF13BF9E-CB06-412E-BE1E-F3A22691543D}">
    <text>Project On-Hold</text>
  </threadedComment>
  <threadedComment ref="BJ292" dT="2024-10-18T04:54:46.00" personId="{6777EDD4-E46F-4979-A7E7-6FC0A82E0C8E}" id="{C66698BA-2E24-46BF-802D-78CAD8022C73}">
    <text>Project On-Hold</text>
  </threadedComment>
  <threadedComment ref="BK292" dT="2024-10-18T04:54:46.00" personId="{6777EDD4-E46F-4979-A7E7-6FC0A82E0C8E}" id="{784A68C1-11E9-447F-B156-577A895C3463}">
    <text>Project On-Hold</text>
  </threadedComment>
  <threadedComment ref="BL292" dT="2024-10-18T04:54:46.00" personId="{6777EDD4-E46F-4979-A7E7-6FC0A82E0C8E}" id="{22E0A3CD-6889-4638-8747-143105BF7509}">
    <text>Project On-Hold</text>
  </threadedComment>
  <threadedComment ref="BN292" dT="2024-10-18T04:54:46.00" personId="{6777EDD4-E46F-4979-A7E7-6FC0A82E0C8E}" id="{997D4407-687B-487C-A825-B50C6B18ABD8}">
    <text>Project On-Hold</text>
  </threadedComment>
  <threadedComment ref="BP292" dT="2024-10-18T04:54:46.00" personId="{6777EDD4-E46F-4979-A7E7-6FC0A82E0C8E}" id="{562F7AAE-1996-44E6-9074-6321B7180EAA}">
    <text>Project On-Hold</text>
  </threadedComment>
  <threadedComment ref="BR292" dT="2024-10-18T04:54:46.00" personId="{6777EDD4-E46F-4979-A7E7-6FC0A82E0C8E}" id="{68343146-C8EF-4795-AC7C-F06A5C16305A}">
    <text>Project On-Hold</text>
  </threadedComment>
  <threadedComment ref="BS292" dT="2024-10-18T04:54:46.00" personId="{6777EDD4-E46F-4979-A7E7-6FC0A82E0C8E}" id="{42E3C441-28F5-4C74-A9D0-5109DA5E7487}">
    <text>Project On-Hold</text>
  </threadedComment>
  <threadedComment ref="BU292" dT="2024-10-18T04:54:46.00" personId="{6777EDD4-E46F-4979-A7E7-6FC0A82E0C8E}" id="{33F7BEA1-D0E7-4826-9272-3F77DD3B7B25}">
    <text>Project On-Hold</text>
  </threadedComment>
  <threadedComment ref="S293" dT="2024-06-15T06:17:04.00" personId="{6777EDD4-E46F-4979-A7E7-6FC0A82E0C8E}" id="{F80900BA-63EF-43A2-B567-EDDAAA07E535}">
    <text>Project on-hold</text>
  </threadedComment>
  <threadedComment ref="T293" dT="2024-06-15T06:17:04.00" personId="{6777EDD4-E46F-4979-A7E7-6FC0A82E0C8E}" id="{0F4AE5D4-1E56-4128-ACED-408112A3EBCF}">
    <text>Project on-hold</text>
  </threadedComment>
  <threadedComment ref="U293" dT="2024-06-15T06:17:04.00" personId="{6777EDD4-E46F-4979-A7E7-6FC0A82E0C8E}" id="{4258DC1B-1A2F-4B07-B2B0-ACD4030292D1}">
    <text>Project on-hold</text>
  </threadedComment>
  <threadedComment ref="V293" dT="2024-06-15T06:17:04.00" personId="{6777EDD4-E46F-4979-A7E7-6FC0A82E0C8E}" id="{69C61B5F-A334-431D-89AB-9040B626679E}">
    <text>Project on-hold</text>
  </threadedComment>
  <threadedComment ref="W293" dT="2024-06-15T06:17:04.00" personId="{6777EDD4-E46F-4979-A7E7-6FC0A82E0C8E}" id="{36A289EA-FA34-43C2-AADC-42BBC05D0107}">
    <text>Project on-hold</text>
  </threadedComment>
  <threadedComment ref="X293" dT="2024-06-15T06:17:04.00" personId="{6777EDD4-E46F-4979-A7E7-6FC0A82E0C8E}" id="{49A960CB-73A1-4769-8862-8A341F222908}">
    <text>Project on-hold</text>
  </threadedComment>
  <threadedComment ref="AA293" dT="2024-10-18T04:56:20.13" personId="{6777EDD4-E46F-4979-A7E7-6FC0A82E0C8E}" id="{86AE1458-63E0-4311-820C-DC5B1D52A9A5}">
    <text>Project On-Hold</text>
  </threadedComment>
  <threadedComment ref="AB293" dT="2024-10-18T04:56:20.13" personId="{6777EDD4-E46F-4979-A7E7-6FC0A82E0C8E}" id="{B4C8A02C-A5DF-434B-8D75-93BFBDCEA8B5}">
    <text>Project On-Hold</text>
  </threadedComment>
  <threadedComment ref="AC293" dT="2024-10-18T04:56:20.13" personId="{6777EDD4-E46F-4979-A7E7-6FC0A82E0C8E}" id="{6E486999-86CF-4FFA-845E-F41ABDB64FCF}">
    <text>Project On-Hold</text>
  </threadedComment>
  <threadedComment ref="AD293" dT="2024-10-18T04:56:20.13" personId="{6777EDD4-E46F-4979-A7E7-6FC0A82E0C8E}" id="{C782E708-05A0-4BD1-9DC5-9E3529DAD62A}">
    <text>Project On-Hold</text>
  </threadedComment>
  <threadedComment ref="AE293" dT="2024-10-18T04:56:20.13" personId="{6777EDD4-E46F-4979-A7E7-6FC0A82E0C8E}" id="{82F80295-053B-4AB0-B076-4834733F5362}">
    <text>Project On-Hold</text>
  </threadedComment>
  <threadedComment ref="AF293" dT="2024-10-18T04:56:20.13" personId="{6777EDD4-E46F-4979-A7E7-6FC0A82E0C8E}" id="{90B490BE-B174-4DC2-A635-B6E5F6F2B200}">
    <text>Project On-Hold</text>
  </threadedComment>
  <threadedComment ref="AG293" dT="2024-10-18T04:56:20.13" personId="{6777EDD4-E46F-4979-A7E7-6FC0A82E0C8E}" id="{2837D21F-8CCC-49B7-A1B3-DA9BBBB41960}">
    <text>Project On-Hold</text>
  </threadedComment>
  <threadedComment ref="AH293" dT="2024-10-18T04:56:20.13" personId="{6777EDD4-E46F-4979-A7E7-6FC0A82E0C8E}" id="{1DFCC716-7937-473A-8B57-9669E0589E4D}">
    <text>Project On-Hold</text>
  </threadedComment>
  <threadedComment ref="AI293" dT="2024-10-18T04:54:46.00" personId="{6777EDD4-E46F-4979-A7E7-6FC0A82E0C8E}" id="{0A6C1B3E-187C-4B9A-9DFE-9F6E5367AD5D}">
    <text>Project On-Hold</text>
  </threadedComment>
  <threadedComment ref="AJ293" dT="2024-10-18T04:54:46.00" personId="{6777EDD4-E46F-4979-A7E7-6FC0A82E0C8E}" id="{6DB5890A-1547-49F3-BC62-386EAEDE906C}">
    <text>Project On-Hold</text>
  </threadedComment>
  <threadedComment ref="AK293" dT="2024-10-18T04:54:46.00" personId="{6777EDD4-E46F-4979-A7E7-6FC0A82E0C8E}" id="{C3BC5F93-1352-4C50-9510-FA681FFF790E}">
    <text>Project On-Hold</text>
  </threadedComment>
  <threadedComment ref="AL293" dT="2024-10-18T04:54:46.00" personId="{6777EDD4-E46F-4979-A7E7-6FC0A82E0C8E}" id="{5C3EE50D-34CA-4F25-936E-23F3DEEB32E1}">
    <text>Project On-Hold</text>
  </threadedComment>
  <threadedComment ref="AM293" dT="2024-10-18T04:54:46.00" personId="{6777EDD4-E46F-4979-A7E7-6FC0A82E0C8E}" id="{1AF4E269-980F-4C6A-90FB-43D8462AEB45}">
    <text>Project On-Hold</text>
  </threadedComment>
  <threadedComment ref="AN293" dT="2024-10-18T04:54:46.00" personId="{6777EDD4-E46F-4979-A7E7-6FC0A82E0C8E}" id="{ADF9B4EE-DCC5-4B59-A1CE-2937BD20EC81}">
    <text>Project On-Hold</text>
  </threadedComment>
  <threadedComment ref="AO293" dT="2024-10-18T04:54:46.00" personId="{6777EDD4-E46F-4979-A7E7-6FC0A82E0C8E}" id="{6A292AEB-28F3-472D-B194-4981C3352D0D}">
    <text>Project On-Hold</text>
  </threadedComment>
  <threadedComment ref="AP293" dT="2024-10-18T04:54:46.00" personId="{6777EDD4-E46F-4979-A7E7-6FC0A82E0C8E}" id="{FB9F7528-0990-49B4-8C0E-9CF730764938}">
    <text>Project On-Hold</text>
  </threadedComment>
  <threadedComment ref="AQ293" dT="2024-10-18T04:54:46.00" personId="{6777EDD4-E46F-4979-A7E7-6FC0A82E0C8E}" id="{A7AF63E9-6E96-4CFC-89BF-C001E6A058C7}">
    <text>Project On-Hold</text>
  </threadedComment>
  <threadedComment ref="AR293" dT="2024-10-18T04:54:46.00" personId="{6777EDD4-E46F-4979-A7E7-6FC0A82E0C8E}" id="{A4A99BA8-201F-451B-994D-7F634F0F7908}">
    <text>Project On-Hold</text>
  </threadedComment>
  <threadedComment ref="AS293" dT="2024-10-18T04:54:46.00" personId="{6777EDD4-E46F-4979-A7E7-6FC0A82E0C8E}" id="{5A6C0D28-5602-4E7F-BA98-AC7C41FDF8A9}">
    <text>Project On-Hold</text>
  </threadedComment>
  <threadedComment ref="AT293" dT="2024-10-18T04:54:46.00" personId="{6777EDD4-E46F-4979-A7E7-6FC0A82E0C8E}" id="{A5F30860-0615-4426-A606-1AA549D38E51}">
    <text>Project On-Hold</text>
  </threadedComment>
  <threadedComment ref="AU293" dT="2024-10-18T04:54:46.00" personId="{6777EDD4-E46F-4979-A7E7-6FC0A82E0C8E}" id="{515C9D30-BE86-452F-9F1E-6E119C9DF47E}">
    <text>Project On-Hold</text>
  </threadedComment>
  <threadedComment ref="AV293" dT="2024-10-18T04:54:46.00" personId="{6777EDD4-E46F-4979-A7E7-6FC0A82E0C8E}" id="{16BE3B3E-327F-4E4D-8407-24E139B830DC}">
    <text>Project On-Hold</text>
  </threadedComment>
  <threadedComment ref="AW293" dT="2024-10-18T04:54:46.00" personId="{6777EDD4-E46F-4979-A7E7-6FC0A82E0C8E}" id="{19D2BC07-0B0B-408C-8529-6884696DD7A2}">
    <text>Project On-Hold</text>
  </threadedComment>
  <threadedComment ref="AX293" dT="2024-10-18T04:54:46.00" personId="{6777EDD4-E46F-4979-A7E7-6FC0A82E0C8E}" id="{01F5633A-079F-427C-82BE-57BC5F05253C}">
    <text>Project On-Hold</text>
  </threadedComment>
  <threadedComment ref="AY293" dT="2024-10-18T04:54:46.00" personId="{6777EDD4-E46F-4979-A7E7-6FC0A82E0C8E}" id="{A7B9B076-7F50-4F8D-B984-70576A889CF0}">
    <text>Project On-Hold</text>
  </threadedComment>
  <threadedComment ref="AZ293" dT="2024-10-18T04:54:46.00" personId="{6777EDD4-E46F-4979-A7E7-6FC0A82E0C8E}" id="{FB9397D4-EA90-4AE3-90EF-C6AC1D83DDAC}">
    <text>Project On-Hold</text>
  </threadedComment>
  <threadedComment ref="BA293" dT="2024-10-18T04:54:46.00" personId="{6777EDD4-E46F-4979-A7E7-6FC0A82E0C8E}" id="{2EAC7139-981E-424E-B45D-AB92B116FDAE}">
    <text>Project On-Hold</text>
  </threadedComment>
  <threadedComment ref="BB293" dT="2024-10-18T04:54:46.00" personId="{6777EDD4-E46F-4979-A7E7-6FC0A82E0C8E}" id="{9AB92B74-F406-4908-A226-3E78FB3C1016}">
    <text>Project On-Hold</text>
  </threadedComment>
  <threadedComment ref="BC293" dT="2024-10-18T04:54:46.00" personId="{6777EDD4-E46F-4979-A7E7-6FC0A82E0C8E}" id="{7618C660-47BE-4492-9CFE-1D98E9C7724F}">
    <text>Project On-Hold</text>
  </threadedComment>
  <threadedComment ref="BD293" dT="2024-10-18T04:54:46.00" personId="{6777EDD4-E46F-4979-A7E7-6FC0A82E0C8E}" id="{93A32846-0DF2-419E-98DC-9D3CFE9C9449}">
    <text>Project On-Hold</text>
  </threadedComment>
  <threadedComment ref="BE293" dT="2024-10-18T04:54:46.00" personId="{6777EDD4-E46F-4979-A7E7-6FC0A82E0C8E}" id="{DA325809-8C80-41AA-B0C7-6612BE821D90}">
    <text>Project On-Hold</text>
  </threadedComment>
  <threadedComment ref="BF293" dT="2024-10-18T04:54:46.00" personId="{6777EDD4-E46F-4979-A7E7-6FC0A82E0C8E}" id="{8B051FF5-9C27-4B92-8413-5BE16060F91F}">
    <text>Project On-Hold</text>
  </threadedComment>
  <threadedComment ref="BG293" dT="2024-10-18T04:54:46.00" personId="{6777EDD4-E46F-4979-A7E7-6FC0A82E0C8E}" id="{BFD62E17-0AFA-4498-AC4D-AB21FD032603}">
    <text>Project On-Hold</text>
  </threadedComment>
  <threadedComment ref="BH293" dT="2024-10-18T04:54:46.00" personId="{6777EDD4-E46F-4979-A7E7-6FC0A82E0C8E}" id="{34B41874-0281-4475-B720-9A958B3D2315}">
    <text>Project On-Hold</text>
  </threadedComment>
  <threadedComment ref="BI293" dT="2024-10-18T04:54:46.00" personId="{6777EDD4-E46F-4979-A7E7-6FC0A82E0C8E}" id="{6ED93E1C-7585-4142-B677-2240A76BB1B4}">
    <text>Project On-Hold</text>
  </threadedComment>
  <threadedComment ref="BJ293" dT="2024-10-18T04:54:46.00" personId="{6777EDD4-E46F-4979-A7E7-6FC0A82E0C8E}" id="{A84FCCB2-87BD-4BC0-B358-7511957DB7BE}">
    <text>Project On-Hold</text>
  </threadedComment>
  <threadedComment ref="BK293" dT="2024-10-18T04:54:46.00" personId="{6777EDD4-E46F-4979-A7E7-6FC0A82E0C8E}" id="{AAB7C8FE-7291-4A17-9905-2E9C012031EB}">
    <text>Project On-Hold</text>
  </threadedComment>
  <threadedComment ref="BL293" dT="2024-10-18T04:54:46.00" personId="{6777EDD4-E46F-4979-A7E7-6FC0A82E0C8E}" id="{9E8FC360-50BA-43A8-AD24-81A770F6FC70}">
    <text>Project On-Hold</text>
  </threadedComment>
  <threadedComment ref="BN293" dT="2024-10-18T04:54:46.00" personId="{6777EDD4-E46F-4979-A7E7-6FC0A82E0C8E}" id="{00EAD9D5-F20F-4E06-AB59-63962CD746A2}">
    <text>Project On-Hold</text>
  </threadedComment>
  <threadedComment ref="BP293" dT="2024-10-18T04:54:46.00" personId="{6777EDD4-E46F-4979-A7E7-6FC0A82E0C8E}" id="{E747934B-322D-4549-A382-2728E22C9B0C}">
    <text>Project On-Hold</text>
  </threadedComment>
  <threadedComment ref="BR293" dT="2024-10-18T04:54:46.00" personId="{6777EDD4-E46F-4979-A7E7-6FC0A82E0C8E}" id="{4270D6CE-031A-4E39-8FA5-4160B846574C}">
    <text>Project On-Hold</text>
  </threadedComment>
  <threadedComment ref="BS293" dT="2024-10-18T04:54:46.00" personId="{6777EDD4-E46F-4979-A7E7-6FC0A82E0C8E}" id="{1AD343B2-65D2-4BF7-A2B8-3E02EEF102E5}">
    <text>Project On-Hold</text>
  </threadedComment>
  <threadedComment ref="BU293" dT="2024-10-18T04:54:46.00" personId="{6777EDD4-E46F-4979-A7E7-6FC0A82E0C8E}" id="{E38E2DCB-33A1-4CB3-8348-9C1BA0C4B6C8}">
    <text>Project On-Hold</text>
  </threadedComment>
  <threadedComment ref="S294" dT="2024-06-15T06:17:04.00" personId="{6777EDD4-E46F-4979-A7E7-6FC0A82E0C8E}" id="{88DFE386-E564-4174-8E5C-065B51D225A4}">
    <text>Project on-hold</text>
  </threadedComment>
  <threadedComment ref="T294" dT="2024-06-15T06:17:04.00" personId="{6777EDD4-E46F-4979-A7E7-6FC0A82E0C8E}" id="{25026402-2DE9-4F13-BCBE-602A0E614E8E}">
    <text>Project on-hold</text>
  </threadedComment>
  <threadedComment ref="U294" dT="2024-06-15T06:17:04.00" personId="{6777EDD4-E46F-4979-A7E7-6FC0A82E0C8E}" id="{B91A79E9-A7D2-4B57-BD89-341D21A34252}">
    <text>Project on-hold</text>
  </threadedComment>
  <threadedComment ref="V294" dT="2024-06-15T06:17:04.00" personId="{6777EDD4-E46F-4979-A7E7-6FC0A82E0C8E}" id="{2083164B-C720-43EA-8FE9-C3A5D1BC0BC0}">
    <text>Project on-hold</text>
  </threadedComment>
  <threadedComment ref="W294" dT="2024-06-15T06:17:04.00" personId="{6777EDD4-E46F-4979-A7E7-6FC0A82E0C8E}" id="{D30EC689-56BC-40D4-B18C-BECA2C4289FF}">
    <text>Project on-hold</text>
  </threadedComment>
  <threadedComment ref="X294" dT="2024-06-15T06:17:04.00" personId="{6777EDD4-E46F-4979-A7E7-6FC0A82E0C8E}" id="{2FADDDBD-6E00-4A8E-B48B-6AFBEEBFAD1C}">
    <text>Project on-hold</text>
  </threadedComment>
  <threadedComment ref="AA294" dT="2024-10-18T04:56:20.13" personId="{6777EDD4-E46F-4979-A7E7-6FC0A82E0C8E}" id="{556CCBB6-FB8D-4F0F-B36E-05C929A584D2}">
    <text>Project On-Hold</text>
  </threadedComment>
  <threadedComment ref="AB294" dT="2024-10-18T04:56:20.13" personId="{6777EDD4-E46F-4979-A7E7-6FC0A82E0C8E}" id="{2C19F16A-7678-4488-A2A8-53ADDCC08179}">
    <text>Project On-Hold</text>
  </threadedComment>
  <threadedComment ref="AC294" dT="2024-10-18T04:56:20.13" personId="{6777EDD4-E46F-4979-A7E7-6FC0A82E0C8E}" id="{9E6B91A7-484C-456A-81A5-F2B040989792}">
    <text>Project On-Hold</text>
  </threadedComment>
  <threadedComment ref="AD294" dT="2024-10-18T04:56:20.13" personId="{6777EDD4-E46F-4979-A7E7-6FC0A82E0C8E}" id="{FD1BBE10-CB13-480C-AE83-C099ED2AAD7E}">
    <text>Project On-Hold</text>
  </threadedComment>
  <threadedComment ref="AE294" dT="2024-10-18T04:56:20.13" personId="{6777EDD4-E46F-4979-A7E7-6FC0A82E0C8E}" id="{93B4C396-51F3-4685-B2C4-72640D078C70}">
    <text>Project On-Hold</text>
  </threadedComment>
  <threadedComment ref="AF294" dT="2024-10-18T04:56:20.13" personId="{6777EDD4-E46F-4979-A7E7-6FC0A82E0C8E}" id="{51E5C053-5264-4155-AEF2-149FE299C467}">
    <text>Project On-Hold</text>
  </threadedComment>
  <threadedComment ref="AG294" dT="2024-10-18T04:56:20.13" personId="{6777EDD4-E46F-4979-A7E7-6FC0A82E0C8E}" id="{3C6ADE21-89DD-4696-9203-40EC6FB82974}">
    <text>Project On-Hold</text>
  </threadedComment>
  <threadedComment ref="AH294" dT="2024-10-18T04:56:20.13" personId="{6777EDD4-E46F-4979-A7E7-6FC0A82E0C8E}" id="{0942CD74-5D98-4A54-9EA3-8751686033E0}">
    <text>Project On-Hold</text>
  </threadedComment>
  <threadedComment ref="AI294" dT="2024-10-18T04:54:46.00" personId="{6777EDD4-E46F-4979-A7E7-6FC0A82E0C8E}" id="{1C1FF29B-213F-4671-9D19-F042DE3DD4D8}">
    <text>Project On-Hold</text>
  </threadedComment>
  <threadedComment ref="AJ294" dT="2024-10-18T04:54:46.00" personId="{6777EDD4-E46F-4979-A7E7-6FC0A82E0C8E}" id="{9184EC37-2671-4602-BA8C-86F7AD41ABCE}">
    <text>Project On-Hold</text>
  </threadedComment>
  <threadedComment ref="AK294" dT="2024-10-18T04:54:46.00" personId="{6777EDD4-E46F-4979-A7E7-6FC0A82E0C8E}" id="{7D669A0C-9740-4B96-9C56-25FDB4992255}">
    <text>Project On-Hold</text>
  </threadedComment>
  <threadedComment ref="AL294" dT="2024-10-18T04:54:46.00" personId="{6777EDD4-E46F-4979-A7E7-6FC0A82E0C8E}" id="{4257666E-4E68-4F7F-B851-CB6B47411D0C}">
    <text>Project On-Hold</text>
  </threadedComment>
  <threadedComment ref="AM294" dT="2024-10-18T04:54:46.00" personId="{6777EDD4-E46F-4979-A7E7-6FC0A82E0C8E}" id="{C77F985F-A79B-422E-A855-C3175E3277C0}">
    <text>Project On-Hold</text>
  </threadedComment>
  <threadedComment ref="AN294" dT="2024-10-18T04:54:46.00" personId="{6777EDD4-E46F-4979-A7E7-6FC0A82E0C8E}" id="{D5E12059-CD41-4229-90C5-3835CB348A2B}">
    <text>Project On-Hold</text>
  </threadedComment>
  <threadedComment ref="AO294" dT="2024-10-18T04:54:46.00" personId="{6777EDD4-E46F-4979-A7E7-6FC0A82E0C8E}" id="{3C1F5A46-BA4F-45F7-8B77-1021C2E1CB47}">
    <text>Project On-Hold</text>
  </threadedComment>
  <threadedComment ref="AP294" dT="2024-10-18T04:54:46.00" personId="{6777EDD4-E46F-4979-A7E7-6FC0A82E0C8E}" id="{F890458B-3ECA-4901-9C97-3DB1722C40F6}">
    <text>Project On-Hold</text>
  </threadedComment>
  <threadedComment ref="AQ294" dT="2024-10-18T04:54:46.00" personId="{6777EDD4-E46F-4979-A7E7-6FC0A82E0C8E}" id="{CD5C03A5-E1A8-4564-9DA5-EE2DD970DC0D}">
    <text>Project On-Hold</text>
  </threadedComment>
  <threadedComment ref="AR294" dT="2024-10-18T04:54:46.00" personId="{6777EDD4-E46F-4979-A7E7-6FC0A82E0C8E}" id="{C20F2918-614B-4E6D-A48C-D1DB6FB77F9B}">
    <text>Project On-Hold</text>
  </threadedComment>
  <threadedComment ref="AS294" dT="2024-10-18T04:54:46.00" personId="{6777EDD4-E46F-4979-A7E7-6FC0A82E0C8E}" id="{26624EF3-752D-46D7-9FF5-A65CFF01C363}">
    <text>Project On-Hold</text>
  </threadedComment>
  <threadedComment ref="AT294" dT="2024-10-18T04:54:46.00" personId="{6777EDD4-E46F-4979-A7E7-6FC0A82E0C8E}" id="{FFEBF846-C1A9-41ED-BD6A-BAB64F6F92D1}">
    <text>Project On-Hold</text>
  </threadedComment>
  <threadedComment ref="AU294" dT="2024-10-18T04:54:46.00" personId="{6777EDD4-E46F-4979-A7E7-6FC0A82E0C8E}" id="{CDA3E1D4-9582-45B9-B12B-F5F40F01076A}">
    <text>Project On-Hold</text>
  </threadedComment>
  <threadedComment ref="AV294" dT="2024-10-18T04:54:46.00" personId="{6777EDD4-E46F-4979-A7E7-6FC0A82E0C8E}" id="{8D5BF8E3-CEE6-485C-8A73-C78B6CA26154}">
    <text>Project On-Hold</text>
  </threadedComment>
  <threadedComment ref="AW294" dT="2024-10-18T04:54:46.00" personId="{6777EDD4-E46F-4979-A7E7-6FC0A82E0C8E}" id="{4788C8C9-A4A1-4D90-8AF5-FD22C1E2E59C}">
    <text>Project On-Hold</text>
  </threadedComment>
  <threadedComment ref="AX294" dT="2024-10-18T04:54:46.00" personId="{6777EDD4-E46F-4979-A7E7-6FC0A82E0C8E}" id="{4E320FA0-DA69-4C0F-98D4-D3CAC4F2B526}">
    <text>Project On-Hold</text>
  </threadedComment>
  <threadedComment ref="AY294" dT="2024-10-18T04:54:46.00" personId="{6777EDD4-E46F-4979-A7E7-6FC0A82E0C8E}" id="{F1D72A8F-C189-461A-9327-01930472E6A8}">
    <text>Project On-Hold</text>
  </threadedComment>
  <threadedComment ref="AZ294" dT="2024-10-18T04:54:46.00" personId="{6777EDD4-E46F-4979-A7E7-6FC0A82E0C8E}" id="{DE8D8A91-2704-438E-9D39-3CADFDF77892}">
    <text>Project On-Hold</text>
  </threadedComment>
  <threadedComment ref="BA294" dT="2024-10-18T04:54:46.00" personId="{6777EDD4-E46F-4979-A7E7-6FC0A82E0C8E}" id="{4CD63D0F-7425-4A45-A88E-005CDD3CDDE7}">
    <text>Project On-Hold</text>
  </threadedComment>
  <threadedComment ref="BB294" dT="2024-10-18T04:54:46.00" personId="{6777EDD4-E46F-4979-A7E7-6FC0A82E0C8E}" id="{ED7A59FE-8C81-4057-8625-48A6E037651F}">
    <text>Project On-Hold</text>
  </threadedComment>
  <threadedComment ref="BC294" dT="2024-10-18T04:54:46.00" personId="{6777EDD4-E46F-4979-A7E7-6FC0A82E0C8E}" id="{21ADEDFA-ECAE-47DB-8713-4156D07B6B4F}">
    <text>Project On-Hold</text>
  </threadedComment>
  <threadedComment ref="BD294" dT="2024-10-18T04:54:46.00" personId="{6777EDD4-E46F-4979-A7E7-6FC0A82E0C8E}" id="{7B9634E7-3194-4E69-A48F-E273616D2D0A}">
    <text>Project On-Hold</text>
  </threadedComment>
  <threadedComment ref="BE294" dT="2024-10-18T04:54:46.00" personId="{6777EDD4-E46F-4979-A7E7-6FC0A82E0C8E}" id="{A6634F74-D8B5-4718-830F-04380327AAD7}">
    <text>Project On-Hold</text>
  </threadedComment>
  <threadedComment ref="BF294" dT="2024-10-18T04:54:46.00" personId="{6777EDD4-E46F-4979-A7E7-6FC0A82E0C8E}" id="{12A65756-C11E-483A-AB64-23E7A2B4ED28}">
    <text>Project On-Hold</text>
  </threadedComment>
  <threadedComment ref="BG294" dT="2024-10-18T04:54:46.00" personId="{6777EDD4-E46F-4979-A7E7-6FC0A82E0C8E}" id="{80FE384B-2CFF-41D5-ACCC-0214B013FCCF}">
    <text>Project On-Hold</text>
  </threadedComment>
  <threadedComment ref="BH294" dT="2024-10-18T04:54:46.00" personId="{6777EDD4-E46F-4979-A7E7-6FC0A82E0C8E}" id="{5E00F483-5B41-450D-B3C9-7D77E2DB81E7}">
    <text>Project On-Hold</text>
  </threadedComment>
  <threadedComment ref="BI294" dT="2024-10-18T04:54:46.00" personId="{6777EDD4-E46F-4979-A7E7-6FC0A82E0C8E}" id="{0DAFAF98-7611-4D91-BA51-1DC1AC8C4AB6}">
    <text>Project On-Hold</text>
  </threadedComment>
  <threadedComment ref="BJ294" dT="2024-10-18T04:54:46.00" personId="{6777EDD4-E46F-4979-A7E7-6FC0A82E0C8E}" id="{88C4D6A8-93C5-404E-869A-7DF16F59FA51}">
    <text>Project On-Hold</text>
  </threadedComment>
  <threadedComment ref="BK294" dT="2024-10-18T04:54:46.00" personId="{6777EDD4-E46F-4979-A7E7-6FC0A82E0C8E}" id="{1C00FD0D-A3F9-45DC-B961-28BB8C025CC7}">
    <text>Project On-Hold</text>
  </threadedComment>
  <threadedComment ref="BL294" dT="2024-10-18T04:54:46.00" personId="{6777EDD4-E46F-4979-A7E7-6FC0A82E0C8E}" id="{124DAA9E-6A4E-490D-91ED-DC6DC0A27100}">
    <text>Project On-Hold</text>
  </threadedComment>
  <threadedComment ref="BN294" dT="2024-10-18T04:54:46.00" personId="{6777EDD4-E46F-4979-A7E7-6FC0A82E0C8E}" id="{43C1DA82-8C1A-419A-BE2D-FAB6B256CE2D}">
    <text>Project On-Hold</text>
  </threadedComment>
  <threadedComment ref="BP294" dT="2024-10-18T04:54:46.00" personId="{6777EDD4-E46F-4979-A7E7-6FC0A82E0C8E}" id="{6B55EB1B-C80E-4CFB-A58E-E2554E8920B5}">
    <text>Project On-Hold</text>
  </threadedComment>
  <threadedComment ref="BR294" dT="2024-10-18T04:54:46.00" personId="{6777EDD4-E46F-4979-A7E7-6FC0A82E0C8E}" id="{AFF4DF2F-E131-4407-82F8-C0B12450390C}">
    <text>Project On-Hold</text>
  </threadedComment>
  <threadedComment ref="BS294" dT="2024-10-18T04:54:46.00" personId="{6777EDD4-E46F-4979-A7E7-6FC0A82E0C8E}" id="{985C43C6-DA93-4879-8C89-26BC5602EB27}">
    <text>Project On-Hold</text>
  </threadedComment>
  <threadedComment ref="BU294" dT="2024-10-18T04:54:46.00" personId="{6777EDD4-E46F-4979-A7E7-6FC0A82E0C8E}" id="{EB5D0C95-CCCE-4781-A42E-E72F2AC82BBE}">
    <text>Project On-Hold</text>
  </threadedComment>
  <threadedComment ref="S295" dT="2024-06-15T07:50:09.76" personId="{6777EDD4-E46F-4979-A7E7-6FC0A82E0C8E}" id="{3006B414-F6E5-4CE5-AA38-7F2C3CF31D3B}">
    <text>No Joiner in the month</text>
  </threadedComment>
  <threadedComment ref="T295" dT="2024-06-15T07:50:09.76" personId="{6777EDD4-E46F-4979-A7E7-6FC0A82E0C8E}" id="{4CD0210D-CE2B-48B4-85DE-D5A9FBE85E88}">
    <text>No Joiner in the month</text>
  </threadedComment>
  <threadedComment ref="Y295" dT="2024-09-15T08:21:52.15" personId="{6777EDD4-E46F-4979-A7E7-6FC0A82E0C8E}" id="{60D4AA8D-3A2A-4F0F-BB7A-475C2C8E02C8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5" dT="2024-10-18T06:59:42.80" personId="{6777EDD4-E46F-4979-A7E7-6FC0A82E0C8E}" id="{848DE4F2-E905-47FB-A55E-80BD45F9135D}">
    <text>No Joiner &amp; Offer released</text>
  </threadedComment>
  <threadedComment ref="AB295" dT="2024-10-18T06:59:42.80" personId="{6777EDD4-E46F-4979-A7E7-6FC0A82E0C8E}" id="{587E2351-2AC0-4CB0-9D89-881E9DE29170}">
    <text>No Joiner &amp; Offer released</text>
  </threadedComment>
  <threadedComment ref="AE295" dT="2024-10-18T06:59:42.80" personId="{6777EDD4-E46F-4979-A7E7-6FC0A82E0C8E}" id="{82747092-2AF0-4B73-9176-90D94BB66DE7}">
    <text>No Joiner &amp; Offer released</text>
  </threadedComment>
  <threadedComment ref="AF295" dT="2024-10-18T06:59:42.80" personId="{6777EDD4-E46F-4979-A7E7-6FC0A82E0C8E}" id="{FC6B39CF-689F-4679-8A0A-EEA661162099}">
    <text>No Joiner &amp; Offer released</text>
  </threadedComment>
  <threadedComment ref="AM295" dT="2025-02-19T08:27:57.93" personId="{E64216F0-4450-479D-85DE-7DC73CB6BF16}" id="{F95D7558-7CEC-4800-A14A-1AE42D0E3F41}">
    <text>Validated</text>
  </threadedComment>
  <threadedComment ref="AU295" dT="2025-05-22T11:19:46.53" personId="{6777EDD4-E46F-4979-A7E7-6FC0A82E0C8E}" id="{1F7EE7CF-D3DB-48E9-963B-9670321F8BBC}">
    <text>No Joiner in the month</text>
  </threadedComment>
  <threadedComment ref="AV295" dT="2025-05-22T11:19:46.53" personId="{6777EDD4-E46F-4979-A7E7-6FC0A82E0C8E}" id="{9789E20A-8EF5-4291-80F7-8B2DD5950A50}">
    <text>No Joiner in the month</text>
  </threadedComment>
  <threadedComment ref="AW295" dT="2025-06-27T07:58:19.79" personId="{6777EDD4-E46F-4979-A7E7-6FC0A82E0C8E}" id="{3F9EA596-6877-4745-A6B8-C43CAA06FE7D}">
    <text>Not Validated</text>
  </threadedComment>
  <threadedComment ref="Y296" dT="2024-09-15T08:21:52.15" personId="{6777EDD4-E46F-4979-A7E7-6FC0A82E0C8E}" id="{B6C62298-2485-4C9A-BFE6-FB17B3D6287D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6" dT="2024-10-18T06:59:42.80" personId="{6777EDD4-E46F-4979-A7E7-6FC0A82E0C8E}" id="{11D3EBEF-E4F1-4603-BE61-47891A432256}">
    <text>No Joiner &amp; Offer released</text>
  </threadedComment>
  <threadedComment ref="AB296" dT="2024-10-18T06:59:42.80" personId="{6777EDD4-E46F-4979-A7E7-6FC0A82E0C8E}" id="{6FA7EA4B-C9FE-489E-BFC7-07A6580CD8C4}">
    <text>No Joiner &amp; Offer released</text>
  </threadedComment>
  <threadedComment ref="AE296" dT="2024-10-18T06:59:42.80" personId="{6777EDD4-E46F-4979-A7E7-6FC0A82E0C8E}" id="{830C96B8-246F-489A-9180-A3C31F3657E0}">
    <text>No Joiner &amp; Offer released</text>
  </threadedComment>
  <threadedComment ref="AF296" dT="2024-10-18T06:59:42.80" personId="{6777EDD4-E46F-4979-A7E7-6FC0A82E0C8E}" id="{43A01233-339D-47AF-B03A-608660AE24B9}">
    <text>No Joiner &amp; Offer released</text>
  </threadedComment>
  <threadedComment ref="AM296" dT="2025-02-19T08:31:13.39" personId="{E64216F0-4450-479D-85DE-7DC73CB6BF16}" id="{52651651-4529-4913-82FA-67D1D93155D7}">
    <text>No Offers accepted in Jan</text>
  </threadedComment>
  <threadedComment ref="AU296" dT="2025-05-21T12:47:41.69" personId="{32192656-80C8-4310-B142-9CF98FC9C0EF}" id="{84A910CE-8374-43DB-9501-0B677C5FCE70}">
    <text xml:space="preserve">Validated
</text>
  </threadedComment>
  <threadedComment ref="AW296" dT="2025-06-27T07:58:19.79" personId="{6777EDD4-E46F-4979-A7E7-6FC0A82E0C8E}" id="{0715751C-C312-41C5-9E78-34484ADAA2EA}">
    <text>Not Validated</text>
  </threadedComment>
  <threadedComment ref="BE296" dT="2025-09-29T12:48:33.71" personId="{7A84A2D1-0B72-4118-92E2-DA71D4FDA6B6}" id="{71DE00E0-E152-4DF4-8F52-0DF5F6DCA5DB}">
    <text xml:space="preserve">Incorrect values
</text>
  </threadedComment>
  <threadedComment ref="Y297" dT="2024-09-15T08:21:52.15" personId="{6777EDD4-E46F-4979-A7E7-6FC0A82E0C8E}" id="{5B9ABE40-FF63-4C3A-8AF8-97382D00BD47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7" dT="2024-10-18T07:01:17.91" personId="{6777EDD4-E46F-4979-A7E7-6FC0A82E0C8E}" id="{1E5D8E98-5E35-454D-A634-775733A240A8}">
    <text>Not Validated</text>
  </threadedComment>
  <threadedComment ref="AE297" dT="2024-11-21T09:29:37.74" personId="{6777EDD4-E46F-4979-A7E7-6FC0A82E0C8E}" id="{FCE12995-5C38-403C-9CB5-4782E09FD37D}">
    <text>Validated</text>
  </threadedComment>
  <threadedComment ref="AU297" dT="2025-05-21T13:03:17.30" personId="{32192656-80C8-4310-B142-9CF98FC9C0EF}" id="{A743332D-7F4C-4BD6-903C-40D4D4A8AE93}">
    <text>Not Validated, due to absence of month end tracker</text>
  </threadedComment>
  <threadedComment ref="AW297" dT="2025-06-27T07:58:19.79" personId="{6777EDD4-E46F-4979-A7E7-6FC0A82E0C8E}" id="{0F4B9489-50FD-4515-9D54-3BD8C53F773E}">
    <text>Not Validated</text>
  </threadedComment>
  <threadedComment ref="AY297" dT="2025-07-25T10:51:00.29" personId="{7A84A2D1-0B72-4118-92E2-DA71D4FDA6B6}" id="{9EBDCB80-8B89-43D0-B39F-70C3CB55FA8C}">
    <text>Not validated</text>
  </threadedComment>
  <threadedComment ref="BA297" dT="2025-07-25T10:54:34.75" personId="{7A84A2D1-0B72-4118-92E2-DA71D4FDA6B6}" id="{D6373DF3-F7FD-4CE3-BEEE-45FC11825DF8}">
    <text>Not Validated</text>
  </threadedComment>
  <threadedComment ref="BE297" dT="2025-09-29T12:49:01.58" personId="{7A84A2D1-0B72-4118-92E2-DA71D4FDA6B6}" id="{B4F2F86E-E028-4E6A-8CFA-83D6E8D648CD}">
    <text xml:space="preserve">Incorrect values
</text>
  </threadedComment>
  <threadedComment ref="Y298" dT="2024-09-15T08:21:52.15" personId="{6777EDD4-E46F-4979-A7E7-6FC0A82E0C8E}" id="{0C3965A0-D201-447F-A601-4D4AD94AF5C2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8" dT="2024-10-18T07:01:27.02" personId="{6777EDD4-E46F-4979-A7E7-6FC0A82E0C8E}" id="{B3E714B3-B347-44B6-A134-9C209C8012A4}">
    <text>Not Validated</text>
  </threadedComment>
  <threadedComment ref="AE298" dT="2024-11-21T09:30:01.73" personId="{6777EDD4-E46F-4979-A7E7-6FC0A82E0C8E}" id="{8FB0BE8A-EDDA-4BA6-B589-3FD4E32884D6}">
    <text>Validated</text>
  </threadedComment>
  <threadedComment ref="AW298" dT="2025-06-27T07:58:19.79" personId="{6777EDD4-E46F-4979-A7E7-6FC0A82E0C8E}" id="{5B606EC7-EDF7-40EF-9462-8764DAB5F6D8}">
    <text>Not Validated</text>
  </threadedComment>
  <threadedComment ref="AY298" dT="2025-07-25T10:51:23.89" personId="{7A84A2D1-0B72-4118-92E2-DA71D4FDA6B6}" id="{35A677A3-4FBC-4830-B3B2-EF8E9F8DACA0}">
    <text>Not Validated</text>
  </threadedComment>
  <threadedComment ref="BA298" dT="2025-07-25T10:54:40.39" personId="{7A84A2D1-0B72-4118-92E2-DA71D4FDA6B6}" id="{03BD4E91-3492-4E78-8254-DC170FB4FAA0}">
    <text>Not Validated</text>
  </threadedComment>
  <threadedComment ref="Y299" dT="2024-09-15T08:21:52.15" personId="{6777EDD4-E46F-4979-A7E7-6FC0A82E0C8E}" id="{B6A4ABEA-13CF-4B83-B57D-556384E08889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9" dT="2024-10-18T07:01:35.89" personId="{6777EDD4-E46F-4979-A7E7-6FC0A82E0C8E}" id="{5B4A1EE6-F485-4075-AA5F-C07180BEAF77}">
    <text>Not Validated</text>
  </threadedComment>
  <threadedComment ref="AW299" dT="2025-06-27T07:58:19.79" personId="{6777EDD4-E46F-4979-A7E7-6FC0A82E0C8E}" id="{4CC91C45-BDC3-4263-B698-E38F687A16E7}">
    <text>Not Validated</text>
  </threadedComment>
  <threadedComment ref="AY299" dT="2025-07-25T10:54:01.47" personId="{7A84A2D1-0B72-4118-92E2-DA71D4FDA6B6}" id="{492F23E1-618A-4785-AE2E-928D70E86087}">
    <text>Not Validated</text>
  </threadedComment>
  <threadedComment ref="BA299" dT="2025-07-25T10:54:45.88" personId="{7A84A2D1-0B72-4118-92E2-DA71D4FDA6B6}" id="{32BBC729-13B2-4E46-A044-48CBED1FAE53}">
    <text>Not Validated</text>
  </threadedComment>
  <threadedComment ref="BE299" dT="2025-09-29T12:46:47.91" personId="{7A84A2D1-0B72-4118-92E2-DA71D4FDA6B6}" id="{4A9184F3-D299-42E1-B0EA-44EEAB35C3BC}">
    <text>Incorrect values</text>
  </threadedComment>
  <threadedComment ref="Y300" dT="2024-09-15T08:21:52.15" personId="{6777EDD4-E46F-4979-A7E7-6FC0A82E0C8E}" id="{33EDA0A3-0E27-4EDC-B83A-927F4AF004F8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300" dT="2024-10-18T06:59:42.80" personId="{6777EDD4-E46F-4979-A7E7-6FC0A82E0C8E}" id="{FF8A89B6-F636-462B-AA85-64317FA15303}">
    <text>No Joiner &amp; Offer released</text>
  </threadedComment>
  <threadedComment ref="AB300" dT="2024-10-18T06:59:42.80" personId="{6777EDD4-E46F-4979-A7E7-6FC0A82E0C8E}" id="{2D98339A-0843-45D1-907C-0776494FF564}">
    <text>No Joiner &amp; Offer released</text>
  </threadedComment>
  <threadedComment ref="AE300" dT="2024-10-18T06:59:42.80" personId="{6777EDD4-E46F-4979-A7E7-6FC0A82E0C8E}" id="{852B3D42-F15D-4389-B32B-2DB5C2DDEE47}">
    <text>No Joiner &amp; Offer released</text>
  </threadedComment>
  <threadedComment ref="AF300" dT="2024-10-18T06:59:42.80" personId="{6777EDD4-E46F-4979-A7E7-6FC0A82E0C8E}" id="{893F9DA0-181F-431B-8C75-606E2543A478}">
    <text>No Joiner &amp; Offer released</text>
  </threadedComment>
  <threadedComment ref="AW300" dT="2025-06-27T07:58:19.79" personId="{6777EDD4-E46F-4979-A7E7-6FC0A82E0C8E}" id="{A9584B54-5427-44B4-8A21-930580DE0370}">
    <text>Not Validated</text>
  </threadedComment>
  <threadedComment ref="BE300" dT="2025-09-29T12:47:39.56" personId="{7A84A2D1-0B72-4118-92E2-DA71D4FDA6B6}" id="{5B63BB86-EC8F-48A5-AE87-C3D45803E86A}">
    <text xml:space="preserve">Incorrect values
</text>
  </threadedComment>
  <threadedComment ref="S301" dT="2024-06-15T07:50:09.76" personId="{6777EDD4-E46F-4979-A7E7-6FC0A82E0C8E}" id="{B8522E71-C062-4F40-B5B9-9AD63EFC8765}">
    <text>No Joiner in the month</text>
  </threadedComment>
  <threadedComment ref="T301" dT="2024-06-15T07:50:09.76" personId="{6777EDD4-E46F-4979-A7E7-6FC0A82E0C8E}" id="{7B652C86-04E7-4925-8402-01DA8C99353B}">
    <text>No Joiner in the month</text>
  </threadedComment>
  <threadedComment ref="Y301" dT="2024-09-15T08:21:52.15" personId="{6777EDD4-E46F-4979-A7E7-6FC0A82E0C8E}" id="{3570FF78-405C-4B8C-AA79-99EAD0F1114C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301" dT="2024-10-18T07:01:55.38" personId="{6777EDD4-E46F-4979-A7E7-6FC0A82E0C8E}" id="{31EFD4B7-18DB-4F75-B01F-532C67FFBF83}">
    <text>Not Validated</text>
  </threadedComment>
  <threadedComment ref="AM301" dT="2025-02-19T08:28:03.50" personId="{E64216F0-4450-479D-85DE-7DC73CB6BF16}" id="{49B260F6-1DAE-4AED-8F6B-0EB08B14B30B}">
    <text>Validated</text>
  </threadedComment>
  <threadedComment ref="AW301" dT="2025-06-27T07:58:19.79" personId="{6777EDD4-E46F-4979-A7E7-6FC0A82E0C8E}" id="{75532167-52CB-47BE-8BA9-76AE6C3F2DE5}">
    <text>Not Validated</text>
  </threadedComment>
  <threadedComment ref="AY301" dT="2025-07-25T10:54:18.31" personId="{7A84A2D1-0B72-4118-92E2-DA71D4FDA6B6}" id="{DE993AAA-4CED-4477-AA26-3D7DD43413C2}">
    <text>Not Validated</text>
  </threadedComment>
  <threadedComment ref="BA301" dT="2025-07-25T10:55:16.14" personId="{7A84A2D1-0B72-4118-92E2-DA71D4FDA6B6}" id="{8E64706E-433E-4BB9-9BE1-9224549202DD}">
    <text>Not Validated</text>
  </threadedComment>
  <threadedComment ref="AW302" dT="2025-07-25T11:42:56.15" personId="{6777EDD4-E46F-4979-A7E7-6FC0A82E0C8E}" id="{EC460147-67FD-4E3B-B375-9D46D09D0B0D}">
    <text>Reported from June month</text>
  </threadedComment>
  <threadedComment ref="AX302" dT="2025-07-25T11:42:56.15" personId="{6777EDD4-E46F-4979-A7E7-6FC0A82E0C8E}" id="{C984DC4A-A030-4C4E-8A21-4C48867412F4}">
    <text>Reported from June month</text>
  </threadedComment>
  <threadedComment ref="S303" dT="2024-06-15T08:22:05.40" personId="{6777EDD4-E46F-4979-A7E7-6FC0A82E0C8E}" id="{CF4AEA14-E616-4FAE-AADB-E19D59269BD4}">
    <text xml:space="preserve">Backup file as entire data is on customer laptop and we have a clause to not share any data outside SBI Intranet.
</text>
  </threadedComment>
  <threadedComment ref="U303" dT="2024-06-15T08:22:05.40" personId="{6777EDD4-E46F-4979-A7E7-6FC0A82E0C8E}" id="{1B0B6932-296B-4DE4-A33A-2E94DF5DD7BC}">
    <text xml:space="preserve">Backup file as entire data is on customer laptop and we have a clause to not share any data outside SBI Intranet.
</text>
  </threadedComment>
  <threadedComment ref="W303" dT="2024-06-15T08:22:05.40" personId="{6777EDD4-E46F-4979-A7E7-6FC0A82E0C8E}" id="{77DAC28D-E5D9-446E-ACD1-1AF244EA0A35}">
    <text xml:space="preserve">Backup file as entire data is on customer laptop and we have a clause to not share any data outside SBI Intranet.
</text>
  </threadedComment>
  <threadedComment ref="Y303" dT="2024-09-15T10:27:29.21" personId="{6777EDD4-E46F-4979-A7E7-6FC0A82E0C8E}" id="{6E24AE1A-C0D3-4C8C-BD8F-9D8631C77064}">
    <text>Validated</text>
  </threadedComment>
  <threadedComment ref="AA303" dT="2024-10-18T07:16:20.94" personId="{6777EDD4-E46F-4979-A7E7-6FC0A82E0C8E}" id="{EDE5181B-7B3F-475D-B21B-43525F9965FA}">
    <text xml:space="preserve"> Not Validated</text>
  </threadedComment>
  <threadedComment ref="AC303" dT="2024-10-18T07:16:20.94" personId="{6777EDD4-E46F-4979-A7E7-6FC0A82E0C8E}" id="{36C5C1C5-CB9C-47CC-9AB4-53248C630063}">
    <text xml:space="preserve"> Not Validated</text>
  </threadedComment>
  <threadedComment ref="AE303" dT="2024-10-18T07:16:20.94" personId="{6777EDD4-E46F-4979-A7E7-6FC0A82E0C8E}" id="{2EDA31FD-66BD-4D4F-857F-71BA50BA796D}">
    <text xml:space="preserve"> Not Validated</text>
  </threadedComment>
  <threadedComment ref="S304" dT="2024-06-15T08:22:12.02" personId="{6777EDD4-E46F-4979-A7E7-6FC0A82E0C8E}" id="{54888756-2C06-4F06-8EC2-F1809240A1FA}">
    <text>Backup file as entire data is on customer laptop and we have a clause to not share any data outside SBI Intranet.</text>
  </threadedComment>
  <threadedComment ref="U304" dT="2024-06-15T08:22:12.02" personId="{6777EDD4-E46F-4979-A7E7-6FC0A82E0C8E}" id="{5D85AB26-4E6F-4DD8-B0B5-8097EFBE4432}">
    <text>Backup file as entire data is on customer laptop and we have a clause to not share any data outside SBI Intranet.</text>
  </threadedComment>
  <threadedComment ref="W304" dT="2024-06-15T08:22:12.02" personId="{6777EDD4-E46F-4979-A7E7-6FC0A82E0C8E}" id="{C77B6C26-F2C8-45D6-9DF7-EDE609829218}">
    <text>Backup file as entire data is on customer laptop and we have a clause to not share any data outside SBI Intranet.</text>
  </threadedComment>
  <threadedComment ref="Y304" dT="2024-09-15T09:55:30.25" personId="{6777EDD4-E46F-4979-A7E7-6FC0A82E0C8E}" id="{C9B4307A-461F-4486-8DB6-9CB36BC1BB35}">
    <text>Now the measurement starts Band wise</text>
  </threadedComment>
  <threadedComment ref="Z304" dT="2024-09-15T09:55:30.25" personId="{6777EDD4-E46F-4979-A7E7-6FC0A82E0C8E}" id="{69CE68F9-BBFC-47CD-B45C-73275A562D65}">
    <text>Now the measurement starts Band wise</text>
  </threadedComment>
  <threadedComment ref="AA304" dT="2024-10-18T07:16:38.76" personId="{6777EDD4-E46F-4979-A7E7-6FC0A82E0C8E}" id="{FA39EADF-5B08-456E-AECB-82AD5B0790D3}">
    <text xml:space="preserve"> Not Validated</text>
  </threadedComment>
  <threadedComment ref="AC304" dT="2024-10-18T07:16:38.76" personId="{6777EDD4-E46F-4979-A7E7-6FC0A82E0C8E}" id="{78782958-16CE-4654-A96D-22C0D7B026B8}">
    <text xml:space="preserve"> Not Validated</text>
  </threadedComment>
  <threadedComment ref="AE304" dT="2024-10-18T07:16:38.76" personId="{6777EDD4-E46F-4979-A7E7-6FC0A82E0C8E}" id="{7DC41509-A6E0-49F0-A31A-0C01C522248A}">
    <text xml:space="preserve"> Not Validated</text>
  </threadedComment>
  <threadedComment ref="W305" dT="2024-09-15T09:53:42.99" personId="{6777EDD4-E46F-4979-A7E7-6FC0A82E0C8E}" id="{65A4D071-FFC9-4F76-A690-E00C99D761F4}">
    <text>Reporting starts from Aug’24</text>
  </threadedComment>
  <threadedComment ref="X305" dT="2024-09-15T09:53:42.99" personId="{6777EDD4-E46F-4979-A7E7-6FC0A82E0C8E}" id="{8D8AED49-E452-471C-91BD-78ADDE61DDE7}">
    <text>Reporting starts from Aug’24</text>
  </threadedComment>
  <threadedComment ref="Y305" dT="2024-09-15T10:27:33.35" personId="{6777EDD4-E46F-4979-A7E7-6FC0A82E0C8E}" id="{A5318DDA-0282-4AEB-B733-5E0FF8D698C3}">
    <text>Validated</text>
  </threadedComment>
  <threadedComment ref="AA305" dT="2024-10-18T07:16:46.20" personId="{6777EDD4-E46F-4979-A7E7-6FC0A82E0C8E}" id="{779F28D8-4CA4-4890-A69B-D8E5586F994F}">
    <text xml:space="preserve"> Not Validated</text>
  </threadedComment>
  <threadedComment ref="AC305" dT="2024-10-18T07:16:46.20" personId="{6777EDD4-E46F-4979-A7E7-6FC0A82E0C8E}" id="{807F62ED-4420-4950-AB05-939E57676ECE}">
    <text xml:space="preserve"> Not Validated</text>
  </threadedComment>
  <threadedComment ref="AE305" dT="2024-10-18T07:16:46.20" personId="{6777EDD4-E46F-4979-A7E7-6FC0A82E0C8E}" id="{C2E9B947-9B6A-4921-88BF-F6A4EE64A27D}">
    <text xml:space="preserve"> Not Validated</text>
  </threadedComment>
  <threadedComment ref="AG305" dT="2024-12-17T12:01:24.20" personId="{E64216F0-4450-479D-85DE-7DC73CB6BF16}" id="{A5EE084F-6B46-4BA0-BD32-1D1500EDB82A}">
    <text>Validated</text>
  </threadedComment>
  <threadedComment ref="AI305" dT="2025-01-15T11:58:40.79" personId="{E64216F0-4450-479D-85DE-7DC73CB6BF16}" id="{48E3C32A-0727-465D-800C-27F99B5A503F}">
    <text>Validated</text>
  </threadedComment>
  <threadedComment ref="AM305" dT="2025-02-18T06:36:27.57" personId="{E64216F0-4450-479D-85DE-7DC73CB6BF16}" id="{C849435A-362B-474C-A5CE-044D5D257EFB}">
    <text>Validated</text>
  </threadedComment>
  <threadedComment ref="BK305" dT="2025-11-21T07:34:41.83" personId="{728803BD-3A25-4F6F-BA7C-1EDF8A148B73}" id="{9FFE9280-96D0-41AA-8EF0-A7016559D99F}">
    <text>No offers in Oct’25</text>
  </threadedComment>
  <threadedComment ref="W306" dT="2024-09-15T09:53:42.99" personId="{6777EDD4-E46F-4979-A7E7-6FC0A82E0C8E}" id="{23E3AE68-A408-462E-84E8-B4747EB9A7ED}">
    <text>Reporting starts from Aug’24</text>
  </threadedComment>
  <threadedComment ref="X306" dT="2024-09-15T09:53:42.99" personId="{6777EDD4-E46F-4979-A7E7-6FC0A82E0C8E}" id="{6CDC5A85-C369-4A28-9DAC-3457B3FF399B}">
    <text>Reporting starts from Aug’24</text>
  </threadedComment>
  <threadedComment ref="Y306" dT="2024-09-15T10:27:37.91" personId="{6777EDD4-E46F-4979-A7E7-6FC0A82E0C8E}" id="{98ACF85A-DA42-41B0-BEA4-020F7F7EE202}">
    <text>Validated</text>
  </threadedComment>
  <threadedComment ref="AA306" dT="2024-10-18T07:18:07.19" personId="{6777EDD4-E46F-4979-A7E7-6FC0A82E0C8E}" id="{3213B533-28BC-4DBA-A525-46BC3E4844B6}">
    <text xml:space="preserve"> Not Validated</text>
  </threadedComment>
  <threadedComment ref="AC306" dT="2024-10-18T07:18:07.19" personId="{6777EDD4-E46F-4979-A7E7-6FC0A82E0C8E}" id="{B6C380AF-EF99-4758-A790-5500C52D0BD6}">
    <text xml:space="preserve"> Not Validated</text>
  </threadedComment>
  <threadedComment ref="AE306" dT="2024-10-18T07:18:07.19" personId="{6777EDD4-E46F-4979-A7E7-6FC0A82E0C8E}" id="{A10A53C1-0EDD-451F-8154-6BED005E4FEA}">
    <text xml:space="preserve"> Not Validated</text>
  </threadedComment>
  <threadedComment ref="AG306" dT="2024-12-17T12:01:30.91" personId="{E64216F0-4450-479D-85DE-7DC73CB6BF16}" id="{55331B0C-D00F-4E14-9A77-5DBE512BF54E}">
    <text>Validated</text>
  </threadedComment>
  <threadedComment ref="AI306" dT="2025-01-15T11:58:48.91" personId="{E64216F0-4450-479D-85DE-7DC73CB6BF16}" id="{D41EF384-3263-49F9-93BB-4B55BDFDCD12}">
    <text>Validated</text>
  </threadedComment>
  <threadedComment ref="AM306" dT="2025-02-18T06:36:34.57" personId="{E64216F0-4450-479D-85DE-7DC73CB6BF16}" id="{03F3F54E-A003-4BC1-BDE2-0EB3077D2792}">
    <text>Validated</text>
  </threadedComment>
  <threadedComment ref="W307" dT="2024-09-15T09:53:42.99" personId="{6777EDD4-E46F-4979-A7E7-6FC0A82E0C8E}" id="{C099B51D-856B-4DEB-8C47-0C6E30D2935B}">
    <text>Reporting starts from Aug’24</text>
  </threadedComment>
  <threadedComment ref="X307" dT="2024-09-15T09:53:42.99" personId="{6777EDD4-E46F-4979-A7E7-6FC0A82E0C8E}" id="{00B17062-0CC6-49AF-887B-EE809A1575B6}">
    <text>Reporting starts from Aug’24</text>
  </threadedComment>
  <threadedComment ref="Y307" dT="2024-09-15T10:27:42.46" personId="{6777EDD4-E46F-4979-A7E7-6FC0A82E0C8E}" id="{5167CC58-8CAB-4BA6-89A7-AD73AE86AE39}">
    <text>Validated</text>
  </threadedComment>
  <threadedComment ref="AA307" dT="2024-10-18T07:18:14.39" personId="{6777EDD4-E46F-4979-A7E7-6FC0A82E0C8E}" id="{4B1766F0-E61D-4A66-A16B-9FCC06EDF011}">
    <text xml:space="preserve"> Not Validated</text>
  </threadedComment>
  <threadedComment ref="AC307" dT="2024-10-18T07:18:14.39" personId="{6777EDD4-E46F-4979-A7E7-6FC0A82E0C8E}" id="{3A4E1A19-69CA-4F52-AF7C-20448659CC0D}">
    <text xml:space="preserve"> Not Validated</text>
  </threadedComment>
  <threadedComment ref="AE307" dT="2024-10-18T07:18:14.39" personId="{6777EDD4-E46F-4979-A7E7-6FC0A82E0C8E}" id="{A8631A65-3A9C-4EAC-8280-B76348F99EF1}">
    <text xml:space="preserve"> Not Validated</text>
  </threadedComment>
  <threadedComment ref="AG307" dT="2024-12-17T12:01:35.82" personId="{E64216F0-4450-479D-85DE-7DC73CB6BF16}" id="{A0B1F3B5-400E-4355-BCA1-8AA719D2E317}">
    <text>Validated</text>
  </threadedComment>
  <threadedComment ref="AI307" dT="2025-01-15T11:58:54.75" personId="{E64216F0-4450-479D-85DE-7DC73CB6BF16}" id="{FF0A844D-0739-4369-9BF9-5D4A19E8B9BF}">
    <text>Validated</text>
  </threadedComment>
  <threadedComment ref="AM307" dT="2025-02-18T06:36:40.37" personId="{E64216F0-4450-479D-85DE-7DC73CB6BF16}" id="{68C64FFC-CA76-4072-B8E0-BA8392DA1F4F}">
    <text>Validated</text>
  </threadedComment>
  <threadedComment ref="W308" dT="2024-09-15T09:53:42.99" personId="{6777EDD4-E46F-4979-A7E7-6FC0A82E0C8E}" id="{28BA8480-577F-4C44-8493-EDDC17561AD1}">
    <text>Reporting starts from Aug’24</text>
  </threadedComment>
  <threadedComment ref="X308" dT="2024-09-15T09:53:42.99" personId="{6777EDD4-E46F-4979-A7E7-6FC0A82E0C8E}" id="{15F5F7F8-8C26-4114-B881-249FF16AAF30}">
    <text>Reporting starts from Aug’24</text>
  </threadedComment>
  <threadedComment ref="Y308" dT="2024-09-15T10:27:46.54" personId="{6777EDD4-E46F-4979-A7E7-6FC0A82E0C8E}" id="{DA6B6B44-5F53-4E19-B846-9B6A4F21CA4F}">
    <text>Validated</text>
  </threadedComment>
  <threadedComment ref="AA308" dT="2024-10-18T07:17:48.46" personId="{6777EDD4-E46F-4979-A7E7-6FC0A82E0C8E}" id="{2EDD95D0-76AE-403E-839D-437700A93D2E}">
    <text xml:space="preserve"> Not Validated</text>
  </threadedComment>
  <threadedComment ref="AC308" dT="2024-10-18T07:17:48.46" personId="{6777EDD4-E46F-4979-A7E7-6FC0A82E0C8E}" id="{0FAB44C2-A2B4-47E1-AF4C-D3C7ECEBA750}">
    <text xml:space="preserve"> Not Validated</text>
  </threadedComment>
  <threadedComment ref="AE308" dT="2024-10-18T07:17:48.46" personId="{6777EDD4-E46F-4979-A7E7-6FC0A82E0C8E}" id="{C4CCA427-5F1D-4512-B72A-4EFE542AFA5E}">
    <text xml:space="preserve"> Not Validated</text>
  </threadedComment>
  <threadedComment ref="AG308" dT="2024-12-17T12:01:40.60" personId="{E64216F0-4450-479D-85DE-7DC73CB6BF16}" id="{648C459D-B4B5-4AAC-84E7-0EB069F0E269}">
    <text>Validated</text>
  </threadedComment>
  <threadedComment ref="AI308" dT="2025-01-15T11:59:00.26" personId="{E64216F0-4450-479D-85DE-7DC73CB6BF16}" id="{7EAF7B9F-BCF9-4471-A524-D11222E14064}">
    <text>Validated</text>
  </threadedComment>
  <threadedComment ref="AM308" dT="2025-02-18T06:26:43.91" personId="{E64216F0-4450-479D-85DE-7DC73CB6BF16}" id="{210F503E-D812-49AB-BBA0-4E4C1D5150FC}">
    <text>No offers accepted for band 3</text>
  </threadedComment>
  <threadedComment ref="BK308" dT="2025-11-21T07:34:41.83" personId="{728803BD-3A25-4F6F-BA7C-1EDF8A148B73}" id="{7D16B4CB-6E84-44A2-8A21-5778E26238AD}">
    <text>No offers in Oct’25</text>
  </threadedComment>
  <threadedComment ref="BS308" dT="2026-02-20T11:47:59.45" personId="{728803BD-3A25-4F6F-BA7C-1EDF8A148B73}" id="{0857B66A-D688-49F0-A4E5-5A9B0B17A524}">
    <text xml:space="preserve">No Candidate offered for this band </text>
  </threadedComment>
  <threadedComment ref="W309" dT="2024-09-15T09:53:42.99" personId="{6777EDD4-E46F-4979-A7E7-6FC0A82E0C8E}" id="{8942FBB6-BDE6-4DDA-9B1E-FE774F9F9812}">
    <text>Reporting starts from Aug’24</text>
  </threadedComment>
  <threadedComment ref="X309" dT="2024-09-15T09:53:42.99" personId="{6777EDD4-E46F-4979-A7E7-6FC0A82E0C8E}" id="{767B9F8C-AB63-403E-91B8-14ACB7E58B54}">
    <text>Reporting starts from Aug’24</text>
  </threadedComment>
  <threadedComment ref="Y309" dT="2024-09-15T10:27:50.65" personId="{6777EDD4-E46F-4979-A7E7-6FC0A82E0C8E}" id="{6E8595C5-586A-4CE6-85D7-99A93917D8EB}">
    <text>Validated</text>
  </threadedComment>
  <threadedComment ref="AA309" dT="2024-10-18T07:17:37.07" personId="{6777EDD4-E46F-4979-A7E7-6FC0A82E0C8E}" id="{37B82372-120E-425A-9CEA-04F711270B2A}">
    <text xml:space="preserve"> Not Validated</text>
  </threadedComment>
  <threadedComment ref="AC309" dT="2024-10-18T07:16:38.76" personId="{6777EDD4-E46F-4979-A7E7-6FC0A82E0C8E}" id="{4A89608B-1500-4F77-A80F-69CA43C467AF}">
    <text xml:space="preserve"> Not Validated</text>
  </threadedComment>
  <threadedComment ref="AE309" dT="2024-10-18T07:16:38.76" personId="{6777EDD4-E46F-4979-A7E7-6FC0A82E0C8E}" id="{3CD15B24-8579-4733-B37F-35ECE1159967}">
    <text xml:space="preserve"> Not Validated</text>
  </threadedComment>
  <threadedComment ref="AG309" dT="2024-12-17T12:01:46.02" personId="{E64216F0-4450-479D-85DE-7DC73CB6BF16}" id="{B45CAE87-2A24-4797-83E7-A4BC88A7DF90}">
    <text>Validated</text>
  </threadedComment>
  <threadedComment ref="AI309" dT="2025-01-15T11:59:27.25" personId="{E64216F0-4450-479D-85DE-7DC73CB6BF16}" id="{FA02F410-A887-4298-92ED-1D05CBCB43FD}">
    <text xml:space="preserve">No Offers    accepted for Band 2
</text>
  </threadedComment>
  <threadedComment ref="AM309" dT="2025-02-18T06:26:53.95" personId="{E64216F0-4450-479D-85DE-7DC73CB6BF16}" id="{32167A7F-7B4C-4376-B595-9C38BE9EB524}">
    <text>No offers accepted for band 2</text>
  </threadedComment>
  <threadedComment ref="AQ309" dT="2025-04-17T05:21:36.04" personId="{728803BD-3A25-4F6F-BA7C-1EDF8A148B73}" id="{314A05C6-2D18-4ECD-AFC0-CDEDA5468744}">
    <text>No Offers for band 2 in JFM’25</text>
  </threadedComment>
  <threadedComment ref="AR309" dT="2025-04-17T05:21:36.04" personId="{728803BD-3A25-4F6F-BA7C-1EDF8A148B73}" id="{65A9CDEC-970D-4769-995F-62AC2CBF5DA5}">
    <text>No Offers for band 2 in JFM’25</text>
  </threadedComment>
  <threadedComment ref="AS309" dT="2025-04-17T05:21:36.04" personId="{728803BD-3A25-4F6F-BA7C-1EDF8A148B73}" id="{986CDC5A-51DA-4547-BD02-1F4B16DAEFA5}">
    <text>No Offers for band 2 in JFM’25</text>
  </threadedComment>
  <threadedComment ref="AT309" dT="2025-04-17T05:21:36.04" personId="{728803BD-3A25-4F6F-BA7C-1EDF8A148B73}" id="{65A5BEB7-D856-44A6-8619-A5A2A27D51E3}">
    <text>No Offers for band 2 in JFM’25</text>
  </threadedComment>
  <threadedComment ref="AW309" dT="2025-06-19T07:59:25.93" personId="{728803BD-3A25-4F6F-BA7C-1EDF8A148B73}" id="{6E49F3BB-0219-460B-82A1-DEC9FB9EEE90}">
    <text>No offers for Band 2 candidates</text>
  </threadedComment>
  <threadedComment ref="AX309" dT="2025-06-19T07:59:25.93" personId="{728803BD-3A25-4F6F-BA7C-1EDF8A148B73}" id="{D8407E46-2AEA-433F-B0D7-FC305DB8189C}">
    <text>No offers for Band 2 candidates</text>
  </threadedComment>
  <threadedComment ref="AY309" dT="2025-06-19T07:59:25.93" personId="{728803BD-3A25-4F6F-BA7C-1EDF8A148B73}" id="{02A1D596-36AC-4670-92E2-CF488AB554F3}">
    <text>No offers for Band 2 candidates</text>
  </threadedComment>
  <threadedComment ref="AZ309" dT="2025-06-19T07:59:25.93" personId="{728803BD-3A25-4F6F-BA7C-1EDF8A148B73}" id="{377B735B-B2A1-41D3-8171-B2DDCCD36781}">
    <text>No offers for Band 2 candidates</text>
  </threadedComment>
  <threadedComment ref="BA309" dT="2025-06-19T07:59:25.93" personId="{728803BD-3A25-4F6F-BA7C-1EDF8A148B73}" id="{7695F677-F21A-48A2-B94E-ADC0948B3A81}">
    <text>No offers for Band 2 candidates</text>
  </threadedComment>
  <threadedComment ref="BB309" dT="2025-06-19T07:59:25.93" personId="{728803BD-3A25-4F6F-BA7C-1EDF8A148B73}" id="{79E6939C-2FD5-4481-B397-34A0426A929E}">
    <text>No offers for Band 2 candidates</text>
  </threadedComment>
  <threadedComment ref="BK309" dT="2025-11-21T07:34:41.83" personId="{728803BD-3A25-4F6F-BA7C-1EDF8A148B73}" id="{C9ACF3EB-7697-46B5-8223-D66EB6E49EE7}">
    <text>No offers in Oct’25</text>
  </threadedComment>
  <threadedComment ref="BS309" dT="2026-02-20T11:47:59.45" personId="{728803BD-3A25-4F6F-BA7C-1EDF8A148B73}" id="{B67E660B-5DC7-440B-9A8E-B888A6007593}">
    <text xml:space="preserve">No Candidate offered for this band </text>
  </threadedComment>
  <threadedComment ref="L310" dT="2024-09-15T09:56:36.87" personId="{6777EDD4-E46F-4979-A7E7-6FC0A82E0C8E}" id="{EAB70703-0E2A-44C8-B0B7-D5287C2749F0}">
    <text>Target change from 45 Days to &lt;=20%</text>
  </threadedComment>
  <threadedComment ref="M310" dT="2024-09-15T09:56:36.87" personId="{6777EDD4-E46F-4979-A7E7-6FC0A82E0C8E}" id="{C28EDE3E-1B5C-46AF-918F-FAEC7A16990D}">
    <text>Target change from 45 Days to &lt;=20%</text>
  </threadedComment>
  <threadedComment ref="S310" dT="2024-06-15T08:22:17.51" personId="{6777EDD4-E46F-4979-A7E7-6FC0A82E0C8E}" id="{E14AD682-D9AF-44E3-91EF-4A729237D93F}">
    <text>Backup file as entire data is on customer laptop and we have a clause to not share any data outside SBI Intranet.</text>
  </threadedComment>
  <threadedComment ref="U310" dT="2024-06-15T08:22:17.51" personId="{6777EDD4-E46F-4979-A7E7-6FC0A82E0C8E}" id="{05B06914-FD78-40CE-832D-BB5FA91E58E5}">
    <text>Backup file as entire data is on customer laptop and we have a clause to not share any data outside SBI Intranet.</text>
  </threadedComment>
  <threadedComment ref="W310" dT="2024-06-15T08:22:17.51" personId="{6777EDD4-E46F-4979-A7E7-6FC0A82E0C8E}" id="{9A18350D-43A8-4A1D-8ECB-2428B162FB95}">
    <text>Backup file as entire data is on customer laptop and we have a clause to not share any data outside SBI Intranet.</text>
  </threadedComment>
  <threadedComment ref="Y310" dT="2024-09-15T10:26:16.83" personId="{6777EDD4-E46F-4979-A7E7-6FC0A82E0C8E}" id="{5BC261B3-497C-4FFA-A5AB-771A4AF3CDE4}">
    <text>Not Validated because Ops not having backfile to share. But approved by PH</text>
  </threadedComment>
  <threadedComment ref="AA310" dT="2024-10-18T07:17:27.05" personId="{6777EDD4-E46F-4979-A7E7-6FC0A82E0C8E}" id="{CEF5F2ED-A775-4588-890C-990435092AA3}">
    <text xml:space="preserve"> Not Validated</text>
  </threadedComment>
  <threadedComment ref="AC310" dT="2024-10-18T07:17:27.05" personId="{6777EDD4-E46F-4979-A7E7-6FC0A82E0C8E}" id="{9B853D8C-F643-45C7-A0FD-4277FF243228}">
    <text xml:space="preserve"> Not Validated</text>
  </threadedComment>
  <threadedComment ref="AE310" dT="2024-10-18T07:17:27.05" personId="{6777EDD4-E46F-4979-A7E7-6FC0A82E0C8E}" id="{44EC6CE7-5A0B-4AB0-9201-B966EC003321}">
    <text xml:space="preserve"> Not Validated</text>
  </threadedComment>
  <threadedComment ref="S311" dT="2024-06-15T08:22:30.24" personId="{6777EDD4-E46F-4979-A7E7-6FC0A82E0C8E}" id="{1D75ABBC-3A46-45AD-B018-000C96626B4C}">
    <text>Backup file as entire data is on customer laptop and we have a clause to not share any data outside SBI Intranet.</text>
  </threadedComment>
  <threadedComment ref="U311" dT="2024-06-15T08:22:30.24" personId="{6777EDD4-E46F-4979-A7E7-6FC0A82E0C8E}" id="{27F12950-F68C-40F7-956C-A61AD12FB731}">
    <text>Backup file as entire data is on customer laptop and we have a clause to not share any data outside SBI Intranet.</text>
  </threadedComment>
  <threadedComment ref="W311" dT="2024-06-15T08:22:30.24" personId="{6777EDD4-E46F-4979-A7E7-6FC0A82E0C8E}" id="{38857F9C-0753-4618-97A4-289491043B3A}">
    <text>Backup file as entire data is on customer laptop and we have a clause to not share any data outside SBI Intranet.</text>
  </threadedComment>
  <threadedComment ref="Y311" dT="2024-09-15T10:26:16.83" personId="{6777EDD4-E46F-4979-A7E7-6FC0A82E0C8E}" id="{2549BD4B-1F20-418B-957E-816EBD5EC1AF}">
    <text>Not Validated because Ops not having backfile to share. But approved by PH</text>
  </threadedComment>
  <threadedComment ref="AA311" dT="2024-10-18T07:17:19.59" personId="{6777EDD4-E46F-4979-A7E7-6FC0A82E0C8E}" id="{521A5240-4674-4591-B13C-063E1B1DB002}">
    <text xml:space="preserve"> Not Validated</text>
  </threadedComment>
  <threadedComment ref="AC311" dT="2024-10-18T07:17:19.59" personId="{6777EDD4-E46F-4979-A7E7-6FC0A82E0C8E}" id="{6D8602CA-31BC-4BB6-8E79-F9D3D947F1D0}">
    <text xml:space="preserve"> Not Validated</text>
  </threadedComment>
  <threadedComment ref="AE311" dT="2024-10-18T07:17:19.59" personId="{6777EDD4-E46F-4979-A7E7-6FC0A82E0C8E}" id="{5EA91306-6EBA-4357-AA47-1D60DD154C54}">
    <text xml:space="preserve"> Not Validated</text>
  </threadedComment>
  <threadedComment ref="S312" dT="2024-06-15T08:22:35.54" personId="{6777EDD4-E46F-4979-A7E7-6FC0A82E0C8E}" id="{B380A4E3-7503-4CB4-B3BA-DB3FCE01F8A5}">
    <text>Backup file as entire data is on customer laptop and we have a clause to not share any data outside SBI Intranet.</text>
  </threadedComment>
  <threadedComment ref="U312" dT="2024-06-15T08:22:35.54" personId="{6777EDD4-E46F-4979-A7E7-6FC0A82E0C8E}" id="{A268F6D7-FB69-48F5-8899-1DD65ADF376B}">
    <text>Backup file as entire data is on customer laptop and we have a clause to not share any data outside SBI Intranet.</text>
  </threadedComment>
  <threadedComment ref="W312" dT="2024-06-15T08:22:35.54" personId="{6777EDD4-E46F-4979-A7E7-6FC0A82E0C8E}" id="{A3BE2D16-7390-44C8-A49D-83A61E120E38}">
    <text>Backup file as entire data is on customer laptop and we have a clause to not share any data outside SBI Intranet.</text>
  </threadedComment>
  <threadedComment ref="Y312" dT="2024-09-15T09:57:33.48" personId="{6777EDD4-E46F-4979-A7E7-6FC0A82E0C8E}" id="{46BA43C6-C3B1-4024-960B-EE17E8A09133}">
    <text>Client doesn’t want to measure.</text>
  </threadedComment>
  <threadedComment ref="Z312" dT="2024-09-15T09:57:33.48" personId="{6777EDD4-E46F-4979-A7E7-6FC0A82E0C8E}" id="{6CFE9498-B466-4D65-98DE-B6EF18F0A876}">
    <text>Client doesn’t want to measure.</text>
  </threadedComment>
  <threadedComment ref="AA312" dT="2024-09-15T09:57:33.48" personId="{6777EDD4-E46F-4979-A7E7-6FC0A82E0C8E}" id="{3CF41CFC-8C7D-4DB8-81BE-699C93B572C2}">
    <text>Client doesn’t want to measure.</text>
  </threadedComment>
  <threadedComment ref="AB312" dT="2024-09-15T09:57:33.48" personId="{6777EDD4-E46F-4979-A7E7-6FC0A82E0C8E}" id="{CD358920-9A22-4167-91F8-FB68B4BDA5EE}">
    <text>Client doesn’t want to measure.</text>
  </threadedComment>
  <threadedComment ref="AC312" dT="2024-09-15T09:57:33.48" personId="{6777EDD4-E46F-4979-A7E7-6FC0A82E0C8E}" id="{7D4A6554-1714-402A-B476-606772EB99BA}">
    <text>Client doesn’t want to measure.</text>
  </threadedComment>
  <threadedComment ref="AD312" dT="2024-09-15T09:57:33.48" personId="{6777EDD4-E46F-4979-A7E7-6FC0A82E0C8E}" id="{433C0A48-C7B5-4BAA-A703-FE6C15919A0D}">
    <text>Client doesn’t want to measure.</text>
  </threadedComment>
  <threadedComment ref="AE312" dT="2024-09-15T09:57:33.48" personId="{6777EDD4-E46F-4979-A7E7-6FC0A82E0C8E}" id="{C31642E7-5FFA-4630-95EB-A5826E2DDE96}">
    <text>Client doesn’t want to measure.</text>
  </threadedComment>
  <threadedComment ref="AF312" dT="2024-09-15T09:57:33.48" personId="{6777EDD4-E46F-4979-A7E7-6FC0A82E0C8E}" id="{3753FB18-91B1-4901-85EC-D6915DA72721}">
    <text>Client doesn’t want to measure.</text>
  </threadedComment>
  <threadedComment ref="S313" dT="2024-06-15T08:22:40.32" personId="{6777EDD4-E46F-4979-A7E7-6FC0A82E0C8E}" id="{D826DE5F-78C4-4387-ADFA-5F6C63AB0FED}">
    <text>Backup file as entire data is on customer laptop and we have a clause to not share any data outside SBI Intranet.</text>
  </threadedComment>
  <threadedComment ref="U313" dT="2024-06-15T08:22:40.32" personId="{6777EDD4-E46F-4979-A7E7-6FC0A82E0C8E}" id="{4D1D2E95-1A97-4068-B80F-83C7EB3CADBC}">
    <text>Backup file as entire data is on customer laptop and we have a clause to not share any data outside SBI Intranet.</text>
  </threadedComment>
  <threadedComment ref="W313" dT="2024-06-15T08:22:40.32" personId="{6777EDD4-E46F-4979-A7E7-6FC0A82E0C8E}" id="{3FF4A6B2-83FA-4728-8972-FC4286F81A10}">
    <text>Backup file as entire data is on customer laptop and we have a clause to not share any data outside SBI Intranet.</text>
  </threadedComment>
  <threadedComment ref="Y313" dT="2024-09-15T10:26:16.83" personId="{6777EDD4-E46F-4979-A7E7-6FC0A82E0C8E}" id="{FF3E2A3B-F42F-4501-AD63-6F7FC41A5A0D}">
    <text>Not Validated because Ops not having backfile to share. But approved by PH</text>
  </threadedComment>
  <threadedComment ref="AA313" dT="2024-10-18T07:17:07.73" personId="{6777EDD4-E46F-4979-A7E7-6FC0A82E0C8E}" id="{6819B385-91DE-4C51-9F1F-385522801DE7}">
    <text xml:space="preserve"> Not Validated</text>
  </threadedComment>
  <threadedComment ref="AC313" dT="2024-10-18T07:17:07.73" personId="{6777EDD4-E46F-4979-A7E7-6FC0A82E0C8E}" id="{79A7AF9C-D093-4AB9-8E8B-630A250A3979}">
    <text xml:space="preserve"> Not Validated</text>
  </threadedComment>
  <threadedComment ref="AE313" dT="2024-10-18T07:17:07.73" personId="{6777EDD4-E46F-4979-A7E7-6FC0A82E0C8E}" id="{EAB3A56C-AF0A-4939-8318-28A046A31CE5}">
    <text xml:space="preserve"> Not Validated</text>
  </threadedComment>
  <threadedComment ref="AG313" dT="2024-12-17T12:01:10.63" personId="{E64216F0-4450-479D-85DE-7DC73CB6BF16}" id="{7D605F04-3ECF-4CA5-9919-574A36BB72D9}">
    <text>Validated</text>
  </threadedComment>
  <threadedComment ref="AI313" dT="2025-01-14T20:29:21.85" personId="{E64216F0-4450-479D-85DE-7DC73CB6BF16}" id="{8D7E7D70-39D7-4973-BA4F-09D37E27B8CB}">
    <text>Validated</text>
  </threadedComment>
  <threadedComment ref="S314" dT="2024-06-15T08:22:45.36" personId="{6777EDD4-E46F-4979-A7E7-6FC0A82E0C8E}" id="{BB74984B-A080-4C37-9C12-085B1653FC03}">
    <text>Backup file as entire data is on customer laptop and we have a clause to not share any data outside SBI Intranet.</text>
  </threadedComment>
  <threadedComment ref="U314" dT="2024-06-15T08:22:45.36" personId="{6777EDD4-E46F-4979-A7E7-6FC0A82E0C8E}" id="{0101666A-4E48-4370-8538-77FFB44D1C87}">
    <text>Backup file as entire data is on customer laptop and we have a clause to not share any data outside SBI Intranet.</text>
  </threadedComment>
  <threadedComment ref="W314" dT="2024-06-15T08:22:45.36" personId="{6777EDD4-E46F-4979-A7E7-6FC0A82E0C8E}" id="{7DE0DCE4-C2FB-47C5-92D0-9FC8F51E2946}">
    <text>Backup file as entire data is on customer laptop and we have a clause to not share any data outside SBI Intranet.</text>
  </threadedComment>
  <threadedComment ref="Y314" dT="2024-09-15T10:23:24.00" personId="{6777EDD4-E46F-4979-A7E7-6FC0A82E0C8E}" id="{71610367-FB17-468F-9A96-F052A4AB139C}">
    <text>As discussed PH, it will measure Quarterly</text>
  </threadedComment>
  <threadedComment ref="Z314" dT="2024-09-15T10:23:24.00" personId="{6777EDD4-E46F-4979-A7E7-6FC0A82E0C8E}" id="{C6FE6023-C416-4759-B825-E812E0FFF47A}">
    <text>As discussed PH, it will measure Quarterly</text>
  </threadedComment>
  <threadedComment ref="AA314" dT="2024-10-18T07:17:01.75" personId="{6777EDD4-E46F-4979-A7E7-6FC0A82E0C8E}" id="{5BE21F6B-5C86-4CCC-B227-5307D2E028FC}">
    <text xml:space="preserve"> Not Validated</text>
  </threadedComment>
  <threadedComment ref="AC314" dT="2024-10-18T07:17:01.75" personId="{6777EDD4-E46F-4979-A7E7-6FC0A82E0C8E}" id="{C311CCE6-86A4-4D8B-8EE0-2F75E1509C68}">
    <text xml:space="preserve"> Not Validated</text>
  </threadedComment>
  <threadedComment ref="AE314" dT="2024-09-15T09:57:33.48" personId="{6777EDD4-E46F-4979-A7E7-6FC0A82E0C8E}" id="{58E67880-F420-4A2C-ABB6-8AB152E9A0A1}">
    <text>Client doesn’t want to measure.</text>
  </threadedComment>
  <threadedComment ref="AF314" dT="2024-09-15T09:57:33.48" personId="{6777EDD4-E46F-4979-A7E7-6FC0A82E0C8E}" id="{AC7E07B5-F144-4BE5-A5E6-A07244634141}">
    <text>Client doesn’t want to measure.</text>
  </threadedComment>
  <threadedComment ref="AG314" dT="2024-12-17T11:52:25.65" personId="{E64216F0-4450-479D-85DE-7DC73CB6BF16}" id="{AADDE9DB-277C-45E3-B11E-DE643450D502}">
    <text>Quarterly basis</text>
  </threadedComment>
  <threadedComment ref="Q315" dT="2024-05-12T06:54:46.11" personId="{6777EDD4-E46F-4979-A7E7-6FC0A82E0C8E}" id="{9233C0E6-8F8C-4F53-A8FF-2A72221BE276}">
    <text>Not Validated because base file not able to understand</text>
  </threadedComment>
  <threadedComment ref="S315" dT="2024-05-12T06:54:46.11" personId="{6777EDD4-E46F-4979-A7E7-6FC0A82E0C8E}" id="{726D3504-09C2-49EA-91F2-1F5B736C862F}">
    <text>Not Validated because base file not able to understand</text>
  </threadedComment>
  <threadedComment ref="U315" dT="2024-05-12T06:54:46.11" personId="{6777EDD4-E46F-4979-A7E7-6FC0A82E0C8E}" id="{AC5B46B4-FFEF-4F75-8FBE-FE4055B44FB7}">
    <text>Not Validated because base file not able to understand</text>
  </threadedComment>
  <threadedComment ref="Y315" dT="2024-09-15T08:51:38.64" personId="{6777EDD4-E46F-4979-A7E7-6FC0A82E0C8E}" id="{E4B9B822-F0D4-4CEC-A1B8-A78EE3FE43E5}">
    <text>The data has not been validated because the base file was incorrect and incomplete. Therefore, I am reporting the same figures that he has reported.</text>
  </threadedComment>
  <threadedComment ref="AA315" dT="2024-09-15T08:52:20.39" personId="{6777EDD4-E46F-4979-A7E7-6FC0A82E0C8E}" id="{5756DFFC-3DDE-44F3-A4EA-D85C634E7F3D}">
    <text>The data has not been validated because the base file was incorrect and incomplete. Therefore, I am reporting the same figures that he has reported.</text>
  </threadedComment>
  <threadedComment ref="AC315" dT="2024-09-15T08:52:20.39" personId="{6777EDD4-E46F-4979-A7E7-6FC0A82E0C8E}" id="{FE256A06-2981-4400-A073-C0D7DEF1F3DA}">
    <text>The data has not been validated because the base file was incorrect and incomplete. Therefore, I am reporting the same figures that he has reported.</text>
  </threadedComment>
  <threadedComment ref="AE315" dT="2024-09-15T08:52:20.39" personId="{6777EDD4-E46F-4979-A7E7-6FC0A82E0C8E}" id="{65D5229B-C2F5-4650-8385-5715218CF61E}">
    <text>The data has not been validated because the base file was incorrect and incomplete. Therefore, I am reporting the same figures that he has reported.</text>
  </threadedComment>
  <threadedComment ref="AW315" dT="2025-06-20T07:50:59.57" personId="{1798D1B1-3098-46B1-91A2-D4C92B7E122A}" id="{8434FCEF-98D9-4C73-B1B7-4F53DF8869C3}">
    <text>15 offers</text>
  </threadedComment>
  <threadedComment ref="BE315" dT="2025-09-25T09:38:45.82" personId="{1798D1B1-3098-46B1-91A2-D4C92B7E122A}" id="{1B065FC3-0012-4999-8404-C891DBF3371B}">
    <text>Validated</text>
  </threadedComment>
  <threadedComment ref="Q316" dT="2024-05-12T06:54:46.11" personId="{6777EDD4-E46F-4979-A7E7-6FC0A82E0C8E}" id="{3454EF1D-3525-4931-A497-BC9C729C7667}">
    <text>Not Validated because base file not able to understand</text>
  </threadedComment>
  <threadedComment ref="S316" dT="2024-05-12T06:54:46.11" personId="{6777EDD4-E46F-4979-A7E7-6FC0A82E0C8E}" id="{172BDEAB-6F9A-4907-B053-56CDFEED7D6A}">
    <text>Not Validated because base file not able to understand</text>
  </threadedComment>
  <threadedComment ref="U316" dT="2024-05-12T06:54:46.11" personId="{6777EDD4-E46F-4979-A7E7-6FC0A82E0C8E}" id="{4D858974-A308-4157-998B-B5C45B67FFE7}">
    <text>Not Validated because base file not able to understand</text>
  </threadedComment>
  <threadedComment ref="Y316" dT="2024-09-15T08:51:43.27" personId="{6777EDD4-E46F-4979-A7E7-6FC0A82E0C8E}" id="{2BBBD5EC-5507-4C1E-895D-8CB5B40A710A}">
    <text>The data has not been validated because the base file was incorrect and incomplete. Therefore, I am reporting the same figures that he has reported.</text>
  </threadedComment>
  <threadedComment ref="AA316" dT="2024-09-15T08:52:54.04" personId="{6777EDD4-E46F-4979-A7E7-6FC0A82E0C8E}" id="{253D867C-078F-44C1-ACE9-033D36E1C96E}">
    <text>The data has not been validated because the base file was incorrect and incomplete. Therefore, I am reporting the same figures that he has reported.</text>
  </threadedComment>
  <threadedComment ref="AC316" dT="2024-09-15T08:52:54.04" personId="{6777EDD4-E46F-4979-A7E7-6FC0A82E0C8E}" id="{6A76A614-7F19-4CEA-997B-EB5D950D7D7C}">
    <text>The data has not been validated because the base file was incorrect and incomplete. Therefore, I am reporting the same figures that he has reported.</text>
  </threadedComment>
  <threadedComment ref="AE316" dT="2024-09-15T08:52:54.04" personId="{6777EDD4-E46F-4979-A7E7-6FC0A82E0C8E}" id="{12F03D5A-022E-4DED-A78A-5D8ACFE3FD2B}">
    <text>The data has not been validated because the base file was incorrect and incomplete. Therefore, I am reporting the same figures that he has reported.</text>
  </threadedComment>
  <threadedComment ref="AW316" dT="2025-06-19T10:35:56.54" personId="{1798D1B1-3098-46B1-91A2-D4C92B7E122A}" id="{FC16BA56-3FE0-4F5C-A1F4-3845D405C3E1}">
    <text>15 joiners</text>
  </threadedComment>
  <threadedComment ref="BE316" dT="2025-09-25T09:38:49.25" personId="{1798D1B1-3098-46B1-91A2-D4C92B7E122A}" id="{DC30819A-F43E-4498-AF04-65A5B1AC8681}">
    <text>Validated</text>
  </threadedComment>
  <threadedComment ref="Q317" dT="2024-05-12T06:54:46.11" personId="{6777EDD4-E46F-4979-A7E7-6FC0A82E0C8E}" id="{D74820F9-DA9E-4A00-91A8-FD964F17B629}">
    <text>Not Validated because base file not able to understand</text>
  </threadedComment>
  <threadedComment ref="S317" dT="2024-05-12T06:54:46.11" personId="{6777EDD4-E46F-4979-A7E7-6FC0A82E0C8E}" id="{7063E8D3-E008-4FCF-86E6-8190237E5B7F}">
    <text>Not Validated because base file not able to understand</text>
  </threadedComment>
  <threadedComment ref="U317" dT="2024-05-12T06:54:46.11" personId="{6777EDD4-E46F-4979-A7E7-6FC0A82E0C8E}" id="{7AF863D3-5B08-41E4-915E-29B6ECCC06FE}">
    <text>Not Validated because base file not able to understand</text>
  </threadedComment>
  <threadedComment ref="Y317" dT="2024-09-15T08:51:47.86" personId="{6777EDD4-E46F-4979-A7E7-6FC0A82E0C8E}" id="{7485D642-1F83-4B42-A854-BE318F9E9266}">
    <text>The data has not been validated because the base file was incorrect and incomplete. Therefore, I am reporting the same figures that he has reported.</text>
  </threadedComment>
  <threadedComment ref="AA317" dT="2024-09-15T08:52:49.08" personId="{6777EDD4-E46F-4979-A7E7-6FC0A82E0C8E}" id="{7FFAAFFD-C3CD-4EC3-9CE1-F785D14F0CEE}">
    <text>The data has not been validated because the base file was incorrect and incomplete. Therefore, I am reporting the same figures that he has reported.</text>
  </threadedComment>
  <threadedComment ref="AC317" dT="2024-09-15T08:52:49.08" personId="{6777EDD4-E46F-4979-A7E7-6FC0A82E0C8E}" id="{393C13E5-E261-4D33-B7C3-4EDD115053B1}">
    <text>The data has not been validated because the base file was incorrect and incomplete. Therefore, I am reporting the same figures that he has reported.</text>
  </threadedComment>
  <threadedComment ref="AE317" dT="2024-09-15T08:52:49.08" personId="{6777EDD4-E46F-4979-A7E7-6FC0A82E0C8E}" id="{104FEE01-11E4-473D-97DF-B5C7143243DC}">
    <text>The data has not been validated because the base file was incorrect and incomplete. Therefore, I am reporting the same figures that he has reported.</text>
  </threadedComment>
  <threadedComment ref="Q318" dT="2024-05-12T06:54:46.11" personId="{6777EDD4-E46F-4979-A7E7-6FC0A82E0C8E}" id="{C5A5CD58-7045-4B52-B566-815E18DF8F01}">
    <text>Not Validated because base file not able to understand</text>
  </threadedComment>
  <threadedComment ref="S318" dT="2024-05-12T06:54:46.11" personId="{6777EDD4-E46F-4979-A7E7-6FC0A82E0C8E}" id="{8DF1360F-8FE6-4FCD-9062-09F36B38EEA5}">
    <text>Not Validated because base file not able to understand</text>
  </threadedComment>
  <threadedComment ref="U318" dT="2024-05-12T06:54:46.11" personId="{6777EDD4-E46F-4979-A7E7-6FC0A82E0C8E}" id="{E32DD5BE-18B5-4F70-B37A-92A09E6208FF}">
    <text>Not Validated because base file not able to understand</text>
  </threadedComment>
  <threadedComment ref="Y318" dT="2024-09-15T08:51:52.52" personId="{6777EDD4-E46F-4979-A7E7-6FC0A82E0C8E}" id="{1A4E9B45-C7F2-4B6F-BBAC-EAB8C6713526}">
    <text>The data has not been validated because the base file was incorrect and incomplete. Therefore, I am reporting the same figures that he has reported.</text>
  </threadedComment>
  <threadedComment ref="AA318" dT="2024-09-15T08:52:44.46" personId="{6777EDD4-E46F-4979-A7E7-6FC0A82E0C8E}" id="{3AEF5B27-D7AE-43E3-AC9C-DF805DE48BEB}">
    <text>The data has not been validated because the base file was incorrect and incomplete. Therefore, I am reporting the same figures that he has reported.</text>
  </threadedComment>
  <threadedComment ref="AC318" dT="2024-09-15T08:52:44.46" personId="{6777EDD4-E46F-4979-A7E7-6FC0A82E0C8E}" id="{27B3F315-38D0-43DF-97DC-78C04ADCAEB4}">
    <text>The data has not been validated because the base file was incorrect and incomplete. Therefore, I am reporting the same figures that he has reported.</text>
  </threadedComment>
  <threadedComment ref="AE318" dT="2024-09-15T08:52:44.46" personId="{6777EDD4-E46F-4979-A7E7-6FC0A82E0C8E}" id="{76827F16-0CE2-460A-B3D4-8CE3B6A12159}">
    <text>The data has not been validated because the base file was incorrect and incomplete. Therefore, I am reporting the same figures that he has reported.</text>
  </threadedComment>
  <threadedComment ref="AW318" dT="2025-06-20T08:12:41.54" personId="{1798D1B1-3098-46B1-91A2-D4C92B7E122A}" id="{6341A3C6-C973-4D44-AAF7-5AB605815DBF}">
    <text>82cvs shortlisted and 109 CVs shared</text>
  </threadedComment>
  <threadedComment ref="BE318" dT="2025-09-25T09:38:51.95" personId="{1798D1B1-3098-46B1-91A2-D4C92B7E122A}" id="{B428E9A8-83AD-4999-9799-A26FE17F75E5}">
    <text>Validated</text>
  </threadedComment>
  <threadedComment ref="Q319" dT="2024-05-12T06:54:46.11" personId="{6777EDD4-E46F-4979-A7E7-6FC0A82E0C8E}" id="{DA50457F-29FD-41B1-8042-D97411037441}">
    <text>Not Validated because base file not able to understand</text>
  </threadedComment>
  <threadedComment ref="S319" dT="2024-05-12T06:54:46.11" personId="{6777EDD4-E46F-4979-A7E7-6FC0A82E0C8E}" id="{C0A25187-B045-4005-AD3B-455031A17694}">
    <text>Not Validated because base file not able to understand</text>
  </threadedComment>
  <threadedComment ref="U319" dT="2024-05-12T06:54:46.11" personId="{6777EDD4-E46F-4979-A7E7-6FC0A82E0C8E}" id="{74E9A5DE-898D-429B-8287-817966EC85CB}">
    <text>Not Validated because base file not able to understand</text>
  </threadedComment>
  <threadedComment ref="Y319" dT="2024-09-15T08:51:57.52" personId="{6777EDD4-E46F-4979-A7E7-6FC0A82E0C8E}" id="{45239B00-0329-4758-806A-05E448AE5325}">
    <text>The data has not been validated because the base file was incorrect and incomplete. Therefore, I am reporting the same figures that he has reported.</text>
  </threadedComment>
  <threadedComment ref="AA319" dT="2024-09-15T08:52:39.88" personId="{6777EDD4-E46F-4979-A7E7-6FC0A82E0C8E}" id="{52CDA444-6C0B-422A-ACB7-797DC9795E23}">
    <text>The data has not been validated because the base file was incorrect and incomplete. Therefore, I am reporting the same figures that he has reported.</text>
  </threadedComment>
  <threadedComment ref="AC319" dT="2024-09-15T08:52:39.88" personId="{6777EDD4-E46F-4979-A7E7-6FC0A82E0C8E}" id="{B841A872-00D6-42CB-BFC1-70FC3335D1B3}">
    <text>The data has not been validated because the base file was incorrect and incomplete. Therefore, I am reporting the same figures that he has reported.</text>
  </threadedComment>
  <threadedComment ref="AE319" dT="2024-09-15T08:52:39.88" personId="{6777EDD4-E46F-4979-A7E7-6FC0A82E0C8E}" id="{CA2462A9-A838-4D9E-9FDB-0A61C49F5727}">
    <text>The data has not been validated because the base file was incorrect and incomplete. Therefore, I am reporting the same figures that he has reported.</text>
  </threadedComment>
  <threadedComment ref="AW319" dT="2025-06-20T08:13:11.27" personId="{1798D1B1-3098-46B1-91A2-D4C92B7E122A}" id="{01A5B35D-A6BD-419C-A508-17183EEE359C}">
    <text>Cannot validate as the base file is not complete</text>
  </threadedComment>
  <threadedComment ref="BE319" dT="2025-09-25T09:38:56.06" personId="{1798D1B1-3098-46B1-91A2-D4C92B7E122A}" id="{5A9B8D81-7644-4A26-A997-E0CE1DA9B838}">
    <text>Validated</text>
  </threadedComment>
  <threadedComment ref="Q320" dT="2024-05-12T06:54:46.11" personId="{6777EDD4-E46F-4979-A7E7-6FC0A82E0C8E}" id="{555A1E42-8B37-43B2-A8E8-D16303877393}">
    <text>Not Validated because base file not able to understand</text>
  </threadedComment>
  <threadedComment ref="S320" dT="2024-05-12T06:54:46.11" personId="{6777EDD4-E46F-4979-A7E7-6FC0A82E0C8E}" id="{532D9E38-D74D-402B-9E4D-9EA4CE62ACA8}">
    <text>Not Validated because base file not able to understand</text>
  </threadedComment>
  <threadedComment ref="U320" dT="2024-05-12T06:54:46.11" personId="{6777EDD4-E46F-4979-A7E7-6FC0A82E0C8E}" id="{03D7AB00-DCA8-4A95-B60C-5F5F10726CC0}">
    <text>Not Validated because base file not able to understand</text>
  </threadedComment>
  <threadedComment ref="Y320" dT="2024-09-15T08:52:02.14" personId="{6777EDD4-E46F-4979-A7E7-6FC0A82E0C8E}" id="{8391847C-5BC8-4A60-B17F-15B86ADEF264}">
    <text>The data has not been validated because the base file was incorrect and incomplete. Therefore, I am reporting the same figures that he has reported.</text>
  </threadedComment>
  <threadedComment ref="AA320" dT="2024-09-15T08:52:35.38" personId="{6777EDD4-E46F-4979-A7E7-6FC0A82E0C8E}" id="{4E9C0006-EAC6-404E-A5B2-75F5A3858EF5}">
    <text>The data has not been validated because the base file was incorrect and incomplete. Therefore, I am reporting the same figures that he has reported.</text>
  </threadedComment>
  <threadedComment ref="AC320" dT="2024-09-15T08:52:35.38" personId="{6777EDD4-E46F-4979-A7E7-6FC0A82E0C8E}" id="{0A5DCF23-30D3-4AF6-96B1-F2F08D8A969D}">
    <text>The data has not been validated because the base file was incorrect and incomplete. Therefore, I am reporting the same figures that he has reported.</text>
  </threadedComment>
  <threadedComment ref="AE320" dT="2024-09-15T08:52:35.38" personId="{6777EDD4-E46F-4979-A7E7-6FC0A82E0C8E}" id="{D9BD3902-9110-47DA-80FA-A75D27146AF9}">
    <text>The data has not been validated because the base file was incorrect and incomplete. Therefore, I am reporting the same figures that he has reported.</text>
  </threadedComment>
  <threadedComment ref="AG320" dT="2024-12-20T08:47:37.52" personId="{6777EDD4-E46F-4979-A7E7-6FC0A82E0C8E}" id="{DD3CA7AE-4E97-4A20-93FA-0F7B06061F3B}">
    <text>Validated</text>
  </threadedComment>
  <threadedComment ref="AW320" dT="2025-06-20T08:13:41.18" personId="{1798D1B1-3098-46B1-91A2-D4C92B7E122A}" id="{5BEC5DB4-0220-4961-A505-2D327114B6E3}">
    <text>1 offer declined and 5 offer released</text>
  </threadedComment>
  <threadedComment ref="BM320" dT="2025-12-30T09:45:11.32" personId="{32192656-80C8-4310-B142-9CF98FC9C0EF}" id="{ADDCF0DE-5C81-41E9-8F64-59047580550C}">
    <text>Validated</text>
  </threadedComment>
  <threadedComment ref="L321" dT="2024-05-24T12:01:46.49" personId="{6777EDD4-E46F-4979-A7E7-6FC0A82E0C8E}" id="{067CE3C7-36F4-4D62-94C7-602F22EFFA03}">
    <text>MG of 21 Positions</text>
  </threadedComment>
  <threadedComment ref="M321" dT="2024-05-24T12:01:46.49" personId="{6777EDD4-E46F-4979-A7E7-6FC0A82E0C8E}" id="{F2109830-F467-43D6-A2A6-4342318D467D}">
    <text>MG of 21 Positions</text>
  </threadedComment>
  <threadedComment ref="Y321" dT="2024-09-15T08:52:06.96" personId="{6777EDD4-E46F-4979-A7E7-6FC0A82E0C8E}" id="{356C0348-5262-433E-8CA9-F81F9A8CF387}">
    <text>The data has not been validated because the base file was incorrect and incomplete. Therefore, I am reporting the same figures that he has reported.</text>
  </threadedComment>
  <threadedComment ref="AA321" dT="2024-09-15T08:52:30.85" personId="{6777EDD4-E46F-4979-A7E7-6FC0A82E0C8E}" id="{B5A43A45-4917-483C-947C-FC803DCBE966}">
    <text>The data has not been validated because the base file was incorrect and incomplete. Therefore, I am reporting the same figures that he has reported.</text>
  </threadedComment>
  <threadedComment ref="AC321" dT="2024-09-15T08:52:30.85" personId="{6777EDD4-E46F-4979-A7E7-6FC0A82E0C8E}" id="{8B40ADF8-0EB8-4684-84E1-2FCD804BFC0C}">
    <text>The data has not been validated because the base file was incorrect and incomplete. Therefore, I am reporting the same figures that he has reported.</text>
  </threadedComment>
  <threadedComment ref="AE321" dT="2024-09-15T08:52:30.85" personId="{6777EDD4-E46F-4979-A7E7-6FC0A82E0C8E}" id="{9B63B128-1A69-4C00-B5AB-A26E067E51B6}">
    <text>The data has not been validated because the base file was incorrect and incomplete. Therefore, I am reporting the same figures that he has reported.</text>
  </threadedComment>
  <threadedComment ref="BM321" dT="2025-12-30T09:45:52.00" personId="{32192656-80C8-4310-B142-9CF98FC9C0EF}" id="{D5F5CF33-07C7-4690-BBCA-62477D0B87DD}">
    <text>Not Validated. Insufficient Data</text>
  </threadedComment>
  <threadedComment ref="Q322" dT="2024-05-12T06:54:46.11" personId="{6777EDD4-E46F-4979-A7E7-6FC0A82E0C8E}" id="{701B8B22-DAC7-4C11-8801-0518688FE484}">
    <text>Not Validated because base file not able to understand</text>
  </threadedComment>
  <threadedComment ref="S322" dT="2024-05-12T06:54:46.11" personId="{6777EDD4-E46F-4979-A7E7-6FC0A82E0C8E}" id="{1F80CE13-D851-42E5-8FA1-76F37E65A0E3}">
    <text>Not Validated because base file not able to understand</text>
  </threadedComment>
  <threadedComment ref="U322" dT="2024-05-12T06:54:46.11" personId="{6777EDD4-E46F-4979-A7E7-6FC0A82E0C8E}" id="{AA03C9B9-049D-4305-A3DE-3729A13E32BE}">
    <text>Not Validated because base file not able to understand</text>
  </threadedComment>
  <threadedComment ref="Y322" dT="2024-09-15T08:52:11.47" personId="{6777EDD4-E46F-4979-A7E7-6FC0A82E0C8E}" id="{50F9B4A1-3C1A-420C-AAFF-0336794271E6}">
    <text>The data has not been validated because the base file was incorrect and incomplete. Therefore, I am reporting the same figures that he has reported.</text>
  </threadedComment>
  <threadedComment ref="AA322" dT="2024-09-15T08:52:26.19" personId="{6777EDD4-E46F-4979-A7E7-6FC0A82E0C8E}" id="{DAF370D7-9080-4630-A2FC-A0A108F47E67}">
    <text>The data has not been validated because the base file was incorrect and incomplete. Therefore, I am reporting the same figures that he has reported.</text>
  </threadedComment>
  <threadedComment ref="AC322" dT="2024-09-15T08:52:26.19" personId="{6777EDD4-E46F-4979-A7E7-6FC0A82E0C8E}" id="{763A8CFC-F7F0-48A7-9ECF-CF2234073D5D}">
    <text>The data has not been validated because the base file was incorrect and incomplete. Therefore, I am reporting the same figures that he has reported.</text>
  </threadedComment>
  <threadedComment ref="AE322" dT="2024-09-15T08:52:26.19" personId="{6777EDD4-E46F-4979-A7E7-6FC0A82E0C8E}" id="{2F788641-1E88-4C02-8D8D-271CB89A1865}">
    <text>The data has not been validated because the base file was incorrect and incomplete. Therefore, I am reporting the same figures that he has reported.</text>
  </threadedComment>
  <threadedComment ref="AW322" dT="2025-06-20T08:14:14.78" personId="{1798D1B1-3098-46B1-91A2-D4C92B7E122A}" id="{084D3A8F-A1D5-4976-96ED-F8AD01941C7B}">
    <text>1 female out of 15 joiners</text>
  </threadedComment>
  <threadedComment ref="U323" dT="2024-07-13T16:46:08.31" personId="{6777EDD4-E46F-4979-A7E7-6FC0A82E0C8E}" id="{EF9AEBD9-06A4-496E-A20E-CB3992C792E0}">
    <text>No Joiner</text>
  </threadedComment>
  <threadedComment ref="V323" dT="2024-07-13T16:46:18.14" personId="{6777EDD4-E46F-4979-A7E7-6FC0A82E0C8E}" id="{1B8841EC-1A4F-491B-AFB3-59A4521E6EAA}">
    <text>No Offer</text>
  </threadedComment>
  <threadedComment ref="W323" dT="2024-08-14T08:16:27.16" personId="{6777EDD4-E46F-4979-A7E7-6FC0A82E0C8E}" id="{7D90B668-2E10-43AD-B4B3-7A062687DEB4}">
    <text>Client is on Enrichment Platform</text>
  </threadedComment>
  <threadedComment ref="X323" dT="2024-08-14T08:16:27.16" personId="{6777EDD4-E46F-4979-A7E7-6FC0A82E0C8E}" id="{A322AC9F-B563-4756-AE80-BF0EE06C7018}">
    <text>Client is on Enrichment Platform</text>
  </threadedComment>
  <threadedComment ref="Y323" dT="2024-08-14T08:16:27.16" personId="{6777EDD4-E46F-4979-A7E7-6FC0A82E0C8E}" id="{10E73E13-68D3-4231-BCA4-4D83D272323F}">
    <text>Client is on Enrichment Platform</text>
  </threadedComment>
  <threadedComment ref="Z323" dT="2024-08-14T08:16:27.16" personId="{6777EDD4-E46F-4979-A7E7-6FC0A82E0C8E}" id="{97DB5D5C-5BF6-4370-8FE6-1CDC81F6AFFF}">
    <text>Client is on Enrichment Platform</text>
  </threadedComment>
  <threadedComment ref="AA323" dT="2024-08-14T08:16:27.16" personId="{6777EDD4-E46F-4979-A7E7-6FC0A82E0C8E}" id="{6FAE061C-8228-4706-9B59-46D453BB817D}">
    <text>Client is on Enrichment Platform</text>
  </threadedComment>
  <threadedComment ref="AB323" dT="2024-08-14T08:16:27.16" personId="{6777EDD4-E46F-4979-A7E7-6FC0A82E0C8E}" id="{FBF8679C-5A94-482D-BB1A-28052440C2AD}">
    <text>Client is on Enrichment Platform</text>
  </threadedComment>
  <threadedComment ref="AC323" dT="2024-08-14T08:16:27.16" personId="{6777EDD4-E46F-4979-A7E7-6FC0A82E0C8E}" id="{56A6E09E-FA0D-4CF1-88F6-411E9929A203}">
    <text>Client is on Enrichment Platform</text>
  </threadedComment>
  <threadedComment ref="AD323" dT="2024-08-14T08:16:27.16" personId="{6777EDD4-E46F-4979-A7E7-6FC0A82E0C8E}" id="{AA62B438-3DBD-4E59-A079-ED9B847C86F4}">
    <text>Client is on Enrichment Platform</text>
  </threadedComment>
  <threadedComment ref="AE323" dT="2024-08-14T08:16:27.16" personId="{6777EDD4-E46F-4979-A7E7-6FC0A82E0C8E}" id="{409C6FA8-5990-462B-B495-2AF4DA2EEC7E}">
    <text>Client is on Enrichment Platform</text>
  </threadedComment>
  <threadedComment ref="AF323" dT="2024-08-14T08:16:27.16" personId="{6777EDD4-E46F-4979-A7E7-6FC0A82E0C8E}" id="{78B1CCEA-4D8A-492B-B842-178F7F6833B8}">
    <text>Client is on Enrichment Platform</text>
  </threadedComment>
  <threadedComment ref="AO323" dT="2025-03-20T07:46:32.46" personId="{6777EDD4-E46F-4979-A7E7-6FC0A82E0C8E}" id="{CA5680F7-70E1-4B7A-87C8-C2F97D1DE6AC}">
    <text>Moved on Enrichment platform</text>
  </threadedComment>
  <threadedComment ref="AP323" dT="2025-03-20T07:46:32.46" personId="{6777EDD4-E46F-4979-A7E7-6FC0A82E0C8E}" id="{7AFB0486-2ADE-4602-ACE5-FE0D3FDE2CBA}">
    <text>Moved on Enrichment platform</text>
  </threadedComment>
  <threadedComment ref="AQ323" dT="2025-03-20T07:46:32.46" personId="{6777EDD4-E46F-4979-A7E7-6FC0A82E0C8E}" id="{7446D884-EB11-4F26-8CC2-7B99735E9674}">
    <text>Moved on Enrichment platform</text>
  </threadedComment>
  <threadedComment ref="AR323" dT="2025-03-20T07:46:32.46" personId="{6777EDD4-E46F-4979-A7E7-6FC0A82E0C8E}" id="{8DE30A49-F666-41AF-870A-91B0BE7492CB}">
    <text>Moved on Enrichment platform</text>
  </threadedComment>
  <threadedComment ref="AS323" dT="2025-03-20T07:46:32.46" personId="{6777EDD4-E46F-4979-A7E7-6FC0A82E0C8E}" id="{6D0CB4AA-7542-44B0-867F-3408DE52F6EE}">
    <text>Moved on Enrichment platform</text>
  </threadedComment>
  <threadedComment ref="AT323" dT="2025-03-20T07:46:32.46" personId="{6777EDD4-E46F-4979-A7E7-6FC0A82E0C8E}" id="{852650EE-CCCC-480B-8690-930D3CC19F9A}">
    <text>Moved on Enrichment platform</text>
  </threadedComment>
  <threadedComment ref="AU323" dT="2025-03-20T07:46:32.46" personId="{6777EDD4-E46F-4979-A7E7-6FC0A82E0C8E}" id="{F1FE7D41-D3F8-4FC5-AD5F-19E0B0C140DA}">
    <text>Moved on Enrichment platform</text>
  </threadedComment>
  <threadedComment ref="AV323" dT="2025-03-20T07:46:32.46" personId="{6777EDD4-E46F-4979-A7E7-6FC0A82E0C8E}" id="{0A226B18-ABD3-4DA9-82AF-43824F72D866}">
    <text>Moved on Enrichment platform</text>
  </threadedComment>
  <threadedComment ref="AW323" dT="2025-03-20T07:46:32.46" personId="{6777EDD4-E46F-4979-A7E7-6FC0A82E0C8E}" id="{BD83A7AF-E175-4CC4-A5CC-5BF2344797B9}">
    <text>Moved on Enrichment platform</text>
  </threadedComment>
  <threadedComment ref="AX323" dT="2025-03-20T07:46:32.46" personId="{6777EDD4-E46F-4979-A7E7-6FC0A82E0C8E}" id="{D030B906-D1DD-4894-9909-F6F1DCB1B7A9}">
    <text>Moved on Enrichment platform</text>
  </threadedComment>
  <threadedComment ref="AY323" dT="2025-03-20T07:46:32.46" personId="{6777EDD4-E46F-4979-A7E7-6FC0A82E0C8E}" id="{2AF4B1F9-F2A5-49AC-8146-2CEE9CD7F5DF}">
    <text>Moved on Enrichment platform</text>
  </threadedComment>
  <threadedComment ref="AZ323" dT="2025-03-20T07:46:32.46" personId="{6777EDD4-E46F-4979-A7E7-6FC0A82E0C8E}" id="{9B54865D-E807-42CD-8200-0721B610EA14}">
    <text>Moved on Enrichment platform</text>
  </threadedComment>
  <threadedComment ref="BA323" dT="2025-03-20T07:46:32.46" personId="{6777EDD4-E46F-4979-A7E7-6FC0A82E0C8E}" id="{13AD609C-4534-49BC-8E54-3772DC61778C}">
    <text>Moved on Enrichment platform</text>
  </threadedComment>
  <threadedComment ref="BB323" dT="2025-03-20T07:46:32.46" personId="{6777EDD4-E46F-4979-A7E7-6FC0A82E0C8E}" id="{2E5C1FBD-B8E5-4FBD-9AF5-9F4876A3FDCF}">
    <text>Moved on Enrichment platform</text>
  </threadedComment>
  <threadedComment ref="BC323" dT="2025-03-20T07:46:32.46" personId="{6777EDD4-E46F-4979-A7E7-6FC0A82E0C8E}" id="{BDB7D31E-DA44-47A2-B452-1C355D1E8422}">
    <text>Moved on Enrichment platform</text>
  </threadedComment>
  <threadedComment ref="BD323" dT="2025-03-20T07:46:32.46" personId="{6777EDD4-E46F-4979-A7E7-6FC0A82E0C8E}" id="{B8FB83D5-200D-4FF0-A8B0-0B56D6190301}">
    <text>Moved on Enrichment platform</text>
  </threadedComment>
  <threadedComment ref="BE323" dT="2025-03-20T07:46:32.46" personId="{6777EDD4-E46F-4979-A7E7-6FC0A82E0C8E}" id="{69E4DB2F-6BFF-4552-82C5-86E5A7655A4A}">
    <text>Moved on Enrichment platform</text>
  </threadedComment>
  <threadedComment ref="BF323" dT="2025-03-20T07:46:32.46" personId="{6777EDD4-E46F-4979-A7E7-6FC0A82E0C8E}" id="{F6227AB7-812A-4F9A-BED2-FAC1B3CCF6B4}">
    <text>Moved on Enrichment platform</text>
  </threadedComment>
  <threadedComment ref="BG323" dT="2025-03-20T07:46:32.46" personId="{6777EDD4-E46F-4979-A7E7-6FC0A82E0C8E}" id="{C6D67498-C41A-4AEA-9DD5-D58E9E00FEBE}">
    <text>Moved on Enrichment platform</text>
  </threadedComment>
  <threadedComment ref="BH323" dT="2025-03-20T07:46:32.46" personId="{6777EDD4-E46F-4979-A7E7-6FC0A82E0C8E}" id="{D4600799-B586-4592-A7A9-F1F5E1EC653A}">
    <text>Moved on Enrichment platform</text>
  </threadedComment>
  <threadedComment ref="BI323" dT="2025-03-20T07:46:32.46" personId="{6777EDD4-E46F-4979-A7E7-6FC0A82E0C8E}" id="{CC7D8BAA-CC39-4EAD-8CA5-9D9C9B1FD52E}">
    <text>Moved on Enrichment platform</text>
  </threadedComment>
  <threadedComment ref="BJ323" dT="2025-03-20T07:46:32.46" personId="{6777EDD4-E46F-4979-A7E7-6FC0A82E0C8E}" id="{1539150B-F988-4184-A5D6-7851BCE0189D}">
    <text>Moved on Enrichment platform</text>
  </threadedComment>
  <threadedComment ref="BK323" dT="2025-03-20T07:46:32.46" personId="{6777EDD4-E46F-4979-A7E7-6FC0A82E0C8E}" id="{F7D99709-E949-4C18-9309-42368D23790A}">
    <text>Moved on Enrichment platform</text>
  </threadedComment>
  <threadedComment ref="BL323" dT="2025-03-20T07:46:32.46" personId="{6777EDD4-E46F-4979-A7E7-6FC0A82E0C8E}" id="{690E5EC4-E7D4-4ADA-A0FD-32209A85E96C}">
    <text>Moved on Enrichment platform</text>
  </threadedComment>
  <threadedComment ref="BM323" dT="2025-03-20T07:46:32.46" personId="{6777EDD4-E46F-4979-A7E7-6FC0A82E0C8E}" id="{CF24BFC0-3DF5-4B42-BCC6-D9EF8D26CA31}">
    <text>Moved on Enrichment platform</text>
  </threadedComment>
  <threadedComment ref="BN323" dT="2025-03-20T07:46:32.46" personId="{6777EDD4-E46F-4979-A7E7-6FC0A82E0C8E}" id="{2DF1BB7C-DC03-4F80-B8A0-C68D7DC58099}">
    <text>Moved on Enrichment platform</text>
  </threadedComment>
  <threadedComment ref="BO323" dT="2025-03-20T07:46:32.46" personId="{6777EDD4-E46F-4979-A7E7-6FC0A82E0C8E}" id="{61BF9392-594D-4CD4-B5E3-B1459AC6A5BA}">
    <text>Moved on Enrichment platform</text>
  </threadedComment>
  <threadedComment ref="BP323" dT="2025-03-20T07:46:32.46" personId="{6777EDD4-E46F-4979-A7E7-6FC0A82E0C8E}" id="{750AE89C-539D-4114-98E6-F911C20C41EC}">
    <text>Moved on Enrichment platform</text>
  </threadedComment>
  <threadedComment ref="BQ323" dT="2025-03-20T07:46:32.46" personId="{6777EDD4-E46F-4979-A7E7-6FC0A82E0C8E}" id="{6E5AB712-5715-4FF4-B3D7-F88454A761D1}">
    <text>Moved on Enrichment platform</text>
  </threadedComment>
  <threadedComment ref="BR323" dT="2025-03-20T07:46:32.46" personId="{6777EDD4-E46F-4979-A7E7-6FC0A82E0C8E}" id="{F3632649-4392-465D-A49D-0C973CEC3346}">
    <text>Moved on Enrichment platform</text>
  </threadedComment>
  <threadedComment ref="BS323" dT="2025-03-20T07:46:32.46" personId="{6777EDD4-E46F-4979-A7E7-6FC0A82E0C8E}" id="{A1E7F668-9B62-4695-B3BD-148F3AAA84FB}">
    <text>Moved on Enrichment platform</text>
  </threadedComment>
  <threadedComment ref="BU323" dT="2025-03-20T07:46:32.46" personId="{6777EDD4-E46F-4979-A7E7-6FC0A82E0C8E}" id="{EDF17F19-26F6-44D2-993E-F37F145EA5FE}">
    <text>Moved on Enrichment platform</text>
  </threadedComment>
  <threadedComment ref="U324" dT="2024-07-13T16:46:18.14" personId="{6777EDD4-E46F-4979-A7E7-6FC0A82E0C8E}" id="{F9072073-C3E6-4BEC-AD3B-756B6819D585}">
    <text>No Offer</text>
  </threadedComment>
  <threadedComment ref="V324" dT="2024-07-13T16:46:18.14" personId="{6777EDD4-E46F-4979-A7E7-6FC0A82E0C8E}" id="{645A14BA-0093-4F07-A080-BFBF50D6601B}">
    <text>No Offer</text>
  </threadedComment>
  <threadedComment ref="W324" dT="2024-08-14T08:16:27.16" personId="{6777EDD4-E46F-4979-A7E7-6FC0A82E0C8E}" id="{970B6F39-649B-498A-B8D9-F02B8B2C1DDE}">
    <text>Client is on Enrichment Platform</text>
  </threadedComment>
  <threadedComment ref="X324" dT="2024-08-14T08:16:27.16" personId="{6777EDD4-E46F-4979-A7E7-6FC0A82E0C8E}" id="{5225A534-DB9F-4A9D-8A0C-57E03F24D93A}">
    <text>Client is on Enrichment Platform</text>
  </threadedComment>
  <threadedComment ref="Y324" dT="2024-08-14T08:16:27.16" personId="{6777EDD4-E46F-4979-A7E7-6FC0A82E0C8E}" id="{B3EC9F70-D4B9-4B32-A2EC-8CF1F19BDC50}">
    <text>Client is on Enrichment Platform</text>
  </threadedComment>
  <threadedComment ref="Z324" dT="2024-08-14T08:16:27.16" personId="{6777EDD4-E46F-4979-A7E7-6FC0A82E0C8E}" id="{4CF334C7-D4C0-456C-ACCA-DD24980168FD}">
    <text>Client is on Enrichment Platform</text>
  </threadedComment>
  <threadedComment ref="AA324" dT="2024-08-14T08:16:27.16" personId="{6777EDD4-E46F-4979-A7E7-6FC0A82E0C8E}" id="{A9A3CE6C-F12B-4BE1-AD5A-C9952D893A2C}">
    <text>Client is on Enrichment Platform</text>
  </threadedComment>
  <threadedComment ref="AB324" dT="2024-08-14T08:16:27.16" personId="{6777EDD4-E46F-4979-A7E7-6FC0A82E0C8E}" id="{989C4000-4F18-4E3B-9009-F8021CBE3BEE}">
    <text>Client is on Enrichment Platform</text>
  </threadedComment>
  <threadedComment ref="AC324" dT="2024-08-14T08:16:27.16" personId="{6777EDD4-E46F-4979-A7E7-6FC0A82E0C8E}" id="{5918BA6C-6EF7-4F23-8006-36E5DC70445F}">
    <text>Client is on Enrichment Platform</text>
  </threadedComment>
  <threadedComment ref="AD324" dT="2024-08-14T08:16:27.16" personId="{6777EDD4-E46F-4979-A7E7-6FC0A82E0C8E}" id="{C423F928-EEAA-4FDA-B65D-1766C80B9027}">
    <text>Client is on Enrichment Platform</text>
  </threadedComment>
  <threadedComment ref="AE324" dT="2024-08-14T08:16:27.16" personId="{6777EDD4-E46F-4979-A7E7-6FC0A82E0C8E}" id="{29166656-3F02-499C-ACCD-C29E1E1B206D}">
    <text>Client is on Enrichment Platform</text>
  </threadedComment>
  <threadedComment ref="AF324" dT="2024-08-14T08:16:27.16" personId="{6777EDD4-E46F-4979-A7E7-6FC0A82E0C8E}" id="{DA61F91C-1146-4FBD-A29D-BB32BE8F5D94}">
    <text>Client is on Enrichment Platform</text>
  </threadedComment>
  <threadedComment ref="AO324" dT="2025-03-20T07:46:32.46" personId="{6777EDD4-E46F-4979-A7E7-6FC0A82E0C8E}" id="{9F12706C-84BB-423F-94F3-5167D6E59B05}">
    <text>Moved on Enrichment platform</text>
  </threadedComment>
  <threadedComment ref="AP324" dT="2025-03-20T07:46:32.46" personId="{6777EDD4-E46F-4979-A7E7-6FC0A82E0C8E}" id="{1307BAAD-08A2-49BF-86A5-132C01A2146F}">
    <text>Moved on Enrichment platform</text>
  </threadedComment>
  <threadedComment ref="AQ324" dT="2025-03-20T07:46:32.46" personId="{6777EDD4-E46F-4979-A7E7-6FC0A82E0C8E}" id="{1EB9D53D-AA4F-4596-A57C-D31F5464AEDD}">
    <text>Moved on Enrichment platform</text>
  </threadedComment>
  <threadedComment ref="AR324" dT="2025-03-20T07:46:32.46" personId="{6777EDD4-E46F-4979-A7E7-6FC0A82E0C8E}" id="{6A45A4F7-4B3D-43F5-BB40-2268B2BA0CB8}">
    <text>Moved on Enrichment platform</text>
  </threadedComment>
  <threadedComment ref="AS324" dT="2025-03-20T07:46:32.46" personId="{6777EDD4-E46F-4979-A7E7-6FC0A82E0C8E}" id="{55A48823-1DCA-4821-930F-018A72B2C3AE}">
    <text>Moved on Enrichment platform</text>
  </threadedComment>
  <threadedComment ref="AT324" dT="2025-03-20T07:46:32.46" personId="{6777EDD4-E46F-4979-A7E7-6FC0A82E0C8E}" id="{E816C54D-B608-417A-9953-F4BAB8F6D775}">
    <text>Moved on Enrichment platform</text>
  </threadedComment>
  <threadedComment ref="AU324" dT="2025-03-20T07:46:32.46" personId="{6777EDD4-E46F-4979-A7E7-6FC0A82E0C8E}" id="{603EA3A6-72B2-4951-B23B-8A39BC867FC6}">
    <text>Moved on Enrichment platform</text>
  </threadedComment>
  <threadedComment ref="AV324" dT="2025-03-20T07:46:32.46" personId="{6777EDD4-E46F-4979-A7E7-6FC0A82E0C8E}" id="{EBA5D5D1-ECB5-4593-B156-AE5D4EC43F04}">
    <text>Moved on Enrichment platform</text>
  </threadedComment>
  <threadedComment ref="AW324" dT="2025-03-20T07:46:32.46" personId="{6777EDD4-E46F-4979-A7E7-6FC0A82E0C8E}" id="{148748DC-08A9-44E2-8B44-B06B81D12820}">
    <text>Moved on Enrichment platform</text>
  </threadedComment>
  <threadedComment ref="AX324" dT="2025-03-20T07:46:32.46" personId="{6777EDD4-E46F-4979-A7E7-6FC0A82E0C8E}" id="{1210DB0A-4036-4DAA-B130-AC56C08D2750}">
    <text>Moved on Enrichment platform</text>
  </threadedComment>
  <threadedComment ref="AY324" dT="2025-03-20T07:46:32.46" personId="{6777EDD4-E46F-4979-A7E7-6FC0A82E0C8E}" id="{6E4A491F-CE84-45BB-A7A8-B9DF6E396459}">
    <text>Moved on Enrichment platform</text>
  </threadedComment>
  <threadedComment ref="AZ324" dT="2025-03-20T07:46:32.46" personId="{6777EDD4-E46F-4979-A7E7-6FC0A82E0C8E}" id="{1A609E60-F850-460D-AC39-1A8535AA87B3}">
    <text>Moved on Enrichment platform</text>
  </threadedComment>
  <threadedComment ref="BA324" dT="2025-03-20T07:46:32.46" personId="{6777EDD4-E46F-4979-A7E7-6FC0A82E0C8E}" id="{0EE4C2FB-F4C8-4CD7-8CA7-131A1ACC7291}">
    <text>Moved on Enrichment platform</text>
  </threadedComment>
  <threadedComment ref="BB324" dT="2025-03-20T07:46:32.46" personId="{6777EDD4-E46F-4979-A7E7-6FC0A82E0C8E}" id="{E5A1FB40-2B87-42F3-AD29-8CBB60BB351D}">
    <text>Moved on Enrichment platform</text>
  </threadedComment>
  <threadedComment ref="BC324" dT="2025-03-20T07:46:32.46" personId="{6777EDD4-E46F-4979-A7E7-6FC0A82E0C8E}" id="{7A77F1D7-029F-4D9B-9160-A6CA6EE197AF}">
    <text>Moved on Enrichment platform</text>
  </threadedComment>
  <threadedComment ref="BD324" dT="2025-03-20T07:46:32.46" personId="{6777EDD4-E46F-4979-A7E7-6FC0A82E0C8E}" id="{4C8DA586-2759-40F2-A03F-97D1A5D6FB9E}">
    <text>Moved on Enrichment platform</text>
  </threadedComment>
  <threadedComment ref="BE324" dT="2025-03-20T07:46:32.46" personId="{6777EDD4-E46F-4979-A7E7-6FC0A82E0C8E}" id="{5B892590-8EAB-4F09-A1B8-614D83933519}">
    <text>Moved on Enrichment platform</text>
  </threadedComment>
  <threadedComment ref="BF324" dT="2025-03-20T07:46:32.46" personId="{6777EDD4-E46F-4979-A7E7-6FC0A82E0C8E}" id="{72FDD987-AF25-467F-B9B8-CA2349766E39}">
    <text>Moved on Enrichment platform</text>
  </threadedComment>
  <threadedComment ref="BG324" dT="2025-03-20T07:46:32.46" personId="{6777EDD4-E46F-4979-A7E7-6FC0A82E0C8E}" id="{DF2AE9C3-3F18-42DF-AFE9-9EFC5EA8F1C9}">
    <text>Moved on Enrichment platform</text>
  </threadedComment>
  <threadedComment ref="BH324" dT="2025-03-20T07:46:32.46" personId="{6777EDD4-E46F-4979-A7E7-6FC0A82E0C8E}" id="{08EB959B-DAC7-4016-A832-F36FF4801A4C}">
    <text>Moved on Enrichment platform</text>
  </threadedComment>
  <threadedComment ref="BI324" dT="2025-03-20T07:46:32.46" personId="{6777EDD4-E46F-4979-A7E7-6FC0A82E0C8E}" id="{DB69A3F4-B714-4F19-A073-E1FD8E8F466D}">
    <text>Moved on Enrichment platform</text>
  </threadedComment>
  <threadedComment ref="BJ324" dT="2025-03-20T07:46:32.46" personId="{6777EDD4-E46F-4979-A7E7-6FC0A82E0C8E}" id="{E22C1F0F-85FD-4AC1-9B96-EDA7CAA41217}">
    <text>Moved on Enrichment platform</text>
  </threadedComment>
  <threadedComment ref="BK324" dT="2025-03-20T07:46:32.46" personId="{6777EDD4-E46F-4979-A7E7-6FC0A82E0C8E}" id="{C25AF161-93D2-4866-AAE6-75D433B0BCEF}">
    <text>Moved on Enrichment platform</text>
  </threadedComment>
  <threadedComment ref="BL324" dT="2025-03-20T07:46:32.46" personId="{6777EDD4-E46F-4979-A7E7-6FC0A82E0C8E}" id="{F5D31C10-6480-4873-BAD8-72FFDD67D07F}">
    <text>Moved on Enrichment platform</text>
  </threadedComment>
  <threadedComment ref="BM324" dT="2025-03-20T07:46:32.46" personId="{6777EDD4-E46F-4979-A7E7-6FC0A82E0C8E}" id="{2691CACF-9887-4C76-A0AF-A099C753D8DF}">
    <text>Moved on Enrichment platform</text>
  </threadedComment>
  <threadedComment ref="BN324" dT="2025-03-20T07:46:32.46" personId="{6777EDD4-E46F-4979-A7E7-6FC0A82E0C8E}" id="{79CD0E53-7709-4DD0-AC03-5F9B0FA982CE}">
    <text>Moved on Enrichment platform</text>
  </threadedComment>
  <threadedComment ref="BP324" dT="2025-03-20T07:46:32.46" personId="{6777EDD4-E46F-4979-A7E7-6FC0A82E0C8E}" id="{476531F1-E032-4751-BD47-3E043F4D52A4}">
    <text>Moved on Enrichment platform</text>
  </threadedComment>
  <threadedComment ref="BQ324" dT="2025-03-20T07:46:32.46" personId="{6777EDD4-E46F-4979-A7E7-6FC0A82E0C8E}" id="{3E098CA7-F085-4CBA-9B27-9B83851F14BE}">
    <text>Moved on Enrichment platform</text>
  </threadedComment>
  <threadedComment ref="BR324" dT="2025-03-20T07:46:32.46" personId="{6777EDD4-E46F-4979-A7E7-6FC0A82E0C8E}" id="{2DA61017-BE67-44EF-99F2-4A67DC03D2DE}">
    <text>Moved on Enrichment platform</text>
  </threadedComment>
  <threadedComment ref="BS324" dT="2025-03-20T07:46:32.46" personId="{6777EDD4-E46F-4979-A7E7-6FC0A82E0C8E}" id="{4B11DD18-E614-422E-BED5-DA1FCF25E547}">
    <text>Moved on Enrichment platform</text>
  </threadedComment>
  <threadedComment ref="BU324" dT="2025-03-20T07:46:32.46" personId="{6777EDD4-E46F-4979-A7E7-6FC0A82E0C8E}" id="{A9D88144-D225-4AD9-A875-1BACA27BA77C}">
    <text>Moved on Enrichment platform</text>
  </threadedComment>
  <threadedComment ref="W325" dT="2024-08-14T08:16:27.16" personId="{6777EDD4-E46F-4979-A7E7-6FC0A82E0C8E}" id="{151683B9-8D3D-490F-A416-BC91F0AAF3B8}">
    <text>Client is on Enrichment Platform</text>
  </threadedComment>
  <threadedComment ref="X325" dT="2024-08-14T08:16:27.16" personId="{6777EDD4-E46F-4979-A7E7-6FC0A82E0C8E}" id="{AD24CEC1-F9EA-4A63-BC36-E602649BE92E}">
    <text>Client is on Enrichment Platform</text>
  </threadedComment>
  <threadedComment ref="Y325" dT="2024-08-14T08:16:27.16" personId="{6777EDD4-E46F-4979-A7E7-6FC0A82E0C8E}" id="{23B09246-6B63-45AE-B5CD-12F69BA17418}">
    <text>Client is on Enrichment Platform</text>
  </threadedComment>
  <threadedComment ref="Z325" dT="2024-08-14T08:16:27.16" personId="{6777EDD4-E46F-4979-A7E7-6FC0A82E0C8E}" id="{EDC71BBF-8C84-4931-87C1-72D5DFE45E25}">
    <text>Client is on Enrichment Platform</text>
  </threadedComment>
  <threadedComment ref="AA325" dT="2024-08-14T08:16:27.16" personId="{6777EDD4-E46F-4979-A7E7-6FC0A82E0C8E}" id="{8E44FE7D-1C5C-4470-B20D-2EAC333093DD}">
    <text>Client is on Enrichment Platform</text>
  </threadedComment>
  <threadedComment ref="AB325" dT="2024-08-14T08:16:27.16" personId="{6777EDD4-E46F-4979-A7E7-6FC0A82E0C8E}" id="{B1EF6E43-0B30-4C35-8C5C-148C9CBC1DB9}">
    <text>Client is on Enrichment Platform</text>
  </threadedComment>
  <threadedComment ref="AC325" dT="2024-08-14T08:16:27.16" personId="{6777EDD4-E46F-4979-A7E7-6FC0A82E0C8E}" id="{B7731936-F53B-440E-8694-4B59C8C66A9E}">
    <text>Client is on Enrichment Platform</text>
  </threadedComment>
  <threadedComment ref="AD325" dT="2024-08-14T08:16:27.16" personId="{6777EDD4-E46F-4979-A7E7-6FC0A82E0C8E}" id="{3B48195A-DC77-4E3D-BD9B-6B83E9A689EF}">
    <text>Client is on Enrichment Platform</text>
  </threadedComment>
  <threadedComment ref="AE325" dT="2024-08-14T08:16:27.16" personId="{6777EDD4-E46F-4979-A7E7-6FC0A82E0C8E}" id="{82F61E7C-58A8-4105-8641-11E749557856}">
    <text>Client is on Enrichment Platform</text>
  </threadedComment>
  <threadedComment ref="AF325" dT="2024-08-14T08:16:27.16" personId="{6777EDD4-E46F-4979-A7E7-6FC0A82E0C8E}" id="{85A1C76F-89D7-4FFB-9DF1-E1EEE61D832B}">
    <text>Client is on Enrichment Platform</text>
  </threadedComment>
  <threadedComment ref="AO325" dT="2025-03-20T07:46:32.46" personId="{6777EDD4-E46F-4979-A7E7-6FC0A82E0C8E}" id="{C1194FF3-AFB9-4387-BBD4-95128BB1DF67}">
    <text>Moved on Enrichment platform</text>
  </threadedComment>
  <threadedComment ref="AP325" dT="2025-03-20T07:46:32.46" personId="{6777EDD4-E46F-4979-A7E7-6FC0A82E0C8E}" id="{48BBB9D6-02A1-4A43-861D-557A5041CCBA}">
    <text>Moved on Enrichment platform</text>
  </threadedComment>
  <threadedComment ref="AQ325" dT="2025-03-20T07:46:32.46" personId="{6777EDD4-E46F-4979-A7E7-6FC0A82E0C8E}" id="{226785CF-8A28-4C9D-95FD-DACF6CAD86DE}">
    <text>Moved on Enrichment platform</text>
  </threadedComment>
  <threadedComment ref="AR325" dT="2025-03-20T07:46:32.46" personId="{6777EDD4-E46F-4979-A7E7-6FC0A82E0C8E}" id="{32075BE8-6972-4F99-8CBD-CCADE91C7206}">
    <text>Moved on Enrichment platform</text>
  </threadedComment>
  <threadedComment ref="AS325" dT="2025-03-20T07:46:32.46" personId="{6777EDD4-E46F-4979-A7E7-6FC0A82E0C8E}" id="{043DD539-972E-41F1-9705-F742D25C7272}">
    <text>Moved on Enrichment platform</text>
  </threadedComment>
  <threadedComment ref="AT325" dT="2025-03-20T07:46:32.46" personId="{6777EDD4-E46F-4979-A7E7-6FC0A82E0C8E}" id="{6931CEF6-EC4C-4170-B937-227EB0F63253}">
    <text>Moved on Enrichment platform</text>
  </threadedComment>
  <threadedComment ref="AU325" dT="2025-03-20T07:46:32.46" personId="{6777EDD4-E46F-4979-A7E7-6FC0A82E0C8E}" id="{0C3202A7-EAFD-430C-8EF3-C3FB36C03CCA}">
    <text>Moved on Enrichment platform</text>
  </threadedComment>
  <threadedComment ref="AV325" dT="2025-03-20T07:46:32.46" personId="{6777EDD4-E46F-4979-A7E7-6FC0A82E0C8E}" id="{82911CB5-082B-4F9A-95D9-94C49701D7A7}">
    <text>Moved on Enrichment platform</text>
  </threadedComment>
  <threadedComment ref="AW325" dT="2025-03-20T07:46:32.46" personId="{6777EDD4-E46F-4979-A7E7-6FC0A82E0C8E}" id="{FE908702-7288-4828-BB46-5F5F561D0A83}">
    <text>Moved on Enrichment platform</text>
  </threadedComment>
  <threadedComment ref="AX325" dT="2025-03-20T07:46:32.46" personId="{6777EDD4-E46F-4979-A7E7-6FC0A82E0C8E}" id="{588A9789-A55C-4FB0-9EC5-173B5563007E}">
    <text>Moved on Enrichment platform</text>
  </threadedComment>
  <threadedComment ref="AY325" dT="2025-03-20T07:46:32.46" personId="{6777EDD4-E46F-4979-A7E7-6FC0A82E0C8E}" id="{6A83CD8E-23A1-445B-869F-194471BBA1C9}">
    <text>Moved on Enrichment platform</text>
  </threadedComment>
  <threadedComment ref="AZ325" dT="2025-03-20T07:46:32.46" personId="{6777EDD4-E46F-4979-A7E7-6FC0A82E0C8E}" id="{31D0BCE6-B258-419D-812C-8BA5F46DC5E2}">
    <text>Moved on Enrichment platform</text>
  </threadedComment>
  <threadedComment ref="BA325" dT="2025-03-20T07:46:32.46" personId="{6777EDD4-E46F-4979-A7E7-6FC0A82E0C8E}" id="{55BD1E1E-66F6-4AE0-AACC-503CAA4ECDC4}">
    <text>Moved on Enrichment platform</text>
  </threadedComment>
  <threadedComment ref="BB325" dT="2025-03-20T07:46:32.46" personId="{6777EDD4-E46F-4979-A7E7-6FC0A82E0C8E}" id="{BFDA76A7-59B2-4D6A-8ABC-D894FE16BC3F}">
    <text>Moved on Enrichment platform</text>
  </threadedComment>
  <threadedComment ref="BC325" dT="2025-03-20T07:46:32.46" personId="{6777EDD4-E46F-4979-A7E7-6FC0A82E0C8E}" id="{AD7EC6C1-0310-4311-BA4E-A14E2E1E1E6B}">
    <text>Moved on Enrichment platform</text>
  </threadedComment>
  <threadedComment ref="BD325" dT="2025-03-20T07:46:32.46" personId="{6777EDD4-E46F-4979-A7E7-6FC0A82E0C8E}" id="{62696E07-AADA-4AAC-9F9A-A82DBAEBCB97}">
    <text>Moved on Enrichment platform</text>
  </threadedComment>
  <threadedComment ref="BE325" dT="2025-03-20T07:46:32.46" personId="{6777EDD4-E46F-4979-A7E7-6FC0A82E0C8E}" id="{9C8ABC45-2E21-423C-86EB-8EE06283F2EA}">
    <text>Moved on Enrichment platform</text>
  </threadedComment>
  <threadedComment ref="BF325" dT="2025-03-20T07:46:32.46" personId="{6777EDD4-E46F-4979-A7E7-6FC0A82E0C8E}" id="{B16D1CCD-184A-4658-B33D-BCF8C0559814}">
    <text>Moved on Enrichment platform</text>
  </threadedComment>
  <threadedComment ref="BG325" dT="2025-03-20T07:46:32.46" personId="{6777EDD4-E46F-4979-A7E7-6FC0A82E0C8E}" id="{C6F268F7-47CB-425B-90AD-B2A65EB80564}">
    <text>Moved on Enrichment platform</text>
  </threadedComment>
  <threadedComment ref="BH325" dT="2025-03-20T07:46:32.46" personId="{6777EDD4-E46F-4979-A7E7-6FC0A82E0C8E}" id="{EE00D7B6-C8E1-4B79-8BBC-94F74208F069}">
    <text>Moved on Enrichment platform</text>
  </threadedComment>
  <threadedComment ref="BI325" dT="2025-03-20T07:46:32.46" personId="{6777EDD4-E46F-4979-A7E7-6FC0A82E0C8E}" id="{863CDD2C-AACD-4762-92EE-185082102F23}">
    <text>Moved on Enrichment platform</text>
  </threadedComment>
  <threadedComment ref="BJ325" dT="2025-03-20T07:46:32.46" personId="{6777EDD4-E46F-4979-A7E7-6FC0A82E0C8E}" id="{DAB62345-B2E9-4AC8-9262-00E796548873}">
    <text>Moved on Enrichment platform</text>
  </threadedComment>
  <threadedComment ref="BK325" dT="2025-03-20T07:46:32.46" personId="{6777EDD4-E46F-4979-A7E7-6FC0A82E0C8E}" id="{FE2C4821-325B-482F-BFDF-918C711F8A23}">
    <text>Moved on Enrichment platform</text>
  </threadedComment>
  <threadedComment ref="BL325" dT="2025-03-20T07:46:32.46" personId="{6777EDD4-E46F-4979-A7E7-6FC0A82E0C8E}" id="{048F3C90-FD31-462B-8CF2-22D928C83059}">
    <text>Moved on Enrichment platform</text>
  </threadedComment>
  <threadedComment ref="BM325" dT="2025-03-20T07:46:32.46" personId="{6777EDD4-E46F-4979-A7E7-6FC0A82E0C8E}" id="{A46F428D-1BF3-4CBC-8799-65F8EEDC1D81}">
    <text>Moved on Enrichment platform</text>
  </threadedComment>
  <threadedComment ref="BN325" dT="2025-03-20T07:46:32.46" personId="{6777EDD4-E46F-4979-A7E7-6FC0A82E0C8E}" id="{EAC1545F-E11D-41BF-9258-030C2D47AECE}">
    <text>Moved on Enrichment platform</text>
  </threadedComment>
  <threadedComment ref="BP325" dT="2025-03-20T07:46:32.46" personId="{6777EDD4-E46F-4979-A7E7-6FC0A82E0C8E}" id="{9D53C978-7F6C-4D67-BE95-FDD9049267BB}">
    <text>Moved on Enrichment platform</text>
  </threadedComment>
  <threadedComment ref="BQ325" dT="2025-03-20T07:46:32.46" personId="{6777EDD4-E46F-4979-A7E7-6FC0A82E0C8E}" id="{D3E92A9A-8033-415A-8D8C-C427568E3C89}">
    <text>Moved on Enrichment platform</text>
  </threadedComment>
  <threadedComment ref="BR325" dT="2025-03-20T07:46:32.46" personId="{6777EDD4-E46F-4979-A7E7-6FC0A82E0C8E}" id="{9DE17E31-DA49-4B8B-9C32-EE7F0F8F8637}">
    <text>Moved on Enrichment platform</text>
  </threadedComment>
  <threadedComment ref="BS325" dT="2025-03-20T07:46:32.46" personId="{6777EDD4-E46F-4979-A7E7-6FC0A82E0C8E}" id="{956C9F21-EA65-4950-B7A5-ACEB13BE2696}">
    <text>Moved on Enrichment platform</text>
  </threadedComment>
  <threadedComment ref="BU325" dT="2025-03-20T07:46:32.46" personId="{6777EDD4-E46F-4979-A7E7-6FC0A82E0C8E}" id="{A7108223-70DD-4128-B82A-4709FBAA5202}">
    <text>Moved on Enrichment platform</text>
  </threadedComment>
  <threadedComment ref="S326" dT="2024-07-13T17:08:03.34" personId="{6777EDD4-E46F-4979-A7E7-6FC0A82E0C8E}" id="{C7546DD9-09B5-4123-8AD6-A2895382F5D5}">
    <text>Reporting Starts from June'24</text>
  </threadedComment>
  <threadedComment ref="T326" dT="2024-07-13T17:08:03.34" personId="{6777EDD4-E46F-4979-A7E7-6FC0A82E0C8E}" id="{D4DB5EA0-FE3E-4CE3-B5CC-E93C0E803781}">
    <text>Reporting Starts from June'24</text>
  </threadedComment>
  <threadedComment ref="W326" dT="2024-08-14T08:16:27.16" personId="{6777EDD4-E46F-4979-A7E7-6FC0A82E0C8E}" id="{44B9523C-DFB0-4479-8DBC-295D75B31503}">
    <text>Client is on Enrichment Platform</text>
  </threadedComment>
  <threadedComment ref="X326" dT="2024-08-14T08:16:27.16" personId="{6777EDD4-E46F-4979-A7E7-6FC0A82E0C8E}" id="{EBFEB289-00DC-4BC7-ABD3-008A89EE9776}">
    <text>Client is on Enrichment Platform</text>
  </threadedComment>
  <threadedComment ref="Y326" dT="2024-08-14T08:16:27.16" personId="{6777EDD4-E46F-4979-A7E7-6FC0A82E0C8E}" id="{1209A608-6E33-4262-9580-1F68A12C732A}">
    <text>Client is on Enrichment Platform</text>
  </threadedComment>
  <threadedComment ref="Z326" dT="2024-08-14T08:16:27.16" personId="{6777EDD4-E46F-4979-A7E7-6FC0A82E0C8E}" id="{CFB5F479-FCCB-42E2-A245-CEEB557C90F0}">
    <text>Client is on Enrichment Platform</text>
  </threadedComment>
  <threadedComment ref="AA326" dT="2024-08-14T08:16:27.16" personId="{6777EDD4-E46F-4979-A7E7-6FC0A82E0C8E}" id="{490EEAE4-94DB-4B80-8F8A-D7FF0D5CD5A3}">
    <text>Client is on Enrichment Platform</text>
  </threadedComment>
  <threadedComment ref="AB326" dT="2024-08-14T08:16:27.16" personId="{6777EDD4-E46F-4979-A7E7-6FC0A82E0C8E}" id="{C22D358D-AD6A-4278-A3A4-38EF53C97AEF}">
    <text>Client is on Enrichment Platform</text>
  </threadedComment>
  <threadedComment ref="AC326" dT="2024-08-14T08:16:27.16" personId="{6777EDD4-E46F-4979-A7E7-6FC0A82E0C8E}" id="{D59EF526-9C79-4F1E-9F82-0D5DAAD7AFAB}">
    <text>Client is on Enrichment Platform</text>
  </threadedComment>
  <threadedComment ref="AD326" dT="2024-08-14T08:16:27.16" personId="{6777EDD4-E46F-4979-A7E7-6FC0A82E0C8E}" id="{680217A1-C134-4691-920A-AABC8EE1589F}">
    <text>Client is on Enrichment Platform</text>
  </threadedComment>
  <threadedComment ref="AE326" dT="2024-08-14T08:16:27.16" personId="{6777EDD4-E46F-4979-A7E7-6FC0A82E0C8E}" id="{F5157108-FE4E-4D1A-A9C7-3D771E085CB5}">
    <text>Client is on Enrichment Platform</text>
  </threadedComment>
  <threadedComment ref="AF326" dT="2024-08-14T08:16:27.16" personId="{6777EDD4-E46F-4979-A7E7-6FC0A82E0C8E}" id="{FF32CE4F-70AE-4639-A8AA-9614DFDE0EB1}">
    <text>Client is on Enrichment Platform</text>
  </threadedComment>
  <threadedComment ref="AO326" dT="2025-03-20T07:46:32.46" personId="{6777EDD4-E46F-4979-A7E7-6FC0A82E0C8E}" id="{D113AF16-27FE-4961-A2C6-ABB282C35231}">
    <text>Moved on Enrichment platform</text>
  </threadedComment>
  <threadedComment ref="AP326" dT="2025-03-20T07:46:32.46" personId="{6777EDD4-E46F-4979-A7E7-6FC0A82E0C8E}" id="{893CFC8A-5432-4C38-A073-C3F2EAF65689}">
    <text>Moved on Enrichment platform</text>
  </threadedComment>
  <threadedComment ref="AQ326" dT="2025-03-20T07:46:32.46" personId="{6777EDD4-E46F-4979-A7E7-6FC0A82E0C8E}" id="{CD7851AA-E731-47E9-8094-0B3A72386D97}">
    <text>Moved on Enrichment platform</text>
  </threadedComment>
  <threadedComment ref="AR326" dT="2025-03-20T07:46:32.46" personId="{6777EDD4-E46F-4979-A7E7-6FC0A82E0C8E}" id="{74EA6B93-69D1-4A36-B7CE-F197A5D2F59F}">
    <text>Moved on Enrichment platform</text>
  </threadedComment>
  <threadedComment ref="AS326" dT="2025-03-20T07:46:32.46" personId="{6777EDD4-E46F-4979-A7E7-6FC0A82E0C8E}" id="{E8F6993F-CDC3-4CB4-99EB-DD3FC3F4FA82}">
    <text>Moved on Enrichment platform</text>
  </threadedComment>
  <threadedComment ref="AT326" dT="2025-03-20T07:46:32.46" personId="{6777EDD4-E46F-4979-A7E7-6FC0A82E0C8E}" id="{4063A1BD-8EC5-4CFD-9297-FC425E45944C}">
    <text>Moved on Enrichment platform</text>
  </threadedComment>
  <threadedComment ref="AU326" dT="2025-03-20T07:46:32.46" personId="{6777EDD4-E46F-4979-A7E7-6FC0A82E0C8E}" id="{D939C71D-894C-43C5-8EE7-5D31FE28D30D}">
    <text>Moved on Enrichment platform</text>
  </threadedComment>
  <threadedComment ref="AV326" dT="2025-03-20T07:46:32.46" personId="{6777EDD4-E46F-4979-A7E7-6FC0A82E0C8E}" id="{AFAB2A49-39B3-48B1-8A05-6F7433E48357}">
    <text>Moved on Enrichment platform</text>
  </threadedComment>
  <threadedComment ref="AW326" dT="2025-03-20T07:46:32.46" personId="{6777EDD4-E46F-4979-A7E7-6FC0A82E0C8E}" id="{9C197BA0-EB56-42BE-9EE8-C32B7603CCC9}">
    <text>Moved on Enrichment platform</text>
  </threadedComment>
  <threadedComment ref="AX326" dT="2025-03-20T07:46:32.46" personId="{6777EDD4-E46F-4979-A7E7-6FC0A82E0C8E}" id="{5DECDA3C-C90F-4483-A9E5-E87071AAE90A}">
    <text>Moved on Enrichment platform</text>
  </threadedComment>
  <threadedComment ref="AY326" dT="2025-03-20T07:46:32.46" personId="{6777EDD4-E46F-4979-A7E7-6FC0A82E0C8E}" id="{1D7E85DC-4430-4136-BF0C-5267AFFEB46C}">
    <text>Moved on Enrichment platform</text>
  </threadedComment>
  <threadedComment ref="AZ326" dT="2025-03-20T07:46:32.46" personId="{6777EDD4-E46F-4979-A7E7-6FC0A82E0C8E}" id="{1198B657-189F-4C08-AE83-90AC0B697B2A}">
    <text>Moved on Enrichment platform</text>
  </threadedComment>
  <threadedComment ref="BA326" dT="2025-03-20T07:46:32.46" personId="{6777EDD4-E46F-4979-A7E7-6FC0A82E0C8E}" id="{193FA874-E15C-444F-B571-1A3DAAFB269B}">
    <text>Moved on Enrichment platform</text>
  </threadedComment>
  <threadedComment ref="BB326" dT="2025-03-20T07:46:32.46" personId="{6777EDD4-E46F-4979-A7E7-6FC0A82E0C8E}" id="{B81B734D-F287-475A-92B5-4A29F4B7E1D9}">
    <text>Moved on Enrichment platform</text>
  </threadedComment>
  <threadedComment ref="BC326" dT="2025-03-20T07:46:32.46" personId="{6777EDD4-E46F-4979-A7E7-6FC0A82E0C8E}" id="{470097A5-B7FB-411E-8485-B6476AD37484}">
    <text>Moved on Enrichment platform</text>
  </threadedComment>
  <threadedComment ref="BD326" dT="2025-03-20T07:46:32.46" personId="{6777EDD4-E46F-4979-A7E7-6FC0A82E0C8E}" id="{A6188013-F0F2-4D94-92B2-39BDD50E686D}">
    <text>Moved on Enrichment platform</text>
  </threadedComment>
  <threadedComment ref="BE326" dT="2025-03-20T07:46:32.46" personId="{6777EDD4-E46F-4979-A7E7-6FC0A82E0C8E}" id="{5C7D08EE-E699-44BA-AD99-82CC65A382BF}">
    <text>Moved on Enrichment platform</text>
  </threadedComment>
  <threadedComment ref="BF326" dT="2025-03-20T07:46:32.46" personId="{6777EDD4-E46F-4979-A7E7-6FC0A82E0C8E}" id="{FE58ABE3-E1E1-4F68-98E6-B29054075E57}">
    <text>Moved on Enrichment platform</text>
  </threadedComment>
  <threadedComment ref="BG326" dT="2025-03-20T07:46:32.46" personId="{6777EDD4-E46F-4979-A7E7-6FC0A82E0C8E}" id="{70764A00-5A18-4568-8706-483A04C1FF61}">
    <text>Moved on Enrichment platform</text>
  </threadedComment>
  <threadedComment ref="BH326" dT="2025-03-20T07:46:32.46" personId="{6777EDD4-E46F-4979-A7E7-6FC0A82E0C8E}" id="{7AC32427-0A30-46CE-B1A1-C132F9F20D72}">
    <text>Moved on Enrichment platform</text>
  </threadedComment>
  <threadedComment ref="BI326" dT="2025-03-20T07:46:32.46" personId="{6777EDD4-E46F-4979-A7E7-6FC0A82E0C8E}" id="{E88CD142-791C-45F4-862D-9CCC16AF9415}">
    <text>Moved on Enrichment platform</text>
  </threadedComment>
  <threadedComment ref="BJ326" dT="2025-03-20T07:46:32.46" personId="{6777EDD4-E46F-4979-A7E7-6FC0A82E0C8E}" id="{A4644A5E-E7F2-459A-B43B-3E2B14437C3D}">
    <text>Moved on Enrichment platform</text>
  </threadedComment>
  <threadedComment ref="BK326" dT="2025-03-20T07:46:32.46" personId="{6777EDD4-E46F-4979-A7E7-6FC0A82E0C8E}" id="{8DD7D9EC-1915-4B47-8B02-E19DBD0BB9F9}">
    <text>Moved on Enrichment platform</text>
  </threadedComment>
  <threadedComment ref="BL326" dT="2025-03-20T07:46:32.46" personId="{6777EDD4-E46F-4979-A7E7-6FC0A82E0C8E}" id="{F53EF083-6E06-4212-9FA6-DE47C50E09AE}">
    <text>Moved on Enrichment platform</text>
  </threadedComment>
  <threadedComment ref="BM326" dT="2025-03-20T07:46:32.46" personId="{6777EDD4-E46F-4979-A7E7-6FC0A82E0C8E}" id="{EE8303C1-3AED-4273-A925-D359F012F630}">
    <text>Moved on Enrichment platform</text>
  </threadedComment>
  <threadedComment ref="BN326" dT="2025-03-20T07:46:32.46" personId="{6777EDD4-E46F-4979-A7E7-6FC0A82E0C8E}" id="{F73231B2-D406-48C6-B595-F951D2244AAB}">
    <text>Moved on Enrichment platform</text>
  </threadedComment>
  <threadedComment ref="BP326" dT="2025-03-20T07:46:32.46" personId="{6777EDD4-E46F-4979-A7E7-6FC0A82E0C8E}" id="{36A9238A-4CAD-4A3E-AA92-24E9FD37A307}">
    <text>Moved on Enrichment platform</text>
  </threadedComment>
  <threadedComment ref="BQ326" dT="2025-03-20T07:46:32.46" personId="{6777EDD4-E46F-4979-A7E7-6FC0A82E0C8E}" id="{56B7770B-CB44-4E6F-A734-BE13B76441B4}">
    <text>Moved on Enrichment platform</text>
  </threadedComment>
  <threadedComment ref="BR326" dT="2025-03-20T07:46:32.46" personId="{6777EDD4-E46F-4979-A7E7-6FC0A82E0C8E}" id="{264A4906-350E-4E7F-B920-E429240E8CA1}">
    <text>Moved on Enrichment platform</text>
  </threadedComment>
  <threadedComment ref="BS326" dT="2025-03-20T07:46:32.46" personId="{6777EDD4-E46F-4979-A7E7-6FC0A82E0C8E}" id="{EB7E9518-2679-46E6-827C-39600E22800B}">
    <text>Moved on Enrichment platform</text>
  </threadedComment>
  <threadedComment ref="BU326" dT="2025-03-20T07:46:32.46" personId="{6777EDD4-E46F-4979-A7E7-6FC0A82E0C8E}" id="{48F15734-F7F3-4CAA-BAC6-42A3824CCDCB}">
    <text>Moved on Enrichment platform</text>
  </threadedComment>
  <threadedComment ref="W327" dT="2024-08-14T08:16:27.16" personId="{6777EDD4-E46F-4979-A7E7-6FC0A82E0C8E}" id="{02009F74-A387-49CC-B414-B91F47DE436D}">
    <text>Client is on Enrichment Platform</text>
  </threadedComment>
  <threadedComment ref="X327" dT="2024-08-14T08:16:27.16" personId="{6777EDD4-E46F-4979-A7E7-6FC0A82E0C8E}" id="{EF658464-5CF0-4AAC-B59E-36DAD52CF6F7}">
    <text>Client is on Enrichment Platform</text>
  </threadedComment>
  <threadedComment ref="Y327" dT="2024-08-14T08:16:27.16" personId="{6777EDD4-E46F-4979-A7E7-6FC0A82E0C8E}" id="{C2D282EA-C72D-45E1-8451-AE0BB0F63D64}">
    <text>Client is on Enrichment Platform</text>
  </threadedComment>
  <threadedComment ref="Z327" dT="2024-08-14T08:16:27.16" personId="{6777EDD4-E46F-4979-A7E7-6FC0A82E0C8E}" id="{0FF37AC9-AC81-4CD7-A042-3CA1CC52E60C}">
    <text>Client is on Enrichment Platform</text>
  </threadedComment>
  <threadedComment ref="AA327" dT="2024-08-14T08:16:27.16" personId="{6777EDD4-E46F-4979-A7E7-6FC0A82E0C8E}" id="{E7DC3722-9EF9-4AD6-8023-DE4554142E7E}">
    <text>Client is on Enrichment Platform</text>
  </threadedComment>
  <threadedComment ref="AB327" dT="2024-08-14T08:16:27.16" personId="{6777EDD4-E46F-4979-A7E7-6FC0A82E0C8E}" id="{21877B6C-3AD4-42F4-BBFB-F66740812DB0}">
    <text>Client is on Enrichment Platform</text>
  </threadedComment>
  <threadedComment ref="AC327" dT="2024-08-14T08:16:27.16" personId="{6777EDD4-E46F-4979-A7E7-6FC0A82E0C8E}" id="{7DDB67A0-538F-47E8-BADA-8F7CC3843265}">
    <text>Client is on Enrichment Platform</text>
  </threadedComment>
  <threadedComment ref="AD327" dT="2024-08-14T08:16:27.16" personId="{6777EDD4-E46F-4979-A7E7-6FC0A82E0C8E}" id="{9384A270-44BC-4FF8-834A-D4BB10EB8AD4}">
    <text>Client is on Enrichment Platform</text>
  </threadedComment>
  <threadedComment ref="AE327" dT="2024-08-14T08:16:27.16" personId="{6777EDD4-E46F-4979-A7E7-6FC0A82E0C8E}" id="{E84FF78A-C69B-440A-9F53-1E740EB6D5C6}">
    <text>Client is on Enrichment Platform</text>
  </threadedComment>
  <threadedComment ref="AF327" dT="2024-08-14T08:16:27.16" personId="{6777EDD4-E46F-4979-A7E7-6FC0A82E0C8E}" id="{CFE8707C-3993-42D9-9098-BDE697995421}">
    <text>Client is on Enrichment Platform</text>
  </threadedComment>
  <threadedComment ref="AO327" dT="2025-03-20T07:46:32.46" personId="{6777EDD4-E46F-4979-A7E7-6FC0A82E0C8E}" id="{F5E44EB5-7442-4F75-B8DD-AA385F5B02FC}">
    <text>Moved on Enrichment platform</text>
  </threadedComment>
  <threadedComment ref="AP327" dT="2025-03-20T07:46:32.46" personId="{6777EDD4-E46F-4979-A7E7-6FC0A82E0C8E}" id="{8C984C08-590E-4F99-A7FF-8D7D1363364B}">
    <text>Moved on Enrichment platform</text>
  </threadedComment>
  <threadedComment ref="AQ327" dT="2025-03-20T07:46:32.46" personId="{6777EDD4-E46F-4979-A7E7-6FC0A82E0C8E}" id="{FC9B48A9-A0EF-4C06-8905-B056738BBAD4}">
    <text>Moved on Enrichment platform</text>
  </threadedComment>
  <threadedComment ref="AR327" dT="2025-03-20T07:46:32.46" personId="{6777EDD4-E46F-4979-A7E7-6FC0A82E0C8E}" id="{EF2E9444-CE56-47FA-B657-EBDD0240CC35}">
    <text>Moved on Enrichment platform</text>
  </threadedComment>
  <threadedComment ref="AS327" dT="2025-03-20T07:46:32.46" personId="{6777EDD4-E46F-4979-A7E7-6FC0A82E0C8E}" id="{C7DCA92B-03ED-4A3D-80B7-DF9E5851B2C5}">
    <text>Moved on Enrichment platform</text>
  </threadedComment>
  <threadedComment ref="AT327" dT="2025-03-20T07:46:32.46" personId="{6777EDD4-E46F-4979-A7E7-6FC0A82E0C8E}" id="{5D54CF30-103B-4253-A047-9E1E6825D852}">
    <text>Moved on Enrichment platform</text>
  </threadedComment>
  <threadedComment ref="AU327" dT="2025-03-20T07:46:32.46" personId="{6777EDD4-E46F-4979-A7E7-6FC0A82E0C8E}" id="{100C50A2-D8D7-4240-9DBE-D743FC508451}">
    <text>Moved on Enrichment platform</text>
  </threadedComment>
  <threadedComment ref="AV327" dT="2025-03-20T07:46:32.46" personId="{6777EDD4-E46F-4979-A7E7-6FC0A82E0C8E}" id="{926AA437-80E9-4304-951B-E315AE7937B2}">
    <text>Moved on Enrichment platform</text>
  </threadedComment>
  <threadedComment ref="AW327" dT="2025-03-20T07:46:32.46" personId="{6777EDD4-E46F-4979-A7E7-6FC0A82E0C8E}" id="{D92FB227-3C9B-4BB9-876E-5A2AC754DFD2}">
    <text>Moved on Enrichment platform</text>
  </threadedComment>
  <threadedComment ref="AX327" dT="2025-03-20T07:46:32.46" personId="{6777EDD4-E46F-4979-A7E7-6FC0A82E0C8E}" id="{461D6491-9A4B-4A68-8AF1-434EEC1B22C1}">
    <text>Moved on Enrichment platform</text>
  </threadedComment>
  <threadedComment ref="AY327" dT="2025-03-20T07:46:32.46" personId="{6777EDD4-E46F-4979-A7E7-6FC0A82E0C8E}" id="{5964C4E9-80D5-4CAB-AD91-A01FF201A9D0}">
    <text>Moved on Enrichment platform</text>
  </threadedComment>
  <threadedComment ref="AZ327" dT="2025-03-20T07:46:32.46" personId="{6777EDD4-E46F-4979-A7E7-6FC0A82E0C8E}" id="{C80C52F1-19A7-4E24-BC34-E943E6EFC95D}">
    <text>Moved on Enrichment platform</text>
  </threadedComment>
  <threadedComment ref="BA327" dT="2025-03-20T07:46:32.46" personId="{6777EDD4-E46F-4979-A7E7-6FC0A82E0C8E}" id="{4ADA8561-CB17-4CAF-8ED8-C96D55A368B5}">
    <text>Moved on Enrichment platform</text>
  </threadedComment>
  <threadedComment ref="BB327" dT="2025-03-20T07:46:32.46" personId="{6777EDD4-E46F-4979-A7E7-6FC0A82E0C8E}" id="{B533323F-F306-4AE3-BFC9-5D8343CD58BC}">
    <text>Moved on Enrichment platform</text>
  </threadedComment>
  <threadedComment ref="BC327" dT="2025-03-20T07:46:32.46" personId="{6777EDD4-E46F-4979-A7E7-6FC0A82E0C8E}" id="{520977AA-D324-4D55-85DD-CBC30D9E02C4}">
    <text>Moved on Enrichment platform</text>
  </threadedComment>
  <threadedComment ref="BD327" dT="2025-03-20T07:46:32.46" personId="{6777EDD4-E46F-4979-A7E7-6FC0A82E0C8E}" id="{4F357F13-186C-49C3-B5EC-436DDC88484B}">
    <text>Moved on Enrichment platform</text>
  </threadedComment>
  <threadedComment ref="BE327" dT="2025-03-20T07:46:32.46" personId="{6777EDD4-E46F-4979-A7E7-6FC0A82E0C8E}" id="{76E8B330-DC6A-46A8-B572-3FCD2829F9DF}">
    <text>Moved on Enrichment platform</text>
  </threadedComment>
  <threadedComment ref="BF327" dT="2025-03-20T07:46:32.46" personId="{6777EDD4-E46F-4979-A7E7-6FC0A82E0C8E}" id="{BA3C8EE5-7D86-4088-8896-9D601A553B26}">
    <text>Moved on Enrichment platform</text>
  </threadedComment>
  <threadedComment ref="BG327" dT="2025-03-20T07:46:32.46" personId="{6777EDD4-E46F-4979-A7E7-6FC0A82E0C8E}" id="{AF8C9EAB-B35E-4FAB-8F07-B5ABD78BA9C4}">
    <text>Moved on Enrichment platform</text>
  </threadedComment>
  <threadedComment ref="BH327" dT="2025-03-20T07:46:32.46" personId="{6777EDD4-E46F-4979-A7E7-6FC0A82E0C8E}" id="{8F54B733-D562-417F-8EF2-3E4E4BB56902}">
    <text>Moved on Enrichment platform</text>
  </threadedComment>
  <threadedComment ref="BI327" dT="2025-03-20T07:46:32.46" personId="{6777EDD4-E46F-4979-A7E7-6FC0A82E0C8E}" id="{B753E7A4-CCC3-4261-809A-C3464480746E}">
    <text>Moved on Enrichment platform</text>
  </threadedComment>
  <threadedComment ref="BJ327" dT="2025-03-20T07:46:32.46" personId="{6777EDD4-E46F-4979-A7E7-6FC0A82E0C8E}" id="{57718B83-E8C7-4318-B413-8B8B8D9F826B}">
    <text>Moved on Enrichment platform</text>
  </threadedComment>
  <threadedComment ref="BK327" dT="2025-03-20T07:46:32.46" personId="{6777EDD4-E46F-4979-A7E7-6FC0A82E0C8E}" id="{B1769C04-111A-4DBA-8D98-2A1652FCE74E}">
    <text>Moved on Enrichment platform</text>
  </threadedComment>
  <threadedComment ref="BM327" dT="2025-03-20T07:46:32.46" personId="{6777EDD4-E46F-4979-A7E7-6FC0A82E0C8E}" id="{E390EEB1-666A-4C2F-90C9-84DEA6194A1B}">
    <text>Moved on Enrichment platform</text>
  </threadedComment>
  <threadedComment ref="BS327" dT="2025-03-20T07:46:32.46" personId="{6777EDD4-E46F-4979-A7E7-6FC0A82E0C8E}" id="{629A7E8C-4045-4156-990B-7AEE6CD72E09}">
    <text>Moved on Enrichment platform</text>
  </threadedComment>
  <threadedComment ref="BU327" dT="2025-03-20T07:46:32.46" personId="{6777EDD4-E46F-4979-A7E7-6FC0A82E0C8E}" id="{878914A4-F138-498F-912B-5290E71A1C0F}">
    <text>Moved on Enrichment platform</text>
  </threadedComment>
  <threadedComment ref="W328" dT="2024-08-14T08:16:27.16" personId="{6777EDD4-E46F-4979-A7E7-6FC0A82E0C8E}" id="{89324F25-1DCE-49EF-ABED-CA2C3E4DA608}">
    <text>Client is on Enrichment Platform</text>
  </threadedComment>
  <threadedComment ref="X328" dT="2024-08-14T08:16:27.16" personId="{6777EDD4-E46F-4979-A7E7-6FC0A82E0C8E}" id="{37FD269D-DCD8-42E6-8382-10B7890CC1EB}">
    <text>Client is on Enrichment Platform</text>
  </threadedComment>
  <threadedComment ref="Y328" dT="2024-08-14T08:16:27.16" personId="{6777EDD4-E46F-4979-A7E7-6FC0A82E0C8E}" id="{516E3579-CA14-4AF7-96FE-B91D67487404}">
    <text>Client is on Enrichment Platform</text>
  </threadedComment>
  <threadedComment ref="Z328" dT="2024-08-14T08:16:27.16" personId="{6777EDD4-E46F-4979-A7E7-6FC0A82E0C8E}" id="{8DBF6F60-8F5A-426C-90AC-779144469355}">
    <text>Client is on Enrichment Platform</text>
  </threadedComment>
  <threadedComment ref="AA328" dT="2024-08-14T08:16:27.16" personId="{6777EDD4-E46F-4979-A7E7-6FC0A82E0C8E}" id="{0996690E-BC69-46A7-A199-D2B7F98DD015}">
    <text>Client is on Enrichment Platform</text>
  </threadedComment>
  <threadedComment ref="AB328" dT="2024-08-14T08:16:27.16" personId="{6777EDD4-E46F-4979-A7E7-6FC0A82E0C8E}" id="{2FECB9A8-0FA6-4749-9363-02CD51948C58}">
    <text>Client is on Enrichment Platform</text>
  </threadedComment>
  <threadedComment ref="AC328" dT="2024-08-14T08:16:27.16" personId="{6777EDD4-E46F-4979-A7E7-6FC0A82E0C8E}" id="{045F57D4-E7EA-4669-B848-A8FCEE7D7593}">
    <text>Client is on Enrichment Platform</text>
  </threadedComment>
  <threadedComment ref="AD328" dT="2024-08-14T08:16:27.16" personId="{6777EDD4-E46F-4979-A7E7-6FC0A82E0C8E}" id="{B1BCF05C-5239-4A29-9A2A-82D8C1E964EC}">
    <text>Client is on Enrichment Platform</text>
  </threadedComment>
  <threadedComment ref="AE328" dT="2024-08-14T08:16:27.16" personId="{6777EDD4-E46F-4979-A7E7-6FC0A82E0C8E}" id="{AEFF2BC4-195F-4195-84EB-1D7B735E4B8A}">
    <text>Client is on Enrichment Platform</text>
  </threadedComment>
  <threadedComment ref="AF328" dT="2024-08-14T08:16:27.16" personId="{6777EDD4-E46F-4979-A7E7-6FC0A82E0C8E}" id="{DD5163FA-3CA6-4F0B-9D56-A047798C13C0}">
    <text>Client is on Enrichment Platform</text>
  </threadedComment>
  <threadedComment ref="AG328" dT="2024-12-20T08:24:27.94" personId="{6777EDD4-E46F-4979-A7E7-6FC0A82E0C8E}" id="{F2FE3F9C-A539-47CA-ADD9-081C0FBA3F65}">
    <text>Validated</text>
  </threadedComment>
  <threadedComment ref="AO328" dT="2025-03-20T07:46:32.46" personId="{6777EDD4-E46F-4979-A7E7-6FC0A82E0C8E}" id="{B9FAFA22-E904-43F9-9695-32C72BFE33EB}">
    <text>Moved on Enrichment platform</text>
  </threadedComment>
  <threadedComment ref="AP328" dT="2025-03-20T07:46:32.46" personId="{6777EDD4-E46F-4979-A7E7-6FC0A82E0C8E}" id="{D54C9DB8-3D80-43E1-ACC2-D0EF19560E44}">
    <text>Moved on Enrichment platform</text>
  </threadedComment>
  <threadedComment ref="AQ328" dT="2025-03-20T07:46:32.46" personId="{6777EDD4-E46F-4979-A7E7-6FC0A82E0C8E}" id="{A85946FD-039B-43D8-BC4D-656E9CE79EE1}">
    <text>Moved on Enrichment platform</text>
  </threadedComment>
  <threadedComment ref="AR328" dT="2025-03-20T07:46:32.46" personId="{6777EDD4-E46F-4979-A7E7-6FC0A82E0C8E}" id="{D635ACE6-DB8A-4E93-9562-1788764A8170}">
    <text>Moved on Enrichment platform</text>
  </threadedComment>
  <threadedComment ref="AS328" dT="2025-03-20T07:46:32.46" personId="{6777EDD4-E46F-4979-A7E7-6FC0A82E0C8E}" id="{6D112F3E-D495-4201-B202-952223190A75}">
    <text>Moved on Enrichment platform</text>
  </threadedComment>
  <threadedComment ref="AT328" dT="2025-03-20T07:46:32.46" personId="{6777EDD4-E46F-4979-A7E7-6FC0A82E0C8E}" id="{BFEEC916-F2A3-4624-BBA2-7BAD8E8B4B54}">
    <text>Moved on Enrichment platform</text>
  </threadedComment>
  <threadedComment ref="AU328" dT="2025-03-20T07:46:32.46" personId="{6777EDD4-E46F-4979-A7E7-6FC0A82E0C8E}" id="{E26CF187-AFE6-4600-BCE4-D79951BCFA7B}">
    <text>Moved on Enrichment platform</text>
  </threadedComment>
  <threadedComment ref="AV328" dT="2025-03-20T07:46:32.46" personId="{6777EDD4-E46F-4979-A7E7-6FC0A82E0C8E}" id="{3EF810C3-768C-4794-893E-7A09E15BA382}">
    <text>Moved on Enrichment platform</text>
  </threadedComment>
  <threadedComment ref="AW328" dT="2025-03-20T07:46:32.46" personId="{6777EDD4-E46F-4979-A7E7-6FC0A82E0C8E}" id="{7B97E22E-EDAE-4894-850C-5FF0E22CDE2A}">
    <text>Moved on Enrichment platform</text>
  </threadedComment>
  <threadedComment ref="AX328" dT="2025-03-20T07:46:32.46" personId="{6777EDD4-E46F-4979-A7E7-6FC0A82E0C8E}" id="{107AE45E-1E0A-4EF6-A49F-7139A71B416C}">
    <text>Moved on Enrichment platform</text>
  </threadedComment>
  <threadedComment ref="AY328" dT="2025-03-20T07:46:32.46" personId="{6777EDD4-E46F-4979-A7E7-6FC0A82E0C8E}" id="{50AD763B-D597-4E13-892B-7807CD97CD55}">
    <text>Moved on Enrichment platform</text>
  </threadedComment>
  <threadedComment ref="AZ328" dT="2025-03-20T07:46:32.46" personId="{6777EDD4-E46F-4979-A7E7-6FC0A82E0C8E}" id="{EC742D31-7D15-475E-9CBC-BB82BBE3F414}">
    <text>Moved on Enrichment platform</text>
  </threadedComment>
  <threadedComment ref="BA328" dT="2025-03-20T07:46:32.46" personId="{6777EDD4-E46F-4979-A7E7-6FC0A82E0C8E}" id="{DBCB8C02-7FCB-4128-AC22-9F8E01A858BD}">
    <text>Moved on Enrichment platform</text>
  </threadedComment>
  <threadedComment ref="BB328" dT="2025-03-20T07:46:32.46" personId="{6777EDD4-E46F-4979-A7E7-6FC0A82E0C8E}" id="{6D5184DC-16F1-4830-A010-3D705D8CE3A7}">
    <text>Moved on Enrichment platform</text>
  </threadedComment>
  <threadedComment ref="BC328" dT="2025-03-20T07:46:32.46" personId="{6777EDD4-E46F-4979-A7E7-6FC0A82E0C8E}" id="{4F6CB9A2-05B7-4123-AAA6-64BC50E939D0}">
    <text>Moved on Enrichment platform</text>
  </threadedComment>
  <threadedComment ref="BD328" dT="2025-03-20T07:46:32.46" personId="{6777EDD4-E46F-4979-A7E7-6FC0A82E0C8E}" id="{54491237-8028-4406-A180-447A11872142}">
    <text>Moved on Enrichment platform</text>
  </threadedComment>
  <threadedComment ref="BE328" dT="2025-03-20T07:46:32.46" personId="{6777EDD4-E46F-4979-A7E7-6FC0A82E0C8E}" id="{EF9D8A7A-50D6-4569-888C-42C8A385AD3C}">
    <text>Moved on Enrichment platform</text>
  </threadedComment>
  <threadedComment ref="BF328" dT="2025-03-20T07:46:32.46" personId="{6777EDD4-E46F-4979-A7E7-6FC0A82E0C8E}" id="{369464B2-89DA-4A93-A4D9-557B5B4A5415}">
    <text>Moved on Enrichment platform</text>
  </threadedComment>
  <threadedComment ref="BG328" dT="2025-03-20T07:46:32.46" personId="{6777EDD4-E46F-4979-A7E7-6FC0A82E0C8E}" id="{2630FAC9-5BA9-489B-BB2F-B00034E8BE28}">
    <text>Moved on Enrichment platform</text>
  </threadedComment>
  <threadedComment ref="BH328" dT="2025-03-20T07:46:32.46" personId="{6777EDD4-E46F-4979-A7E7-6FC0A82E0C8E}" id="{160CBEA5-618A-4C71-93AC-8A436B935E0E}">
    <text>Moved on Enrichment platform</text>
  </threadedComment>
  <threadedComment ref="BI328" dT="2025-03-20T07:46:32.46" personId="{6777EDD4-E46F-4979-A7E7-6FC0A82E0C8E}" id="{DFA5A006-3140-4ED3-B7BD-8BFC775A91F0}">
    <text>Moved on Enrichment platform</text>
  </threadedComment>
  <threadedComment ref="BJ328" dT="2025-03-20T07:46:32.46" personId="{6777EDD4-E46F-4979-A7E7-6FC0A82E0C8E}" id="{29FE0CC0-9290-4E20-92DE-6A0E73CAE6E9}">
    <text>Moved on Enrichment platform</text>
  </threadedComment>
  <threadedComment ref="BK328" dT="2025-03-20T07:46:32.46" personId="{6777EDD4-E46F-4979-A7E7-6FC0A82E0C8E}" id="{9642FC48-1D73-429A-9947-FA0F91329F05}">
    <text>Moved on Enrichment platform</text>
  </threadedComment>
  <threadedComment ref="BL328" dT="2025-03-20T07:46:32.46" personId="{6777EDD4-E46F-4979-A7E7-6FC0A82E0C8E}" id="{E61CB7D9-5CB0-4327-9438-98217518D033}">
    <text>Moved on Enrichment platform</text>
  </threadedComment>
  <threadedComment ref="BM328" dT="2025-03-20T07:46:32.46" personId="{6777EDD4-E46F-4979-A7E7-6FC0A82E0C8E}" id="{27524725-E7E9-40DE-97B7-0AB62995C236}">
    <text>Moved on Enrichment platform</text>
  </threadedComment>
  <threadedComment ref="BN328" dT="2025-03-20T07:46:32.46" personId="{6777EDD4-E46F-4979-A7E7-6FC0A82E0C8E}" id="{676191AD-2B49-451C-B366-A237CE2990DD}">
    <text>Moved on Enrichment platform</text>
  </threadedComment>
  <threadedComment ref="BP328" dT="2025-03-20T07:46:32.46" personId="{6777EDD4-E46F-4979-A7E7-6FC0A82E0C8E}" id="{E98AA30E-6167-435D-A19F-C602F610E08C}">
    <text>Moved on Enrichment platform</text>
  </threadedComment>
  <threadedComment ref="BQ328" dT="2025-03-20T07:46:32.46" personId="{6777EDD4-E46F-4979-A7E7-6FC0A82E0C8E}" id="{A1D917ED-18BE-4415-8D2C-A05629216A3D}">
    <text>Moved on Enrichment platform</text>
  </threadedComment>
  <threadedComment ref="BR328" dT="2025-03-20T07:46:32.46" personId="{6777EDD4-E46F-4979-A7E7-6FC0A82E0C8E}" id="{07406BB0-F226-464C-878A-EDAE5D7AB14C}">
    <text>Moved on Enrichment platform</text>
  </threadedComment>
  <threadedComment ref="BS328" dT="2025-03-20T07:46:32.46" personId="{6777EDD4-E46F-4979-A7E7-6FC0A82E0C8E}" id="{01EB9CCF-8404-49BD-B02F-49C0F49B38DF}">
    <text>Moved on Enrichment platform</text>
  </threadedComment>
  <threadedComment ref="BU328" dT="2025-03-20T07:46:32.46" personId="{6777EDD4-E46F-4979-A7E7-6FC0A82E0C8E}" id="{4B0EF46E-6CC6-4C4F-9241-8D16769E138B}">
    <text>Moved on Enrichment platform</text>
  </threadedComment>
  <threadedComment ref="W329" dT="2024-08-14T08:16:27.16" personId="{6777EDD4-E46F-4979-A7E7-6FC0A82E0C8E}" id="{1A008CC0-DE47-4F88-A30F-52A6AA0AC62C}">
    <text>Client is on Enrichment Platform</text>
  </threadedComment>
  <threadedComment ref="X329" dT="2024-08-14T08:16:27.16" personId="{6777EDD4-E46F-4979-A7E7-6FC0A82E0C8E}" id="{51845073-1BDA-46E5-801C-4CCC3551D95A}">
    <text>Client is on Enrichment Platform</text>
  </threadedComment>
  <threadedComment ref="Y329" dT="2024-08-14T08:16:27.16" personId="{6777EDD4-E46F-4979-A7E7-6FC0A82E0C8E}" id="{99E4C248-0BAB-43EF-ADE4-FC7E90222062}">
    <text>Client is on Enrichment Platform</text>
  </threadedComment>
  <threadedComment ref="Z329" dT="2024-08-14T08:16:27.16" personId="{6777EDD4-E46F-4979-A7E7-6FC0A82E0C8E}" id="{DBD120A1-B744-4F6D-9ADA-BF0D322C2FA3}">
    <text>Client is on Enrichment Platform</text>
  </threadedComment>
  <threadedComment ref="AA329" dT="2024-08-14T08:16:27.16" personId="{6777EDD4-E46F-4979-A7E7-6FC0A82E0C8E}" id="{01CB547A-C9D3-48A1-882B-665A2D698AC6}">
    <text>Client is on Enrichment Platform</text>
  </threadedComment>
  <threadedComment ref="AB329" dT="2024-08-14T08:16:27.16" personId="{6777EDD4-E46F-4979-A7E7-6FC0A82E0C8E}" id="{C3B12A4C-6DD1-47C0-BF1B-DBF8C5BFC484}">
    <text>Client is on Enrichment Platform</text>
  </threadedComment>
  <threadedComment ref="AC329" dT="2024-08-14T08:16:27.16" personId="{6777EDD4-E46F-4979-A7E7-6FC0A82E0C8E}" id="{CE79870A-D4DB-4AEC-82DC-0E4715FB0056}">
    <text>Client is on Enrichment Platform</text>
  </threadedComment>
  <threadedComment ref="AD329" dT="2024-08-14T08:16:27.16" personId="{6777EDD4-E46F-4979-A7E7-6FC0A82E0C8E}" id="{09ECCC0A-5BED-4899-B700-0E19C6DF70BB}">
    <text>Client is on Enrichment Platform</text>
  </threadedComment>
  <threadedComment ref="AE329" dT="2024-08-14T08:16:27.16" personId="{6777EDD4-E46F-4979-A7E7-6FC0A82E0C8E}" id="{B0D4E26F-7728-4BA8-BFBD-7F377EBE8D66}">
    <text>Client is on Enrichment Platform</text>
  </threadedComment>
  <threadedComment ref="AF329" dT="2024-08-14T08:16:27.16" personId="{6777EDD4-E46F-4979-A7E7-6FC0A82E0C8E}" id="{6C543AD5-90A6-4D18-97D9-F218BCEC7D8A}">
    <text>Client is on Enrichment Platform</text>
  </threadedComment>
  <threadedComment ref="AO329" dT="2025-03-20T07:46:32.46" personId="{6777EDD4-E46F-4979-A7E7-6FC0A82E0C8E}" id="{5A7F3E07-0427-4709-A0A8-35181114ED40}">
    <text>Moved on Enrichment platform</text>
  </threadedComment>
  <threadedComment ref="AP329" dT="2025-03-20T07:46:32.46" personId="{6777EDD4-E46F-4979-A7E7-6FC0A82E0C8E}" id="{6060A4C6-CDC5-478D-A12A-3B16D79309C1}">
    <text>Moved on Enrichment platform</text>
  </threadedComment>
  <threadedComment ref="AQ329" dT="2025-03-20T07:46:32.46" personId="{6777EDD4-E46F-4979-A7E7-6FC0A82E0C8E}" id="{4D17D2EF-1310-4F6A-90A2-BA66097034D8}">
    <text>Moved on Enrichment platform</text>
  </threadedComment>
  <threadedComment ref="AR329" dT="2025-03-20T07:46:32.46" personId="{6777EDD4-E46F-4979-A7E7-6FC0A82E0C8E}" id="{AF5269AF-5BCE-4CE5-BD30-F9627DA1F13A}">
    <text>Moved on Enrichment platform</text>
  </threadedComment>
  <threadedComment ref="AS329" dT="2025-03-20T07:46:32.46" personId="{6777EDD4-E46F-4979-A7E7-6FC0A82E0C8E}" id="{41EB029E-CC1C-4A95-BE9A-5E562D0A4BE4}">
    <text>Moved on Enrichment platform</text>
  </threadedComment>
  <threadedComment ref="AT329" dT="2025-03-20T07:46:32.46" personId="{6777EDD4-E46F-4979-A7E7-6FC0A82E0C8E}" id="{42A7A84B-AC4F-4FE2-B32D-C08D9B1A2B8C}">
    <text>Moved on Enrichment platform</text>
  </threadedComment>
  <threadedComment ref="AU329" dT="2025-03-20T07:46:32.46" personId="{6777EDD4-E46F-4979-A7E7-6FC0A82E0C8E}" id="{9BE9834B-0304-4B11-97F4-85BC752E1EC2}">
    <text>Moved on Enrichment platform</text>
  </threadedComment>
  <threadedComment ref="AV329" dT="2025-03-20T07:46:32.46" personId="{6777EDD4-E46F-4979-A7E7-6FC0A82E0C8E}" id="{6D0C5CAD-79DB-4EAD-B03B-07FEBFF385FC}">
    <text>Moved on Enrichment platform</text>
  </threadedComment>
  <threadedComment ref="AW329" dT="2025-03-20T07:46:32.46" personId="{6777EDD4-E46F-4979-A7E7-6FC0A82E0C8E}" id="{F048EE7B-4032-4864-9EA4-FDBEED6E9491}">
    <text>Moved on Enrichment platform</text>
  </threadedComment>
  <threadedComment ref="AX329" dT="2025-03-20T07:46:32.46" personId="{6777EDD4-E46F-4979-A7E7-6FC0A82E0C8E}" id="{50ED43AB-733A-4EA4-A96D-A39B9EABBA58}">
    <text>Moved on Enrichment platform</text>
  </threadedComment>
  <threadedComment ref="AY329" dT="2025-03-20T07:46:32.46" personId="{6777EDD4-E46F-4979-A7E7-6FC0A82E0C8E}" id="{8A873F35-ED3A-47BE-BCC7-B74FF3367E5A}">
    <text>Moved on Enrichment platform</text>
  </threadedComment>
  <threadedComment ref="AZ329" dT="2025-03-20T07:46:32.46" personId="{6777EDD4-E46F-4979-A7E7-6FC0A82E0C8E}" id="{4A46FE15-1128-4FB6-AD35-20A76A424127}">
    <text>Moved on Enrichment platform</text>
  </threadedComment>
  <threadedComment ref="BA329" dT="2025-03-20T07:46:32.46" personId="{6777EDD4-E46F-4979-A7E7-6FC0A82E0C8E}" id="{C44C0CC5-B59B-45ED-873D-7C4B13CF5F8C}">
    <text>Moved on Enrichment platform</text>
  </threadedComment>
  <threadedComment ref="BB329" dT="2025-03-20T07:46:32.46" personId="{6777EDD4-E46F-4979-A7E7-6FC0A82E0C8E}" id="{DE21505F-C000-446C-908D-5354B414E8FE}">
    <text>Moved on Enrichment platform</text>
  </threadedComment>
  <threadedComment ref="BC329" dT="2025-03-20T07:46:32.46" personId="{6777EDD4-E46F-4979-A7E7-6FC0A82E0C8E}" id="{18D2CBDC-5962-4996-98D9-092782CFF7E4}">
    <text>Moved on Enrichment platform</text>
  </threadedComment>
  <threadedComment ref="BD329" dT="2025-03-20T07:46:32.46" personId="{6777EDD4-E46F-4979-A7E7-6FC0A82E0C8E}" id="{60CD54F3-F36C-494E-8EC5-B73D3B758291}">
    <text>Moved on Enrichment platform</text>
  </threadedComment>
  <threadedComment ref="BE329" dT="2025-03-20T07:46:32.46" personId="{6777EDD4-E46F-4979-A7E7-6FC0A82E0C8E}" id="{40CB4999-AA90-40D3-A7D2-74EB2BD5DEF7}">
    <text>Moved on Enrichment platform</text>
  </threadedComment>
  <threadedComment ref="BF329" dT="2025-03-20T07:46:32.46" personId="{6777EDD4-E46F-4979-A7E7-6FC0A82E0C8E}" id="{7EB980C1-4AF0-4E02-A8DF-A01A53538118}">
    <text>Moved on Enrichment platform</text>
  </threadedComment>
  <threadedComment ref="BG329" dT="2025-03-20T07:46:32.46" personId="{6777EDD4-E46F-4979-A7E7-6FC0A82E0C8E}" id="{8CD6184C-D9A4-4A4C-8D8A-2C9FBC982D1B}">
    <text>Moved on Enrichment platform</text>
  </threadedComment>
  <threadedComment ref="BH329" dT="2025-03-20T07:46:32.46" personId="{6777EDD4-E46F-4979-A7E7-6FC0A82E0C8E}" id="{289CEF1A-41FC-4BBE-97B3-BCF81110A157}">
    <text>Moved on Enrichment platform</text>
  </threadedComment>
  <threadedComment ref="BI329" dT="2025-03-20T07:46:32.46" personId="{6777EDD4-E46F-4979-A7E7-6FC0A82E0C8E}" id="{68969976-6B02-49A0-A69D-CE986AAC6157}">
    <text>Moved on Enrichment platform</text>
  </threadedComment>
  <threadedComment ref="BJ329" dT="2025-03-20T07:46:32.46" personId="{6777EDD4-E46F-4979-A7E7-6FC0A82E0C8E}" id="{37D5A841-2126-489B-8DCE-C1BD24660390}">
    <text>Moved on Enrichment platform</text>
  </threadedComment>
  <threadedComment ref="BK329" dT="2025-03-20T07:46:32.46" personId="{6777EDD4-E46F-4979-A7E7-6FC0A82E0C8E}" id="{B50AD445-C7A7-4969-B639-B77F0A38F680}">
    <text>Moved on Enrichment platform</text>
  </threadedComment>
  <threadedComment ref="BL329" dT="2025-03-20T07:46:32.46" personId="{6777EDD4-E46F-4979-A7E7-6FC0A82E0C8E}" id="{6BC139D5-1420-4EFB-B2C5-C7732EA2BF2D}">
    <text>Moved on Enrichment platform</text>
  </threadedComment>
  <threadedComment ref="BM329" dT="2025-03-20T07:46:32.46" personId="{6777EDD4-E46F-4979-A7E7-6FC0A82E0C8E}" id="{09FA314E-59CD-46AD-89DD-9394F7BB326C}">
    <text>Moved on Enrichment platform</text>
  </threadedComment>
  <threadedComment ref="BN329" dT="2025-03-20T07:46:32.46" personId="{6777EDD4-E46F-4979-A7E7-6FC0A82E0C8E}" id="{F1766E53-58DB-4348-BF81-72A55EF9F8D1}">
    <text>Moved on Enrichment platform</text>
  </threadedComment>
  <threadedComment ref="BP329" dT="2025-03-20T07:46:32.46" personId="{6777EDD4-E46F-4979-A7E7-6FC0A82E0C8E}" id="{40DD97E0-2E1A-4EB7-BB4C-EEF5DB5A60FA}">
    <text>Moved on Enrichment platform</text>
  </threadedComment>
  <threadedComment ref="BQ329" dT="2025-03-20T07:46:32.46" personId="{6777EDD4-E46F-4979-A7E7-6FC0A82E0C8E}" id="{30B9E948-6145-403B-8BAD-A02E27F9C8F2}">
    <text>Moved on Enrichment platform</text>
  </threadedComment>
  <threadedComment ref="BR329" dT="2025-03-20T07:46:32.46" personId="{6777EDD4-E46F-4979-A7E7-6FC0A82E0C8E}" id="{A046BE2F-FE21-4A9E-8D09-DF8C08714BD0}">
    <text>Moved on Enrichment platform</text>
  </threadedComment>
  <threadedComment ref="BS329" dT="2025-03-20T07:46:32.46" personId="{6777EDD4-E46F-4979-A7E7-6FC0A82E0C8E}" id="{9F403FB2-A2E6-4D5B-8DBB-0C24E3B3CEF7}">
    <text>Moved on Enrichment platform</text>
  </threadedComment>
  <threadedComment ref="BU329" dT="2025-03-20T07:46:32.46" personId="{6777EDD4-E46F-4979-A7E7-6FC0A82E0C8E}" id="{DD0B8680-5FB2-45F9-8B47-C78267592B32}">
    <text>Moved on Enrichment platform</text>
  </threadedComment>
  <threadedComment ref="S330" dT="2024-07-13T17:08:03.34" personId="{6777EDD4-E46F-4979-A7E7-6FC0A82E0C8E}" id="{2AAC7F28-1887-40E8-83D7-F4826A35E04C}">
    <text>Reporting Starts from June'24</text>
  </threadedComment>
  <threadedComment ref="T330" dT="2024-07-13T17:08:03.34" personId="{6777EDD4-E46F-4979-A7E7-6FC0A82E0C8E}" id="{653EC136-8B7A-469D-B726-9495961AD761}">
    <text>Reporting Starts from June'24</text>
  </threadedComment>
  <threadedComment ref="AU330" dT="2025-05-21T10:40:14.22" personId="{32192656-80C8-4310-B142-9CF98FC9C0EF}" id="{CE5570A3-C6D7-4EED-B24F-37E42260BADC}">
    <text>Validated</text>
  </threadedComment>
  <threadedComment ref="AW330" dT="2025-06-19T10:24:27.58" personId="{1798D1B1-3098-46B1-91A2-D4C92B7E122A}" id="{06736FF8-877D-4B27-9D7D-6EBD543C8D6A}">
    <text>53 joiners</text>
  </threadedComment>
  <threadedComment ref="AY330" dT="2025-07-21T07:27:51.87" personId="{1798D1B1-3098-46B1-91A2-D4C92B7E122A}" id="{1B11B75F-934D-47DE-848B-8EABF530CD06}">
    <text>48 joiners</text>
  </threadedComment>
  <threadedComment ref="S331" dT="2024-07-13T17:08:03.34" personId="{6777EDD4-E46F-4979-A7E7-6FC0A82E0C8E}" id="{3E0172DD-61C6-4E3A-9088-5122CCC9F7FB}">
    <text>Reporting Starts from June'24</text>
  </threadedComment>
  <threadedComment ref="T331" dT="2024-07-13T17:08:03.34" personId="{6777EDD4-E46F-4979-A7E7-6FC0A82E0C8E}" id="{CA144A9F-F5DF-43C0-AFBF-A73F5B44FD7F}">
    <text>Reporting Starts from June'24</text>
  </threadedComment>
  <threadedComment ref="AU331" dT="2025-05-21T10:40:37.38" personId="{32192656-80C8-4310-B142-9CF98FC9C0EF}" id="{F544A2F7-EA6B-4F28-9B37-C93E159F8346}">
    <text>Validated</text>
  </threadedComment>
  <threadedComment ref="AW331" dT="2025-06-19T10:21:17.41" personId="{1798D1B1-3098-46B1-91A2-D4C92B7E122A}" id="{5CBF229C-5C4D-47B7-B803-746E5CF03AEB}">
    <text xml:space="preserve">43 offers </text>
  </threadedComment>
  <threadedComment ref="AY331" dT="2025-07-21T07:27:57.03" personId="{1798D1B1-3098-46B1-91A2-D4C92B7E122A}" id="{18CFE909-66F1-4625-8CCF-059947C74CBE}">
    <text>28 Offers</text>
  </threadedComment>
  <threadedComment ref="AW333" dT="2025-06-19T11:10:10.63" personId="{1798D1B1-3098-46B1-91A2-D4C92B7E122A}" id="{5A5F9BE7-E719-411F-95F5-DB0B1844E0B2}">
    <text>182 CV shortlisted and 315 CV shared</text>
  </threadedComment>
  <threadedComment ref="AY333" dT="2025-07-21T07:39:23.52" personId="{1798D1B1-3098-46B1-91A2-D4C92B7E122A}" id="{6ED39A80-7FB0-43FB-A97C-E85048AB1F20}">
    <text>143CV shorlisted shared and 244 total CV shared</text>
  </threadedComment>
  <threadedComment ref="BC333" dT="2025-08-20T08:05:49.51" personId="{1798D1B1-3098-46B1-91A2-D4C92B7E122A}" id="{870DD19F-1427-424F-8631-03F97ED7862E}">
    <text>Validated</text>
  </threadedComment>
  <threadedComment ref="BC333" dT="2025-08-20T08:09:49.97" personId="{1798D1B1-3098-46B1-91A2-D4C92B7E122A}" id="{C51EB236-1470-446A-ADA2-13F54A7B9842}" parentId="{870DD19F-1427-424F-8631-03F97ED7862E}">
    <text>187/324</text>
  </threadedComment>
  <threadedComment ref="AW334" dT="2025-06-19T11:10:43.72" personId="{1798D1B1-3098-46B1-91A2-D4C92B7E122A}" id="{9C4A57FF-822F-4A5B-8B7E-44F1E12DD163}">
    <text>16 selected and 314 CV shared</text>
  </threadedComment>
  <threadedComment ref="AY334" dT="2025-07-21T07:39:44.22" personId="{1798D1B1-3098-46B1-91A2-D4C92B7E122A}" id="{DEB9A85B-7881-421D-BD71-45ECF10A84EE}">
    <text>45 selection and 244 total CV shared</text>
  </threadedComment>
  <threadedComment ref="BC334" dT="2025-08-20T08:05:44.51" personId="{1798D1B1-3098-46B1-91A2-D4C92B7E122A}" id="{1BA11079-05FC-4FFB-8419-D6C6A9AC24E6}">
    <text>Validated</text>
  </threadedComment>
  <threadedComment ref="BC334" dT="2025-08-20T08:09:59.33" personId="{1798D1B1-3098-46B1-91A2-D4C92B7E122A}" id="{096343C8-78FF-48C6-AC27-551FC4BD7A4F}" parentId="{1BA11079-05FC-4FFB-8419-D6C6A9AC24E6}">
    <text xml:space="preserve">33/324
</text>
  </threadedComment>
  <threadedComment ref="S335" dT="2024-07-13T17:08:03.34" personId="{6777EDD4-E46F-4979-A7E7-6FC0A82E0C8E}" id="{1CAF1E68-2F28-4D1A-858E-706737A0C063}">
    <text>Reporting Starts from June'24</text>
  </threadedComment>
  <threadedComment ref="T335" dT="2024-07-13T17:08:03.34" personId="{6777EDD4-E46F-4979-A7E7-6FC0A82E0C8E}" id="{B67BC097-243D-4C9D-A5F9-8ABF9089F835}">
    <text>Reporting Starts from June'24</text>
  </threadedComment>
  <threadedComment ref="AW335" dT="2025-06-19T11:11:27.18" personId="{1798D1B1-3098-46B1-91A2-D4C92B7E122A}" id="{B22140D6-7817-4060-8C9C-90CF6423557F}">
    <text>20 declined and 43 offer released</text>
  </threadedComment>
  <threadedComment ref="AY335" dT="2025-07-21T07:42:27.20" personId="{1798D1B1-3098-46B1-91A2-D4C92B7E122A}" id="{E2E925B3-5723-434A-91E1-64B3AC36CD91}">
    <text>17 offer drop and 28 offer released</text>
  </threadedComment>
  <threadedComment ref="BC335" dT="2025-08-20T08:10:07.71" personId="{1798D1B1-3098-46B1-91A2-D4C92B7E122A}" id="{283A6C53-8D54-4384-939A-EF299F4FB08B}">
    <text>8/51</text>
  </threadedComment>
  <threadedComment ref="BO335" dT="2026-01-21T10:20:57.69" personId="{32192656-80C8-4310-B142-9CF98FC9C0EF}" id="{9D056F48-7A6F-4C19-8EFC-BDFB5D3942D1}">
    <text>Validated</text>
  </threadedComment>
  <threadedComment ref="AY337" dT="2025-07-21T07:43:19.57" personId="{1798D1B1-3098-46B1-91A2-D4C92B7E122A}" id="{4A59A2EC-4CF4-4ACE-BB7A-94DAC51653D0}">
    <text>4 female out of 50 joiners</text>
  </threadedComment>
  <threadedComment ref="BA337" dT="2025-07-21T07:43:35.59" personId="{1798D1B1-3098-46B1-91A2-D4C92B7E122A}" id="{BFB7C3E0-EC08-4D17-8E11-B7BDDA649607}">
    <text>17 female and 151 joiners</text>
  </threadedComment>
  <threadedComment ref="BC337" dT="2025-08-20T07:55:10.96" personId="{1798D1B1-3098-46B1-91A2-D4C92B7E122A}" id="{7A21B6CF-6637-4334-862D-D710E685F403}">
    <text>3 females out of 194 Joiners</text>
  </threadedComment>
  <threadedComment ref="W338" dT="2024-09-15T09:26:19.41" personId="{6777EDD4-E46F-4979-A7E7-6FC0A82E0C8E}" id="{B4281789-D84F-49C2-93E5-F3E8B9CC7D22}">
    <text>Applicable from Aug’24</text>
  </threadedComment>
  <threadedComment ref="X338" dT="2024-09-15T09:26:19.41" personId="{6777EDD4-E46F-4979-A7E7-6FC0A82E0C8E}" id="{B8C24135-25C9-4CA7-B8D5-20FF7CB07959}">
    <text>Applicable from Aug’24</text>
  </threadedComment>
  <threadedComment ref="W339" dT="2024-09-15T09:26:19.41" personId="{6777EDD4-E46F-4979-A7E7-6FC0A82E0C8E}" id="{72B3024F-21C2-43EC-BBA3-8074E98A6104}">
    <text>Applicable from Aug’24</text>
  </threadedComment>
  <threadedComment ref="X339" dT="2024-09-15T09:26:19.41" personId="{6777EDD4-E46F-4979-A7E7-6FC0A82E0C8E}" id="{CF5714F5-332A-4929-99C3-CF287FACDC34}">
    <text>Applicable from Aug’24</text>
  </threadedComment>
  <threadedComment ref="W340" dT="2024-09-15T09:26:19.41" personId="{6777EDD4-E46F-4979-A7E7-6FC0A82E0C8E}" id="{7494DD17-7608-4F86-9755-3BB80333BB6D}">
    <text>Applicable from Aug’24</text>
  </threadedComment>
  <threadedComment ref="X340" dT="2024-09-15T09:26:19.41" personId="{6777EDD4-E46F-4979-A7E7-6FC0A82E0C8E}" id="{FE5F75AB-063C-4B25-8886-EBCFEC6432AB}">
    <text>Applicable from Aug’24</text>
  </threadedComment>
  <threadedComment ref="W341" dT="2024-09-15T09:26:19.41" personId="{6777EDD4-E46F-4979-A7E7-6FC0A82E0C8E}" id="{78CCE410-5D3D-4EB7-9AA6-78852EE0A521}">
    <text>Applicable from Aug’24</text>
  </threadedComment>
  <threadedComment ref="X341" dT="2024-09-15T09:26:19.41" personId="{6777EDD4-E46F-4979-A7E7-6FC0A82E0C8E}" id="{C48C9726-1702-426D-AF3A-9D0C5B5A29F0}">
    <text>Applicable from Aug’24</text>
  </threadedComment>
  <threadedComment ref="W342" dT="2024-09-15T09:26:19.41" personId="{6777EDD4-E46F-4979-A7E7-6FC0A82E0C8E}" id="{E330E87D-D8EE-4E47-8E56-C71314D72BBC}">
    <text>Applicable from Aug’24</text>
  </threadedComment>
  <threadedComment ref="X342" dT="2024-09-15T09:26:19.41" personId="{6777EDD4-E46F-4979-A7E7-6FC0A82E0C8E}" id="{AC3D90F6-8597-4D9C-8FAF-0BE27A2FFADF}">
    <text>Applicable from Aug’24</text>
  </threadedComment>
  <threadedComment ref="W343" dT="2024-09-15T09:26:19.41" personId="{6777EDD4-E46F-4979-A7E7-6FC0A82E0C8E}" id="{9A0D4DCF-05E4-499F-AB72-B3E5968DE7D6}">
    <text>Applicable from Aug’24</text>
  </threadedComment>
  <threadedComment ref="X343" dT="2024-09-15T09:26:19.41" personId="{6777EDD4-E46F-4979-A7E7-6FC0A82E0C8E}" id="{2249D2BA-61B6-440B-A65A-3AC0B23F1ABE}">
    <text>Applicable from Aug’24</text>
  </threadedComment>
  <threadedComment ref="W344" dT="2024-09-15T09:26:19.41" personId="{6777EDD4-E46F-4979-A7E7-6FC0A82E0C8E}" id="{18DDF235-DC2E-4F6A-96A6-DD245FF129C7}">
    <text>Applicable from Aug’24</text>
  </threadedComment>
  <threadedComment ref="X344" dT="2024-09-15T09:26:19.41" personId="{6777EDD4-E46F-4979-A7E7-6FC0A82E0C8E}" id="{B117EFEC-8BA5-4D3B-90D8-3A41DBB39107}">
    <text>Applicable from Aug’24</text>
  </threadedComment>
  <threadedComment ref="BK344" dT="2025-11-21T08:38:40.01" personId="{728803BD-3A25-4F6F-BA7C-1EDF8A148B73}" id="{7A61B03E-548D-4BDB-928F-60A2FAF6ED19}">
    <text xml:space="preserve">To be reported Quarterly </text>
  </threadedComment>
  <threadedComment ref="BL344" dT="2025-11-21T08:38:40.01" personId="{728803BD-3A25-4F6F-BA7C-1EDF8A148B73}" id="{5C09D7C8-BBBB-4C51-BB28-B205180AAFB5}">
    <text xml:space="preserve">To be reported Quarterly </text>
  </threadedComment>
  <threadedComment ref="BM344" dT="2025-11-21T08:38:40.01" personId="{728803BD-3A25-4F6F-BA7C-1EDF8A148B73}" id="{D45D151F-28CA-468F-9530-FF93208F1D5E}">
    <text xml:space="preserve">To be reported Quarterly </text>
  </threadedComment>
  <threadedComment ref="BN344" dT="2025-11-21T08:38:40.01" personId="{728803BD-3A25-4F6F-BA7C-1EDF8A148B73}" id="{33568E7A-21E8-45BD-9655-B048B53F7684}">
    <text xml:space="preserve">To be reported Quarterly </text>
  </threadedComment>
  <threadedComment ref="BP344" dT="2025-11-21T08:38:40.01" personId="{728803BD-3A25-4F6F-BA7C-1EDF8A148B73}" id="{F6BA011E-FBFB-4909-A43B-804DE7FFC611}">
    <text xml:space="preserve">To be reported Quarterly </text>
  </threadedComment>
  <threadedComment ref="BR344" dT="2025-11-21T08:38:40.01" personId="{728803BD-3A25-4F6F-BA7C-1EDF8A148B73}" id="{4BFB66E3-D2AF-4506-ACB0-A39FF84ED0EB}">
    <text xml:space="preserve">To be reported Quarterly </text>
  </threadedComment>
  <threadedComment ref="W346" dT="2024-09-15T09:26:19.41" personId="{6777EDD4-E46F-4979-A7E7-6FC0A82E0C8E}" id="{5BE0F5D0-A8CC-4ADB-8D74-321EC1CA6E24}">
    <text>Applicable from Aug’24</text>
  </threadedComment>
  <threadedComment ref="X346" dT="2024-09-15T09:26:19.41" personId="{6777EDD4-E46F-4979-A7E7-6FC0A82E0C8E}" id="{3AE4145F-7BFD-4CC0-84F0-81B80E309E05}">
    <text>Applicable from Aug’24</text>
  </threadedComment>
  <threadedComment ref="Y346" dT="2024-09-15T09:38:09.74" personId="{6777EDD4-E46F-4979-A7E7-6FC0A82E0C8E}" id="{B87D70F9-BFA2-40D4-9227-BCA43959ABA0}">
    <text>No final selections and joiners yet</text>
  </threadedComment>
  <threadedComment ref="Z346" dT="2024-09-15T09:38:09.74" personId="{6777EDD4-E46F-4979-A7E7-6FC0A82E0C8E}" id="{3BD0925B-8023-4F55-990C-93B6FABE70A5}">
    <text>No final selections and joiners yet</text>
  </threadedComment>
  <threadedComment ref="AA346" dT="2024-10-18T05:05:52.15" personId="{6777EDD4-E46F-4979-A7E7-6FC0A82E0C8E}" id="{2E7CE695-4836-4D20-A4CA-FFB094174207}">
    <text>Positions are On-Hold</text>
  </threadedComment>
  <threadedComment ref="AB346" dT="2024-10-18T05:05:52.15" personId="{6777EDD4-E46F-4979-A7E7-6FC0A82E0C8E}" id="{F5B9D0BC-901C-4914-AF45-9210A9ED41DB}">
    <text>Positions are On-Hold</text>
  </threadedComment>
  <threadedComment ref="AC346" dT="2024-10-18T05:05:52.15" personId="{6777EDD4-E46F-4979-A7E7-6FC0A82E0C8E}" id="{E885F1C3-C022-4995-BFCE-632DEB6016D1}">
    <text>Positions are On-Hold</text>
  </threadedComment>
  <threadedComment ref="AD346" dT="2024-10-18T05:05:52.15" personId="{6777EDD4-E46F-4979-A7E7-6FC0A82E0C8E}" id="{D78CBF54-5ACC-49C8-9D84-1769F73021C8}">
    <text>Positions are On-Hold</text>
  </threadedComment>
  <threadedComment ref="AE346" dT="2024-11-21T18:43:13.57" personId="{6777EDD4-E46F-4979-A7E7-6FC0A82E0C8E}" id="{90AE9824-07D8-4602-BFA8-962EFEFAC632}">
    <text>Will starts report from Nov’24</text>
  </threadedComment>
  <threadedComment ref="AF346" dT="2024-11-21T18:43:13.57" personId="{6777EDD4-E46F-4979-A7E7-6FC0A82E0C8E}" id="{B7920D38-ABB9-4A21-909C-4BE9AE4E6901}">
    <text>Will starts report from Nov’24</text>
  </threadedComment>
  <threadedComment ref="AO346" dT="2025-03-20T08:03:25.45" personId="{6777EDD4-E46F-4979-A7E7-6FC0A82E0C8E}" id="{B934182F-4F21-4DB6-B891-F0A8E999F290}">
    <text>No Offer released and joining in the month</text>
  </threadedComment>
  <threadedComment ref="AP346" dT="2025-03-20T08:03:25.45" personId="{6777EDD4-E46F-4979-A7E7-6FC0A82E0C8E}" id="{EF647802-EC6D-41AA-9540-24B09668B241}">
    <text>No Offer released and joining in the month</text>
  </threadedComment>
  <threadedComment ref="AQ346" dT="2025-03-20T08:03:25.45" personId="{6777EDD4-E46F-4979-A7E7-6FC0A82E0C8E}" id="{A8A973EA-E3FE-409B-9193-51CC74F9C921}">
    <text>No Offer released and joining in the month</text>
  </threadedComment>
  <threadedComment ref="AR346" dT="2025-03-20T08:03:25.45" personId="{6777EDD4-E46F-4979-A7E7-6FC0A82E0C8E}" id="{DF83E473-E420-4958-8920-92C91099F268}">
    <text>No Offer released and joining in the month</text>
  </threadedComment>
  <threadedComment ref="AS346" dT="2025-03-20T08:03:25.45" personId="{6777EDD4-E46F-4979-A7E7-6FC0A82E0C8E}" id="{846BD8E3-4FC1-4CF2-9942-FDF82137F343}">
    <text>No Offer released and joining in the month</text>
  </threadedComment>
  <threadedComment ref="AT346" dT="2025-03-20T08:03:25.45" personId="{6777EDD4-E46F-4979-A7E7-6FC0A82E0C8E}" id="{19624F33-0741-4519-8CFD-D4E51C7942F0}">
    <text>No Offer released and joining in the month</text>
  </threadedComment>
  <threadedComment ref="W347" dT="2024-09-15T09:26:19.41" personId="{6777EDD4-E46F-4979-A7E7-6FC0A82E0C8E}" id="{379D16CC-2CB1-4D42-B003-76A16F485195}">
    <text>Applicable from Aug’24</text>
  </threadedComment>
  <threadedComment ref="X347" dT="2024-09-15T09:26:19.41" personId="{6777EDD4-E46F-4979-A7E7-6FC0A82E0C8E}" id="{17AA0038-C8EE-4460-96EA-AFE8AACA9A42}">
    <text>Applicable from Aug’24</text>
  </threadedComment>
  <threadedComment ref="Y347" dT="2024-09-15T09:38:09.74" personId="{6777EDD4-E46F-4979-A7E7-6FC0A82E0C8E}" id="{04CF51E8-1B74-4AB6-880D-6AE2B89FE3DA}">
    <text>No final selections and joiners yet</text>
  </threadedComment>
  <threadedComment ref="Z347" dT="2024-09-15T09:38:09.74" personId="{6777EDD4-E46F-4979-A7E7-6FC0A82E0C8E}" id="{1884A18B-1097-4347-A34C-2A4027109AE0}">
    <text>No final selections and joiners yet</text>
  </threadedComment>
  <threadedComment ref="AA347" dT="2024-10-18T05:05:52.15" personId="{6777EDD4-E46F-4979-A7E7-6FC0A82E0C8E}" id="{B7FBF92C-F34B-42A4-AD6D-A0B5BA17AD62}">
    <text>Positions are On-Hold</text>
  </threadedComment>
  <threadedComment ref="AB347" dT="2024-10-18T05:05:52.15" personId="{6777EDD4-E46F-4979-A7E7-6FC0A82E0C8E}" id="{91C03CFB-B325-4CFC-8500-B482674B641E}">
    <text>Positions are On-Hold</text>
  </threadedComment>
  <threadedComment ref="AC347" dT="2024-10-18T05:05:52.15" personId="{6777EDD4-E46F-4979-A7E7-6FC0A82E0C8E}" id="{47C732E6-28CA-4F41-8AED-F4DF20F5B0AE}">
    <text>Positions are On-Hold</text>
  </threadedComment>
  <threadedComment ref="AD347" dT="2024-10-18T05:05:52.15" personId="{6777EDD4-E46F-4979-A7E7-6FC0A82E0C8E}" id="{BF1C43C3-3430-4E37-896B-A7CD5B94846B}">
    <text>Positions are On-Hold</text>
  </threadedComment>
  <threadedComment ref="AE347" dT="2024-11-21T18:43:13.57" personId="{6777EDD4-E46F-4979-A7E7-6FC0A82E0C8E}" id="{30F15980-B691-4B74-9D9F-45B78AD66B41}">
    <text>Will starts report from Nov’24</text>
  </threadedComment>
  <threadedComment ref="AF347" dT="2024-11-21T18:43:13.57" personId="{6777EDD4-E46F-4979-A7E7-6FC0A82E0C8E}" id="{A35496B2-8FF0-4330-BCBB-90BF8DAE633D}">
    <text>Will starts report from Nov’24</text>
  </threadedComment>
  <threadedComment ref="AO347" dT="2025-03-20T08:03:25.45" personId="{6777EDD4-E46F-4979-A7E7-6FC0A82E0C8E}" id="{FF0BB3AE-15FF-4C83-91EC-86288BA30314}">
    <text>No Offer released and joining in the month</text>
  </threadedComment>
  <threadedComment ref="AP347" dT="2025-03-20T08:03:25.45" personId="{6777EDD4-E46F-4979-A7E7-6FC0A82E0C8E}" id="{94B5206A-2565-42DA-AE59-36ED0930D6C8}">
    <text>No Offer released and joining in the month</text>
  </threadedComment>
  <threadedComment ref="AQ347" dT="2025-03-20T08:03:25.45" personId="{6777EDD4-E46F-4979-A7E7-6FC0A82E0C8E}" id="{B7CAE51F-6D4E-4289-B344-6972AF5AEEA1}">
    <text>No Offer released and joining in the month</text>
  </threadedComment>
  <threadedComment ref="AR347" dT="2025-03-20T08:03:25.45" personId="{6777EDD4-E46F-4979-A7E7-6FC0A82E0C8E}" id="{CEA44130-ECED-4C8A-B080-D486CC186ADB}">
    <text>No Offer released and joining in the month</text>
  </threadedComment>
  <threadedComment ref="AS347" dT="2025-03-20T08:03:25.45" personId="{6777EDD4-E46F-4979-A7E7-6FC0A82E0C8E}" id="{AB906ED4-0F3F-450D-8740-791DB52F3ECB}">
    <text>No Offer released and joining in the month</text>
  </threadedComment>
  <threadedComment ref="AT347" dT="2025-03-20T08:03:25.45" personId="{6777EDD4-E46F-4979-A7E7-6FC0A82E0C8E}" id="{02FAA5C7-1AAD-42C8-B646-EECC5AE31A5C}">
    <text>No Offer released and joining in the month</text>
  </threadedComment>
  <threadedComment ref="W348" dT="2024-09-15T09:26:19.41" personId="{6777EDD4-E46F-4979-A7E7-6FC0A82E0C8E}" id="{5E329FAD-5293-4E95-A110-ED76C6B2C21B}">
    <text>Applicable from Aug’24</text>
  </threadedComment>
  <threadedComment ref="X348" dT="2024-09-15T09:26:19.41" personId="{6777EDD4-E46F-4979-A7E7-6FC0A82E0C8E}" id="{71E26BA9-8AE6-4915-812D-F0768491A80A}">
    <text>Applicable from Aug’24</text>
  </threadedComment>
  <threadedComment ref="Y348" dT="2024-09-15T09:38:09.74" personId="{6777EDD4-E46F-4979-A7E7-6FC0A82E0C8E}" id="{B7C92045-9294-42A8-996B-CA5BD6E84715}">
    <text>No final selections and joiners yet</text>
  </threadedComment>
  <threadedComment ref="Z348" dT="2024-09-15T09:38:09.74" personId="{6777EDD4-E46F-4979-A7E7-6FC0A82E0C8E}" id="{13EE0AA0-EE3A-44B6-98A7-EC816D38D1B7}">
    <text>No final selections and joiners yet</text>
  </threadedComment>
  <threadedComment ref="AA348" dT="2024-10-18T05:05:52.15" personId="{6777EDD4-E46F-4979-A7E7-6FC0A82E0C8E}" id="{A1C9320E-82BB-4D05-AD54-A75415FA7740}">
    <text>Positions are On-Hold</text>
  </threadedComment>
  <threadedComment ref="AB348" dT="2024-10-18T05:05:52.15" personId="{6777EDD4-E46F-4979-A7E7-6FC0A82E0C8E}" id="{DC414FD1-ED87-421F-9319-F57EEF6048A2}">
    <text>Positions are On-Hold</text>
  </threadedComment>
  <threadedComment ref="AC348" dT="2024-10-18T05:05:52.15" personId="{6777EDD4-E46F-4979-A7E7-6FC0A82E0C8E}" id="{8C51A445-C237-4550-A526-57C03DEF0C4B}">
    <text>Positions are On-Hold</text>
  </threadedComment>
  <threadedComment ref="AD348" dT="2024-10-18T05:05:52.15" personId="{6777EDD4-E46F-4979-A7E7-6FC0A82E0C8E}" id="{247C2AB0-523D-4A99-B83B-D6ABF426ECB6}">
    <text>Positions are On-Hold</text>
  </threadedComment>
  <threadedComment ref="AE348" dT="2024-11-21T18:43:13.57" personId="{6777EDD4-E46F-4979-A7E7-6FC0A82E0C8E}" id="{99667648-445F-4A73-BE62-6CAE0882B2CE}">
    <text>Will starts report from Nov’24</text>
  </threadedComment>
  <threadedComment ref="AF348" dT="2024-11-21T18:43:13.57" personId="{6777EDD4-E46F-4979-A7E7-6FC0A82E0C8E}" id="{F8A0CDBA-7AF3-4849-83BC-704B5419DA5E}">
    <text>Will starts report from Nov’24</text>
  </threadedComment>
  <threadedComment ref="AO348" dT="2025-03-20T08:03:25.45" personId="{6777EDD4-E46F-4979-A7E7-6FC0A82E0C8E}" id="{14C425C3-5FC5-4B9C-8381-FD96135E88E9}">
    <text>No Offer released and joining in the month</text>
  </threadedComment>
  <threadedComment ref="AP348" dT="2025-03-20T08:03:25.45" personId="{6777EDD4-E46F-4979-A7E7-6FC0A82E0C8E}" id="{64F75A3C-3378-4591-B0E2-746B5BC6DADE}">
    <text>No Offer released and joining in the month</text>
  </threadedComment>
  <threadedComment ref="AQ348" dT="2025-03-20T08:03:25.45" personId="{6777EDD4-E46F-4979-A7E7-6FC0A82E0C8E}" id="{7F746061-0B1D-4139-925B-4E869D464D2C}">
    <text>No Offer released and joining in the month</text>
  </threadedComment>
  <threadedComment ref="AR348" dT="2025-03-20T08:03:25.45" personId="{6777EDD4-E46F-4979-A7E7-6FC0A82E0C8E}" id="{71910D81-872A-4AB6-8A83-DC24DB4B629A}">
    <text>No Offer released and joining in the month</text>
  </threadedComment>
  <threadedComment ref="AS348" dT="2025-03-20T08:03:25.45" personId="{6777EDD4-E46F-4979-A7E7-6FC0A82E0C8E}" id="{52F176AB-6ACA-487C-A287-F55AC9CBB463}">
    <text>No Offer released and joining in the month</text>
  </threadedComment>
  <threadedComment ref="AT348" dT="2025-03-20T08:03:25.45" personId="{6777EDD4-E46F-4979-A7E7-6FC0A82E0C8E}" id="{FA02C3B1-5190-413A-A42D-E73ACEE81E0A}">
    <text>No Offer released and joining in the month</text>
  </threadedComment>
  <threadedComment ref="W349" dT="2024-09-15T09:26:19.41" personId="{6777EDD4-E46F-4979-A7E7-6FC0A82E0C8E}" id="{5F687EDD-5B5B-4360-99B5-CD6E84C11333}">
    <text>Applicable from Aug’24</text>
  </threadedComment>
  <threadedComment ref="X349" dT="2024-09-15T09:26:19.41" personId="{6777EDD4-E46F-4979-A7E7-6FC0A82E0C8E}" id="{A7352C40-3633-4895-8B86-AEACC5A8C1CB}">
    <text>Applicable from Aug’24</text>
  </threadedComment>
  <threadedComment ref="Y349" dT="2024-09-15T09:38:09.74" personId="{6777EDD4-E46F-4979-A7E7-6FC0A82E0C8E}" id="{23557109-30D8-4528-9720-58D05019D829}">
    <text>No final selections and joiners yet</text>
  </threadedComment>
  <threadedComment ref="Z349" dT="2024-09-15T09:38:09.74" personId="{6777EDD4-E46F-4979-A7E7-6FC0A82E0C8E}" id="{62D4BCCC-339F-490E-9431-A79F171314E7}">
    <text>No final selections and joiners yet</text>
  </threadedComment>
  <threadedComment ref="AA349" dT="2024-10-18T05:05:52.15" personId="{6777EDD4-E46F-4979-A7E7-6FC0A82E0C8E}" id="{22032DB2-1847-4D9F-ABEB-460BEF8F92D5}">
    <text>Positions are On-Hold</text>
  </threadedComment>
  <threadedComment ref="AB349" dT="2024-10-18T05:05:52.15" personId="{6777EDD4-E46F-4979-A7E7-6FC0A82E0C8E}" id="{901EFA1C-A559-4B21-B6D3-8E9C98B0598E}">
    <text>Positions are On-Hold</text>
  </threadedComment>
  <threadedComment ref="AC349" dT="2024-10-18T05:05:52.15" personId="{6777EDD4-E46F-4979-A7E7-6FC0A82E0C8E}" id="{52CAF47E-F78F-4AF1-8897-3CA0A421992D}">
    <text>Positions are On-Hold</text>
  </threadedComment>
  <threadedComment ref="AD349" dT="2024-10-18T05:05:52.15" personId="{6777EDD4-E46F-4979-A7E7-6FC0A82E0C8E}" id="{9B2DAE41-0DB9-4D05-9F15-C96BF0521759}">
    <text>Positions are On-Hold</text>
  </threadedComment>
  <threadedComment ref="AE349" dT="2024-11-21T18:43:13.57" personId="{6777EDD4-E46F-4979-A7E7-6FC0A82E0C8E}" id="{BAA6BDEA-430B-4309-A983-7A9F685C3026}">
    <text>Will starts report from Nov’24</text>
  </threadedComment>
  <threadedComment ref="AF349" dT="2024-11-21T18:43:13.57" personId="{6777EDD4-E46F-4979-A7E7-6FC0A82E0C8E}" id="{ACCEC4CC-D47A-43DB-ABD7-5603427D8E5E}">
    <text>Will starts report from Nov’24</text>
  </threadedComment>
  <threadedComment ref="AO349" dT="2025-03-20T08:03:25.45" personId="{6777EDD4-E46F-4979-A7E7-6FC0A82E0C8E}" id="{2BA6F30F-9F2A-4B91-AA99-0BADEDFA75DA}">
    <text>No Offer released and joining in the month</text>
  </threadedComment>
  <threadedComment ref="AP349" dT="2025-03-20T08:03:25.45" personId="{6777EDD4-E46F-4979-A7E7-6FC0A82E0C8E}" id="{E1B6F0DB-4225-4887-A149-416F1DCE6A3D}">
    <text>No Offer released and joining in the month</text>
  </threadedComment>
  <threadedComment ref="AQ349" dT="2025-03-20T08:03:25.45" personId="{6777EDD4-E46F-4979-A7E7-6FC0A82E0C8E}" id="{507C7101-938B-485B-A51F-B3A7FFCE7267}">
    <text>No Offer released and joining in the month</text>
  </threadedComment>
  <threadedComment ref="AR349" dT="2025-03-20T08:03:25.45" personId="{6777EDD4-E46F-4979-A7E7-6FC0A82E0C8E}" id="{D4D76390-88EB-48CA-A34A-286508878F83}">
    <text>No Offer released and joining in the month</text>
  </threadedComment>
  <threadedComment ref="AS349" dT="2025-03-20T08:03:25.45" personId="{6777EDD4-E46F-4979-A7E7-6FC0A82E0C8E}" id="{B9340F57-BCC3-45B9-9F2D-55F8E7E78EC1}">
    <text>No Offer released and joining in the month</text>
  </threadedComment>
  <threadedComment ref="AT349" dT="2025-03-20T08:03:25.45" personId="{6777EDD4-E46F-4979-A7E7-6FC0A82E0C8E}" id="{ADF92EBD-D58E-43A3-82F4-195261DF1BCC}">
    <text>No Offer released and joining in the month</text>
  </threadedComment>
  <threadedComment ref="W350" dT="2024-09-15T09:26:19.41" personId="{6777EDD4-E46F-4979-A7E7-6FC0A82E0C8E}" id="{8A4CE5C4-DDCC-4444-A949-4B80DC5D6A2F}">
    <text>Applicable from Aug’24</text>
  </threadedComment>
  <threadedComment ref="X350" dT="2024-09-15T09:26:19.41" personId="{6777EDD4-E46F-4979-A7E7-6FC0A82E0C8E}" id="{37320BCF-8240-4F23-95B3-3578C0A80718}">
    <text>Applicable from Aug’24</text>
  </threadedComment>
  <threadedComment ref="Y350" dT="2024-09-15T09:38:09.74" personId="{6777EDD4-E46F-4979-A7E7-6FC0A82E0C8E}" id="{E7D97889-677F-4F30-BEA4-CAC3733A7AB1}">
    <text>No final selections and joiners yet</text>
  </threadedComment>
  <threadedComment ref="Z350" dT="2024-09-15T09:38:09.74" personId="{6777EDD4-E46F-4979-A7E7-6FC0A82E0C8E}" id="{EE0BA989-5EDA-4CB9-AF87-2B5DB7DF4253}">
    <text>No final selections and joiners yet</text>
  </threadedComment>
  <threadedComment ref="AA350" dT="2024-10-18T05:05:52.15" personId="{6777EDD4-E46F-4979-A7E7-6FC0A82E0C8E}" id="{C32D2002-91A6-4420-BB35-E5B8DFA67B13}">
    <text>Positions are On-Hold</text>
  </threadedComment>
  <threadedComment ref="AB350" dT="2024-10-18T05:05:52.15" personId="{6777EDD4-E46F-4979-A7E7-6FC0A82E0C8E}" id="{7B343F45-049B-4EC7-A5DA-E92DC0C357C6}">
    <text>Positions are On-Hold</text>
  </threadedComment>
  <threadedComment ref="AC350" dT="2024-10-18T05:05:52.15" personId="{6777EDD4-E46F-4979-A7E7-6FC0A82E0C8E}" id="{E0586E23-BF54-4824-913F-7246F9A076B2}">
    <text>Positions are On-Hold</text>
  </threadedComment>
  <threadedComment ref="AD350" dT="2024-10-18T05:05:52.15" personId="{6777EDD4-E46F-4979-A7E7-6FC0A82E0C8E}" id="{1DFDF25A-82CE-4EDD-9D48-3BCB0407047C}">
    <text>Positions are On-Hold</text>
  </threadedComment>
  <threadedComment ref="AE350" dT="2024-11-21T18:43:13.57" personId="{6777EDD4-E46F-4979-A7E7-6FC0A82E0C8E}" id="{648F128B-5983-4A1F-97ED-62A458B5D0FA}">
    <text>Will starts report from Nov’24</text>
  </threadedComment>
  <threadedComment ref="AF350" dT="2024-11-21T18:43:13.57" personId="{6777EDD4-E46F-4979-A7E7-6FC0A82E0C8E}" id="{3E4E108D-3FEB-45AB-8892-C61C25DE11F5}">
    <text>Will starts report from Nov’24</text>
  </threadedComment>
  <threadedComment ref="AJ350" dT="2024-09-15T09:38:09.74" personId="{6777EDD4-E46F-4979-A7E7-6FC0A82E0C8E}" id="{16DCB1D0-F368-4177-8111-CA3EB87E9BB9}">
    <text>No final selections and joiners yet</text>
  </threadedComment>
  <threadedComment ref="AO350" dT="2025-03-20T08:03:25.45" personId="{6777EDD4-E46F-4979-A7E7-6FC0A82E0C8E}" id="{F39517B4-ED04-4F7A-A133-9D67816D706C}">
    <text>No Offer released and joining in the month</text>
  </threadedComment>
  <threadedComment ref="AP350" dT="2025-03-20T08:03:25.45" personId="{6777EDD4-E46F-4979-A7E7-6FC0A82E0C8E}" id="{FA6FBB38-91F5-43BB-B409-4701E5CF382B}">
    <text>No Offer released and joining in the month</text>
  </threadedComment>
  <threadedComment ref="AQ350" dT="2025-03-20T08:03:25.45" personId="{6777EDD4-E46F-4979-A7E7-6FC0A82E0C8E}" id="{A90A137F-143F-40C4-B965-A48833980B00}">
    <text>No Offer released and joining in the month</text>
  </threadedComment>
  <threadedComment ref="AR350" dT="2025-03-20T08:03:25.45" personId="{6777EDD4-E46F-4979-A7E7-6FC0A82E0C8E}" id="{DBA2E7F3-394B-47CB-8E79-A7E077BAD218}">
    <text>No Offer released and joining in the month</text>
  </threadedComment>
  <threadedComment ref="AS350" dT="2025-03-20T08:03:25.45" personId="{6777EDD4-E46F-4979-A7E7-6FC0A82E0C8E}" id="{E2B95D04-8FC3-43D7-AF06-6AD7BD661CEB}">
    <text>No Offer released and joining in the month</text>
  </threadedComment>
  <threadedComment ref="AT350" dT="2025-03-20T08:03:25.45" personId="{6777EDD4-E46F-4979-A7E7-6FC0A82E0C8E}" id="{6DFFC640-CC58-4A7B-AEAE-373761861E56}">
    <text>No Offer released and joining in the month</text>
  </threadedComment>
  <threadedComment ref="W351" dT="2024-09-15T09:26:19.41" personId="{6777EDD4-E46F-4979-A7E7-6FC0A82E0C8E}" id="{4C2FE7CC-68A1-428B-997A-FFFFEA7EF783}">
    <text>Applicable from Aug’24</text>
  </threadedComment>
  <threadedComment ref="X351" dT="2024-09-15T09:26:19.41" personId="{6777EDD4-E46F-4979-A7E7-6FC0A82E0C8E}" id="{63E918E4-399F-41D2-B0E4-06E1E26F2648}">
    <text>Applicable from Aug’24</text>
  </threadedComment>
  <threadedComment ref="Y351" dT="2024-09-15T09:38:09.74" personId="{6777EDD4-E46F-4979-A7E7-6FC0A82E0C8E}" id="{E85263C2-6D91-4EF0-8AB7-8D2D2B181535}">
    <text>No final selections and joiners yet</text>
  </threadedComment>
  <threadedComment ref="Z351" dT="2024-09-15T09:38:09.74" personId="{6777EDD4-E46F-4979-A7E7-6FC0A82E0C8E}" id="{C614E182-5254-4FB8-BBE8-2B583261E2CF}">
    <text>No final selections and joiners yet</text>
  </threadedComment>
  <threadedComment ref="AA351" dT="2024-10-18T05:05:52.15" personId="{6777EDD4-E46F-4979-A7E7-6FC0A82E0C8E}" id="{5490602D-CB71-404F-836B-3CC6F41EFACF}">
    <text>Positions are On-Hold</text>
  </threadedComment>
  <threadedComment ref="AB351" dT="2024-10-18T05:05:52.15" personId="{6777EDD4-E46F-4979-A7E7-6FC0A82E0C8E}" id="{77DE0565-8199-4175-A76A-0AA3B99E1FE4}">
    <text>Positions are On-Hold</text>
  </threadedComment>
  <threadedComment ref="AC351" dT="2024-10-18T05:05:52.15" personId="{6777EDD4-E46F-4979-A7E7-6FC0A82E0C8E}" id="{03379726-9113-4447-BF55-C7FE0B5630EE}">
    <text>Positions are On-Hold</text>
  </threadedComment>
  <threadedComment ref="AD351" dT="2024-10-18T05:05:52.15" personId="{6777EDD4-E46F-4979-A7E7-6FC0A82E0C8E}" id="{E7E318ED-47DE-41C7-A16E-8E1B01CBD824}">
    <text>Positions are On-Hold</text>
  </threadedComment>
  <threadedComment ref="AE351" dT="2024-11-21T18:43:13.57" personId="{6777EDD4-E46F-4979-A7E7-6FC0A82E0C8E}" id="{BE36CF01-9C10-4ED2-B3D7-52AC952E48AD}">
    <text>Will starts report from Nov’24</text>
  </threadedComment>
  <threadedComment ref="AF351" dT="2024-11-21T18:43:13.57" personId="{6777EDD4-E46F-4979-A7E7-6FC0A82E0C8E}" id="{4B41DB3D-04BC-4B89-B3E4-F91FBD875AB4}">
    <text>Will starts report from Nov’24</text>
  </threadedComment>
  <threadedComment ref="AI351" dT="2025-01-16T17:04:35.84" personId="{6777EDD4-E46F-4979-A7E7-6FC0A82E0C8E}" id="{97B61639-182A-4F10-AD2A-57D210C919F4}">
    <text>Not Validated</text>
  </threadedComment>
  <threadedComment ref="AO351" dT="2025-03-20T08:03:25.45" personId="{6777EDD4-E46F-4979-A7E7-6FC0A82E0C8E}" id="{E821A9FE-AB54-4DA7-B30F-0E9B33A57A6D}">
    <text>No Offer released and joining in the month</text>
  </threadedComment>
  <threadedComment ref="AP351" dT="2025-03-20T08:03:25.45" personId="{6777EDD4-E46F-4979-A7E7-6FC0A82E0C8E}" id="{B04C5B69-2E27-4143-88BD-0A13204C8CA4}">
    <text>No Offer released and joining in the month</text>
  </threadedComment>
  <threadedComment ref="AQ351" dT="2025-03-20T08:03:25.45" personId="{6777EDD4-E46F-4979-A7E7-6FC0A82E0C8E}" id="{CB1994A7-E4C9-4108-9DA1-A3A76C7846EE}">
    <text>No Offer released and joining in the month</text>
  </threadedComment>
  <threadedComment ref="AR351" dT="2025-03-20T08:03:25.45" personId="{6777EDD4-E46F-4979-A7E7-6FC0A82E0C8E}" id="{C4262751-618B-4E4C-871B-F692D15F5D44}">
    <text>No Offer released and joining in the month</text>
  </threadedComment>
  <threadedComment ref="AS351" dT="2025-03-20T08:03:25.45" personId="{6777EDD4-E46F-4979-A7E7-6FC0A82E0C8E}" id="{73499401-055C-44EE-870B-AC384FE57C5E}">
    <text>No Offer released and joining in the month</text>
  </threadedComment>
  <threadedComment ref="AT351" dT="2025-03-20T08:03:25.45" personId="{6777EDD4-E46F-4979-A7E7-6FC0A82E0C8E}" id="{A588FDC2-7CAF-449D-9E04-8B9C4DF575D3}">
    <text>No Offer released and joining in the month</text>
  </threadedComment>
  <threadedComment ref="W352" dT="2024-09-15T09:26:19.41" personId="{6777EDD4-E46F-4979-A7E7-6FC0A82E0C8E}" id="{1281962E-8D30-491D-8549-1382577AF858}">
    <text>Applicable from Aug’24</text>
  </threadedComment>
  <threadedComment ref="X352" dT="2024-09-15T09:26:19.41" personId="{6777EDD4-E46F-4979-A7E7-6FC0A82E0C8E}" id="{79F4F38D-56A4-453A-A757-7AD711D69A62}">
    <text>Applicable from Aug’24</text>
  </threadedComment>
  <threadedComment ref="Y352" dT="2024-09-15T09:38:09.74" personId="{6777EDD4-E46F-4979-A7E7-6FC0A82E0C8E}" id="{75E97BAA-6F79-4600-A3C6-EB2BEE9DE422}">
    <text>No final selections and joiners yet</text>
  </threadedComment>
  <threadedComment ref="Z352" dT="2024-09-15T09:38:09.74" personId="{6777EDD4-E46F-4979-A7E7-6FC0A82E0C8E}" id="{694DB4DD-CB61-4B16-BB97-F9538D393C73}">
    <text>No final selections and joiners yet</text>
  </threadedComment>
  <threadedComment ref="AA352" dT="2024-10-18T05:05:52.15" personId="{6777EDD4-E46F-4979-A7E7-6FC0A82E0C8E}" id="{0E200774-F0AC-4607-9754-C54E26E3F5EE}">
    <text>Positions are On-Hold</text>
  </threadedComment>
  <threadedComment ref="AB352" dT="2024-10-18T05:05:52.15" personId="{6777EDD4-E46F-4979-A7E7-6FC0A82E0C8E}" id="{009E2EE4-E2A2-4C4D-A21B-D4606FFF6E45}">
    <text>Positions are On-Hold</text>
  </threadedComment>
  <threadedComment ref="AC352" dT="2024-10-18T05:05:52.15" personId="{6777EDD4-E46F-4979-A7E7-6FC0A82E0C8E}" id="{81801941-039B-4EA2-8A3E-B8FF1A5437E3}">
    <text>Positions are On-Hold</text>
  </threadedComment>
  <threadedComment ref="AD352" dT="2024-10-18T05:05:52.15" personId="{6777EDD4-E46F-4979-A7E7-6FC0A82E0C8E}" id="{595674EA-C112-4F90-B5DC-C178D713A5B4}">
    <text>Positions are On-Hold</text>
  </threadedComment>
  <threadedComment ref="AE352" dT="2024-11-21T18:43:13.57" personId="{6777EDD4-E46F-4979-A7E7-6FC0A82E0C8E}" id="{3C82C625-B651-4501-A1EC-8F6B14C7AEEA}">
    <text>Will starts report from Nov’24</text>
  </threadedComment>
  <threadedComment ref="AF352" dT="2024-11-21T18:43:13.57" personId="{6777EDD4-E46F-4979-A7E7-6FC0A82E0C8E}" id="{DCE603C5-1851-490B-AAAF-119A62E34DE1}">
    <text>Will starts report from Nov’24</text>
  </threadedComment>
  <threadedComment ref="AI352" dT="2025-01-16T17:04:45.12" personId="{6777EDD4-E46F-4979-A7E7-6FC0A82E0C8E}" id="{3873DC50-3D08-4CA8-B631-9503BC2342DD}">
    <text>Not Validated</text>
  </threadedComment>
  <threadedComment ref="AO352" dT="2025-03-20T08:03:25.45" personId="{6777EDD4-E46F-4979-A7E7-6FC0A82E0C8E}" id="{CC87E5AA-F23A-452B-8B8A-7A3562DCF189}">
    <text>No Offer released and joining in the month</text>
  </threadedComment>
  <threadedComment ref="AP352" dT="2025-03-20T08:03:25.45" personId="{6777EDD4-E46F-4979-A7E7-6FC0A82E0C8E}" id="{00DE6531-E0C1-4838-B94B-059DDCBEE641}">
    <text>No Offer released and joining in the month</text>
  </threadedComment>
  <threadedComment ref="AQ352" dT="2025-03-20T08:03:25.45" personId="{6777EDD4-E46F-4979-A7E7-6FC0A82E0C8E}" id="{13C37E1A-79FE-49CF-A1B0-B72101C21886}">
    <text>No Offer released and joining in the month</text>
  </threadedComment>
  <threadedComment ref="AR352" dT="2025-03-20T08:03:25.45" personId="{6777EDD4-E46F-4979-A7E7-6FC0A82E0C8E}" id="{B7ED017E-DAC8-4ADB-9766-D1A13DE66148}">
    <text>No Offer released and joining in the month</text>
  </threadedComment>
  <threadedComment ref="AS352" dT="2025-03-20T08:03:25.45" personId="{6777EDD4-E46F-4979-A7E7-6FC0A82E0C8E}" id="{118188F2-1BB3-45B5-8FD3-A5EF33A23474}">
    <text>No Offer released and joining in the month</text>
  </threadedComment>
  <threadedComment ref="AT352" dT="2025-03-20T08:03:25.45" personId="{6777EDD4-E46F-4979-A7E7-6FC0A82E0C8E}" id="{24D0543F-4263-44D5-B555-C2EA7453837B}">
    <text>No Offer released and joining in the month</text>
  </threadedComment>
  <threadedComment ref="W353" dT="2024-09-15T09:26:19.41" personId="{6777EDD4-E46F-4979-A7E7-6FC0A82E0C8E}" id="{06EBA641-A76D-44F8-B576-D3E4A52E990C}">
    <text>Applicable from Aug’24</text>
  </threadedComment>
  <threadedComment ref="X353" dT="2024-09-15T09:26:19.41" personId="{6777EDD4-E46F-4979-A7E7-6FC0A82E0C8E}" id="{82BD54BC-00A3-4484-9400-AA3B95DC42BF}">
    <text>Applicable from Aug’24</text>
  </threadedComment>
  <threadedComment ref="AE353" dT="2024-11-21T08:17:32.70" personId="{6777EDD4-E46F-4979-A7E7-6FC0A82E0C8E}" id="{DDECFF57-8787-40D7-B339-4FDE2471C993}">
    <text>Validated</text>
  </threadedComment>
  <threadedComment ref="AU353" dT="2025-05-21T10:30:22.55" personId="{32192656-80C8-4310-B142-9CF98FC9C0EF}" id="{91AC10AF-4E20-4067-82F1-25C63A220195}">
    <text>Validated</text>
  </threadedComment>
  <threadedComment ref="AW353" dT="2025-06-24T10:07:58.50" personId="{32192656-80C8-4310-B142-9CF98FC9C0EF}" id="{352C20F4-ADCC-4B66-BEA1-D7FEB238B5E9}">
    <text>Validated</text>
  </threadedComment>
  <threadedComment ref="AY353" dT="2025-07-25T10:13:37.30" personId="{6777EDD4-E46F-4979-A7E7-6FC0A82E0C8E}" id="{0AC6B31D-9460-48A5-8A74-3D028BB92FFC}">
    <text>As per the new contract it is NA</text>
  </threadedComment>
  <threadedComment ref="AZ353" dT="2025-07-25T10:13:37.30" personId="{6777EDD4-E46F-4979-A7E7-6FC0A82E0C8E}" id="{6BC3C94F-1832-4FAE-BE0F-228D0960F4C1}">
    <text>As per the new contract it is NA</text>
  </threadedComment>
  <threadedComment ref="BA353" dT="2025-07-25T10:13:37.30" personId="{6777EDD4-E46F-4979-A7E7-6FC0A82E0C8E}" id="{41F8EC18-F01F-4708-92F6-F584EC54CB8A}">
    <text>As per the new contract it is NA</text>
  </threadedComment>
  <threadedComment ref="BB353" dT="2025-07-25T10:13:37.30" personId="{6777EDD4-E46F-4979-A7E7-6FC0A82E0C8E}" id="{E66155CC-FF43-495F-B1D2-451BDFEFD801}">
    <text>As per the new contract it is NA</text>
  </threadedComment>
  <threadedComment ref="W354" dT="2024-09-15T09:26:19.41" personId="{6777EDD4-E46F-4979-A7E7-6FC0A82E0C8E}" id="{08645EB7-2DD4-4FE5-8978-240366EB0077}">
    <text>Applicable from Aug’24</text>
  </threadedComment>
  <threadedComment ref="X354" dT="2024-09-15T09:26:19.41" personId="{6777EDD4-E46F-4979-A7E7-6FC0A82E0C8E}" id="{95D9BFF0-1776-4172-B47A-403E2BBF4F2D}">
    <text>Applicable from Aug’24</text>
  </threadedComment>
  <threadedComment ref="AE354" dT="2024-11-21T08:17:38.75" personId="{6777EDD4-E46F-4979-A7E7-6FC0A82E0C8E}" id="{E5446F6D-0B1A-40A4-818E-B2ACD8D1B45B}">
    <text>Validated</text>
  </threadedComment>
  <threadedComment ref="AU354" dT="2025-05-21T10:32:00.15" personId="{32192656-80C8-4310-B142-9CF98FC9C0EF}" id="{770731C3-4BD3-4204-9EE7-C55588E3945A}">
    <text>Validated</text>
  </threadedComment>
  <threadedComment ref="AW354" dT="2025-06-24T10:08:17.88" personId="{32192656-80C8-4310-B142-9CF98FC9C0EF}" id="{A3A93DA3-CD46-426F-B7B0-90B48706AA5C}">
    <text>Validated</text>
  </threadedComment>
  <threadedComment ref="AY354" dT="2025-07-23T06:44:39.01" personId="{32192656-80C8-4310-B142-9CF98FC9C0EF}" id="{021BBF00-AB23-47CD-B88D-0177CB44C3DB}">
    <text>Validated</text>
  </threadedComment>
  <threadedComment ref="AY354" dT="2025-07-23T06:48:18.27" personId="{32192656-80C8-4310-B142-9CF98FC9C0EF}" id="{7B1C9639-7792-497A-A675-42CB58E7E94C}" parentId="{021BBF00-AB23-47CD-B88D-0177CB44C3DB}">
    <text>Target change to 90 for sales and rest</text>
  </threadedComment>
  <threadedComment ref="BA354" dT="2025-07-23T06:46:20.76" personId="{32192656-80C8-4310-B142-9CF98FC9C0EF}" id="{FA85D0FB-4E1E-4363-8FE7-27F611AF7172}">
    <text>Validated</text>
  </threadedComment>
  <threadedComment ref="BA354" dT="2025-07-23T06:48:51.96" personId="{32192656-80C8-4310-B142-9CF98FC9C0EF}" id="{42C734A6-2C94-44CC-A3BB-FB90219962C9}" parentId="{FA85D0FB-4E1E-4363-8FE7-27F611AF7172}">
    <text>Target change to 90 days for sales and rest</text>
  </threadedComment>
  <threadedComment ref="W355" dT="2024-09-15T09:26:19.41" personId="{6777EDD4-E46F-4979-A7E7-6FC0A82E0C8E}" id="{981ABAC5-7FD7-4241-BB98-95BE9BD6EDDA}">
    <text>Applicable from Aug’24</text>
  </threadedComment>
  <threadedComment ref="X355" dT="2024-09-15T09:26:19.41" personId="{6777EDD4-E46F-4979-A7E7-6FC0A82E0C8E}" id="{114FAB0E-106F-4FB6-9486-70CFDC82E233}">
    <text>Applicable from Aug’24</text>
  </threadedComment>
  <threadedComment ref="AE355" dT="2024-11-21T08:17:42.94" personId="{6777EDD4-E46F-4979-A7E7-6FC0A82E0C8E}" id="{1A106655-EE89-4175-9656-66EFDC310CB1}">
    <text>Validated</text>
  </threadedComment>
  <threadedComment ref="AU355" dT="2025-05-21T10:32:15.70" personId="{32192656-80C8-4310-B142-9CF98FC9C0EF}" id="{E3BE415C-1ED5-453D-A6D5-BF2F6C3CA372}">
    <text>Validated</text>
  </threadedComment>
  <threadedComment ref="AW355" dT="2025-06-24T10:08:41.91" personId="{32192656-80C8-4310-B142-9CF98FC9C0EF}" id="{1A949A5E-2F09-43EC-8CC0-61690D8BCB0C}">
    <text>Validated</text>
  </threadedComment>
  <threadedComment ref="AY355" dT="2025-07-25T10:13:37.30" personId="{6777EDD4-E46F-4979-A7E7-6FC0A82E0C8E}" id="{FB044F12-CE4F-4D96-B1F5-690E0BDACE12}">
    <text>As per the new contract it is NA</text>
  </threadedComment>
  <threadedComment ref="AZ355" dT="2025-07-25T10:13:37.30" personId="{6777EDD4-E46F-4979-A7E7-6FC0A82E0C8E}" id="{18310A16-14E0-42DF-BBA7-BF5A2FBA9074}">
    <text>As per the new contract it is NA</text>
  </threadedComment>
  <threadedComment ref="BA355" dT="2025-07-25T10:13:37.30" personId="{6777EDD4-E46F-4979-A7E7-6FC0A82E0C8E}" id="{1F7CD3A6-0179-4E80-824D-64636A76EA63}">
    <text>As per the new contract it is NA</text>
  </threadedComment>
  <threadedComment ref="BB355" dT="2025-07-25T10:13:37.30" personId="{6777EDD4-E46F-4979-A7E7-6FC0A82E0C8E}" id="{5576DBAF-B3FA-4FBA-A761-9536441D091A}">
    <text>As per the new contract it is NA</text>
  </threadedComment>
  <threadedComment ref="W356" dT="2024-09-15T09:26:19.41" personId="{6777EDD4-E46F-4979-A7E7-6FC0A82E0C8E}" id="{921A21B1-4505-40C8-97B3-A65EBCC92A0C}">
    <text>Applicable from Aug’24</text>
  </threadedComment>
  <threadedComment ref="X356" dT="2024-09-15T09:26:19.41" personId="{6777EDD4-E46F-4979-A7E7-6FC0A82E0C8E}" id="{210046A5-47C0-4114-94B7-DCE712120ED0}">
    <text>Applicable from Aug’24</text>
  </threadedComment>
  <threadedComment ref="AE356" dT="2024-11-21T08:17:47.49" personId="{6777EDD4-E46F-4979-A7E7-6FC0A82E0C8E}" id="{97952C19-50A6-4A1D-9583-AD1F5F1A0E40}">
    <text>Validated</text>
  </threadedComment>
  <threadedComment ref="AU356" dT="2025-05-21T10:32:28.12" personId="{32192656-80C8-4310-B142-9CF98FC9C0EF}" id="{3ACDAB69-C85C-450B-BE67-61FCF3854B81}">
    <text>Validated</text>
  </threadedComment>
  <threadedComment ref="AW356" dT="2025-06-24T10:08:51.42" personId="{32192656-80C8-4310-B142-9CF98FC9C0EF}" id="{82B65704-B27A-46D1-A7B7-70FBC8507686}">
    <text>Validated</text>
  </threadedComment>
  <threadedComment ref="AY356" dT="2025-07-23T06:44:56.62" personId="{32192656-80C8-4310-B142-9CF98FC9C0EF}" id="{6E9147E2-1281-4B54-9695-14812A447304}">
    <text>Validated target change to 40 days</text>
  </threadedComment>
  <threadedComment ref="BA356" dT="2025-07-23T06:46:07.79" personId="{32192656-80C8-4310-B142-9CF98FC9C0EF}" id="{2AA65456-F638-4FE1-A873-5C331D379FD1}">
    <text>Validated new target 40 days</text>
  </threadedComment>
  <threadedComment ref="W357" dT="2024-09-15T09:26:19.41" personId="{6777EDD4-E46F-4979-A7E7-6FC0A82E0C8E}" id="{5A177600-03BE-4F3C-8769-879B1D66C88A}">
    <text>Applicable from Aug’24</text>
  </threadedComment>
  <threadedComment ref="X357" dT="2024-09-15T09:26:19.41" personId="{6777EDD4-E46F-4979-A7E7-6FC0A82E0C8E}" id="{D7C6ED2F-4164-41A7-A38A-0882CCFC1085}">
    <text>Applicable from Aug’24</text>
  </threadedComment>
  <threadedComment ref="AE357" dT="2024-11-21T08:17:52.50" personId="{6777EDD4-E46F-4979-A7E7-6FC0A82E0C8E}" id="{945041C8-CA3B-49C8-B2AD-D7464C5D8433}">
    <text>Validated</text>
  </threadedComment>
  <threadedComment ref="AU357" dT="2025-05-21T10:33:46.44" personId="{32192656-80C8-4310-B142-9CF98FC9C0EF}" id="{46510AFE-6FD5-455B-B401-914607B646DE}">
    <text>Validated</text>
  </threadedComment>
  <threadedComment ref="AW357" dT="2025-06-24T10:08:59.37" personId="{32192656-80C8-4310-B142-9CF98FC9C0EF}" id="{2B1413FB-3909-4FE6-AB5D-DD4DD6A5703B}">
    <text>Validated</text>
  </threadedComment>
  <threadedComment ref="AY357" dT="2025-07-23T06:45:06.60" personId="{32192656-80C8-4310-B142-9CF98FC9C0EF}" id="{97C7AE3C-BAB6-4F12-AFF4-13468E8B2CAC}">
    <text>Validated</text>
  </threadedComment>
  <threadedComment ref="BA357" dT="2025-07-23T06:46:00.93" personId="{32192656-80C8-4310-B142-9CF98FC9C0EF}" id="{5F67713C-E1E5-47F4-9EFB-CEC70D02B4CA}">
    <text>Validated</text>
  </threadedComment>
  <threadedComment ref="W358" dT="2024-09-15T09:26:19.41" personId="{6777EDD4-E46F-4979-A7E7-6FC0A82E0C8E}" id="{DD13AC8C-246F-4E54-899E-B02BE2422A79}">
    <text>Applicable from Aug’24</text>
  </threadedComment>
  <threadedComment ref="X358" dT="2024-09-15T09:26:19.41" personId="{6777EDD4-E46F-4979-A7E7-6FC0A82E0C8E}" id="{8AB848BD-CE74-44D2-9475-B78351A6016A}">
    <text>Applicable from Aug’24</text>
  </threadedComment>
  <threadedComment ref="AE358" dT="2024-11-21T08:17:56.89" personId="{6777EDD4-E46F-4979-A7E7-6FC0A82E0C8E}" id="{3754F1CD-3900-4B2A-92CA-C2265B054549}">
    <text>Validated</text>
  </threadedComment>
  <threadedComment ref="AU358" dT="2025-05-21T10:34:01.75" personId="{32192656-80C8-4310-B142-9CF98FC9C0EF}" id="{9D55BBF1-D883-4E42-9EF9-FF68056E93C0}">
    <text>Validated</text>
  </threadedComment>
  <threadedComment ref="AW358" dT="2025-06-24T10:09:13.64" personId="{32192656-80C8-4310-B142-9CF98FC9C0EF}" id="{A863664E-B559-45B7-BF94-E1DA628049F3}">
    <text>Validated</text>
  </threadedComment>
  <threadedComment ref="BC358" dT="2025-08-24T12:25:20.61" personId="{32192656-80C8-4310-B142-9CF98FC9C0EF}" id="{A93CF9D3-7094-43A4-8354-1FC8A88A2515}">
    <text>Not Validated Incomplete Data</text>
  </threadedComment>
  <threadedComment ref="BE358" dT="2025-09-29T07:48:30.03" personId="{32192656-80C8-4310-B142-9CF98FC9C0EF}" id="{1160395D-0966-493A-8DA5-37B26795F1FA}">
    <text>Validated</text>
  </threadedComment>
  <threadedComment ref="BG358" dT="2025-10-21T09:57:01.06" personId="{32192656-80C8-4310-B142-9CF98FC9C0EF}" id="{B8847FCA-5597-46E1-8BC7-7EA436F7FFD1}">
    <text>Validated</text>
  </threadedComment>
  <threadedComment ref="W359" dT="2024-09-15T09:26:19.41" personId="{6777EDD4-E46F-4979-A7E7-6FC0A82E0C8E}" id="{1A557B92-321E-4E3D-B9D7-2D36AEDE724B}">
    <text>Applicable from Aug’24</text>
  </threadedComment>
  <threadedComment ref="X359" dT="2024-09-15T09:26:19.41" personId="{6777EDD4-E46F-4979-A7E7-6FC0A82E0C8E}" id="{A7CA2A46-855F-4A02-B6FD-D478611FF8E7}">
    <text>Applicable from Aug’24</text>
  </threadedComment>
  <threadedComment ref="AE359" dT="2024-11-21T08:18:01.26" personId="{6777EDD4-E46F-4979-A7E7-6FC0A82E0C8E}" id="{630BE036-8F42-4817-AA6B-AB68585A1926}">
    <text>Validated</text>
  </threadedComment>
  <threadedComment ref="AU359" dT="2025-05-21T10:34:11.69" personId="{32192656-80C8-4310-B142-9CF98FC9C0EF}" id="{659FB1A7-8C29-48A4-AE4F-761438114981}">
    <text>Validated</text>
  </threadedComment>
  <threadedComment ref="AW359" dT="2025-06-24T10:09:35.59" personId="{32192656-80C8-4310-B142-9CF98FC9C0EF}" id="{D17350CB-3A78-4517-988B-29409A2ADFE1}">
    <text>Validated</text>
  </threadedComment>
  <threadedComment ref="BC359" dT="2025-08-24T12:25:20.61" personId="{32192656-80C8-4310-B142-9CF98FC9C0EF}" id="{C8559448-DA24-409B-AA1F-08A9B965A311}">
    <text>Not Validated Incomplete Data</text>
  </threadedComment>
  <threadedComment ref="BE359" dT="2025-09-29T07:48:30.03" personId="{32192656-80C8-4310-B142-9CF98FC9C0EF}" id="{051F0C5A-FC30-4F32-989E-70C8AC743F47}">
    <text>Validated</text>
  </threadedComment>
  <threadedComment ref="BG359" dT="2025-10-21T09:57:01.06" personId="{32192656-80C8-4310-B142-9CF98FC9C0EF}" id="{13323AC0-4F8B-46C3-8C24-4DBAFDF4C16F}">
    <text>Validated</text>
  </threadedComment>
  <threadedComment ref="W360" dT="2024-09-15T09:26:19.41" personId="{6777EDD4-E46F-4979-A7E7-6FC0A82E0C8E}" id="{1DDBA715-EBB8-4EFF-A2E9-135C67BBD4AD}">
    <text>Applicable from Aug’24</text>
  </threadedComment>
  <threadedComment ref="X360" dT="2024-09-15T09:26:19.41" personId="{6777EDD4-E46F-4979-A7E7-6FC0A82E0C8E}" id="{0FCAF5BD-1F65-4BC6-8A4F-8DD583050CA1}">
    <text>Applicable from Aug’24</text>
  </threadedComment>
  <threadedComment ref="AE360" dT="2024-11-21T08:18:07.62" personId="{6777EDD4-E46F-4979-A7E7-6FC0A82E0C8E}" id="{7B45ED22-40B8-4FC0-B382-2C1DB86BF35C}">
    <text>Validated</text>
  </threadedComment>
  <threadedComment ref="AU360" dT="2025-05-21T10:34:22.98" personId="{32192656-80C8-4310-B142-9CF98FC9C0EF}" id="{E9888B66-BBB9-4271-A8B3-030FEC5A3080}">
    <text>Validated</text>
  </threadedComment>
  <threadedComment ref="W361" dT="2024-09-15T09:26:19.41" personId="{6777EDD4-E46F-4979-A7E7-6FC0A82E0C8E}" id="{EEFA4CBB-B687-44FA-9243-37BD138220BF}">
    <text>Applicable from Aug’24</text>
  </threadedComment>
  <threadedComment ref="X361" dT="2024-09-15T09:26:19.41" personId="{6777EDD4-E46F-4979-A7E7-6FC0A82E0C8E}" id="{CA7E5E13-DCF9-43A8-8453-B29E9D714961}">
    <text>Applicable from Aug’24</text>
  </threadedComment>
  <threadedComment ref="AE361" dT="2024-11-21T08:18:12.89" personId="{6777EDD4-E46F-4979-A7E7-6FC0A82E0C8E}" id="{EDFB6ACC-DC5B-4852-93AE-23A77204CBD4}">
    <text>Validated</text>
  </threadedComment>
  <threadedComment ref="AU361" dT="2025-05-21T10:34:32.24" personId="{32192656-80C8-4310-B142-9CF98FC9C0EF}" id="{0148A89F-980C-4C94-AA8B-9F10B49969A0}">
    <text>Validated</text>
  </threadedComment>
  <threadedComment ref="AW361" dT="2025-06-24T10:09:44.99" personId="{32192656-80C8-4310-B142-9CF98FC9C0EF}" id="{9299F0FB-CF4D-419E-A6FC-F034DDC7BDC6}">
    <text>Validated</text>
  </threadedComment>
  <threadedComment ref="AY361" dT="2025-07-23T06:45:19.43" personId="{32192656-80C8-4310-B142-9CF98FC9C0EF}" id="{E531C68F-90BD-41D6-B3F9-C1EF450D1B1B}">
    <text>Validated</text>
  </threadedComment>
  <threadedComment ref="BA361" dT="2025-07-23T06:45:52.72" personId="{32192656-80C8-4310-B142-9CF98FC9C0EF}" id="{6A2F3370-A49B-453C-AB07-4F45CA765842}">
    <text>Validated</text>
  </threadedComment>
  <threadedComment ref="BC361" dT="2025-08-24T12:26:46.38" personId="{32192656-80C8-4310-B142-9CF98FC9C0EF}" id="{FBD229E4-E5CE-40C0-AF64-CFE8BCB1360D}">
    <text>Validated</text>
  </threadedComment>
  <threadedComment ref="BE361" dT="2025-09-29T07:49:15.53" personId="{32192656-80C8-4310-B142-9CF98FC9C0EF}" id="{1A247EA0-567D-48E0-8541-5F5297D4DB50}">
    <text>Validated</text>
  </threadedComment>
  <threadedComment ref="BG361" dT="2025-10-21T09:57:01.06" personId="{32192656-80C8-4310-B142-9CF98FC9C0EF}" id="{F04CBDD9-2D44-4588-8C77-D11263EB27D3}">
    <text>Validated</text>
  </threadedComment>
  <threadedComment ref="AO362" dT="2025-04-22T07:55:45.97" personId="{6777EDD4-E46F-4979-A7E7-6FC0A82E0C8E}" id="{EE4CD657-69AB-4E81-8B44-440186A624A5}">
    <text>Starts reporting from March</text>
  </threadedComment>
  <threadedComment ref="AP362" dT="2025-04-22T07:55:45.97" personId="{6777EDD4-E46F-4979-A7E7-6FC0A82E0C8E}" id="{45ECDA01-DF1E-42CC-9953-F01B7AAD61EE}">
    <text>Starts reporting from March</text>
  </threadedComment>
  <threadedComment ref="AU362" dT="2025-05-21T10:34:52.37" personId="{32192656-80C8-4310-B142-9CF98FC9C0EF}" id="{6B64655B-BCE4-474E-A7BC-0D22345A7199}">
    <text>Validated</text>
  </threadedComment>
  <threadedComment ref="AA363" dT="2024-11-21T08:17:14.22" personId="{6777EDD4-E46F-4979-A7E7-6FC0A82E0C8E}" id="{F3241C2C-CA4E-4E64-84DC-E8C13F851E7D}">
    <text>Starts reporting from Oct’24</text>
  </threadedComment>
  <threadedComment ref="AB363" dT="2024-11-21T08:17:14.22" personId="{6777EDD4-E46F-4979-A7E7-6FC0A82E0C8E}" id="{7B680005-2AAF-4A26-9A94-9ABA7A962334}">
    <text>Starts reporting from Oct’24</text>
  </threadedComment>
  <threadedComment ref="AE363" dT="2024-11-21T08:18:17.27" personId="{6777EDD4-E46F-4979-A7E7-6FC0A82E0C8E}" id="{5E6DFC83-BA43-460B-AD7F-5FCDFC3E10CD}">
    <text>Validated</text>
  </threadedComment>
  <threadedComment ref="AU363" dT="2025-05-21T10:35:05.55" personId="{32192656-80C8-4310-B142-9CF98FC9C0EF}" id="{455DD4EF-D359-460E-A429-5264994C8721}">
    <text>Validated</text>
  </threadedComment>
  <threadedComment ref="AW363" dT="2025-06-24T10:09:52.56" personId="{32192656-80C8-4310-B142-9CF98FC9C0EF}" id="{5C286420-86DB-4837-ACB7-52C24800C207}">
    <text>Validated</text>
  </threadedComment>
  <threadedComment ref="AY363" dT="2025-07-23T07:00:43.72" personId="{32192656-80C8-4310-B142-9CF98FC9C0EF}" id="{A775D73A-0DA1-4AF2-9CF1-AD48F6061FC4}">
    <text>Validated</text>
  </threadedComment>
  <threadedComment ref="BA363" dT="2025-07-23T07:00:58.90" personId="{32192656-80C8-4310-B142-9CF98FC9C0EF}" id="{50D3A6B5-ABB8-43CE-926D-E726B1EBBD70}">
    <text>Validated</text>
  </threadedComment>
  <threadedComment ref="BC363" dT="2025-08-24T12:26:46.38" personId="{32192656-80C8-4310-B142-9CF98FC9C0EF}" id="{A6899375-E8FA-4D1D-B0BF-75F459D6F119}">
    <text>Validated</text>
  </threadedComment>
  <threadedComment ref="BE363" dT="2025-09-29T07:49:15.53" personId="{32192656-80C8-4310-B142-9CF98FC9C0EF}" id="{9E357E86-6FE0-4EA7-8B34-7EBE112D674D}">
    <text>Validated</text>
  </threadedComment>
  <threadedComment ref="BG363" dT="2025-10-21T09:57:01.06" personId="{32192656-80C8-4310-B142-9CF98FC9C0EF}" id="{7B7D12AC-30D6-481F-B3C8-8C631CD50752}">
    <text>Validated</text>
  </threadedComment>
  <threadedComment ref="AG364" dT="2025-01-16T11:11:40.40" personId="{6777EDD4-E46F-4979-A7E7-6FC0A82E0C8E}" id="{A5A1E4D6-410B-4E3A-AE95-16EF113FF4CE}">
    <text>Reporting starts from Dec</text>
  </threadedComment>
  <threadedComment ref="AH364" dT="2025-01-16T11:11:40.40" personId="{6777EDD4-E46F-4979-A7E7-6FC0A82E0C8E}" id="{E2C7073F-4F43-4273-A419-F79CEBA670AF}">
    <text>Reporting starts from Dec</text>
  </threadedComment>
  <threadedComment ref="AG365" dT="2025-01-16T11:11:40.40" personId="{6777EDD4-E46F-4979-A7E7-6FC0A82E0C8E}" id="{56625583-E893-47C5-A27F-E2C5E490F1D2}">
    <text>Reporting starts from Dec</text>
  </threadedComment>
  <threadedComment ref="AH365" dT="2025-01-16T11:11:40.40" personId="{6777EDD4-E46F-4979-A7E7-6FC0A82E0C8E}" id="{06925E97-56B2-42B7-BD54-5C178D5645A6}">
    <text>Reporting starts from Dec</text>
  </threadedComment>
  <threadedComment ref="AM365" dT="2025-01-16T12:00:22.19" personId="{6777EDD4-E46F-4979-A7E7-6FC0A82E0C8E}" id="{FEC0DBE1-7030-4013-BFE8-4FD0869458FD}">
    <text>No Joiners in the month</text>
  </threadedComment>
  <threadedComment ref="AN365" dT="2025-01-16T12:00:22.19" personId="{6777EDD4-E46F-4979-A7E7-6FC0A82E0C8E}" id="{EC6104C2-8B6D-410F-909F-68080D35AA6A}">
    <text>No Joiners in the month</text>
  </threadedComment>
  <threadedComment ref="AO365" dT="2025-01-16T12:00:22.19" personId="{6777EDD4-E46F-4979-A7E7-6FC0A82E0C8E}" id="{922E7ADE-28DB-4BF7-A5A8-1F8C94B91B71}">
    <text>No Joiners in the month</text>
  </threadedComment>
  <threadedComment ref="AP365" dT="2025-01-16T12:00:22.19" personId="{6777EDD4-E46F-4979-A7E7-6FC0A82E0C8E}" id="{BAD51E03-9DB3-43D6-997A-479469004BC0}">
    <text>No Joiners in the month</text>
  </threadedComment>
  <threadedComment ref="AG366" dT="2025-01-16T11:11:40.40" personId="{6777EDD4-E46F-4979-A7E7-6FC0A82E0C8E}" id="{3E6C3E98-1422-436C-BABD-E2FA254F1975}">
    <text>Reporting starts from Dec</text>
  </threadedComment>
  <threadedComment ref="AH366" dT="2025-01-16T11:11:40.40" personId="{6777EDD4-E46F-4979-A7E7-6FC0A82E0C8E}" id="{31C8EBF1-831A-4BFB-ACBB-80F8E08D3716}">
    <text>Reporting starts from Dec</text>
  </threadedComment>
  <threadedComment ref="AG367" dT="2025-01-16T11:11:40.40" personId="{6777EDD4-E46F-4979-A7E7-6FC0A82E0C8E}" id="{BEA196B4-1F60-4C25-9490-777426D79C58}">
    <text>Reporting starts from Dec</text>
  </threadedComment>
  <threadedComment ref="AH367" dT="2025-01-16T11:11:40.40" personId="{6777EDD4-E46F-4979-A7E7-6FC0A82E0C8E}" id="{41D873E1-1645-44BA-9774-DB85B9405FE8}">
    <text>Reporting starts from Dec</text>
  </threadedComment>
  <threadedComment ref="AI367" dT="2025-01-16T12:00:22.19" personId="{6777EDD4-E46F-4979-A7E7-6FC0A82E0C8E}" id="{22B8B6C5-33BF-4194-A42E-3F7FE561AD3E}">
    <text>No Joiners in the month</text>
  </threadedComment>
  <threadedComment ref="AJ367" dT="2025-01-16T12:00:22.19" personId="{6777EDD4-E46F-4979-A7E7-6FC0A82E0C8E}" id="{42AB6F60-86F1-424B-9074-39178B9C35AF}">
    <text>No Joiners in the month</text>
  </threadedComment>
  <threadedComment ref="AK367" dT="2025-01-16T12:00:22.19" personId="{6777EDD4-E46F-4979-A7E7-6FC0A82E0C8E}" id="{3D17F4E1-20D7-4B68-B2AB-89F3A7EE59D5}">
    <text>No Joiners in the month</text>
  </threadedComment>
  <threadedComment ref="AL367" dT="2025-01-16T12:00:22.19" personId="{6777EDD4-E46F-4979-A7E7-6FC0A82E0C8E}" id="{A4736CBF-864E-49C8-9148-1D16288E40F2}">
    <text>No Joiners in the month</text>
  </threadedComment>
  <threadedComment ref="AG368" dT="2025-01-16T11:11:40.40" personId="{6777EDD4-E46F-4979-A7E7-6FC0A82E0C8E}" id="{0182A9A2-34E8-47B7-926A-15D7C1C21C3A}">
    <text>Reporting starts from Dec</text>
  </threadedComment>
  <threadedComment ref="AH368" dT="2025-01-16T11:11:40.40" personId="{6777EDD4-E46F-4979-A7E7-6FC0A82E0C8E}" id="{E9F570B1-DBDC-4730-BF76-FEEFF68C1C67}">
    <text>Reporting starts from Dec</text>
  </threadedComment>
  <threadedComment ref="AO368" dT="2025-01-16T12:00:22.19" personId="{6777EDD4-E46F-4979-A7E7-6FC0A82E0C8E}" id="{5A58ED54-398A-470B-A020-8C036D03962E}">
    <text>No Joiners in the month</text>
  </threadedComment>
  <threadedComment ref="AP368" dT="2025-01-16T12:00:22.19" personId="{6777EDD4-E46F-4979-A7E7-6FC0A82E0C8E}" id="{CD16DD4E-73D5-4DDE-94B1-E716DBC550ED}">
    <text>No Joiners in the month</text>
  </threadedComment>
  <threadedComment ref="BM368" dT="2025-12-24T10:30:19.32" personId="{1798D1B1-3098-46B1-91A2-D4C92B7E122A}" id="{6D75689C-2962-4804-AFCC-C704DF0A34F1}">
    <text>No joiners and offer released</text>
  </threadedComment>
  <threadedComment ref="AG369" dT="2025-01-16T11:11:40.40" personId="{6777EDD4-E46F-4979-A7E7-6FC0A82E0C8E}" id="{B24D2293-3B65-4FAF-AD64-2B972F09BA43}">
    <text>Reporting starts from Dec</text>
  </threadedComment>
  <threadedComment ref="AH369" dT="2025-01-16T11:11:40.40" personId="{6777EDD4-E46F-4979-A7E7-6FC0A82E0C8E}" id="{E80C08AC-E0C4-47E1-922B-EED00D4F259C}">
    <text>Reporting starts from Dec</text>
  </threadedComment>
  <threadedComment ref="AI369" dT="2025-01-16T12:00:22.19" personId="{6777EDD4-E46F-4979-A7E7-6FC0A82E0C8E}" id="{3536D724-4907-4533-9971-B09169A91E29}">
    <text>No Joiners in the month</text>
  </threadedComment>
  <threadedComment ref="AJ369" dT="2025-01-16T12:00:22.19" personId="{6777EDD4-E46F-4979-A7E7-6FC0A82E0C8E}" id="{3FEBED46-C97C-4399-AD3B-EFD4F0B432A5}">
    <text>No Joiners in the month</text>
  </threadedComment>
  <threadedComment ref="AK369" dT="2025-01-16T12:00:22.19" personId="{6777EDD4-E46F-4979-A7E7-6FC0A82E0C8E}" id="{BDED5523-6101-4C87-81A7-D259C732B43F}">
    <text>No Joiners in the month</text>
  </threadedComment>
  <threadedComment ref="AL369" dT="2025-01-16T12:00:22.19" personId="{6777EDD4-E46F-4979-A7E7-6FC0A82E0C8E}" id="{794896D4-FB38-457B-9413-AB7455F9A437}">
    <text>No Joiners in the month</text>
  </threadedComment>
  <threadedComment ref="AG370" dT="2025-01-16T11:11:40.40" personId="{6777EDD4-E46F-4979-A7E7-6FC0A82E0C8E}" id="{68DBD32B-94B9-4009-AD20-B7F8B6620A4D}">
    <text>Reporting starts from Dec</text>
  </threadedComment>
  <threadedComment ref="AH370" dT="2025-01-16T11:11:40.40" personId="{6777EDD4-E46F-4979-A7E7-6FC0A82E0C8E}" id="{8A091108-ACAA-4CF0-BFAD-E89EB39B3EE9}">
    <text>Reporting starts from Dec</text>
  </threadedComment>
  <threadedComment ref="AI370" dT="2025-01-16T12:00:22.19" personId="{6777EDD4-E46F-4979-A7E7-6FC0A82E0C8E}" id="{811243DA-7EAA-4D53-B068-9A9411CD71BF}">
    <text>No Joiners in the month</text>
  </threadedComment>
  <threadedComment ref="AJ370" dT="2025-01-16T12:00:22.19" personId="{6777EDD4-E46F-4979-A7E7-6FC0A82E0C8E}" id="{9F779255-8E0C-4DAB-AD51-5DB19622A5F1}">
    <text>No Joiners in the month</text>
  </threadedComment>
  <threadedComment ref="AK370" dT="2025-01-16T12:00:22.19" personId="{6777EDD4-E46F-4979-A7E7-6FC0A82E0C8E}" id="{FC3E4166-F74E-47B3-B6E8-15DEA63E0A50}">
    <text>No Joiners in the month</text>
  </threadedComment>
  <threadedComment ref="AL370" dT="2025-01-16T12:00:22.19" personId="{6777EDD4-E46F-4979-A7E7-6FC0A82E0C8E}" id="{4193EA55-359C-47D2-9F83-9299695A4EA2}">
    <text>No Joiners in the month</text>
  </threadedComment>
  <threadedComment ref="AO370" dT="2025-01-16T12:00:22.19" personId="{6777EDD4-E46F-4979-A7E7-6FC0A82E0C8E}" id="{91CAD7B6-7A8F-4B18-BC70-1963B5927B41}">
    <text>No Joiners in the month</text>
  </threadedComment>
  <threadedComment ref="AP370" dT="2025-01-16T12:00:22.19" personId="{6777EDD4-E46F-4979-A7E7-6FC0A82E0C8E}" id="{8E1E3405-13C1-4062-9AEE-EAF79D39D1F3}">
    <text>No Joiners in the month</text>
  </threadedComment>
  <threadedComment ref="AG371" dT="2025-01-16T11:11:40.40" personId="{6777EDD4-E46F-4979-A7E7-6FC0A82E0C8E}" id="{70F6E5DA-2D65-4966-B50B-1F2A0EDBB5F5}">
    <text>Reporting starts from Dec</text>
  </threadedComment>
  <threadedComment ref="AH371" dT="2025-01-16T11:11:40.40" personId="{6777EDD4-E46F-4979-A7E7-6FC0A82E0C8E}" id="{44029AC8-04B7-46BB-8749-B6C6C19E7F8D}">
    <text>Reporting starts from Dec</text>
  </threadedComment>
  <threadedComment ref="AG372" dT="2025-01-16T11:11:40.40" personId="{6777EDD4-E46F-4979-A7E7-6FC0A82E0C8E}" id="{D1964211-9129-4C79-AE2B-C91928055F18}">
    <text>Reporting starts from Dec</text>
  </threadedComment>
  <threadedComment ref="AH372" dT="2025-01-16T11:11:40.40" personId="{6777EDD4-E46F-4979-A7E7-6FC0A82E0C8E}" id="{98C0C273-D4B5-4DF9-B912-4551F633C8EE}">
    <text>Reporting starts from Dec</text>
  </threadedComment>
  <threadedComment ref="AG373" dT="2025-01-16T11:11:40.40" personId="{6777EDD4-E46F-4979-A7E7-6FC0A82E0C8E}" id="{D2CC3162-907C-4705-84DF-5AD48D313389}">
    <text>Reporting starts from Dec</text>
  </threadedComment>
  <threadedComment ref="AH373" dT="2025-01-16T11:11:40.40" personId="{6777EDD4-E46F-4979-A7E7-6FC0A82E0C8E}" id="{28D34086-0B33-4805-A7C8-AA411FD4F5FB}">
    <text>Reporting starts from Dec</text>
  </threadedComment>
  <threadedComment ref="AG374" dT="2025-01-16T11:11:40.40" personId="{6777EDD4-E46F-4979-A7E7-6FC0A82E0C8E}" id="{5246E52B-5006-422E-B49F-9AF88EBD3507}">
    <text>Reporting starts from Dec</text>
  </threadedComment>
  <threadedComment ref="AH374" dT="2025-01-16T11:11:40.40" personId="{6777EDD4-E46F-4979-A7E7-6FC0A82E0C8E}" id="{E7D987B0-9344-4B9A-BC1E-9F4FBAFF0C11}">
    <text>Reporting starts from Dec</text>
  </threadedComment>
  <threadedComment ref="AI374" dT="2025-01-16T12:00:22.19" personId="{6777EDD4-E46F-4979-A7E7-6FC0A82E0C8E}" id="{896423D6-9B48-48CD-B57F-004169882DB1}">
    <text>No Joiners in the month</text>
  </threadedComment>
  <threadedComment ref="AJ374" dT="2025-01-16T12:00:22.19" personId="{6777EDD4-E46F-4979-A7E7-6FC0A82E0C8E}" id="{2FA2F7E2-56A7-446F-A607-65794B482314}">
    <text>No Joiners in the month</text>
  </threadedComment>
  <threadedComment ref="AK374" dT="2025-01-16T12:00:22.19" personId="{6777EDD4-E46F-4979-A7E7-6FC0A82E0C8E}" id="{ACF2B27F-662A-4299-9F00-094081BBA7DB}">
    <text>No Joiners in the month</text>
  </threadedComment>
  <threadedComment ref="AL374" dT="2025-01-16T12:00:22.19" personId="{6777EDD4-E46F-4979-A7E7-6FC0A82E0C8E}" id="{95564E74-2571-4EE3-9821-1A773EEB3692}">
    <text>No Joiners in the month</text>
  </threadedComment>
  <threadedComment ref="AG375" dT="2025-01-16T11:11:40.40" personId="{6777EDD4-E46F-4979-A7E7-6FC0A82E0C8E}" id="{37650225-3951-4F10-A720-AB018892BE5F}">
    <text>Reporting starts from Dec</text>
  </threadedComment>
  <threadedComment ref="AH375" dT="2025-01-16T11:11:40.40" personId="{6777EDD4-E46F-4979-A7E7-6FC0A82E0C8E}" id="{4BFBEDA4-7106-46F6-A6FA-8AD8B321BF37}">
    <text>Reporting starts from Dec</text>
  </threadedComment>
  <threadedComment ref="AM375" dT="2025-01-16T12:00:22.19" personId="{6777EDD4-E46F-4979-A7E7-6FC0A82E0C8E}" id="{1CA1AAAE-33F4-4BE7-AEF6-AFC541BEFA41}">
    <text>No Joiners in the month</text>
  </threadedComment>
  <threadedComment ref="AN375" dT="2025-01-16T12:00:22.19" personId="{6777EDD4-E46F-4979-A7E7-6FC0A82E0C8E}" id="{D0914087-C050-449B-AF93-A0E2ABDDE8A5}">
    <text>No Joiners in the month</text>
  </threadedComment>
  <threadedComment ref="AO375" dT="2025-01-16T12:00:22.19" personId="{6777EDD4-E46F-4979-A7E7-6FC0A82E0C8E}" id="{EFE92077-B6E6-491B-9BF5-181335624362}">
    <text>No Joiners in the month</text>
  </threadedComment>
  <threadedComment ref="AP375" dT="2025-01-16T12:00:22.19" personId="{6777EDD4-E46F-4979-A7E7-6FC0A82E0C8E}" id="{F16F296D-C5C4-41C3-93ED-5DFA921D3A90}">
    <text>No Joiners in the month</text>
  </threadedComment>
  <threadedComment ref="BM375" dT="2025-12-24T10:30:19.32" personId="{1798D1B1-3098-46B1-91A2-D4C92B7E122A}" id="{D1FABFA6-252C-44BA-9934-12C59720878F}">
    <text>No joiners and offer released</text>
  </threadedComment>
  <threadedComment ref="AG376" dT="2025-01-16T11:11:40.40" personId="{6777EDD4-E46F-4979-A7E7-6FC0A82E0C8E}" id="{50B85267-84B7-49A7-A7E6-A2318DCD2385}">
    <text>Reporting starts from Dec</text>
  </threadedComment>
  <threadedComment ref="AH376" dT="2025-01-16T11:11:40.40" personId="{6777EDD4-E46F-4979-A7E7-6FC0A82E0C8E}" id="{B099755A-9A15-41AE-BC53-1079737E8389}">
    <text>Reporting starts from Dec</text>
  </threadedComment>
  <threadedComment ref="AI376" dT="2025-01-16T12:00:22.19" personId="{6777EDD4-E46F-4979-A7E7-6FC0A82E0C8E}" id="{10DF1ECD-30F0-45A1-B6A6-6C2952BD6E1A}">
    <text>No Joiners in the month</text>
  </threadedComment>
  <threadedComment ref="AJ376" dT="2025-01-16T12:00:22.19" personId="{6777EDD4-E46F-4979-A7E7-6FC0A82E0C8E}" id="{AF583139-9F9C-448C-809C-B9DF53A031F1}">
    <text>No Joiners in the month</text>
  </threadedComment>
  <threadedComment ref="AK376" dT="2025-01-16T12:00:22.19" personId="{6777EDD4-E46F-4979-A7E7-6FC0A82E0C8E}" id="{21210687-5940-44F7-8BF7-13A0B08F78B8}">
    <text>No Joiners in the month</text>
  </threadedComment>
  <threadedComment ref="AL376" dT="2025-01-16T12:00:22.19" personId="{6777EDD4-E46F-4979-A7E7-6FC0A82E0C8E}" id="{265F4ACC-09E8-4DEE-AAD8-A258CED2A268}">
    <text>No Joiners in the month</text>
  </threadedComment>
  <threadedComment ref="AG377" dT="2025-01-16T11:11:40.40" personId="{6777EDD4-E46F-4979-A7E7-6FC0A82E0C8E}" id="{0C6015A9-BFF5-40DF-B2A1-7BABAC40ECD3}">
    <text>Reporting starts from Dec</text>
  </threadedComment>
  <threadedComment ref="AH377" dT="2025-01-16T11:11:40.40" personId="{6777EDD4-E46F-4979-A7E7-6FC0A82E0C8E}" id="{55275ADD-96AA-42AE-92B3-2A389D3707B5}">
    <text>Reporting starts from Dec</text>
  </threadedComment>
  <threadedComment ref="AI377" dT="2025-01-16T12:00:22.19" personId="{6777EDD4-E46F-4979-A7E7-6FC0A82E0C8E}" id="{E163FA12-2F8D-404B-9240-C99A8A691162}">
    <text>No Joiners in the month</text>
  </threadedComment>
  <threadedComment ref="AJ377" dT="2025-01-16T12:00:22.19" personId="{6777EDD4-E46F-4979-A7E7-6FC0A82E0C8E}" id="{C94039D2-92D1-419C-898A-B9AB7AE2D2C4}">
    <text>No Joiners in the month</text>
  </threadedComment>
  <threadedComment ref="AK377" dT="2025-01-16T12:00:22.19" personId="{6777EDD4-E46F-4979-A7E7-6FC0A82E0C8E}" id="{8C5F57ED-1D89-45D3-82C5-6907EEADE02F}">
    <text>No Joiners in the month</text>
  </threadedComment>
  <threadedComment ref="AL377" dT="2025-01-16T12:00:22.19" personId="{6777EDD4-E46F-4979-A7E7-6FC0A82E0C8E}" id="{E28916FA-FF64-4AF7-9BE7-FA581EFC99C6}">
    <text>No Joiners in the month</text>
  </threadedComment>
  <threadedComment ref="AO377" dT="2025-01-16T12:00:22.19" personId="{6777EDD4-E46F-4979-A7E7-6FC0A82E0C8E}" id="{D93D8080-CAAB-4EB7-A0E2-7FD8504A044E}">
    <text>No Joiners in the month</text>
  </threadedComment>
  <threadedComment ref="AP377" dT="2025-01-16T12:00:22.19" personId="{6777EDD4-E46F-4979-A7E7-6FC0A82E0C8E}" id="{75953868-E478-450D-B232-1D70FE62CB62}">
    <text>No Joiners in the month</text>
  </threadedComment>
  <threadedComment ref="AG378" dT="2025-01-16T11:11:40.40" personId="{6777EDD4-E46F-4979-A7E7-6FC0A82E0C8E}" id="{EF7C3FAC-17BF-4D0E-8506-61A8FAA94357}">
    <text>Reporting starts from Dec</text>
  </threadedComment>
  <threadedComment ref="AH378" dT="2025-01-16T11:11:40.40" personId="{6777EDD4-E46F-4979-A7E7-6FC0A82E0C8E}" id="{3E5E91D2-9FAC-4176-ADD6-269D63E39A5B}">
    <text>Reporting starts from Dec</text>
  </threadedComment>
  <threadedComment ref="AG379" dT="2025-01-16T11:11:40.40" personId="{6777EDD4-E46F-4979-A7E7-6FC0A82E0C8E}" id="{7BE0CE66-77B5-43FB-8E80-D0A49DD03C59}">
    <text>Reporting starts from Dec</text>
  </threadedComment>
  <threadedComment ref="AH379" dT="2025-01-16T11:11:40.40" personId="{6777EDD4-E46F-4979-A7E7-6FC0A82E0C8E}" id="{733F27FF-4FE8-463F-8500-789B9964B54E}">
    <text>Reporting starts from Dec</text>
  </threadedComment>
  <threadedComment ref="AG380" dT="2025-01-16T11:11:40.40" personId="{6777EDD4-E46F-4979-A7E7-6FC0A82E0C8E}" id="{A99EAF18-2511-4BFB-B5AC-EE23ECE3390F}">
    <text>Reporting starts from Dec</text>
  </threadedComment>
  <threadedComment ref="AH380" dT="2025-01-16T11:11:40.40" personId="{6777EDD4-E46F-4979-A7E7-6FC0A82E0C8E}" id="{36443888-7A32-4E39-9B32-9509A91A1615}">
    <text>Reporting starts from Dec</text>
  </threadedComment>
  <threadedComment ref="AG381" dT="2025-01-16T11:11:40.40" personId="{6777EDD4-E46F-4979-A7E7-6FC0A82E0C8E}" id="{5DE2F20E-5107-476E-A62C-49665038ECB3}">
    <text>Reporting starts from Dec</text>
  </threadedComment>
  <threadedComment ref="AH381" dT="2025-01-16T11:11:40.40" personId="{6777EDD4-E46F-4979-A7E7-6FC0A82E0C8E}" id="{F8DA7095-1172-4375-A543-98610DFE3C56}">
    <text>Reporting starts from Dec</text>
  </threadedComment>
  <threadedComment ref="AG382" dT="2025-01-16T11:11:40.40" personId="{6777EDD4-E46F-4979-A7E7-6FC0A82E0C8E}" id="{D4BC5E68-3500-4A2E-9A16-E8A687FC8EEF}">
    <text>Reporting starts from Dec</text>
  </threadedComment>
  <threadedComment ref="AH382" dT="2025-01-16T11:11:40.40" personId="{6777EDD4-E46F-4979-A7E7-6FC0A82E0C8E}" id="{657B24D5-8B1B-45D1-8EDB-C70CF1AD812E}">
    <text>Reporting starts from Dec</text>
  </threadedComment>
  <threadedComment ref="BM382" dT="2025-12-24T10:30:19.32" personId="{1798D1B1-3098-46B1-91A2-D4C92B7E122A}" id="{9CCB9E92-68AE-4D1E-B826-84A49AB4CB7F}">
    <text>No joiners and offer released</text>
  </threadedComment>
  <threadedComment ref="AG383" dT="2025-01-16T11:11:40.40" personId="{6777EDD4-E46F-4979-A7E7-6FC0A82E0C8E}" id="{7D590DE8-8B05-4F92-B02F-ED15807DF5F2}">
    <text>Reporting starts from Dec</text>
  </threadedComment>
  <threadedComment ref="AH383" dT="2025-01-16T11:11:40.40" personId="{6777EDD4-E46F-4979-A7E7-6FC0A82E0C8E}" id="{5C3AE2A6-CF40-4855-B9EA-F01FEA19B4A2}">
    <text>Reporting starts from Dec</text>
  </threadedComment>
  <threadedComment ref="AG384" dT="2025-01-16T11:11:40.40" personId="{6777EDD4-E46F-4979-A7E7-6FC0A82E0C8E}" id="{CF3893A4-291F-4E3E-942A-A4FFDCC2AAFB}">
    <text>Reporting starts from Dec</text>
  </threadedComment>
  <threadedComment ref="AH384" dT="2025-01-16T11:11:40.40" personId="{6777EDD4-E46F-4979-A7E7-6FC0A82E0C8E}" id="{0FA52F15-089D-4E13-A554-F91B6FC42BF7}">
    <text>Reporting starts from Dec</text>
  </threadedComment>
  <threadedComment ref="AG385" dT="2025-01-16T11:11:40.40" personId="{6777EDD4-E46F-4979-A7E7-6FC0A82E0C8E}" id="{E0FA86FA-C0C2-43CF-8465-8E59C059AF80}">
    <text>Reporting starts from Dec</text>
  </threadedComment>
  <threadedComment ref="AH385" dT="2025-01-16T11:11:40.40" personId="{6777EDD4-E46F-4979-A7E7-6FC0A82E0C8E}" id="{6EE345FD-4F7E-4E6D-B916-232563930F97}">
    <text>Reporting starts from Dec</text>
  </threadedComment>
  <threadedComment ref="AG386" dT="2025-01-16T11:11:40.40" personId="{6777EDD4-E46F-4979-A7E7-6FC0A82E0C8E}" id="{3B54FD9D-05CE-4BFF-81DF-DEDE89C8757F}">
    <text>Reporting starts from Dec</text>
  </threadedComment>
  <threadedComment ref="AH386" dT="2025-01-16T11:11:40.40" personId="{6777EDD4-E46F-4979-A7E7-6FC0A82E0C8E}" id="{DEA1A2D0-8A8C-4C25-B482-19A0F56E72F4}">
    <text>Reporting starts from Dec</text>
  </threadedComment>
  <threadedComment ref="AG387" dT="2025-01-16T11:11:40.40" personId="{6777EDD4-E46F-4979-A7E7-6FC0A82E0C8E}" id="{A5E00CC0-0876-47D8-B8C3-CC2B9EF0A1AE}">
    <text>Reporting starts from Dec</text>
  </threadedComment>
  <threadedComment ref="AH387" dT="2025-01-16T11:11:40.40" personId="{6777EDD4-E46F-4979-A7E7-6FC0A82E0C8E}" id="{4C1F8735-B8DD-4CF1-B8B2-CF3C9A1D0AF3}">
    <text>Reporting starts from Dec</text>
  </threadedComment>
  <threadedComment ref="AG388" dT="2025-01-16T11:11:40.40" personId="{6777EDD4-E46F-4979-A7E7-6FC0A82E0C8E}" id="{DD93B49B-CCCB-444C-B2C7-DF48C7F4339E}">
    <text>Reporting starts from Dec</text>
  </threadedComment>
  <threadedComment ref="AH388" dT="2025-01-16T11:11:40.40" personId="{6777EDD4-E46F-4979-A7E7-6FC0A82E0C8E}" id="{5AE800EA-F513-49EA-9F86-0522D7D603E2}">
    <text>Reporting starts from Dec</text>
  </threadedComment>
  <threadedComment ref="AG389" dT="2025-01-16T11:11:40.40" personId="{6777EDD4-E46F-4979-A7E7-6FC0A82E0C8E}" id="{7E156645-9AAF-42B2-8B53-DE02C25F6351}">
    <text>Reporting starts from Dec</text>
  </threadedComment>
  <threadedComment ref="AH389" dT="2025-01-16T11:11:40.40" personId="{6777EDD4-E46F-4979-A7E7-6FC0A82E0C8E}" id="{B4E784E7-0897-4B13-9CAF-70A845CDF03A}">
    <text>Reporting starts from Dec</text>
  </threadedComment>
  <threadedComment ref="BM389" dT="2025-12-24T10:30:19.32" personId="{1798D1B1-3098-46B1-91A2-D4C92B7E122A}" id="{EEF92AED-1344-4127-81E2-318C4E1F4043}">
    <text>No joiners and offer released</text>
  </threadedComment>
  <threadedComment ref="AG390" dT="2025-01-16T11:11:40.40" personId="{6777EDD4-E46F-4979-A7E7-6FC0A82E0C8E}" id="{6885AA73-262E-46F5-9793-4182F9E8D472}">
    <text>Reporting starts from Dec</text>
  </threadedComment>
  <threadedComment ref="AH390" dT="2025-01-16T11:11:40.40" personId="{6777EDD4-E46F-4979-A7E7-6FC0A82E0C8E}" id="{4C0FB669-61E9-4688-B829-FAD83C22875D}">
    <text>Reporting starts from Dec</text>
  </threadedComment>
  <threadedComment ref="AG391" dT="2025-01-16T11:11:40.40" personId="{6777EDD4-E46F-4979-A7E7-6FC0A82E0C8E}" id="{E1D4D5A1-B062-4D7B-A9D6-E277AF8E8BB7}">
    <text>Reporting starts from Dec</text>
  </threadedComment>
  <threadedComment ref="AH391" dT="2025-01-16T11:11:40.40" personId="{6777EDD4-E46F-4979-A7E7-6FC0A82E0C8E}" id="{09AA3898-CDB7-4DF4-BD64-F310EAE113CC}">
    <text>Reporting starts from Dec</text>
  </threadedComment>
  <threadedComment ref="AG392" dT="2025-01-16T11:11:40.40" personId="{6777EDD4-E46F-4979-A7E7-6FC0A82E0C8E}" id="{03D295F8-A74D-469F-99BB-0273EE57218B}">
    <text>Reporting starts from Dec</text>
  </threadedComment>
  <threadedComment ref="AH392" dT="2025-01-16T11:11:40.40" personId="{6777EDD4-E46F-4979-A7E7-6FC0A82E0C8E}" id="{3EFEB9E3-7BED-4ABD-BCBB-10499338D6D0}">
    <text>Reporting starts from Dec</text>
  </threadedComment>
  <threadedComment ref="AG393" dT="2025-01-16T11:11:40.40" personId="{6777EDD4-E46F-4979-A7E7-6FC0A82E0C8E}" id="{0B217E59-5730-4AE5-AD06-D399AF84529A}">
    <text>Reporting starts from Dec</text>
  </threadedComment>
  <threadedComment ref="AH393" dT="2025-01-16T11:11:40.40" personId="{6777EDD4-E46F-4979-A7E7-6FC0A82E0C8E}" id="{CA4F837D-20F5-44D5-A1C8-EEAE754B4FE6}">
    <text>Reporting starts from Dec</text>
  </threadedComment>
  <threadedComment ref="AG394" dT="2025-01-16T11:11:40.40" personId="{6777EDD4-E46F-4979-A7E7-6FC0A82E0C8E}" id="{5EAE3B50-DECB-4C1B-90AC-14D28F28A254}">
    <text>Reporting starts from Dec</text>
  </threadedComment>
  <threadedComment ref="AH394" dT="2025-01-16T11:11:40.40" personId="{6777EDD4-E46F-4979-A7E7-6FC0A82E0C8E}" id="{A1FA9983-BD1B-4722-99A6-495C3D411176}">
    <text>Reporting starts from Dec</text>
  </threadedComment>
  <threadedComment ref="AG395" dT="2025-01-16T11:11:40.40" personId="{6777EDD4-E46F-4979-A7E7-6FC0A82E0C8E}" id="{4937E2CB-D80E-4263-8C71-D4CBFE10A8C3}">
    <text>Reporting starts from Dec</text>
  </threadedComment>
  <threadedComment ref="AH395" dT="2025-01-16T11:11:40.40" personId="{6777EDD4-E46F-4979-A7E7-6FC0A82E0C8E}" id="{BC67A346-BC53-4DBF-9592-2F810CD46C6E}">
    <text>Reporting starts from Dec</text>
  </threadedComment>
  <threadedComment ref="AG396" dT="2025-01-16T11:11:40.40" personId="{6777EDD4-E46F-4979-A7E7-6FC0A82E0C8E}" id="{D7C7C0F9-4C44-414A-B529-97BD87DE2764}">
    <text>Reporting starts from Dec</text>
  </threadedComment>
  <threadedComment ref="AH396" dT="2025-01-16T11:11:40.40" personId="{6777EDD4-E46F-4979-A7E7-6FC0A82E0C8E}" id="{F7B4FB82-1D10-4CDE-86D3-BF841B22980F}">
    <text>Reporting starts from Dec</text>
  </threadedComment>
  <threadedComment ref="BM396" dT="2025-12-24T10:30:19.32" personId="{1798D1B1-3098-46B1-91A2-D4C92B7E122A}" id="{2AA9D03D-395B-4BBA-B57C-FE7B59CD0F3C}">
    <text>No joiners and offer released</text>
  </threadedComment>
  <threadedComment ref="AG397" dT="2025-01-16T11:11:40.40" personId="{6777EDD4-E46F-4979-A7E7-6FC0A82E0C8E}" id="{8571C04F-DBA5-4024-B1CB-77BA2691F8E5}">
    <text>Reporting starts from Dec</text>
  </threadedComment>
  <threadedComment ref="AH397" dT="2025-01-16T11:11:40.40" personId="{6777EDD4-E46F-4979-A7E7-6FC0A82E0C8E}" id="{67B771D5-C158-4F79-839E-78C7E9710D99}">
    <text>Reporting starts from Dec</text>
  </threadedComment>
  <threadedComment ref="AG398" dT="2025-01-16T11:11:40.40" personId="{6777EDD4-E46F-4979-A7E7-6FC0A82E0C8E}" id="{2A514BEF-91B0-482D-8B3F-BC3232A41B57}">
    <text>Reporting starts from Dec</text>
  </threadedComment>
  <threadedComment ref="AH398" dT="2025-01-16T11:11:40.40" personId="{6777EDD4-E46F-4979-A7E7-6FC0A82E0C8E}" id="{96323C1A-5561-4336-BF1E-F5359770129A}">
    <text>Reporting starts from Dec</text>
  </threadedComment>
  <threadedComment ref="AG399" dT="2025-01-16T11:11:40.40" personId="{6777EDD4-E46F-4979-A7E7-6FC0A82E0C8E}" id="{517EA195-A998-4A33-91E2-6928B01E8A42}">
    <text>Reporting starts from Dec</text>
  </threadedComment>
  <threadedComment ref="AH399" dT="2025-01-16T11:11:40.40" personId="{6777EDD4-E46F-4979-A7E7-6FC0A82E0C8E}" id="{B8674468-682D-4A82-B992-98D16066DA86}">
    <text>Reporting starts from Dec</text>
  </threadedComment>
  <threadedComment ref="AG400" dT="2025-01-16T11:11:40.40" personId="{6777EDD4-E46F-4979-A7E7-6FC0A82E0C8E}" id="{C13CB20F-7C24-4C76-A57E-1B1CD6DE98A1}">
    <text>Reporting starts from Dec</text>
  </threadedComment>
  <threadedComment ref="AH400" dT="2025-01-16T11:11:40.40" personId="{6777EDD4-E46F-4979-A7E7-6FC0A82E0C8E}" id="{7146C99C-17CF-4DB6-BBDA-44E5EF5164F4}">
    <text>Reporting starts from Dec</text>
  </threadedComment>
  <threadedComment ref="AG401" dT="2025-01-16T11:11:40.40" personId="{6777EDD4-E46F-4979-A7E7-6FC0A82E0C8E}" id="{29219D50-1407-4B8B-8D20-42E1F37B1B3B}">
    <text>Reporting starts from Dec</text>
  </threadedComment>
  <threadedComment ref="AH401" dT="2025-01-16T11:11:40.40" personId="{6777EDD4-E46F-4979-A7E7-6FC0A82E0C8E}" id="{BFECBDC4-29B9-4105-9270-97D49FB7B937}">
    <text>Reporting starts from Dec</text>
  </threadedComment>
  <threadedComment ref="AG402" dT="2025-01-16T11:11:40.40" personId="{6777EDD4-E46F-4979-A7E7-6FC0A82E0C8E}" id="{7423F379-2F86-4EFA-9E64-C515EA6109ED}">
    <text>Reporting starts from Dec</text>
  </threadedComment>
  <threadedComment ref="AH402" dT="2025-01-16T11:11:40.40" personId="{6777EDD4-E46F-4979-A7E7-6FC0A82E0C8E}" id="{6C5FC42E-3B3E-4512-AE08-36B59AB40A3E}">
    <text>Reporting starts from Dec</text>
  </threadedComment>
  <threadedComment ref="AG403" dT="2025-01-16T11:11:40.40" personId="{6777EDD4-E46F-4979-A7E7-6FC0A82E0C8E}" id="{9F07A900-37F7-4613-81E7-395618D60E62}">
    <text>Reporting starts from Dec</text>
  </threadedComment>
  <threadedComment ref="AH403" dT="2025-01-16T11:11:40.40" personId="{6777EDD4-E46F-4979-A7E7-6FC0A82E0C8E}" id="{147EDB57-57CD-424F-9072-016D561639EE}">
    <text>Reporting starts from Dec</text>
  </threadedComment>
  <threadedComment ref="BM403" dT="2025-12-24T10:30:19.32" personId="{1798D1B1-3098-46B1-91A2-D4C92B7E122A}" id="{080D3163-B8F4-4A8C-898B-C1CB03B4687B}">
    <text>No joiners and offer released</text>
  </threadedComment>
  <threadedComment ref="AG404" dT="2025-01-16T11:11:40.40" personId="{6777EDD4-E46F-4979-A7E7-6FC0A82E0C8E}" id="{AC1635E8-4563-48A8-AD51-A0FFA46CBEDF}">
    <text>Reporting starts from Dec</text>
  </threadedComment>
  <threadedComment ref="AH404" dT="2025-01-16T11:11:40.40" personId="{6777EDD4-E46F-4979-A7E7-6FC0A82E0C8E}" id="{B03147DC-A579-4853-A91C-5E5159DF26CC}">
    <text>Reporting starts from Dec</text>
  </threadedComment>
  <threadedComment ref="AG405" dT="2025-01-16T11:11:40.40" personId="{6777EDD4-E46F-4979-A7E7-6FC0A82E0C8E}" id="{BC979582-0502-4E3C-AE8A-E82CFB74FD1F}">
    <text>Reporting starts from Dec</text>
  </threadedComment>
  <threadedComment ref="AH405" dT="2025-01-16T11:11:40.40" personId="{6777EDD4-E46F-4979-A7E7-6FC0A82E0C8E}" id="{821C906F-A5E6-4709-8AFC-BBCC18D5F71E}">
    <text>Reporting starts from Dec</text>
  </threadedComment>
  <threadedComment ref="AQ406" dT="2025-05-26T09:39:41.78" personId="{6777EDD4-E46F-4979-A7E7-6FC0A82E0C8E}" id="{8EC480C3-A7C7-4851-A90E-5BE131CF4058}">
    <text>Starts reporting from April’25</text>
  </threadedComment>
  <threadedComment ref="AR406" dT="2025-05-26T09:39:41.78" personId="{6777EDD4-E46F-4979-A7E7-6FC0A82E0C8E}" id="{4645422B-F281-4945-9AA1-D3DA643BFDEA}">
    <text>Starts reporting from April’25</text>
  </threadedComment>
  <threadedComment ref="AQ407" dT="2025-05-26T09:39:41.78" personId="{6777EDD4-E46F-4979-A7E7-6FC0A82E0C8E}" id="{957C0FA2-F2B7-467F-9240-DD598213B43A}">
    <text>Starts reporting from April’25</text>
  </threadedComment>
  <threadedComment ref="AR407" dT="2025-05-26T09:39:41.78" personId="{6777EDD4-E46F-4979-A7E7-6FC0A82E0C8E}" id="{62117EC4-835D-45AF-91B5-D5A5478A9D86}">
    <text>Starts reporting from April’25</text>
  </threadedComment>
  <threadedComment ref="AQ408" dT="2025-05-26T09:39:41.78" personId="{6777EDD4-E46F-4979-A7E7-6FC0A82E0C8E}" id="{A8C3A3F4-A2CE-4543-95C4-F80D42BECE76}">
    <text>Starts reporting from April’25</text>
  </threadedComment>
  <threadedComment ref="AR408" dT="2025-05-26T09:39:41.78" personId="{6777EDD4-E46F-4979-A7E7-6FC0A82E0C8E}" id="{C2BCF594-5885-4CF5-8994-1483FD37AF4A}">
    <text>Starts reporting from April’25</text>
  </threadedComment>
  <threadedComment ref="AQ409" dT="2025-05-26T09:39:41.78" personId="{6777EDD4-E46F-4979-A7E7-6FC0A82E0C8E}" id="{B658EA57-25E0-44F0-98B6-297F4F7CDA46}">
    <text>Starts reporting from April’25</text>
  </threadedComment>
  <threadedComment ref="AR409" dT="2025-05-26T09:39:41.78" personId="{6777EDD4-E46F-4979-A7E7-6FC0A82E0C8E}" id="{C95A5009-2062-4548-AC1C-B1A38DA9FFE0}">
    <text>Starts reporting from April’25</text>
  </threadedComment>
  <threadedComment ref="AQ410" dT="2025-05-26T09:39:41.78" personId="{6777EDD4-E46F-4979-A7E7-6FC0A82E0C8E}" id="{3E56F368-420E-418E-BA76-5823696C8565}">
    <text>Starts reporting from April’25</text>
  </threadedComment>
  <threadedComment ref="AR410" dT="2025-05-26T09:39:41.78" personId="{6777EDD4-E46F-4979-A7E7-6FC0A82E0C8E}" id="{76822102-9272-4F56-BBAB-B08828D9D9D3}">
    <text>Starts reporting from April’25</text>
  </threadedComment>
  <threadedComment ref="BM410" dT="2025-12-24T10:30:19.32" personId="{1798D1B1-3098-46B1-91A2-D4C92B7E122A}" id="{67C3153D-A46C-4BBF-8E74-D825C2BA1E75}">
    <text>No joiners and offer released</text>
  </threadedComment>
  <threadedComment ref="AQ411" dT="2025-05-26T09:39:41.78" personId="{6777EDD4-E46F-4979-A7E7-6FC0A82E0C8E}" id="{01530792-7240-4E6A-89C3-B429DEA418EF}">
    <text>Starts reporting from April’25</text>
  </threadedComment>
  <threadedComment ref="AR411" dT="2025-05-26T09:39:41.78" personId="{6777EDD4-E46F-4979-A7E7-6FC0A82E0C8E}" id="{419F1E9B-22BD-495B-995A-C99A9AADF6FC}">
    <text>Starts reporting from April’25</text>
  </threadedComment>
  <threadedComment ref="AQ412" dT="2025-05-26T09:39:41.78" personId="{6777EDD4-E46F-4979-A7E7-6FC0A82E0C8E}" id="{26D13F3C-3C0C-4009-AF38-A399BD9EFF8A}">
    <text>Starts reporting from April’25</text>
  </threadedComment>
  <threadedComment ref="AR412" dT="2025-05-26T09:39:41.78" personId="{6777EDD4-E46F-4979-A7E7-6FC0A82E0C8E}" id="{7707FAE9-70FC-43D1-8709-B8ACDB77CC2D}">
    <text>Starts reporting from April’25</text>
  </threadedComment>
  <threadedComment ref="AG413" dT="2025-01-16T11:11:40.40" personId="{6777EDD4-E46F-4979-A7E7-6FC0A82E0C8E}" id="{36B57105-18A8-4879-A245-3659FC12FF9B}">
    <text>Reporting starts from Dec</text>
  </threadedComment>
  <threadedComment ref="AH413" dT="2025-01-16T11:11:40.40" personId="{6777EDD4-E46F-4979-A7E7-6FC0A82E0C8E}" id="{76671DBA-F3BF-4EAE-A481-210E2AB5A82D}">
    <text>Reporting starts from Dec</text>
  </threadedComment>
  <threadedComment ref="AK413" dT="2025-01-16T11:11:40.40" personId="{6777EDD4-E46F-4979-A7E7-6FC0A82E0C8E}" id="{8DC4AA6D-8545-46D2-8D36-58E221408266}">
    <text>Reporting starts from Dec</text>
  </threadedComment>
  <threadedComment ref="AL413" dT="2025-01-16T11:11:40.40" personId="{6777EDD4-E46F-4979-A7E7-6FC0A82E0C8E}" id="{5B501F06-B6D0-4610-9F7F-1EB73622B00D}">
    <text>Reporting starts from Dec</text>
  </threadedComment>
  <threadedComment ref="AM413" dT="2025-02-19T09:56:06.50" personId="{728803BD-3A25-4F6F-BA7C-1EDF8A148B73}" id="{2ECD9C42-821F-48DB-BFD9-B902AD562FBE}">
    <text>No Joiners in month of Jan’25</text>
  </threadedComment>
  <threadedComment ref="AN413" dT="2025-02-19T09:56:06.50" personId="{728803BD-3A25-4F6F-BA7C-1EDF8A148B73}" id="{A3FFA5BD-3151-4767-A001-5D04399D6BDF}">
    <text>No Joiners in month of Jan’25</text>
  </threadedComment>
  <threadedComment ref="AO413" dT="2025-03-20T08:25:05.71" personId="{6777EDD4-E46F-4979-A7E7-6FC0A82E0C8E}" id="{E6215150-07DB-4718-90D8-253F5DBFFBA1}">
    <text>No Joiner in the month</text>
  </threadedComment>
  <threadedComment ref="AP413" dT="2025-03-20T08:25:05.71" personId="{6777EDD4-E46F-4979-A7E7-6FC0A82E0C8E}" id="{CB1F6B4F-EFB6-490F-A92F-DC7258EE2C5A}">
    <text>No Joiner in the month</text>
  </threadedComment>
  <threadedComment ref="AG414" dT="2025-01-16T11:11:40.40" personId="{6777EDD4-E46F-4979-A7E7-6FC0A82E0C8E}" id="{39A1AECD-183C-4599-9D0F-7638906735A5}">
    <text>Reporting starts from Dec</text>
  </threadedComment>
  <threadedComment ref="AH414" dT="2025-01-16T11:11:40.40" personId="{6777EDD4-E46F-4979-A7E7-6FC0A82E0C8E}" id="{44F0650F-EB5A-42BB-AEC0-344FE1C569B0}">
    <text>Reporting starts from Dec</text>
  </threadedComment>
  <threadedComment ref="AK414" dT="2025-01-16T11:11:40.40" personId="{6777EDD4-E46F-4979-A7E7-6FC0A82E0C8E}" id="{0803236E-B7F2-478E-8803-665F70EFC42E}">
    <text>Reporting starts from Dec</text>
  </threadedComment>
  <threadedComment ref="AL414" dT="2025-01-16T11:11:40.40" personId="{6777EDD4-E46F-4979-A7E7-6FC0A82E0C8E}" id="{8B8D86CD-6D8B-439C-919D-DEC3EF4FB4F8}">
    <text>Reporting starts from Dec</text>
  </threadedComment>
  <threadedComment ref="AW414" dT="2025-06-19T08:28:55.20" personId="{728803BD-3A25-4F6F-BA7C-1EDF8A148B73}" id="{4CE61755-33E3-4FC0-A63F-C888C8889193}">
    <text>No Offers in May’25</text>
  </threadedComment>
  <threadedComment ref="AX414" dT="2025-06-19T08:28:55.20" personId="{728803BD-3A25-4F6F-BA7C-1EDF8A148B73}" id="{69E2519F-94D0-4E1A-8279-8BCBBFD5A0D9}">
    <text>No Offers in May’25</text>
  </threadedComment>
  <threadedComment ref="AG415" dT="2025-01-16T11:11:40.40" personId="{6777EDD4-E46F-4979-A7E7-6FC0A82E0C8E}" id="{054891D0-AAD7-484B-966D-862555786A34}">
    <text>Reporting starts from Dec</text>
  </threadedComment>
  <threadedComment ref="AH415" dT="2025-01-16T11:11:40.40" personId="{6777EDD4-E46F-4979-A7E7-6FC0A82E0C8E}" id="{FD1D6394-6EC6-498E-962B-9E04720343E4}">
    <text>Reporting starts from Dec</text>
  </threadedComment>
  <threadedComment ref="AK415" dT="2025-01-16T11:11:40.40" personId="{6777EDD4-E46F-4979-A7E7-6FC0A82E0C8E}" id="{02F96330-1EB5-404E-8383-81F6B2D35CED}">
    <text>Reporting starts from Dec</text>
  </threadedComment>
  <threadedComment ref="AL415" dT="2025-01-16T11:11:40.40" personId="{6777EDD4-E46F-4979-A7E7-6FC0A82E0C8E}" id="{E9CA4061-69A5-448D-A615-6C9AC31AE40B}">
    <text>Reporting starts from Dec</text>
  </threadedComment>
  <threadedComment ref="AG416" dT="2025-01-16T11:11:40.40" personId="{6777EDD4-E46F-4979-A7E7-6FC0A82E0C8E}" id="{A48AF448-3671-401E-A38F-E4C510075146}">
    <text>Reporting starts from Dec</text>
  </threadedComment>
  <threadedComment ref="AH416" dT="2025-01-16T11:11:40.40" personId="{6777EDD4-E46F-4979-A7E7-6FC0A82E0C8E}" id="{80A9EAE3-A24C-4D67-B10F-D99D035B08F0}">
    <text>Reporting starts from Dec</text>
  </threadedComment>
  <threadedComment ref="AK416" dT="2025-01-16T11:11:40.40" personId="{6777EDD4-E46F-4979-A7E7-6FC0A82E0C8E}" id="{BA815B1F-54B0-405C-8A0B-9A38D165A009}">
    <text>Reporting starts from Dec</text>
  </threadedComment>
  <threadedComment ref="AL416" dT="2025-01-16T11:11:40.40" personId="{6777EDD4-E46F-4979-A7E7-6FC0A82E0C8E}" id="{D71D84DA-0326-4F05-970E-FE3B4368E172}">
    <text>Reporting starts from Dec</text>
  </threadedComment>
  <threadedComment ref="AG417" dT="2025-01-16T11:11:40.40" personId="{6777EDD4-E46F-4979-A7E7-6FC0A82E0C8E}" id="{65BA72BD-21F8-4DA6-AEED-1456DB2DBA2E}">
    <text>Reporting starts from Dec</text>
  </threadedComment>
  <threadedComment ref="AH417" dT="2025-01-16T11:11:40.40" personId="{6777EDD4-E46F-4979-A7E7-6FC0A82E0C8E}" id="{ED34F4CF-0094-419B-AC22-BB50C23A4F65}">
    <text>Reporting starts from Dec</text>
  </threadedComment>
  <threadedComment ref="AK417" dT="2025-01-16T11:11:40.40" personId="{6777EDD4-E46F-4979-A7E7-6FC0A82E0C8E}" id="{47B4C12F-8A02-4C1C-A06F-6C653E9B2687}">
    <text>Reporting starts from Dec</text>
  </threadedComment>
  <threadedComment ref="AL417" dT="2025-01-16T11:11:40.40" personId="{6777EDD4-E46F-4979-A7E7-6FC0A82E0C8E}" id="{5822140C-F6F1-48C1-A4E2-5D725B11E6D5}">
    <text>Reporting starts from Dec</text>
  </threadedComment>
  <threadedComment ref="AG418" dT="2025-01-16T11:11:40.40" personId="{6777EDD4-E46F-4979-A7E7-6FC0A82E0C8E}" id="{A851F6BA-EF20-4D73-B1A5-0C55F3E73227}">
    <text>Reporting starts from Dec</text>
  </threadedComment>
  <threadedComment ref="AH418" dT="2025-01-16T11:11:40.40" personId="{6777EDD4-E46F-4979-A7E7-6FC0A82E0C8E}" id="{FC11B3CC-7376-4986-B7EA-7F3033CDA2CD}">
    <text>Reporting starts from Dec</text>
  </threadedComment>
  <threadedComment ref="AK418" dT="2025-01-16T11:11:40.40" personId="{6777EDD4-E46F-4979-A7E7-6FC0A82E0C8E}" id="{51242197-6E35-42A7-84DA-560D82D3E03D}">
    <text>Reporting starts from Dec</text>
  </threadedComment>
  <threadedComment ref="AL418" dT="2025-01-16T11:11:40.40" personId="{6777EDD4-E46F-4979-A7E7-6FC0A82E0C8E}" id="{4C7193B2-9EDB-4CC0-86FA-D959004F74B6}">
    <text>Reporting starts from Dec</text>
  </threadedComment>
  <threadedComment ref="AW418" dT="2025-06-19T08:28:55.20" personId="{728803BD-3A25-4F6F-BA7C-1EDF8A148B73}" id="{8E135A07-3C75-411D-A71F-D391B6A0F170}">
    <text>No Offers in May’25</text>
  </threadedComment>
  <threadedComment ref="AX418" dT="2025-06-19T08:28:55.20" personId="{728803BD-3A25-4F6F-BA7C-1EDF8A148B73}" id="{329E35FC-2324-44F6-B354-10943FAC4050}">
    <text>No Offers in May’25</text>
  </threadedComment>
  <threadedComment ref="AG419" dT="2025-01-16T11:11:40.40" personId="{6777EDD4-E46F-4979-A7E7-6FC0A82E0C8E}" id="{9954A9D6-54EA-4FFB-A3F6-C8F74819579E}">
    <text>Reporting starts from Dec</text>
  </threadedComment>
  <threadedComment ref="AH419" dT="2025-01-16T11:11:40.40" personId="{6777EDD4-E46F-4979-A7E7-6FC0A82E0C8E}" id="{5F23F22A-5677-43A0-A3FE-2FA48DBE4996}">
    <text>Reporting starts from Dec</text>
  </threadedComment>
  <threadedComment ref="AK419" dT="2025-01-16T11:11:40.40" personId="{6777EDD4-E46F-4979-A7E7-6FC0A82E0C8E}" id="{F28BF44C-5B91-4B36-9609-EE4516DA0624}">
    <text>Reporting starts from Dec</text>
  </threadedComment>
  <threadedComment ref="AL419" dT="2025-01-16T11:11:40.40" personId="{6777EDD4-E46F-4979-A7E7-6FC0A82E0C8E}" id="{41FD69EF-06FA-4B13-8E22-5732A65F4C60}">
    <text>Reporting starts from Dec</text>
  </threadedComment>
  <threadedComment ref="AO420" dT="2025-04-18T15:29:54.04" personId="{6777EDD4-E46F-4979-A7E7-6FC0A82E0C8E}" id="{86C091E7-8DBB-4F15-9F49-BE33CD3C5363}">
    <text>Starts reporting from March</text>
  </threadedComment>
  <threadedComment ref="AP420" dT="2025-04-18T15:29:54.04" personId="{6777EDD4-E46F-4979-A7E7-6FC0A82E0C8E}" id="{CCEC19B6-8783-46AA-A201-EB3E2523D9B1}">
    <text>Starts reporting from March</text>
  </threadedComment>
  <threadedComment ref="AO421" dT="2025-04-18T15:29:54.04" personId="{6777EDD4-E46F-4979-A7E7-6FC0A82E0C8E}" id="{D6F8F383-5622-43FF-9F0C-10132BB9FE97}">
    <text>Starts reporting from March</text>
  </threadedComment>
  <threadedComment ref="AP421" dT="2025-04-18T15:29:54.04" personId="{6777EDD4-E46F-4979-A7E7-6FC0A82E0C8E}" id="{FC44BFF9-C7F5-46EC-85C4-E3E200871CEE}">
    <text>Starts reporting from March</text>
  </threadedComment>
  <threadedComment ref="AO422" dT="2025-04-18T15:29:54.04" personId="{6777EDD4-E46F-4979-A7E7-6FC0A82E0C8E}" id="{E47D55E4-128A-478D-B4F4-E1C85B92240B}">
    <text>Starts reporting from March</text>
  </threadedComment>
  <threadedComment ref="AP422" dT="2025-04-18T15:29:54.04" personId="{6777EDD4-E46F-4979-A7E7-6FC0A82E0C8E}" id="{69F56C79-7C6A-4C0B-8511-AE3BF4AD8DF9}">
    <text>Starts reporting from March</text>
  </threadedComment>
  <threadedComment ref="AO423" dT="2025-04-18T15:29:54.04" personId="{6777EDD4-E46F-4979-A7E7-6FC0A82E0C8E}" id="{F9D9C636-15EE-4AD2-9EBD-480FA06BD963}">
    <text>Starts reporting from March</text>
  </threadedComment>
  <threadedComment ref="AP423" dT="2025-04-18T15:29:54.04" personId="{6777EDD4-E46F-4979-A7E7-6FC0A82E0C8E}" id="{D4F2D404-116B-41FE-A9D3-21D9A37E5CF8}">
    <text>Starts reporting from March</text>
  </threadedComment>
  <threadedComment ref="AO424" dT="2025-04-18T15:29:54.04" personId="{6777EDD4-E46F-4979-A7E7-6FC0A82E0C8E}" id="{3C832FF4-8259-4FB8-AB92-6D3F65DF152D}">
    <text>Starts reporting from March</text>
  </threadedComment>
  <threadedComment ref="AP424" dT="2025-04-18T15:29:54.04" personId="{6777EDD4-E46F-4979-A7E7-6FC0A82E0C8E}" id="{2321FB55-8FF5-411B-A67F-CFC50DA5A7CC}">
    <text>Starts reporting from March</text>
  </threadedComment>
  <threadedComment ref="AO425" dT="2025-04-18T15:29:54.04" personId="{6777EDD4-E46F-4979-A7E7-6FC0A82E0C8E}" id="{20DAEFB8-E8E3-4390-BB53-3586ED8DF9EC}">
    <text>Starts reporting from March</text>
  </threadedComment>
  <threadedComment ref="AP425" dT="2025-04-18T15:29:54.04" personId="{6777EDD4-E46F-4979-A7E7-6FC0A82E0C8E}" id="{8C18A04B-9A81-4599-983E-F7BE0B821814}">
    <text>Starts reporting from March</text>
  </threadedComment>
  <threadedComment ref="AO426" dT="2025-04-18T15:29:54.04" personId="{6777EDD4-E46F-4979-A7E7-6FC0A82E0C8E}" id="{6CBFE22F-9492-4AE5-ACE6-CC8068870BAE}">
    <text>Starts reporting from March</text>
  </threadedComment>
  <threadedComment ref="AP426" dT="2025-04-18T15:29:54.04" personId="{6777EDD4-E46F-4979-A7E7-6FC0A82E0C8E}" id="{CFBAC99C-38B2-4F6A-B52A-881E340129E8}">
    <text>Starts reporting from March</text>
  </threadedComment>
  <threadedComment ref="L427" dT="2025-04-18T15:36:30.11" personId="{6777EDD4-E46F-4979-A7E7-6FC0A82E0C8E}" id="{7480F9BC-162D-43E8-9975-86D86250694A}">
    <text>After 03 months target will change and then 06 &amp; 09</text>
  </threadedComment>
  <threadedComment ref="M427" dT="2025-04-18T15:36:30.11" personId="{6777EDD4-E46F-4979-A7E7-6FC0A82E0C8E}" id="{1063D96C-1443-4EC5-B155-F96A0B9F2C0F}">
    <text>After 03 months target will change and then 06 &amp; 09</text>
  </threadedComment>
  <threadedComment ref="AO427" dT="2025-04-18T15:29:54.04" personId="{6777EDD4-E46F-4979-A7E7-6FC0A82E0C8E}" id="{840155F7-CC01-4DE0-8CF5-AFAE9540D70A}">
    <text>Starts reporting from March</text>
  </threadedComment>
  <threadedComment ref="AP427" dT="2025-04-18T15:29:54.04" personId="{6777EDD4-E46F-4979-A7E7-6FC0A82E0C8E}" id="{E7BEB049-7E0D-4601-B94E-A98C9895948A}">
    <text>Starts reporting from March</text>
  </threadedComment>
  <threadedComment ref="AQ427" dT="2025-04-18T15:29:54.04" personId="{6777EDD4-E46F-4979-A7E7-6FC0A82E0C8E}" id="{DAD503D6-EC72-4EFE-BFF6-4C00C1F6EC3B}">
    <text>Starts reporting from May</text>
  </threadedComment>
  <threadedComment ref="AR427" dT="2025-04-18T15:29:54.04" personId="{6777EDD4-E46F-4979-A7E7-6FC0A82E0C8E}" id="{5D1BA713-B06E-4D96-A9F8-DBBAD88AFEDA}">
    <text>Starts reporting from May</text>
  </threadedComment>
  <threadedComment ref="AS427" dT="2025-04-18T15:29:54.04" personId="{6777EDD4-E46F-4979-A7E7-6FC0A82E0C8E}" id="{6E44A76D-6223-4B54-922F-61B954A2F3B6}">
    <text>Starts reporting from April</text>
  </threadedComment>
  <threadedComment ref="AT427" dT="2025-04-18T15:29:54.04" personId="{6777EDD4-E46F-4979-A7E7-6FC0A82E0C8E}" id="{8B950513-E47E-4DC6-955E-AD290E3537CD}">
    <text>Starts reporting from April</text>
  </threadedComment>
  <threadedComment ref="AU427" dT="2025-04-18T15:29:54.04" personId="{6777EDD4-E46F-4979-A7E7-6FC0A82E0C8E}" id="{EF59CA44-DAE3-41A0-92B5-4174AF60CCB2}">
    <text>Starts reporting from May</text>
  </threadedComment>
  <threadedComment ref="AV427" dT="2025-04-18T15:29:54.04" personId="{6777EDD4-E46F-4979-A7E7-6FC0A82E0C8E}" id="{9B87349F-B73A-4113-84EF-A7C0F0DDC26E}">
    <text>Starts reporting from May</text>
  </threadedComment>
  <threadedComment ref="AW427" dT="2025-04-18T15:29:54.04" personId="{6777EDD4-E46F-4979-A7E7-6FC0A82E0C8E}" id="{4923631A-1CC1-4726-AB23-3684ACE4E0A0}">
    <text>Starts reporting from June</text>
  </threadedComment>
  <threadedComment ref="AX427" dT="2025-04-18T15:29:54.04" personId="{6777EDD4-E46F-4979-A7E7-6FC0A82E0C8E}" id="{D70EFA39-05C4-408C-92A0-59B647620A3B}">
    <text>Starts reporting from June</text>
  </threadedComment>
  <threadedComment ref="AY427" dT="2025-04-18T15:29:54.04" personId="{6777EDD4-E46F-4979-A7E7-6FC0A82E0C8E}" id="{EB686811-DEEF-440A-BC96-6CEAC93C7F74}">
    <text>Starts reporting from July</text>
  </threadedComment>
  <threadedComment ref="AZ427" dT="2025-04-18T15:29:54.04" personId="{6777EDD4-E46F-4979-A7E7-6FC0A82E0C8E}" id="{9BB1AE32-6F28-4CD2-8B66-C45A99346249}">
    <text>Starts reporting from July</text>
  </threadedComment>
  <threadedComment ref="BA427" dT="2025-04-18T15:29:54.04" personId="{6777EDD4-E46F-4979-A7E7-6FC0A82E0C8E}" id="{411E134B-BFB9-4428-95B5-C24AD5C2EDE9}">
    <text>Starts reporting from July</text>
  </threadedComment>
  <threadedComment ref="BB427" dT="2025-04-18T15:29:54.04" personId="{6777EDD4-E46F-4979-A7E7-6FC0A82E0C8E}" id="{17B803F0-96C0-4F5A-BE01-85426233DB1A}">
    <text>Starts reporting from July</text>
  </threadedComment>
  <threadedComment ref="BC427" dT="2025-04-18T15:29:54.04" personId="{6777EDD4-E46F-4979-A7E7-6FC0A82E0C8E}" id="{6C2C2D39-BB34-4310-8E21-356563E2084C}">
    <text>Starts reporting from July</text>
  </threadedComment>
  <threadedComment ref="BD427" dT="2025-04-18T15:29:54.04" personId="{6777EDD4-E46F-4979-A7E7-6FC0A82E0C8E}" id="{3BB80F19-5BFC-4002-9876-2426AC001879}">
    <text>Starts reporting from July</text>
  </threadedComment>
  <threadedComment ref="BE427" dT="2025-04-18T15:29:54.04" personId="{6777EDD4-E46F-4979-A7E7-6FC0A82E0C8E}" id="{D4DA25B9-A56D-4742-A153-5AFB2918E74E}">
    <text>Starts reporting from July</text>
  </threadedComment>
  <threadedComment ref="BF427" dT="2025-04-18T15:29:54.04" personId="{6777EDD4-E46F-4979-A7E7-6FC0A82E0C8E}" id="{93FDD004-C342-4F82-80A5-82A02F486B1D}">
    <text>Starts reporting from July</text>
  </threadedComment>
  <threadedComment ref="L428" dT="2025-04-18T15:38:42.88" personId="{6777EDD4-E46F-4979-A7E7-6FC0A82E0C8E}" id="{9E02D9E4-68A8-491B-AAD9-D2413C4A2026}">
    <text>After 03 months target will change and then 06 &amp; 09</text>
  </threadedComment>
  <threadedComment ref="M428" dT="2025-04-18T15:38:42.88" personId="{6777EDD4-E46F-4979-A7E7-6FC0A82E0C8E}" id="{9705BF17-8586-49E3-BE3F-E296CC3BE403}">
    <text>After 03 months target will change and then 06 &amp; 09</text>
  </threadedComment>
  <threadedComment ref="AO428" dT="2025-04-18T15:29:54.04" personId="{6777EDD4-E46F-4979-A7E7-6FC0A82E0C8E}" id="{8DB32713-0603-4D70-94CA-3E4A87B5E80F}">
    <text>Starts reporting from March</text>
  </threadedComment>
  <threadedComment ref="AP428" dT="2025-04-18T15:29:54.04" personId="{6777EDD4-E46F-4979-A7E7-6FC0A82E0C8E}" id="{EEDEA9AE-3D08-453A-B8F8-9558B5D33B58}">
    <text>Starts reporting from March</text>
  </threadedComment>
  <threadedComment ref="AQ428" dT="2025-04-18T15:29:54.04" personId="{6777EDD4-E46F-4979-A7E7-6FC0A82E0C8E}" id="{51E9734B-FB3A-4B87-88DF-7081383027A8}">
    <text>Starts reporting from May</text>
  </threadedComment>
  <threadedComment ref="AR428" dT="2025-04-18T15:29:54.04" personId="{6777EDD4-E46F-4979-A7E7-6FC0A82E0C8E}" id="{90AC997E-A2D0-4A69-83E5-D68583F6EFCB}">
    <text>Starts reporting from May</text>
  </threadedComment>
  <threadedComment ref="AS428" dT="2025-04-18T15:29:54.04" personId="{6777EDD4-E46F-4979-A7E7-6FC0A82E0C8E}" id="{7298D922-821A-44E3-9DFE-5A9EBFAFC195}">
    <text>Starts reporting from April</text>
  </threadedComment>
  <threadedComment ref="AT428" dT="2025-04-18T15:29:54.04" personId="{6777EDD4-E46F-4979-A7E7-6FC0A82E0C8E}" id="{3A5034C0-EA6F-4D51-BD33-F6A56A7E7F24}">
    <text>Starts reporting from April</text>
  </threadedComment>
  <threadedComment ref="AU428" dT="2025-04-18T15:29:54.04" personId="{6777EDD4-E46F-4979-A7E7-6FC0A82E0C8E}" id="{9127B8DB-6192-4BD2-BFD8-527BEB47BCB9}">
    <text>Starts reporting from May</text>
  </threadedComment>
  <threadedComment ref="AV428" dT="2025-04-18T15:29:54.04" personId="{6777EDD4-E46F-4979-A7E7-6FC0A82E0C8E}" id="{B9318196-3816-4667-A952-DC637E33612E}">
    <text>Starts reporting from May</text>
  </threadedComment>
  <threadedComment ref="AW428" dT="2025-04-18T15:29:54.04" personId="{6777EDD4-E46F-4979-A7E7-6FC0A82E0C8E}" id="{1132E7CA-AE43-4B85-B95F-CB2BD91B81B5}">
    <text>Starts reporting from June</text>
  </threadedComment>
  <threadedComment ref="AX428" dT="2025-04-18T15:29:54.04" personId="{6777EDD4-E46F-4979-A7E7-6FC0A82E0C8E}" id="{5E2E4F56-4A62-49E2-BC6C-3B218F6B4AC6}">
    <text>Starts reporting from June</text>
  </threadedComment>
  <threadedComment ref="AY428" dT="2025-04-18T15:29:54.04" personId="{6777EDD4-E46F-4979-A7E7-6FC0A82E0C8E}" id="{46308E17-695E-427A-9B71-BD3C36269615}">
    <text>Starts reporting from July</text>
  </threadedComment>
  <threadedComment ref="AZ428" dT="2025-04-18T15:29:54.04" personId="{6777EDD4-E46F-4979-A7E7-6FC0A82E0C8E}" id="{B6764029-E242-496C-988A-8BA8061E23EA}">
    <text>Starts reporting from July</text>
  </threadedComment>
  <threadedComment ref="BA428" dT="2025-04-18T15:29:54.04" personId="{6777EDD4-E46F-4979-A7E7-6FC0A82E0C8E}" id="{B1C532B3-E2D6-426C-865A-D44E620660BF}">
    <text>Starts reporting from July</text>
  </threadedComment>
  <threadedComment ref="BB428" dT="2025-04-18T15:29:54.04" personId="{6777EDD4-E46F-4979-A7E7-6FC0A82E0C8E}" id="{57CF2297-D915-4911-AEA4-DD0013AC0448}">
    <text>Starts reporting from July</text>
  </threadedComment>
  <threadedComment ref="BC428" dT="2025-04-18T15:29:54.04" personId="{6777EDD4-E46F-4979-A7E7-6FC0A82E0C8E}" id="{EC48BDCA-A109-46EC-A76C-6E8EF457BF51}">
    <text>Starts reporting from July</text>
  </threadedComment>
  <threadedComment ref="BD428" dT="2025-04-18T15:29:54.04" personId="{6777EDD4-E46F-4979-A7E7-6FC0A82E0C8E}" id="{CECD8198-2E30-4CA5-B762-4F8E30D1FD48}">
    <text>Starts reporting from July</text>
  </threadedComment>
  <threadedComment ref="BE428" dT="2025-04-18T15:29:54.04" personId="{6777EDD4-E46F-4979-A7E7-6FC0A82E0C8E}" id="{13F21EFE-4814-4190-9BF5-2C286A9AC35B}">
    <text>Starts reporting from July</text>
  </threadedComment>
  <threadedComment ref="BF428" dT="2025-04-18T15:29:54.04" personId="{6777EDD4-E46F-4979-A7E7-6FC0A82E0C8E}" id="{6EA4F9F4-EECE-46A8-B437-DF5EC5E2FFF9}">
    <text>Starts reporting from July</text>
  </threadedComment>
  <threadedComment ref="L429" dT="2025-04-18T15:38:50.48" personId="{6777EDD4-E46F-4979-A7E7-6FC0A82E0C8E}" id="{368DF3A0-1E98-4BE1-ADD8-1B29FFF5ABE5}">
    <text>After 03 months target will change and then 06 &amp; 09</text>
  </threadedComment>
  <threadedComment ref="M429" dT="2025-04-18T15:38:50.48" personId="{6777EDD4-E46F-4979-A7E7-6FC0A82E0C8E}" id="{8C3B25B4-B186-465C-A442-F63298D03C5B}">
    <text>After 03 months target will change and then 06 &amp; 09</text>
  </threadedComment>
  <threadedComment ref="AO429" dT="2025-04-18T15:29:54.04" personId="{6777EDD4-E46F-4979-A7E7-6FC0A82E0C8E}" id="{64853283-C028-4872-9E3A-2510A1C634CF}">
    <text>Starts reporting from March</text>
  </threadedComment>
  <threadedComment ref="AP429" dT="2025-04-18T15:29:54.04" personId="{6777EDD4-E46F-4979-A7E7-6FC0A82E0C8E}" id="{6419460D-C473-4988-913E-1481D9DDBC53}">
    <text>Starts reporting from March</text>
  </threadedComment>
  <threadedComment ref="AQ429" dT="2025-04-18T15:29:54.04" personId="{6777EDD4-E46F-4979-A7E7-6FC0A82E0C8E}" id="{1894167E-CB5F-407C-9089-968C50849A23}">
    <text>Starts reporting from May</text>
  </threadedComment>
  <threadedComment ref="AR429" dT="2025-04-18T15:29:54.04" personId="{6777EDD4-E46F-4979-A7E7-6FC0A82E0C8E}" id="{50491DCF-3BEF-44A4-8D4E-302982AA2358}">
    <text>Starts reporting from May</text>
  </threadedComment>
  <threadedComment ref="AS429" dT="2025-04-18T15:29:54.04" personId="{6777EDD4-E46F-4979-A7E7-6FC0A82E0C8E}" id="{B0256E46-A446-45D0-89D2-DB5C8703248E}">
    <text>Starts reporting from April</text>
  </threadedComment>
  <threadedComment ref="AT429" dT="2025-04-18T15:29:54.04" personId="{6777EDD4-E46F-4979-A7E7-6FC0A82E0C8E}" id="{D28BEAAF-A9BD-4817-94F7-33CA49BA5DBA}">
    <text>Starts reporting from April</text>
  </threadedComment>
  <threadedComment ref="AU429" dT="2025-04-18T15:29:54.04" personId="{6777EDD4-E46F-4979-A7E7-6FC0A82E0C8E}" id="{5C9C0716-6F1A-4C58-9DA9-026537CC1930}">
    <text>Starts reporting from May</text>
  </threadedComment>
  <threadedComment ref="AV429" dT="2025-04-18T15:29:54.04" personId="{6777EDD4-E46F-4979-A7E7-6FC0A82E0C8E}" id="{96689643-DFD1-4824-B918-394C214D7994}">
    <text>Starts reporting from May</text>
  </threadedComment>
  <threadedComment ref="AW429" dT="2025-04-18T15:29:54.04" personId="{6777EDD4-E46F-4979-A7E7-6FC0A82E0C8E}" id="{E785F3D0-A3A3-4D85-A149-7197FB3D6B30}">
    <text>Starts reporting from June</text>
  </threadedComment>
  <threadedComment ref="AX429" dT="2025-04-18T15:29:54.04" personId="{6777EDD4-E46F-4979-A7E7-6FC0A82E0C8E}" id="{DDAFFB16-C276-4C14-B904-10339C424FA5}">
    <text>Starts reporting from June</text>
  </threadedComment>
  <threadedComment ref="AY429" dT="2025-04-18T15:29:54.04" personId="{6777EDD4-E46F-4979-A7E7-6FC0A82E0C8E}" id="{3F40117E-63E1-474A-B57C-2094C2E6386F}">
    <text>Starts reporting from July</text>
  </threadedComment>
  <threadedComment ref="AZ429" dT="2025-04-18T15:29:54.04" personId="{6777EDD4-E46F-4979-A7E7-6FC0A82E0C8E}" id="{D6B81460-BB5E-4A08-9C4E-5B738CCEECC3}">
    <text>Starts reporting from July</text>
  </threadedComment>
  <threadedComment ref="BA429" dT="2025-04-18T15:29:54.04" personId="{6777EDD4-E46F-4979-A7E7-6FC0A82E0C8E}" id="{75B69BF6-3C1A-4711-B5AD-078AC5552870}">
    <text>Starts reporting from July</text>
  </threadedComment>
  <threadedComment ref="BB429" dT="2025-04-18T15:29:54.04" personId="{6777EDD4-E46F-4979-A7E7-6FC0A82E0C8E}" id="{089ECB04-8492-4482-90CE-313A9A5FC81D}">
    <text>Starts reporting from July</text>
  </threadedComment>
  <threadedComment ref="BC429" dT="2025-04-18T15:29:54.04" personId="{6777EDD4-E46F-4979-A7E7-6FC0A82E0C8E}" id="{0580A1B7-BB26-420A-B057-020B304796DC}">
    <text>Starts reporting from July</text>
  </threadedComment>
  <threadedComment ref="BD429" dT="2025-04-18T15:29:54.04" personId="{6777EDD4-E46F-4979-A7E7-6FC0A82E0C8E}" id="{4CC0BE0D-E182-423E-8C28-EA36ADA62A24}">
    <text>Starts reporting from July</text>
  </threadedComment>
  <threadedComment ref="BE429" dT="2025-04-18T15:29:54.04" personId="{6777EDD4-E46F-4979-A7E7-6FC0A82E0C8E}" id="{6002DB05-0EEC-43C5-837C-D2DE0BDB98F1}">
    <text>Starts reporting from July</text>
  </threadedComment>
  <threadedComment ref="BF429" dT="2025-04-18T15:29:54.04" personId="{6777EDD4-E46F-4979-A7E7-6FC0A82E0C8E}" id="{1B4F1B1F-E3D0-4469-B329-7CCDA5B6BFB9}">
    <text>Starts reporting from July</text>
  </threadedComment>
  <threadedComment ref="L430" dT="2025-04-18T15:38:55.86" personId="{6777EDD4-E46F-4979-A7E7-6FC0A82E0C8E}" id="{169A157A-7705-44AC-9553-223528146F42}">
    <text>After 03 months target will change and then 06 &amp; 09</text>
  </threadedComment>
  <threadedComment ref="M430" dT="2025-04-18T15:38:55.86" personId="{6777EDD4-E46F-4979-A7E7-6FC0A82E0C8E}" id="{AEAB144B-7DD7-4F8D-96FD-3E90B65BB106}">
    <text>After 03 months target will change and then 06 &amp; 09</text>
  </threadedComment>
  <threadedComment ref="AO430" dT="2025-04-18T15:29:54.04" personId="{6777EDD4-E46F-4979-A7E7-6FC0A82E0C8E}" id="{629F965C-7873-404E-934A-79C9F8C8E99B}">
    <text>Starts reporting from March</text>
  </threadedComment>
  <threadedComment ref="AP430" dT="2025-04-18T15:29:54.04" personId="{6777EDD4-E46F-4979-A7E7-6FC0A82E0C8E}" id="{34455306-D0A4-4917-B749-F4D59C613160}">
    <text>Starts reporting from March</text>
  </threadedComment>
  <threadedComment ref="AQ430" dT="2025-04-18T15:29:54.04" personId="{6777EDD4-E46F-4979-A7E7-6FC0A82E0C8E}" id="{701BDBC0-E46B-4891-88DC-B02BD051F7BA}">
    <text>Starts reporting from May</text>
  </threadedComment>
  <threadedComment ref="AR430" dT="2025-04-18T15:29:54.04" personId="{6777EDD4-E46F-4979-A7E7-6FC0A82E0C8E}" id="{EA2F1C79-2465-4163-AD4A-34EC2CDA5775}">
    <text>Starts reporting from May</text>
  </threadedComment>
  <threadedComment ref="AS430" dT="2025-04-18T15:29:54.04" personId="{6777EDD4-E46F-4979-A7E7-6FC0A82E0C8E}" id="{7737E3A1-BB25-41E5-88FF-0E971D0E6623}">
    <text>Starts reporting from April</text>
  </threadedComment>
  <threadedComment ref="AT430" dT="2025-04-18T15:29:54.04" personId="{6777EDD4-E46F-4979-A7E7-6FC0A82E0C8E}" id="{22E45879-5A29-4081-B1EA-F6FB0F4CB45D}">
    <text>Starts reporting from April</text>
  </threadedComment>
  <threadedComment ref="AU430" dT="2025-04-18T15:29:54.04" personId="{6777EDD4-E46F-4979-A7E7-6FC0A82E0C8E}" id="{CCE122AA-4786-420E-B871-3E5BD97ED6D1}">
    <text>Starts reporting from May</text>
  </threadedComment>
  <threadedComment ref="AV430" dT="2025-04-18T15:29:54.04" personId="{6777EDD4-E46F-4979-A7E7-6FC0A82E0C8E}" id="{067C22EB-4518-41EF-B446-03E7329DB6EC}">
    <text>Starts reporting from May</text>
  </threadedComment>
  <threadedComment ref="AW430" dT="2025-04-18T15:29:54.04" personId="{6777EDD4-E46F-4979-A7E7-6FC0A82E0C8E}" id="{A54F3BF3-4F4E-463F-BB70-A1BFD1492B13}">
    <text>Starts reporting from June</text>
  </threadedComment>
  <threadedComment ref="AX430" dT="2025-04-18T15:29:54.04" personId="{6777EDD4-E46F-4979-A7E7-6FC0A82E0C8E}" id="{AE06D085-806E-4673-8469-4D201FB67457}">
    <text>Starts reporting from June</text>
  </threadedComment>
  <threadedComment ref="AY430" dT="2025-04-18T15:29:54.04" personId="{6777EDD4-E46F-4979-A7E7-6FC0A82E0C8E}" id="{472E5838-F3CA-4901-9660-B40DE562447E}">
    <text>Starts reporting from July</text>
  </threadedComment>
  <threadedComment ref="AZ430" dT="2025-04-18T15:29:54.04" personId="{6777EDD4-E46F-4979-A7E7-6FC0A82E0C8E}" id="{ED6823C4-A63F-448E-9472-A0BA4BC37FCE}">
    <text>Starts reporting from July</text>
  </threadedComment>
  <threadedComment ref="BA430" dT="2025-04-18T15:29:54.04" personId="{6777EDD4-E46F-4979-A7E7-6FC0A82E0C8E}" id="{FC4D03A9-4837-4451-B4DC-5EEE05A35C07}">
    <text>Starts reporting from July</text>
  </threadedComment>
  <threadedComment ref="BB430" dT="2025-04-18T15:29:54.04" personId="{6777EDD4-E46F-4979-A7E7-6FC0A82E0C8E}" id="{66B080BF-8162-4F1C-908A-96293BEF0BC6}">
    <text>Starts reporting from July</text>
  </threadedComment>
  <threadedComment ref="BC430" dT="2025-04-18T15:29:54.04" personId="{6777EDD4-E46F-4979-A7E7-6FC0A82E0C8E}" id="{94C5817F-2775-46ED-B857-D33E52E18F98}">
    <text>Starts reporting from July</text>
  </threadedComment>
  <threadedComment ref="BD430" dT="2025-04-18T15:29:54.04" personId="{6777EDD4-E46F-4979-A7E7-6FC0A82E0C8E}" id="{76D82A73-2D36-4A9C-8613-7AD7E3EE7388}">
    <text>Starts reporting from July</text>
  </threadedComment>
  <threadedComment ref="BE430" dT="2025-04-18T15:29:54.04" personId="{6777EDD4-E46F-4979-A7E7-6FC0A82E0C8E}" id="{80215076-A541-4CFD-A15A-D5B16DB0044D}">
    <text>Starts reporting from July</text>
  </threadedComment>
  <threadedComment ref="BF430" dT="2025-04-18T15:29:54.04" personId="{6777EDD4-E46F-4979-A7E7-6FC0A82E0C8E}" id="{D12AF2A9-D398-4A1B-88D3-9AD8E713C319}">
    <text>Starts reporting from July</text>
  </threadedComment>
  <threadedComment ref="AO431" dT="2025-04-18T15:29:54.04" personId="{6777EDD4-E46F-4979-A7E7-6FC0A82E0C8E}" id="{D7FBB7A7-5DFD-476F-A78C-FC4CA81675AE}">
    <text>Starts reporting from March</text>
  </threadedComment>
  <threadedComment ref="AP431" dT="2025-04-18T15:29:54.04" personId="{6777EDD4-E46F-4979-A7E7-6FC0A82E0C8E}" id="{E173EE7A-B86E-4665-83B4-1100C3AA1381}">
    <text>Starts reporting from March</text>
  </threadedComment>
  <threadedComment ref="AQ431" dT="2025-04-18T15:29:54.04" personId="{6777EDD4-E46F-4979-A7E7-6FC0A82E0C8E}" id="{3384FB9C-22D9-42E3-AF30-E3B10AF6A9E3}">
    <text>Starts reporting from May</text>
  </threadedComment>
  <threadedComment ref="AR431" dT="2025-04-18T15:29:54.04" personId="{6777EDD4-E46F-4979-A7E7-6FC0A82E0C8E}" id="{9083943E-7ABD-4900-8ADF-E79B36077BF1}">
    <text>Starts reporting from May</text>
  </threadedComment>
  <threadedComment ref="AS431" dT="2025-04-18T15:29:54.04" personId="{6777EDD4-E46F-4979-A7E7-6FC0A82E0C8E}" id="{75B8E5E0-2C7D-4E19-8EA4-868241EB260F}">
    <text>Starts reporting from April</text>
  </threadedComment>
  <threadedComment ref="AT431" dT="2025-04-18T15:29:54.04" personId="{6777EDD4-E46F-4979-A7E7-6FC0A82E0C8E}" id="{F045C50C-AC2B-4C9B-AAF9-F68925773196}">
    <text>Starts reporting from April</text>
  </threadedComment>
  <threadedComment ref="AU431" dT="2025-04-18T15:29:54.04" personId="{6777EDD4-E46F-4979-A7E7-6FC0A82E0C8E}" id="{179F5E82-80B3-445C-9B1F-3A28E69D5361}">
    <text>Starts reporting from May</text>
  </threadedComment>
  <threadedComment ref="AV431" dT="2025-04-18T15:29:54.04" personId="{6777EDD4-E46F-4979-A7E7-6FC0A82E0C8E}" id="{F297C69A-0B9C-4C5A-9D7F-34F78EB453FE}">
    <text>Starts reporting from May</text>
  </threadedComment>
  <threadedComment ref="AW431" dT="2025-04-18T15:29:54.04" personId="{6777EDD4-E46F-4979-A7E7-6FC0A82E0C8E}" id="{C85CE6C1-C3BF-4FCD-BA3C-FA35D90964DE}">
    <text>Starts reporting from June</text>
  </threadedComment>
  <threadedComment ref="AX431" dT="2025-04-18T15:29:54.04" personId="{6777EDD4-E46F-4979-A7E7-6FC0A82E0C8E}" id="{E8F12BEE-6F44-4386-9993-B40D8098475B}">
    <text>Starts reporting from June</text>
  </threadedComment>
  <threadedComment ref="AY431" dT="2025-04-18T15:29:54.04" personId="{6777EDD4-E46F-4979-A7E7-6FC0A82E0C8E}" id="{5A68D3EF-1E68-404D-B01B-E6E74A56EFCB}">
    <text>Starts reporting from July</text>
  </threadedComment>
  <threadedComment ref="AZ431" dT="2025-04-18T15:29:54.04" personId="{6777EDD4-E46F-4979-A7E7-6FC0A82E0C8E}" id="{80F4E380-E79A-4678-B179-1AFB825F8881}">
    <text>Starts reporting from July</text>
  </threadedComment>
  <threadedComment ref="BA431" dT="2025-04-18T15:29:54.04" personId="{6777EDD4-E46F-4979-A7E7-6FC0A82E0C8E}" id="{18FF4FC8-CBF5-43A9-8FDB-6793F11AB097}">
    <text>Starts reporting from July</text>
  </threadedComment>
  <threadedComment ref="BB431" dT="2025-04-18T15:29:54.04" personId="{6777EDD4-E46F-4979-A7E7-6FC0A82E0C8E}" id="{4A33ACB9-976D-426D-A919-622FA38651D2}">
    <text>Starts reporting from July</text>
  </threadedComment>
  <threadedComment ref="BC431" dT="2025-04-18T15:29:54.04" personId="{6777EDD4-E46F-4979-A7E7-6FC0A82E0C8E}" id="{D47C4EE7-E03E-4D9C-8FF6-F237554E50DC}">
    <text>Starts reporting from July</text>
  </threadedComment>
  <threadedComment ref="BD431" dT="2025-04-18T15:29:54.04" personId="{6777EDD4-E46F-4979-A7E7-6FC0A82E0C8E}" id="{E8DBEC5B-1BFB-4CB1-8624-45D204A77078}">
    <text>Starts reporting from July</text>
  </threadedComment>
  <threadedComment ref="BE431" dT="2025-04-18T15:29:54.04" personId="{6777EDD4-E46F-4979-A7E7-6FC0A82E0C8E}" id="{9A4AA253-1814-41EE-9C84-CDA2A9CFC368}">
    <text>Starts reporting from July</text>
  </threadedComment>
  <threadedComment ref="BF431" dT="2025-04-18T15:29:54.04" personId="{6777EDD4-E46F-4979-A7E7-6FC0A82E0C8E}" id="{6C74C3AE-AE93-439E-8677-6E17725E02E7}">
    <text>Starts reporting from July</text>
  </threadedComment>
  <threadedComment ref="AO432" dT="2025-04-18T15:29:54.04" personId="{6777EDD4-E46F-4979-A7E7-6FC0A82E0C8E}" id="{80ADA2D6-664D-4773-A1AD-41611421D8EB}">
    <text>Starts reporting from March</text>
  </threadedComment>
  <threadedComment ref="AP432" dT="2025-04-18T15:29:54.04" personId="{6777EDD4-E46F-4979-A7E7-6FC0A82E0C8E}" id="{BFD864F5-639B-4C2C-A8E2-268D0A3DD19F}">
    <text>Starts reporting from March</text>
  </threadedComment>
  <threadedComment ref="AQ432" dT="2025-04-18T15:29:54.04" personId="{6777EDD4-E46F-4979-A7E7-6FC0A82E0C8E}" id="{03FDE406-3C86-45E5-AFE5-E4DF38D5995B}">
    <text>Starts reporting from May</text>
  </threadedComment>
  <threadedComment ref="AR432" dT="2025-04-18T15:29:54.04" personId="{6777EDD4-E46F-4979-A7E7-6FC0A82E0C8E}" id="{BFDF8267-1AC0-4827-9356-76874315826A}">
    <text>Starts reporting from May</text>
  </threadedComment>
  <threadedComment ref="AS432" dT="2025-04-18T15:29:54.04" personId="{6777EDD4-E46F-4979-A7E7-6FC0A82E0C8E}" id="{2C32E539-A71B-4B64-90EC-5FF0AE08BD36}">
    <text>Starts reporting from April</text>
  </threadedComment>
  <threadedComment ref="AT432" dT="2025-04-18T15:29:54.04" personId="{6777EDD4-E46F-4979-A7E7-6FC0A82E0C8E}" id="{1579E880-9D23-48D8-B268-B1BE76EDC676}">
    <text>Starts reporting from April</text>
  </threadedComment>
  <threadedComment ref="AU432" dT="2025-04-18T15:29:54.04" personId="{6777EDD4-E46F-4979-A7E7-6FC0A82E0C8E}" id="{C66DCC61-9525-4BC4-B786-184D68164576}">
    <text>Starts reporting from May</text>
  </threadedComment>
  <threadedComment ref="AV432" dT="2025-04-18T15:29:54.04" personId="{6777EDD4-E46F-4979-A7E7-6FC0A82E0C8E}" id="{5326B477-B13F-4BD9-B91D-BCF007692DF4}">
    <text>Starts reporting from May</text>
  </threadedComment>
  <threadedComment ref="AW432" dT="2025-04-18T15:29:54.04" personId="{6777EDD4-E46F-4979-A7E7-6FC0A82E0C8E}" id="{91964421-AADF-4C5A-AD59-A8328781B12E}">
    <text>Starts reporting from June</text>
  </threadedComment>
  <threadedComment ref="AX432" dT="2025-04-18T15:29:54.04" personId="{6777EDD4-E46F-4979-A7E7-6FC0A82E0C8E}" id="{D5869AB8-DC98-46EF-955A-29DD97FF975F}">
    <text>Starts reporting from June</text>
  </threadedComment>
  <threadedComment ref="AY432" dT="2025-04-18T15:29:54.04" personId="{6777EDD4-E46F-4979-A7E7-6FC0A82E0C8E}" id="{73D79502-3F08-4F29-AD3E-15654521A4B1}">
    <text>Starts reporting from July</text>
  </threadedComment>
  <threadedComment ref="AZ432" dT="2025-04-18T15:29:54.04" personId="{6777EDD4-E46F-4979-A7E7-6FC0A82E0C8E}" id="{A4EEA5BD-C8EB-485A-ADE9-050118E4C7B5}">
    <text>Starts reporting from July</text>
  </threadedComment>
  <threadedComment ref="BA432" dT="2025-04-18T15:29:54.04" personId="{6777EDD4-E46F-4979-A7E7-6FC0A82E0C8E}" id="{22FFC5C8-957D-43D6-865F-95BE70138AEE}">
    <text>Starts reporting from July</text>
  </threadedComment>
  <threadedComment ref="BB432" dT="2025-04-18T15:29:54.04" personId="{6777EDD4-E46F-4979-A7E7-6FC0A82E0C8E}" id="{48958E5E-17D1-4456-90FB-51442E31E550}">
    <text>Starts reporting from July</text>
  </threadedComment>
  <threadedComment ref="BC432" dT="2025-04-18T15:29:54.04" personId="{6777EDD4-E46F-4979-A7E7-6FC0A82E0C8E}" id="{A729D17D-64BD-4B99-9644-F2335E5816DA}">
    <text>Starts reporting from July</text>
  </threadedComment>
  <threadedComment ref="BD432" dT="2025-04-18T15:29:54.04" personId="{6777EDD4-E46F-4979-A7E7-6FC0A82E0C8E}" id="{D1A9A9D6-8760-4C70-8387-EC1BB0493CB4}">
    <text>Starts reporting from July</text>
  </threadedComment>
  <threadedComment ref="BE432" dT="2025-04-18T15:29:54.04" personId="{6777EDD4-E46F-4979-A7E7-6FC0A82E0C8E}" id="{8FE54386-E760-40FD-81B3-226290475CD3}">
    <text>Starts reporting from July</text>
  </threadedComment>
  <threadedComment ref="BF432" dT="2025-04-18T15:29:54.04" personId="{6777EDD4-E46F-4979-A7E7-6FC0A82E0C8E}" id="{DEE917F1-74CA-430C-BADA-3CB359F700E1}">
    <text>Starts reporting from July</text>
  </threadedComment>
  <threadedComment ref="AO433" dT="2025-04-18T15:29:54.04" personId="{6777EDD4-E46F-4979-A7E7-6FC0A82E0C8E}" id="{8EDF8443-9A3D-47B2-8A27-2EAFC21027BB}">
    <text>Starts reporting from March</text>
  </threadedComment>
  <threadedComment ref="AP433" dT="2025-04-18T15:29:54.04" personId="{6777EDD4-E46F-4979-A7E7-6FC0A82E0C8E}" id="{0CF9AB42-0513-43BF-9AB3-768752E6CAFE}">
    <text>Starts reporting from March</text>
  </threadedComment>
  <threadedComment ref="AQ433" dT="2025-04-18T15:29:54.04" personId="{6777EDD4-E46F-4979-A7E7-6FC0A82E0C8E}" id="{BFEADB6D-6816-42A3-88FE-2CB17591EFF0}">
    <text>Starts reporting from May</text>
  </threadedComment>
  <threadedComment ref="AR433" dT="2025-04-18T15:29:54.04" personId="{6777EDD4-E46F-4979-A7E7-6FC0A82E0C8E}" id="{FE566827-C807-4391-9177-8E79FC567C73}">
    <text>Starts reporting from May</text>
  </threadedComment>
  <threadedComment ref="AS433" dT="2025-04-18T15:29:54.04" personId="{6777EDD4-E46F-4979-A7E7-6FC0A82E0C8E}" id="{EF321EEC-F981-4363-B529-3522E03093E4}">
    <text>Starts reporting from April</text>
  </threadedComment>
  <threadedComment ref="AT433" dT="2025-04-18T15:29:54.04" personId="{6777EDD4-E46F-4979-A7E7-6FC0A82E0C8E}" id="{50A897FE-7B6C-4561-879B-7739CD884D90}">
    <text>Starts reporting from April</text>
  </threadedComment>
  <threadedComment ref="AU433" dT="2025-04-18T15:29:54.04" personId="{6777EDD4-E46F-4979-A7E7-6FC0A82E0C8E}" id="{0D14E5E1-D162-45EC-A2DD-B18B4E245F88}">
    <text>Starts reporting from May</text>
  </threadedComment>
  <threadedComment ref="AV433" dT="2025-04-18T15:29:54.04" personId="{6777EDD4-E46F-4979-A7E7-6FC0A82E0C8E}" id="{ADECABCF-F2CC-44FA-8742-18B59EFBBC8A}">
    <text>Starts reporting from May</text>
  </threadedComment>
  <threadedComment ref="AW433" dT="2025-04-18T15:29:54.04" personId="{6777EDD4-E46F-4979-A7E7-6FC0A82E0C8E}" id="{B7687620-CC19-40A6-A28D-648363397170}">
    <text>Starts reporting from June</text>
  </threadedComment>
  <threadedComment ref="AX433" dT="2025-04-18T15:29:54.04" personId="{6777EDD4-E46F-4979-A7E7-6FC0A82E0C8E}" id="{14ABC117-0CAC-48B1-9CAE-165CB6A5FC8E}">
    <text>Starts reporting from June</text>
  </threadedComment>
  <threadedComment ref="AY433" dT="2025-04-18T15:29:54.04" personId="{6777EDD4-E46F-4979-A7E7-6FC0A82E0C8E}" id="{089A30C7-D0BD-4A50-9671-05B090A7E2A4}">
    <text>Starts reporting from July</text>
  </threadedComment>
  <threadedComment ref="AZ433" dT="2025-04-18T15:29:54.04" personId="{6777EDD4-E46F-4979-A7E7-6FC0A82E0C8E}" id="{12C0535D-2917-4922-9847-68A86657C57D}">
    <text>Starts reporting from July</text>
  </threadedComment>
  <threadedComment ref="BA433" dT="2025-04-18T15:29:54.04" personId="{6777EDD4-E46F-4979-A7E7-6FC0A82E0C8E}" id="{ADA9871D-37CE-4615-82CA-2627183587B9}">
    <text>Starts reporting from July</text>
  </threadedComment>
  <threadedComment ref="BB433" dT="2025-04-18T15:29:54.04" personId="{6777EDD4-E46F-4979-A7E7-6FC0A82E0C8E}" id="{8CBACAA1-7043-43F4-85E6-AF1CFBA3D826}">
    <text>Starts reporting from July</text>
  </threadedComment>
  <threadedComment ref="BC433" dT="2025-04-18T15:29:54.04" personId="{6777EDD4-E46F-4979-A7E7-6FC0A82E0C8E}" id="{2524634C-6CD9-45BE-9243-A81DE6159A7C}">
    <text>Starts reporting from July</text>
  </threadedComment>
  <threadedComment ref="BD433" dT="2025-04-18T15:29:54.04" personId="{6777EDD4-E46F-4979-A7E7-6FC0A82E0C8E}" id="{E6AD78F4-085C-4764-9102-CB0A5025080F}">
    <text>Starts reporting from July</text>
  </threadedComment>
  <threadedComment ref="BE433" dT="2025-04-18T15:29:54.04" personId="{6777EDD4-E46F-4979-A7E7-6FC0A82E0C8E}" id="{B38DA55B-E870-492E-873A-1390FC23FB73}">
    <text>Starts reporting from July</text>
  </threadedComment>
  <threadedComment ref="BF433" dT="2025-04-18T15:29:54.04" personId="{6777EDD4-E46F-4979-A7E7-6FC0A82E0C8E}" id="{D365018D-D674-4582-9859-39F6C17414DE}">
    <text>Starts reporting from July</text>
  </threadedComment>
  <threadedComment ref="AO434" dT="2025-04-18T15:29:54.04" personId="{6777EDD4-E46F-4979-A7E7-6FC0A82E0C8E}" id="{4BC2BE94-F7D6-4B25-B109-64C6EEDB1FE9}">
    <text>Starts reporting from March</text>
  </threadedComment>
  <threadedComment ref="AP434" dT="2025-04-18T15:29:54.04" personId="{6777EDD4-E46F-4979-A7E7-6FC0A82E0C8E}" id="{83FA497C-8D4F-4BC4-B3E7-A777C5A35008}">
    <text>Starts reporting from March</text>
  </threadedComment>
  <threadedComment ref="AQ434" dT="2025-04-18T15:29:54.04" personId="{6777EDD4-E46F-4979-A7E7-6FC0A82E0C8E}" id="{B320EAF3-A8B3-4E40-A58C-54A52E92F049}">
    <text>Starts reporting from May</text>
  </threadedComment>
  <threadedComment ref="AR434" dT="2025-04-18T15:29:54.04" personId="{6777EDD4-E46F-4979-A7E7-6FC0A82E0C8E}" id="{2BEC0334-FE25-4598-AB3A-0B45BDCF5EED}">
    <text>Starts reporting from May</text>
  </threadedComment>
  <threadedComment ref="AS434" dT="2025-04-18T15:29:54.04" personId="{6777EDD4-E46F-4979-A7E7-6FC0A82E0C8E}" id="{2E8DA9B4-1232-4313-BE73-A4052195539E}">
    <text>Starts reporting from April</text>
  </threadedComment>
  <threadedComment ref="AT434" dT="2025-04-18T15:29:54.04" personId="{6777EDD4-E46F-4979-A7E7-6FC0A82E0C8E}" id="{DD9EEDB9-E541-4F86-833E-25006E8719DA}">
    <text>Starts reporting from April</text>
  </threadedComment>
  <threadedComment ref="AU434" dT="2025-04-18T15:29:54.04" personId="{6777EDD4-E46F-4979-A7E7-6FC0A82E0C8E}" id="{56EF9C3D-9B8A-470A-8D67-134EAE18398F}">
    <text>Starts reporting from May</text>
  </threadedComment>
  <threadedComment ref="AV434" dT="2025-04-18T15:29:54.04" personId="{6777EDD4-E46F-4979-A7E7-6FC0A82E0C8E}" id="{51890101-5569-4903-BAAF-9BE96BAAEF05}">
    <text>Starts reporting from May</text>
  </threadedComment>
  <threadedComment ref="AW434" dT="2025-04-18T15:29:54.04" personId="{6777EDD4-E46F-4979-A7E7-6FC0A82E0C8E}" id="{48D49265-0982-4A29-AE0A-D1E75E42BB37}">
    <text>Starts reporting from June</text>
  </threadedComment>
  <threadedComment ref="AX434" dT="2025-04-18T15:29:54.04" personId="{6777EDD4-E46F-4979-A7E7-6FC0A82E0C8E}" id="{1D8645C3-1B49-4B83-A666-2355D1FB4044}">
    <text>Starts reporting from June</text>
  </threadedComment>
  <threadedComment ref="AY434" dT="2025-04-18T15:29:54.04" personId="{6777EDD4-E46F-4979-A7E7-6FC0A82E0C8E}" id="{778E9CF8-CF11-4C5A-9E08-C6BB29CEF690}">
    <text>Starts reporting from July</text>
  </threadedComment>
  <threadedComment ref="AZ434" dT="2025-04-18T15:29:54.04" personId="{6777EDD4-E46F-4979-A7E7-6FC0A82E0C8E}" id="{79AD4FA1-8F7C-46E8-8725-8A625D707AC0}">
    <text>Starts reporting from July</text>
  </threadedComment>
  <threadedComment ref="BA434" dT="2025-04-18T15:29:54.04" personId="{6777EDD4-E46F-4979-A7E7-6FC0A82E0C8E}" id="{53AB567E-E7E4-4AD1-B92D-1108D3107FE5}">
    <text>Starts reporting from July</text>
  </threadedComment>
  <threadedComment ref="BB434" dT="2025-04-18T15:29:54.04" personId="{6777EDD4-E46F-4979-A7E7-6FC0A82E0C8E}" id="{4A5CF8E9-24DC-49AE-A9AA-17E449346772}">
    <text>Starts reporting from July</text>
  </threadedComment>
  <threadedComment ref="BC434" dT="2025-04-18T15:29:54.04" personId="{6777EDD4-E46F-4979-A7E7-6FC0A82E0C8E}" id="{C5C62E3C-3980-447E-BF5E-FBD69485DCDB}">
    <text>Starts reporting from July</text>
  </threadedComment>
  <threadedComment ref="BD434" dT="2025-04-18T15:29:54.04" personId="{6777EDD4-E46F-4979-A7E7-6FC0A82E0C8E}" id="{70CD3967-CA7C-4B8E-9EDE-0053706AE69F}">
    <text>Starts reporting from July</text>
  </threadedComment>
  <threadedComment ref="BE434" dT="2025-04-18T15:29:54.04" personId="{6777EDD4-E46F-4979-A7E7-6FC0A82E0C8E}" id="{7514669F-C4F5-417E-B312-2E67004B656F}">
    <text>Starts reporting from July</text>
  </threadedComment>
  <threadedComment ref="BF434" dT="2025-04-18T15:29:54.04" personId="{6777EDD4-E46F-4979-A7E7-6FC0A82E0C8E}" id="{89493FE1-AD6C-4BBD-B8E4-833168DACA32}">
    <text>Starts reporting from July</text>
  </threadedComment>
  <threadedComment ref="AO435" dT="2025-04-18T15:29:54.04" personId="{6777EDD4-E46F-4979-A7E7-6FC0A82E0C8E}" id="{98B402F5-C5A4-4053-941D-B86DF6C7DCB4}">
    <text>Starts reporting from March</text>
  </threadedComment>
  <threadedComment ref="AP435" dT="2025-04-18T15:29:54.04" personId="{6777EDD4-E46F-4979-A7E7-6FC0A82E0C8E}" id="{03A875C5-4CA2-4AB2-B857-85A024125E89}">
    <text>Starts reporting from March</text>
  </threadedComment>
  <threadedComment ref="AQ435" dT="2025-04-18T15:29:54.04" personId="{6777EDD4-E46F-4979-A7E7-6FC0A82E0C8E}" id="{62A9F47E-ED88-499A-AFBA-5621E6A18C17}">
    <text>Starts reporting from May</text>
  </threadedComment>
  <threadedComment ref="AR435" dT="2025-04-18T15:29:54.04" personId="{6777EDD4-E46F-4979-A7E7-6FC0A82E0C8E}" id="{27C5B944-2D64-4A95-97C2-B6114097B527}">
    <text>Starts reporting from May</text>
  </threadedComment>
  <threadedComment ref="AS435" dT="2025-04-18T15:29:54.04" personId="{6777EDD4-E46F-4979-A7E7-6FC0A82E0C8E}" id="{2A7512C9-0C51-4B6D-80CC-D7E4D49C25A0}">
    <text>Starts reporting from April</text>
  </threadedComment>
  <threadedComment ref="AT435" dT="2025-04-18T15:29:54.04" personId="{6777EDD4-E46F-4979-A7E7-6FC0A82E0C8E}" id="{CB295B09-C151-46ED-8A11-B9C7450439EE}">
    <text>Starts reporting from April</text>
  </threadedComment>
  <threadedComment ref="AU435" dT="2025-04-18T15:29:54.04" personId="{6777EDD4-E46F-4979-A7E7-6FC0A82E0C8E}" id="{16DC8309-C212-4C33-B512-BDE230FE15FB}">
    <text>Starts reporting from May</text>
  </threadedComment>
  <threadedComment ref="AV435" dT="2025-04-18T15:29:54.04" personId="{6777EDD4-E46F-4979-A7E7-6FC0A82E0C8E}" id="{4AC76E45-F946-4B53-901D-C38B7B0277DF}">
    <text>Starts reporting from May</text>
  </threadedComment>
  <threadedComment ref="AW435" dT="2025-04-18T15:29:54.04" personId="{6777EDD4-E46F-4979-A7E7-6FC0A82E0C8E}" id="{D110B7AB-7549-4595-84B2-FF3E306333EA}">
    <text>Starts reporting from June</text>
  </threadedComment>
  <threadedComment ref="AX435" dT="2025-04-18T15:29:54.04" personId="{6777EDD4-E46F-4979-A7E7-6FC0A82E0C8E}" id="{031AA329-ACEF-407A-9AEC-829320AA2468}">
    <text>Starts reporting from June</text>
  </threadedComment>
  <threadedComment ref="AY435" dT="2025-04-18T15:29:54.04" personId="{6777EDD4-E46F-4979-A7E7-6FC0A82E0C8E}" id="{F5875644-EDED-4DAF-8220-E59C7C1B2288}">
    <text>Starts reporting from July</text>
  </threadedComment>
  <threadedComment ref="AZ435" dT="2025-04-18T15:29:54.04" personId="{6777EDD4-E46F-4979-A7E7-6FC0A82E0C8E}" id="{CD4D4AE5-19E2-4522-BFA1-7AA8496ADF31}">
    <text>Starts reporting from July</text>
  </threadedComment>
  <threadedComment ref="BA435" dT="2025-04-18T15:29:54.04" personId="{6777EDD4-E46F-4979-A7E7-6FC0A82E0C8E}" id="{3BE15EFC-A94B-477D-9FAB-DC187FF1BC15}">
    <text>Starts reporting from July</text>
  </threadedComment>
  <threadedComment ref="BB435" dT="2025-04-18T15:29:54.04" personId="{6777EDD4-E46F-4979-A7E7-6FC0A82E0C8E}" id="{F782E521-01C0-4156-BD24-CA508CEE10D3}">
    <text>Starts reporting from July</text>
  </threadedComment>
  <threadedComment ref="BC435" dT="2025-04-18T15:29:54.04" personId="{6777EDD4-E46F-4979-A7E7-6FC0A82E0C8E}" id="{68D741EE-45C3-4EB9-9075-831202969E83}">
    <text>Starts reporting from July</text>
  </threadedComment>
  <threadedComment ref="BD435" dT="2025-04-18T15:29:54.04" personId="{6777EDD4-E46F-4979-A7E7-6FC0A82E0C8E}" id="{CB1DEB5C-B59E-4563-A631-1D9ADDECC343}">
    <text>Starts reporting from July</text>
  </threadedComment>
  <threadedComment ref="BE435" dT="2025-04-18T15:29:54.04" personId="{6777EDD4-E46F-4979-A7E7-6FC0A82E0C8E}" id="{EE4C40E6-01A6-4597-B575-AF15E9AFB0AB}">
    <text>Starts reporting from July</text>
  </threadedComment>
  <threadedComment ref="BF435" dT="2025-04-18T15:29:54.04" personId="{6777EDD4-E46F-4979-A7E7-6FC0A82E0C8E}" id="{6D0A2F5F-F77A-424A-8730-2DCFB71ED2C9}">
    <text>Starts reporting from July</text>
  </threadedComment>
  <threadedComment ref="AU436" dT="2025-06-25T09:20:33.57" personId="{6777EDD4-E46F-4979-A7E7-6FC0A82E0C8E}" id="{85E19C8C-DB4B-44BF-B44B-6D52BB5A3900}">
    <text>Starts reporting from May’25</text>
  </threadedComment>
  <threadedComment ref="AV436" dT="2025-06-25T09:20:33.57" personId="{6777EDD4-E46F-4979-A7E7-6FC0A82E0C8E}" id="{A66C5937-B8BF-499E-958C-58A863A094AD}">
    <text>Starts reporting from May’25</text>
  </threadedComment>
  <threadedComment ref="AW436" dT="2025-06-19T09:19:30.57" personId="{1798D1B1-3098-46B1-91A2-D4C92B7E122A}" id="{83F07305-9DEA-4FFE-A6F7-264420C742B7}">
    <text>15 joiners</text>
  </threadedComment>
  <threadedComment ref="BO436" dT="2026-01-21T11:11:14.45" personId="{32192656-80C8-4310-B142-9CF98FC9C0EF}" id="{0EF4D216-CDEC-43D7-9CBE-412A3168FC59}">
    <text>Validated</text>
  </threadedComment>
  <threadedComment ref="AU437" dT="2025-06-25T09:20:33.57" personId="{6777EDD4-E46F-4979-A7E7-6FC0A82E0C8E}" id="{1D2984A2-D13A-4D3D-93D8-731C7C0AFC4F}">
    <text>Starts reporting from May’25</text>
  </threadedComment>
  <threadedComment ref="AV437" dT="2025-06-25T09:20:33.57" personId="{6777EDD4-E46F-4979-A7E7-6FC0A82E0C8E}" id="{C341B23B-C962-49D5-91AB-9C9710C4E3A6}">
    <text>Starts reporting from May’25</text>
  </threadedComment>
  <threadedComment ref="AW437" dT="2025-06-19T09:21:16.91" personId="{1798D1B1-3098-46B1-91A2-D4C92B7E122A}" id="{0AC0B1C9-F164-4C2F-B159-F02C19D92C46}">
    <text>20 offers released</text>
  </threadedComment>
  <threadedComment ref="BO437" dT="2026-01-21T11:20:36.85" personId="{32192656-80C8-4310-B142-9CF98FC9C0EF}" id="{EE3DF3DD-87EF-412E-9D8E-99055658F905}">
    <text>Not Validated. Incorrect Calculation Methodology</text>
  </threadedComment>
  <threadedComment ref="AU438" dT="2025-06-25T09:20:33.57" personId="{6777EDD4-E46F-4979-A7E7-6FC0A82E0C8E}" id="{111490EC-D3BB-4163-B159-12E1B94EEC65}">
    <text>Starts reporting from May’25</text>
  </threadedComment>
  <threadedComment ref="AV438" dT="2025-06-25T09:20:33.57" personId="{6777EDD4-E46F-4979-A7E7-6FC0A82E0C8E}" id="{B44BA4ED-DD8E-4E45-A330-B3A1A1BD2368}">
    <text>Starts reporting from May’25</text>
  </threadedComment>
  <threadedComment ref="AW438" dT="2025-06-19T09:34:34.27" personId="{1798D1B1-3098-46B1-91A2-D4C92B7E122A}" id="{8DAE3780-74EB-46D2-887C-95349A267C52}">
    <text>7 positions beyond TTF and 30 open positions</text>
  </threadedComment>
  <threadedComment ref="BO438" dT="2026-01-21T11:19:02.08" personId="{32192656-80C8-4310-B142-9CF98FC9C0EF}" id="{38CFBE17-A7F9-464E-9062-4E953E91C140}">
    <text>Validated</text>
  </threadedComment>
  <threadedComment ref="AU439" dT="2025-06-25T09:20:33.57" personId="{6777EDD4-E46F-4979-A7E7-6FC0A82E0C8E}" id="{821EB1D4-F2DE-4382-9137-9498480240E7}">
    <text>Starts reporting from May’25</text>
  </threadedComment>
  <threadedComment ref="AV439" dT="2025-06-25T09:20:33.57" personId="{6777EDD4-E46F-4979-A7E7-6FC0A82E0C8E}" id="{BA5392F2-B990-4F7F-A3A4-65CC6E90B1E2}">
    <text>Starts reporting from May’25</text>
  </threadedComment>
  <threadedComment ref="AW439" dT="2025-06-19T09:35:35.06" personId="{1798D1B1-3098-46B1-91A2-D4C92B7E122A}" id="{AAE2934E-B968-49E5-A2D6-CE04A9208E42}">
    <text>35 CV shortlisted and 42 CV shared</text>
  </threadedComment>
  <threadedComment ref="BC439" dT="2025-08-20T08:45:01.63" personId="{1798D1B1-3098-46B1-91A2-D4C92B7E122A}" id="{7CF1D6FE-7F10-4865-8362-0C2215275177}">
    <text>105/151</text>
  </threadedComment>
  <threadedComment ref="BE439" dT="2025-09-25T09:44:36.85" personId="{1798D1B1-3098-46B1-91A2-D4C92B7E122A}" id="{75EB7FA2-3944-4235-B673-77DFF2875C63}">
    <text>Validated</text>
  </threadedComment>
  <threadedComment ref="BG439" dT="2025-10-21T06:55:57.44" personId="{1798D1B1-3098-46B1-91A2-D4C92B7E122A}" id="{AF5A5EE5-71AB-4830-B684-6FA163FF4C21}">
    <text>Validated</text>
  </threadedComment>
  <threadedComment ref="BO439" dT="2026-01-21T11:27:39.10" personId="{32192656-80C8-4310-B142-9CF98FC9C0EF}" id="{3DC4A0E2-2B9F-40BA-87EA-23FD7B8788F2}">
    <text>Not Validated. Incorrect Data</text>
  </threadedComment>
  <threadedComment ref="AU440" dT="2025-06-25T09:20:33.57" personId="{6777EDD4-E46F-4979-A7E7-6FC0A82E0C8E}" id="{B8D4FAF7-3727-4631-A008-DA2A12D80E29}">
    <text>Starts reporting from May’25</text>
  </threadedComment>
  <threadedComment ref="AV440" dT="2025-06-25T09:20:33.57" personId="{6777EDD4-E46F-4979-A7E7-6FC0A82E0C8E}" id="{5AA94885-6D13-45DA-B872-245D1AF002ED}">
    <text>Starts reporting from May’25</text>
  </threadedComment>
  <threadedComment ref="AW440" dT="2025-06-19T09:36:00.30" personId="{1798D1B1-3098-46B1-91A2-D4C92B7E122A}" id="{47B47FB0-FB16-4554-862A-A9578F639BA0}">
    <text>5 selected and 42 CV shared</text>
  </threadedComment>
  <threadedComment ref="BC440" dT="2025-08-20T08:45:08.02" personId="{1798D1B1-3098-46B1-91A2-D4C92B7E122A}" id="{2C94F024-875D-4CC5-9263-3FA41C4CD1C9}">
    <text>13/151</text>
  </threadedComment>
  <threadedComment ref="BE440" dT="2025-09-25T09:44:39.80" personId="{1798D1B1-3098-46B1-91A2-D4C92B7E122A}" id="{296F3339-B498-4FA2-B142-1D22B3DCFB93}">
    <text>Validated</text>
  </threadedComment>
  <threadedComment ref="BG440" dT="2025-10-21T06:56:03.77" personId="{1798D1B1-3098-46B1-91A2-D4C92B7E122A}" id="{F338E4E1-1A6F-46E1-81D4-CD77641C313E}">
    <text>Validated</text>
  </threadedComment>
  <threadedComment ref="BO440" dT="2026-01-21T11:27:39.10" personId="{32192656-80C8-4310-B142-9CF98FC9C0EF}" id="{1A26520E-DC15-41A6-B1B1-6C3710300426}">
    <text>Not Validated. Incorrect Data</text>
  </threadedComment>
  <threadedComment ref="AU441" dT="2025-06-25T09:20:33.57" personId="{6777EDD4-E46F-4979-A7E7-6FC0A82E0C8E}" id="{A5CC20ED-4042-45F4-B61C-1E6DB971921D}">
    <text>Starts reporting from May’25</text>
  </threadedComment>
  <threadedComment ref="AV441" dT="2025-06-25T09:20:33.57" personId="{6777EDD4-E46F-4979-A7E7-6FC0A82E0C8E}" id="{C765D0A5-2C2B-46AB-B40A-09301C8FEC35}">
    <text>Starts reporting from May’25</text>
  </threadedComment>
  <threadedComment ref="AW441" dT="2025-06-19T09:36:29.28" personId="{1798D1B1-3098-46B1-91A2-D4C92B7E122A}" id="{F5B9635C-BFB8-4524-8642-27262CCFFD4D}">
    <text>1 offer declined and 21 offer released</text>
  </threadedComment>
  <threadedComment ref="BO441" dT="2026-01-21T10:26:57.25" personId="{32192656-80C8-4310-B142-9CF98FC9C0EF}" id="{38A0EFDC-E445-42BA-9F1F-F2048742F236}">
    <text>Validated</text>
  </threadedComment>
  <threadedComment ref="AU442" dT="2025-06-25T09:20:33.57" personId="{6777EDD4-E46F-4979-A7E7-6FC0A82E0C8E}" id="{BBC5B6D0-8AA4-442E-8A69-7643F336BA34}">
    <text>Starts reporting from May’25</text>
  </threadedComment>
  <threadedComment ref="AV442" dT="2025-06-25T09:20:33.57" personId="{6777EDD4-E46F-4979-A7E7-6FC0A82E0C8E}" id="{14186D22-B33F-4345-BA73-2ED4D89D0ABA}">
    <text>Starts reporting from May’25</text>
  </threadedComment>
  <threadedComment ref="AU443" dT="2025-06-25T09:20:33.57" personId="{6777EDD4-E46F-4979-A7E7-6FC0A82E0C8E}" id="{88C61FE8-225C-4E57-88C0-DEAB9B1B7B44}">
    <text>Starts reporting from May’25</text>
  </threadedComment>
  <threadedComment ref="AV443" dT="2025-06-25T09:20:33.57" personId="{6777EDD4-E46F-4979-A7E7-6FC0A82E0C8E}" id="{4513E58C-9BB9-4520-866F-F94E1C11F2ED}">
    <text>Starts reporting from May’25</text>
  </threadedComment>
  <threadedComment ref="BK444" dT="2025-11-21T06:42:46.22" personId="{728803BD-3A25-4F6F-BA7C-1EDF8A148B73}" id="{54785869-0DC7-4211-AAA4-D407451FFB29}">
    <text>Account Demerged to Auto &amp; Industrial</text>
  </threadedComment>
  <threadedComment ref="BL444" dT="2025-11-21T06:42:46.22" personId="{728803BD-3A25-4F6F-BA7C-1EDF8A148B73}" id="{B5ED8D56-5FDD-4EAC-8E99-1D395E5921D5}">
    <text>Account Demerged to Auto &amp; Industrial</text>
  </threadedComment>
  <threadedComment ref="BM444" dT="2026-01-23T12:01:43.14" personId="{6777EDD4-E46F-4979-A7E7-6FC0A82E0C8E}" id="{F1157FD3-24C8-4197-82AA-59D6EFBC6969}">
    <text xml:space="preserve">De - Merger in the Nov Month in the Auto &amp; Industrial </text>
  </threadedComment>
  <threadedComment ref="BN444" dT="2026-01-23T12:01:43.14" personId="{6777EDD4-E46F-4979-A7E7-6FC0A82E0C8E}" id="{25BC8BED-FEAF-4B45-A759-02BDB2415AA7}">
    <text xml:space="preserve">De - Merger in the Nov Month in the Auto &amp; Industrial </text>
  </threadedComment>
  <threadedComment ref="L445" dT="2024-07-12T17:33:10.57" personId="{728803BD-3A25-4F6F-BA7C-1EDF8A148B73}" id="{0466D18A-E2B1-4C16-9438-F3B55C2761F2}">
    <text>Target Changed as per new MSA</text>
  </threadedComment>
  <threadedComment ref="M445" dT="2024-07-12T17:33:10.57" personId="{728803BD-3A25-4F6F-BA7C-1EDF8A148B73}" id="{3AD450DA-40F1-4069-B6B8-BC31C455D7B6}">
    <text>Target Changed as per new MSA</text>
  </threadedComment>
  <threadedComment ref="BK445" dT="2025-11-21T06:42:46.22" personId="{728803BD-3A25-4F6F-BA7C-1EDF8A148B73}" id="{F2FCE459-3005-43B6-9A74-7FBF84171B2E}">
    <text>Account Demerged to Auto &amp; Industrial</text>
  </threadedComment>
  <threadedComment ref="BL445" dT="2025-11-21T06:42:46.22" personId="{728803BD-3A25-4F6F-BA7C-1EDF8A148B73}" id="{09BF6076-BB44-4E8D-B9FE-F51F20EC6F0D}">
    <text>Account Demerged to Auto &amp; Industrial</text>
  </threadedComment>
  <threadedComment ref="BM445" dT="2026-01-23T12:01:43.14" personId="{6777EDD4-E46F-4979-A7E7-6FC0A82E0C8E}" id="{CEFD1877-912F-4889-9873-37BAEA749E64}">
    <text xml:space="preserve">De - Merger in the Nov Month in the Auto &amp; Industrial </text>
  </threadedComment>
  <threadedComment ref="BN445" dT="2026-01-23T12:01:43.14" personId="{6777EDD4-E46F-4979-A7E7-6FC0A82E0C8E}" id="{096808BB-CCCC-483D-A80B-9440F0C6DE1C}">
    <text xml:space="preserve">De - Merger in the Nov Month in the Auto &amp; Industrial </text>
  </threadedComment>
  <threadedComment ref="BK446" dT="2025-11-21T06:42:46.22" personId="{728803BD-3A25-4F6F-BA7C-1EDF8A148B73}" id="{0081DFCB-6810-4022-A1F0-429010DF142E}">
    <text>Account Demerged to Auto &amp; Industrial</text>
  </threadedComment>
  <threadedComment ref="BL446" dT="2025-11-21T06:42:46.22" personId="{728803BD-3A25-4F6F-BA7C-1EDF8A148B73}" id="{D15EB8CF-01A4-4841-AB33-14E923BBE1E2}">
    <text>Account Demerged to Auto &amp; Industrial</text>
  </threadedComment>
  <threadedComment ref="BM446" dT="2026-01-23T12:01:43.14" personId="{6777EDD4-E46F-4979-A7E7-6FC0A82E0C8E}" id="{C4437E7E-941F-4F9A-9515-15340E89D51C}">
    <text xml:space="preserve">De - Merger in the Nov Month in the Auto &amp; Industrial </text>
  </threadedComment>
  <threadedComment ref="BN446" dT="2026-01-23T12:01:43.14" personId="{6777EDD4-E46F-4979-A7E7-6FC0A82E0C8E}" id="{8FFD1D46-E3B2-4257-BB1E-AE4B2A805932}">
    <text xml:space="preserve">De - Merger in the Nov Month in the Auto &amp; Industrial </text>
  </threadedComment>
  <threadedComment ref="BK447" dT="2025-11-21T06:42:46.22" personId="{728803BD-3A25-4F6F-BA7C-1EDF8A148B73}" id="{12B7D997-72AC-4754-9F00-7E4019518065}">
    <text>Account Demerged to Auto &amp; Industrial</text>
  </threadedComment>
  <threadedComment ref="BL447" dT="2025-11-21T06:42:46.22" personId="{728803BD-3A25-4F6F-BA7C-1EDF8A148B73}" id="{A3CB7B04-E934-4C90-9575-BBBE08F7AB18}">
    <text>Account Demerged to Auto &amp; Industrial</text>
  </threadedComment>
  <threadedComment ref="BM447" dT="2026-01-23T12:01:43.14" personId="{6777EDD4-E46F-4979-A7E7-6FC0A82E0C8E}" id="{FBF4BC06-1BFD-4F98-9954-658F0F276D3C}">
    <text xml:space="preserve">De - Merger in the Nov Month in the Auto &amp; Industrial </text>
  </threadedComment>
  <threadedComment ref="BN447" dT="2026-01-23T12:01:43.14" personId="{6777EDD4-E46F-4979-A7E7-6FC0A82E0C8E}" id="{3A2E665D-3856-4CA8-8963-5EFEECA3DBCA}">
    <text xml:space="preserve">De - Merger in the Nov Month in the Auto &amp; Industrial </text>
  </threadedComment>
  <threadedComment ref="BK448" dT="2025-11-21T06:42:46.22" personId="{728803BD-3A25-4F6F-BA7C-1EDF8A148B73}" id="{A19C6EEB-4E2A-42F1-8DBB-B95867EE4827}">
    <text>Account Demerged to Auto &amp; Industrial</text>
  </threadedComment>
  <threadedComment ref="BL448" dT="2025-11-21T06:42:46.22" personId="{728803BD-3A25-4F6F-BA7C-1EDF8A148B73}" id="{1C728472-6724-46AC-B6CD-9E986F765654}">
    <text>Account Demerged to Auto &amp; Industrial</text>
  </threadedComment>
  <threadedComment ref="BM448" dT="2026-01-23T12:01:43.14" personId="{6777EDD4-E46F-4979-A7E7-6FC0A82E0C8E}" id="{746093DD-0668-4E62-9011-015FF0C5F337}">
    <text xml:space="preserve">De - Merger in the Nov Month in the Auto &amp; Industrial </text>
  </threadedComment>
  <threadedComment ref="BN448" dT="2026-01-23T12:01:43.14" personId="{6777EDD4-E46F-4979-A7E7-6FC0A82E0C8E}" id="{1ECCE300-27D1-4D2F-9F4E-165D1A6C8554}">
    <text xml:space="preserve">De - Merger in the Nov Month in the Auto &amp; Industrial </text>
  </threadedComment>
  <threadedComment ref="BK449" dT="2025-11-21T06:42:46.22" personId="{728803BD-3A25-4F6F-BA7C-1EDF8A148B73}" id="{E9FF9A75-7B49-40BB-AC69-522F4ADDBB65}">
    <text>Account Demerged to Auto &amp; Industrial</text>
  </threadedComment>
  <threadedComment ref="BL449" dT="2025-11-21T06:42:46.22" personId="{728803BD-3A25-4F6F-BA7C-1EDF8A148B73}" id="{B28D54E3-B702-44E4-ABC1-5560F09B10CB}">
    <text>Account Demerged to Auto &amp; Industrial</text>
  </threadedComment>
  <threadedComment ref="BM449" dT="2026-01-23T12:01:43.14" personId="{6777EDD4-E46F-4979-A7E7-6FC0A82E0C8E}" id="{DC5BF8F1-368D-42F4-858B-149E20E97B61}">
    <text xml:space="preserve">De - Merger in the Nov Month in the Auto &amp; Industrial </text>
  </threadedComment>
  <threadedComment ref="BN449" dT="2026-01-23T12:01:43.14" personId="{6777EDD4-E46F-4979-A7E7-6FC0A82E0C8E}" id="{6E8E02DE-C54E-484C-B339-8F7DA82EFF53}">
    <text xml:space="preserve">De - Merger in the Nov Month in the Auto &amp; Industrial </text>
  </threadedComment>
  <threadedComment ref="BK450" dT="2025-11-21T06:42:46.22" personId="{728803BD-3A25-4F6F-BA7C-1EDF8A148B73}" id="{8F9FC708-16C4-441E-9F98-D0D3C56BF890}">
    <text>Account Demerged to Auto &amp; Industrial</text>
  </threadedComment>
  <threadedComment ref="BL450" dT="2025-11-21T06:42:46.22" personId="{728803BD-3A25-4F6F-BA7C-1EDF8A148B73}" id="{44F89F78-387A-4614-A496-59B3B1B58570}">
    <text>Account Demerged to Auto &amp; Industrial</text>
  </threadedComment>
  <threadedComment ref="BM450" dT="2026-01-23T12:01:43.14" personId="{6777EDD4-E46F-4979-A7E7-6FC0A82E0C8E}" id="{030BDF62-D2D0-4069-BD83-CD6B92E2B8CC}">
    <text xml:space="preserve">De - Merger in the Nov Month in the Auto &amp; Industrial </text>
  </threadedComment>
  <threadedComment ref="BN450" dT="2026-01-23T12:01:43.14" personId="{6777EDD4-E46F-4979-A7E7-6FC0A82E0C8E}" id="{16022D1D-19BA-4CD4-95DA-32D28866879F}">
    <text xml:space="preserve">De - Merger in the Nov Month in the Auto &amp; Industrial </text>
  </threadedComment>
  <threadedComment ref="Q451" dT="2024-05-10T08:03:33.60" personId="{81349F11-00FE-4654-AB80-28AAFDB5B552}" id="{EFCE1200-77DA-4A85-A90B-F59AB60D5291}">
    <text>Not validated</text>
  </threadedComment>
  <threadedComment ref="S451" dT="2024-05-10T08:03:33.60" personId="{81349F11-00FE-4654-AB80-28AAFDB5B552}" id="{933948E0-385A-4485-A28A-EB7B87507A4A}">
    <text>Not validated</text>
  </threadedComment>
  <threadedComment ref="BK451" dT="2025-11-21T06:42:46.22" personId="{728803BD-3A25-4F6F-BA7C-1EDF8A148B73}" id="{4A486E3E-7A85-49ED-B5E5-E135B3DD453F}">
    <text>Account Demerged to Auto &amp; Industrial</text>
  </threadedComment>
  <threadedComment ref="BL451" dT="2025-11-21T06:42:46.22" personId="{728803BD-3A25-4F6F-BA7C-1EDF8A148B73}" id="{06A3F7AB-F16F-4674-84A8-64466872339E}">
    <text>Account Demerged to Auto &amp; Industrial</text>
  </threadedComment>
  <threadedComment ref="BM451" dT="2026-01-23T12:01:43.14" personId="{6777EDD4-E46F-4979-A7E7-6FC0A82E0C8E}" id="{04A6FED3-3EB6-4887-9D63-BA2A5F3F9630}">
    <text xml:space="preserve">De - Merger in the Nov Month in the Auto &amp; Industrial </text>
  </threadedComment>
  <threadedComment ref="BN451" dT="2026-01-23T12:01:43.14" personId="{6777EDD4-E46F-4979-A7E7-6FC0A82E0C8E}" id="{167A1D7B-B1D6-46B4-8920-60E55E4E6B1F}">
    <text xml:space="preserve">De - Merger in the Nov Month in the Auto &amp; Industrial </text>
  </threadedComment>
  <threadedComment ref="BK452" dT="2025-11-21T06:42:46.22" personId="{728803BD-3A25-4F6F-BA7C-1EDF8A148B73}" id="{1BFFF7CF-95B0-4B47-839B-D95675E060AB}">
    <text>Account Demerged to Auto &amp; Industrial</text>
  </threadedComment>
  <threadedComment ref="BL452" dT="2025-11-21T06:42:46.22" personId="{728803BD-3A25-4F6F-BA7C-1EDF8A148B73}" id="{4B769C59-C381-4C83-AE83-75B78C01DBF9}">
    <text>Account Demerged to Auto &amp; Industrial</text>
  </threadedComment>
  <threadedComment ref="BM452" dT="2026-01-23T12:01:43.14" personId="{6777EDD4-E46F-4979-A7E7-6FC0A82E0C8E}" id="{59FED07C-433B-4AEE-B3CC-EDD708260E2F}">
    <text xml:space="preserve">De - Merger in the Nov Month in the Auto &amp; Industrial </text>
  </threadedComment>
  <threadedComment ref="BN452" dT="2026-01-23T12:01:43.14" personId="{6777EDD4-E46F-4979-A7E7-6FC0A82E0C8E}" id="{7C338198-1939-4F3F-814A-78AE935ADC6E}">
    <text xml:space="preserve">De - Merger in the Nov Month in the Auto &amp; Industrial </text>
  </threadedComment>
  <threadedComment ref="BK453" dT="2025-11-21T06:42:46.22" personId="{728803BD-3A25-4F6F-BA7C-1EDF8A148B73}" id="{7A3B0365-3A1A-41A8-AE26-A621AF4BC91B}">
    <text>Account Demerged to Auto &amp; Industrial</text>
  </threadedComment>
  <threadedComment ref="BL453" dT="2025-11-21T06:42:46.22" personId="{728803BD-3A25-4F6F-BA7C-1EDF8A148B73}" id="{40D87B81-F928-42E6-A20F-2F0EEFF9AC98}">
    <text>Account Demerged to Auto &amp; Industrial</text>
  </threadedComment>
  <threadedComment ref="BM453" dT="2026-01-23T12:01:43.14" personId="{6777EDD4-E46F-4979-A7E7-6FC0A82E0C8E}" id="{F9C3A608-F6F5-4F5C-BC2A-C3618ECF64C5}">
    <text xml:space="preserve">De - Merger in the Nov Month in the Auto &amp; Industrial </text>
  </threadedComment>
  <threadedComment ref="BN453" dT="2026-01-23T12:01:43.14" personId="{6777EDD4-E46F-4979-A7E7-6FC0A82E0C8E}" id="{37476D81-A743-45F9-870E-AE304116EAF6}">
    <text xml:space="preserve">De - Merger in the Nov Month in the Auto &amp; Industrial </text>
  </threadedComment>
  <threadedComment ref="BK454" dT="2025-11-21T06:42:46.22" personId="{728803BD-3A25-4F6F-BA7C-1EDF8A148B73}" id="{4F5106CB-B866-4D3B-978F-8E1E44690EB7}">
    <text>Account Demerged to Auto &amp; Industrial</text>
  </threadedComment>
  <threadedComment ref="BL454" dT="2025-11-21T06:42:46.22" personId="{728803BD-3A25-4F6F-BA7C-1EDF8A148B73}" id="{FAB39619-50B2-431B-A079-DDE0DE7C891B}">
    <text>Account Demerged to Auto &amp; Industrial</text>
  </threadedComment>
  <threadedComment ref="BM454" dT="2026-01-23T12:01:43.14" personId="{6777EDD4-E46F-4979-A7E7-6FC0A82E0C8E}" id="{1057235F-1E7C-4036-8B08-E80ABD773702}">
    <text xml:space="preserve">De - Merger in the Nov Month in the Auto &amp; Industrial </text>
  </threadedComment>
  <threadedComment ref="BN454" dT="2026-01-23T12:01:43.14" personId="{6777EDD4-E46F-4979-A7E7-6FC0A82E0C8E}" id="{65A2A0B1-477D-47C2-B684-2C584526AE36}">
    <text xml:space="preserve">De - Merger in the Nov Month in the Auto &amp; Industrial </text>
  </threadedComment>
  <threadedComment ref="AI455" dT="2025-01-14T16:02:14.41" personId="{728803BD-3A25-4F6F-BA7C-1EDF8A148B73}" id="{AC207CF0-59FF-430A-B287-17E7882C1C93}">
    <text>Hiring Freeze</text>
  </threadedComment>
  <threadedComment ref="BK455" dT="2025-11-21T06:42:46.22" personId="{728803BD-3A25-4F6F-BA7C-1EDF8A148B73}" id="{6DBC25A8-955A-41A9-AD88-0AC17B70F108}">
    <text>Account Demerged to Auto &amp; Industrial</text>
  </threadedComment>
  <threadedComment ref="BL455" dT="2025-11-21T06:42:46.22" personId="{728803BD-3A25-4F6F-BA7C-1EDF8A148B73}" id="{34EA0E04-8770-4A16-B48A-2C11E5722712}">
    <text>Account Demerged to Auto &amp; Industrial</text>
  </threadedComment>
  <threadedComment ref="BM455" dT="2026-01-23T12:01:43.14" personId="{6777EDD4-E46F-4979-A7E7-6FC0A82E0C8E}" id="{92F2E5D8-0467-42A5-9EA8-7C9C064B2207}">
    <text xml:space="preserve">De - Merger in the Nov Month in the Auto &amp; Industrial </text>
  </threadedComment>
  <threadedComment ref="BN455" dT="2026-01-23T12:01:43.14" personId="{6777EDD4-E46F-4979-A7E7-6FC0A82E0C8E}" id="{573B3950-039D-47EE-97DD-399BCDE10F50}">
    <text xml:space="preserve">De - Merger in the Nov Month in the Auto &amp; Industrial </text>
  </threadedComment>
  <threadedComment ref="BK456" dT="2025-11-21T06:42:46.22" personId="{728803BD-3A25-4F6F-BA7C-1EDF8A148B73}" id="{272EA772-CF28-41B0-826D-F9DF99ED8A2B}">
    <text>Account Demerged to Auto &amp; Industrial</text>
  </threadedComment>
  <threadedComment ref="BL456" dT="2025-11-21T06:42:46.22" personId="{728803BD-3A25-4F6F-BA7C-1EDF8A148B73}" id="{76E363AD-95A1-4676-B449-5EA393EA2951}">
    <text>Account Demerged to Auto &amp; Industrial</text>
  </threadedComment>
  <threadedComment ref="BM456" dT="2026-01-23T12:01:43.14" personId="{6777EDD4-E46F-4979-A7E7-6FC0A82E0C8E}" id="{DA0FBB07-C4E9-4733-BA00-5E05EDAD78F5}">
    <text xml:space="preserve">De - Merger in the Nov Month in the Auto &amp; Industrial </text>
  </threadedComment>
  <threadedComment ref="BN456" dT="2026-01-23T12:01:43.14" personId="{6777EDD4-E46F-4979-A7E7-6FC0A82E0C8E}" id="{DF6C0C86-E2E5-4768-85DC-2CF25E28F573}">
    <text xml:space="preserve">De - Merger in the Nov Month in the Auto &amp; Industrial </text>
  </threadedComment>
  <threadedComment ref="BK457" dT="2025-11-21T06:42:46.22" personId="{728803BD-3A25-4F6F-BA7C-1EDF8A148B73}" id="{28CE2D66-758C-48E4-8FE6-607B3E672239}">
    <text>Account Demerged to Auto &amp; Industrial</text>
  </threadedComment>
  <threadedComment ref="BL457" dT="2025-11-21T06:42:46.22" personId="{728803BD-3A25-4F6F-BA7C-1EDF8A148B73}" id="{82A9F9F1-6E02-4CED-AA86-0AA92816272C}">
    <text>Account Demerged to Auto &amp; Industrial</text>
  </threadedComment>
  <threadedComment ref="BM457" dT="2026-01-23T12:01:43.14" personId="{6777EDD4-E46F-4979-A7E7-6FC0A82E0C8E}" id="{3D26A78A-0495-4370-92C8-D5718B64BB7E}">
    <text xml:space="preserve">De - Merger in the Nov Month in the Auto &amp; Industrial </text>
  </threadedComment>
  <threadedComment ref="BN457" dT="2026-01-23T12:01:43.14" personId="{6777EDD4-E46F-4979-A7E7-6FC0A82E0C8E}" id="{7D276DA0-A307-4F84-80AA-AE639AADE27C}">
    <text xml:space="preserve">De - Merger in the Nov Month in the Auto &amp; Industrial </text>
  </threadedComment>
  <threadedComment ref="BG458" dT="2025-11-24T11:54:36.06" personId="{6777EDD4-E46F-4979-A7E7-6FC0A82E0C8E}" id="{5E3FCB08-DAE6-4263-AB63-6A2B4D8293FD}">
    <text>Start Capturing from Oct’25</text>
  </threadedComment>
  <threadedComment ref="BH458" dT="2025-11-24T11:54:36.06" personId="{6777EDD4-E46F-4979-A7E7-6FC0A82E0C8E}" id="{312C17C9-5FD9-4544-9EAE-5B7408F4119C}">
    <text>Start Capturing from Oct’25</text>
  </threadedComment>
  <threadedComment ref="BI458" dT="2025-11-24T11:54:36.06" personId="{6777EDD4-E46F-4979-A7E7-6FC0A82E0C8E}" id="{D16A289E-3282-470D-A794-FD678B3A4E1E}">
    <text>Start Capturing from Oct’25</text>
  </threadedComment>
  <threadedComment ref="BJ458" dT="2025-11-24T11:54:36.06" personId="{6777EDD4-E46F-4979-A7E7-6FC0A82E0C8E}" id="{73BEE8D1-824C-4E80-9A00-B4C12A4EEC53}">
    <text>Start Capturing from Oct’25</text>
  </threadedComment>
  <threadedComment ref="L459" dT="2024-07-12T17:33:10.57" personId="{728803BD-3A25-4F6F-BA7C-1EDF8A148B73}" id="{83BDFABF-ECF9-4167-8C05-0DF0001AAB4E}">
    <text>Target Changed as per new MSA</text>
  </threadedComment>
  <threadedComment ref="M459" dT="2024-07-12T17:33:10.57" personId="{728803BD-3A25-4F6F-BA7C-1EDF8A148B73}" id="{A6BAA476-608F-46A6-AB84-28277AE65CF4}">
    <text>Target Changed as per new MSA</text>
  </threadedComment>
  <threadedComment ref="BG459" dT="2025-11-24T11:54:36.06" personId="{6777EDD4-E46F-4979-A7E7-6FC0A82E0C8E}" id="{710F31B5-0AD8-4387-8726-00362A6B53A8}">
    <text>Start Capturing from Oct’25</text>
  </threadedComment>
  <threadedComment ref="BH459" dT="2025-11-24T11:54:36.06" personId="{6777EDD4-E46F-4979-A7E7-6FC0A82E0C8E}" id="{3B28F653-F56A-482E-A42F-9E0705D6A803}">
    <text>Start Capturing from Oct’25</text>
  </threadedComment>
  <threadedComment ref="BI459" dT="2025-11-24T11:54:36.06" personId="{6777EDD4-E46F-4979-A7E7-6FC0A82E0C8E}" id="{EDEF550C-2966-49CF-BAA0-E05B77D6D7C0}">
    <text>Start Capturing from Oct’25</text>
  </threadedComment>
  <threadedComment ref="BJ459" dT="2025-11-24T11:54:36.06" personId="{6777EDD4-E46F-4979-A7E7-6FC0A82E0C8E}" id="{72EACD4D-E94D-469D-85DE-4BEEC3FC0C75}">
    <text>Start Capturing from Oct’25</text>
  </threadedComment>
  <threadedComment ref="BG460" dT="2025-11-24T11:54:36.06" personId="{6777EDD4-E46F-4979-A7E7-6FC0A82E0C8E}" id="{BEA3D1AC-0AC2-4103-BC99-CE32B5E39C05}">
    <text>Start Capturing from Oct’25</text>
  </threadedComment>
  <threadedComment ref="BH460" dT="2025-11-24T11:54:36.06" personId="{6777EDD4-E46F-4979-A7E7-6FC0A82E0C8E}" id="{C2173BD6-436C-4124-A930-E983910075D9}">
    <text>Start Capturing from Oct’25</text>
  </threadedComment>
  <threadedComment ref="BI460" dT="2025-11-24T11:54:36.06" personId="{6777EDD4-E46F-4979-A7E7-6FC0A82E0C8E}" id="{22340D24-7794-4669-BD1B-B4A7F1601ACB}">
    <text>Start Capturing from Oct’25</text>
  </threadedComment>
  <threadedComment ref="BJ460" dT="2025-11-24T11:54:36.06" personId="{6777EDD4-E46F-4979-A7E7-6FC0A82E0C8E}" id="{D876D4C0-BC3E-4E75-B5D1-54B66DDF8508}">
    <text>Start Capturing from Oct’25</text>
  </threadedComment>
  <threadedComment ref="BG461" dT="2025-11-24T11:54:36.06" personId="{6777EDD4-E46F-4979-A7E7-6FC0A82E0C8E}" id="{07115333-BF2B-4535-A521-3273CEF37CAB}">
    <text>Start Capturing from Oct’25</text>
  </threadedComment>
  <threadedComment ref="BH461" dT="2025-11-24T11:54:36.06" personId="{6777EDD4-E46F-4979-A7E7-6FC0A82E0C8E}" id="{E6FFAFEB-0697-4536-B6CA-807DB1C7FB81}">
    <text>Start Capturing from Oct’25</text>
  </threadedComment>
  <threadedComment ref="BI461" dT="2025-11-24T11:54:36.06" personId="{6777EDD4-E46F-4979-A7E7-6FC0A82E0C8E}" id="{D7EBB27E-D813-416F-BCFC-8ABC6B33361B}">
    <text>Start Capturing from Oct’25</text>
  </threadedComment>
  <threadedComment ref="BJ461" dT="2025-11-24T11:54:36.06" personId="{6777EDD4-E46F-4979-A7E7-6FC0A82E0C8E}" id="{499B1558-02C2-41D0-9F11-BDF4CAE15620}">
    <text>Start Capturing from Oct’25</text>
  </threadedComment>
  <threadedComment ref="BG462" dT="2025-11-24T11:54:36.06" personId="{6777EDD4-E46F-4979-A7E7-6FC0A82E0C8E}" id="{A9C4F6A7-4823-40A4-97E3-210B419AA715}">
    <text>Start Capturing from Oct’25</text>
  </threadedComment>
  <threadedComment ref="BH462" dT="2025-11-24T11:54:36.06" personId="{6777EDD4-E46F-4979-A7E7-6FC0A82E0C8E}" id="{DD3F6EC2-AAF4-46A8-9979-8FCE1EE18C2B}">
    <text>Start Capturing from Oct’25</text>
  </threadedComment>
  <threadedComment ref="BI462" dT="2025-11-24T11:54:36.06" personId="{6777EDD4-E46F-4979-A7E7-6FC0A82E0C8E}" id="{4C3B681C-E5DB-4836-98A4-68AB9F88B7C2}">
    <text>Start Capturing from Oct’25</text>
  </threadedComment>
  <threadedComment ref="BJ462" dT="2025-11-24T11:54:36.06" personId="{6777EDD4-E46F-4979-A7E7-6FC0A82E0C8E}" id="{DB331C48-F1FC-4C78-858D-DA9A26903BD0}">
    <text>Start Capturing from Oct’25</text>
  </threadedComment>
  <threadedComment ref="BG463" dT="2025-11-24T11:54:36.06" personId="{6777EDD4-E46F-4979-A7E7-6FC0A82E0C8E}" id="{79E415E5-B9BA-4400-AAB9-4953A7EB5285}">
    <text>Start Capturing from Oct’25</text>
  </threadedComment>
  <threadedComment ref="BH463" dT="2025-11-24T11:54:36.06" personId="{6777EDD4-E46F-4979-A7E7-6FC0A82E0C8E}" id="{00586C90-8FCC-44BE-9490-4741C6C82A4A}">
    <text>Start Capturing from Oct’25</text>
  </threadedComment>
  <threadedComment ref="BI463" dT="2025-11-24T11:54:36.06" personId="{6777EDD4-E46F-4979-A7E7-6FC0A82E0C8E}" id="{E5CC91C2-CD43-448A-AF06-0CF96FFADC0F}">
    <text>Start Capturing from Oct’25</text>
  </threadedComment>
  <threadedComment ref="BJ463" dT="2025-11-24T11:54:36.06" personId="{6777EDD4-E46F-4979-A7E7-6FC0A82E0C8E}" id="{CA71C7D0-7360-4F74-AFDA-C1DB4E485105}">
    <text>Start Capturing from Oct’25</text>
  </threadedComment>
  <threadedComment ref="BG464" dT="2025-11-24T11:54:36.06" personId="{6777EDD4-E46F-4979-A7E7-6FC0A82E0C8E}" id="{8CE75849-7E9E-4387-A537-2E28BE998686}">
    <text>Start Capturing from Oct’25</text>
  </threadedComment>
  <threadedComment ref="BH464" dT="2025-11-24T11:54:36.06" personId="{6777EDD4-E46F-4979-A7E7-6FC0A82E0C8E}" id="{DC71A50A-759B-43CF-8D9A-142EF474872B}">
    <text>Start Capturing from Oct’25</text>
  </threadedComment>
  <threadedComment ref="BI464" dT="2025-11-24T11:54:36.06" personId="{6777EDD4-E46F-4979-A7E7-6FC0A82E0C8E}" id="{D6C05765-B8C0-49E0-90A8-91A370BB8091}">
    <text>Start Capturing from Oct’25</text>
  </threadedComment>
  <threadedComment ref="BJ464" dT="2025-11-24T11:54:36.06" personId="{6777EDD4-E46F-4979-A7E7-6FC0A82E0C8E}" id="{0598C9E5-5287-4DB4-806D-8AD7D5A13325}">
    <text>Start Capturing from Oct’25</text>
  </threadedComment>
  <threadedComment ref="BG465" dT="2025-11-24T11:54:36.06" personId="{6777EDD4-E46F-4979-A7E7-6FC0A82E0C8E}" id="{6EB670BF-BCFA-4A61-B667-25088B0CAC57}">
    <text>Start Capturing from Oct’25</text>
  </threadedComment>
  <threadedComment ref="BH465" dT="2025-11-24T11:54:36.06" personId="{6777EDD4-E46F-4979-A7E7-6FC0A82E0C8E}" id="{59374C37-A751-47B7-9E4C-16E13429A88B}">
    <text>Start Capturing from Oct’25</text>
  </threadedComment>
  <threadedComment ref="BI465" dT="2025-11-24T11:54:36.06" personId="{6777EDD4-E46F-4979-A7E7-6FC0A82E0C8E}" id="{F79AF497-CE98-47B5-AE4C-F416577EE4EB}">
    <text>Start Capturing from Oct’25</text>
  </threadedComment>
  <threadedComment ref="BJ465" dT="2025-11-24T11:54:36.06" personId="{6777EDD4-E46F-4979-A7E7-6FC0A82E0C8E}" id="{5DF56BEC-666B-4E50-A5F7-E45F22EC4773}">
    <text>Start Capturing from Oct’25</text>
  </threadedComment>
  <threadedComment ref="BG466" dT="2025-11-24T11:54:36.06" personId="{6777EDD4-E46F-4979-A7E7-6FC0A82E0C8E}" id="{57E9A42F-5B04-46CC-A8F7-659D446F1098}">
    <text>Start Capturing from Oct’25</text>
  </threadedComment>
  <threadedComment ref="BH466" dT="2025-11-24T11:54:36.06" personId="{6777EDD4-E46F-4979-A7E7-6FC0A82E0C8E}" id="{986FCC1A-1D3E-4D9B-87E9-D13ED50FD547}">
    <text>Start Capturing from Oct’25</text>
  </threadedComment>
  <threadedComment ref="BI466" dT="2025-11-24T11:54:36.06" personId="{6777EDD4-E46F-4979-A7E7-6FC0A82E0C8E}" id="{4E56C58A-61DC-4FA0-A150-643AC989DC14}">
    <text>Start Capturing from Oct’25</text>
  </threadedComment>
  <threadedComment ref="BJ466" dT="2025-11-24T11:54:36.06" personId="{6777EDD4-E46F-4979-A7E7-6FC0A82E0C8E}" id="{1125287B-73E6-4802-9B45-D6E7A6906698}">
    <text>Start Capturing from Oct’25</text>
  </threadedComment>
  <threadedComment ref="BG467" dT="2025-11-24T11:54:36.06" personId="{6777EDD4-E46F-4979-A7E7-6FC0A82E0C8E}" id="{CB3FA9A6-C222-4AE8-B6B8-6352DDF42F89}">
    <text>Start Capturing from Oct’25</text>
  </threadedComment>
  <threadedComment ref="BH467" dT="2025-11-24T11:54:36.06" personId="{6777EDD4-E46F-4979-A7E7-6FC0A82E0C8E}" id="{45E92B4D-2A36-4695-A3E4-1C3A883B9A2F}">
    <text>Start Capturing from Oct’25</text>
  </threadedComment>
  <threadedComment ref="BI467" dT="2025-11-24T11:54:36.06" personId="{6777EDD4-E46F-4979-A7E7-6FC0A82E0C8E}" id="{5CEA0EF9-2411-43CF-BBCF-58879C026A6D}">
    <text>Start Capturing from Oct’25</text>
  </threadedComment>
  <threadedComment ref="BJ467" dT="2025-11-24T11:54:36.06" personId="{6777EDD4-E46F-4979-A7E7-6FC0A82E0C8E}" id="{F0B9916E-9EA3-4AAA-BD08-072ED527B11A}">
    <text>Start Capturing from Oct’25</text>
  </threadedComment>
  <threadedComment ref="BG468" dT="2025-11-24T11:54:36.06" personId="{6777EDD4-E46F-4979-A7E7-6FC0A82E0C8E}" id="{D57A0B6A-F197-4F89-9009-3C24E3984CD2}">
    <text>Start Capturing from Oct’25</text>
  </threadedComment>
  <threadedComment ref="BH468" dT="2025-11-24T11:54:36.06" personId="{6777EDD4-E46F-4979-A7E7-6FC0A82E0C8E}" id="{44D2F51C-C9F4-411A-81B9-4342C80FB2D5}">
    <text>Start Capturing from Oct’25</text>
  </threadedComment>
  <threadedComment ref="BI468" dT="2025-11-24T11:54:36.06" personId="{6777EDD4-E46F-4979-A7E7-6FC0A82E0C8E}" id="{E866E820-DF05-4E76-9999-05AE0AEC6860}">
    <text>Start Capturing from Oct’25</text>
  </threadedComment>
  <threadedComment ref="BJ468" dT="2025-11-24T11:54:36.06" personId="{6777EDD4-E46F-4979-A7E7-6FC0A82E0C8E}" id="{FE16E3A7-F48F-4B32-91D7-CA2B99C5D112}">
    <text>Start Capturing from Oct’25</text>
  </threadedComment>
  <threadedComment ref="BG469" dT="2025-11-24T11:54:36.06" personId="{6777EDD4-E46F-4979-A7E7-6FC0A82E0C8E}" id="{4B921293-4445-4DE3-B10B-F1755CAC417F}">
    <text>Start Capturing from Oct’25</text>
  </threadedComment>
  <threadedComment ref="BH469" dT="2025-11-24T11:54:36.06" personId="{6777EDD4-E46F-4979-A7E7-6FC0A82E0C8E}" id="{8003DCC5-9923-40C4-82C7-A8C8C2531968}">
    <text>Start Capturing from Oct’25</text>
  </threadedComment>
  <threadedComment ref="BI469" dT="2025-11-24T11:54:36.06" personId="{6777EDD4-E46F-4979-A7E7-6FC0A82E0C8E}" id="{D1D8C98F-6AE0-44B0-AEDB-CF1B0DDEB32B}">
    <text>Start Capturing from Oct’25</text>
  </threadedComment>
  <threadedComment ref="BJ469" dT="2025-11-24T11:54:36.06" personId="{6777EDD4-E46F-4979-A7E7-6FC0A82E0C8E}" id="{FFA0037B-AB40-4C4F-AA7F-50B723382A5F}">
    <text>Start Capturing from Oct’25</text>
  </threadedComment>
  <threadedComment ref="BG470" dT="2025-11-24T11:54:36.06" personId="{6777EDD4-E46F-4979-A7E7-6FC0A82E0C8E}" id="{EB8AF62E-38D5-4993-8263-9D8EA8CBA4BA}">
    <text>Start Capturing from Oct’25</text>
  </threadedComment>
  <threadedComment ref="BH470" dT="2025-11-24T11:54:36.06" personId="{6777EDD4-E46F-4979-A7E7-6FC0A82E0C8E}" id="{FD9D000F-9F83-48EF-BDDB-777C026538C3}">
    <text>Start Capturing from Oct’25</text>
  </threadedComment>
  <threadedComment ref="BI470" dT="2025-11-24T11:54:36.06" personId="{6777EDD4-E46F-4979-A7E7-6FC0A82E0C8E}" id="{3BCF7E5A-68D6-4C0F-8D01-9867DB46BD69}">
    <text>Start Capturing from Oct’25</text>
  </threadedComment>
  <threadedComment ref="BJ470" dT="2025-11-24T11:54:36.06" personId="{6777EDD4-E46F-4979-A7E7-6FC0A82E0C8E}" id="{5792AE55-9DBD-40D8-982E-6D1B3786B565}">
    <text>Start Capturing from Oct’25</text>
  </threadedComment>
  <threadedComment ref="BG471" dT="2025-11-24T11:54:36.06" personId="{6777EDD4-E46F-4979-A7E7-6FC0A82E0C8E}" id="{0B93C4D4-ED7D-4A9C-AD29-CD2FEFA930B8}">
    <text>Start Capturing from Oct’25</text>
  </threadedComment>
  <threadedComment ref="BH471" dT="2025-11-24T11:54:36.06" personId="{6777EDD4-E46F-4979-A7E7-6FC0A82E0C8E}" id="{78090FAC-B5B9-4082-838E-5A51624F9565}">
    <text>Start Capturing from Oct’25</text>
  </threadedComment>
  <threadedComment ref="BI471" dT="2025-11-24T11:54:36.06" personId="{6777EDD4-E46F-4979-A7E7-6FC0A82E0C8E}" id="{38C1F209-40C1-490A-99A8-867093F29E48}">
    <text>Start Capturing from Oct’25</text>
  </threadedComment>
  <threadedComment ref="BJ471" dT="2025-11-24T11:54:36.06" personId="{6777EDD4-E46F-4979-A7E7-6FC0A82E0C8E}" id="{F3E1E823-F28C-4DF1-A104-C052C1948DC1}">
    <text>Start Capturing from Oct’25</text>
  </threadedComment>
  <threadedComment ref="BG472" dT="2025-11-24T11:54:36.06" personId="{6777EDD4-E46F-4979-A7E7-6FC0A82E0C8E}" id="{43BBC321-FF67-4DEC-B81B-F17C642882AA}">
    <text>Start Capturing from Oct’25</text>
  </threadedComment>
  <threadedComment ref="BH472" dT="2025-11-24T11:54:36.06" personId="{6777EDD4-E46F-4979-A7E7-6FC0A82E0C8E}" id="{DEE0D99B-A2D4-42BF-9F1F-1E23C47FC52B}">
    <text>Start Capturing from Oct’25</text>
  </threadedComment>
  <threadedComment ref="BI472" dT="2025-11-24T11:54:36.06" personId="{6777EDD4-E46F-4979-A7E7-6FC0A82E0C8E}" id="{B333115A-0E8A-4A76-8599-540F7FEFC2C4}">
    <text>Start Capturing from Oct’25</text>
  </threadedComment>
  <threadedComment ref="BJ472" dT="2025-11-24T11:54:36.06" personId="{6777EDD4-E46F-4979-A7E7-6FC0A82E0C8E}" id="{FF398AC7-BD86-4CCD-AE70-E79E2DC40A87}">
    <text>Start Capturing from Oct’25</text>
  </threadedComment>
  <threadedComment ref="L473" dT="2024-07-12T17:33:10.57" personId="{728803BD-3A25-4F6F-BA7C-1EDF8A148B73}" id="{FD03414D-E339-4F23-988E-0C6725C65913}">
    <text>Target Changed as per new MSA</text>
  </threadedComment>
  <threadedComment ref="M473" dT="2024-07-12T17:33:10.57" personId="{728803BD-3A25-4F6F-BA7C-1EDF8A148B73}" id="{CCBA1618-B87F-409F-B531-A579C4385DBA}">
    <text>Target Changed as per new MSA</text>
  </threadedComment>
  <threadedComment ref="BG473" dT="2025-11-24T11:54:36.06" personId="{6777EDD4-E46F-4979-A7E7-6FC0A82E0C8E}" id="{2189B3F9-E1C3-4DCE-8E10-EE2196ED56FB}">
    <text>Start Capturing from Oct’25</text>
  </threadedComment>
  <threadedComment ref="BH473" dT="2025-11-24T11:54:36.06" personId="{6777EDD4-E46F-4979-A7E7-6FC0A82E0C8E}" id="{EFD6EB5C-C839-4B1E-A284-56739AA5F403}">
    <text>Start Capturing from Oct’25</text>
  </threadedComment>
  <threadedComment ref="BI473" dT="2025-11-24T11:54:36.06" personId="{6777EDD4-E46F-4979-A7E7-6FC0A82E0C8E}" id="{B6BEDAF9-A971-4583-BE0F-19F0CE21EACC}">
    <text>Start Capturing from Oct’25</text>
  </threadedComment>
  <threadedComment ref="BJ473" dT="2025-11-24T11:54:36.06" personId="{6777EDD4-E46F-4979-A7E7-6FC0A82E0C8E}" id="{ECB80888-FC3C-4CA3-8E9C-FA2F13B14931}">
    <text>Start Capturing from Oct’25</text>
  </threadedComment>
  <threadedComment ref="BG474" dT="2025-11-24T11:54:36.06" personId="{6777EDD4-E46F-4979-A7E7-6FC0A82E0C8E}" id="{61D6AE29-6AFC-484A-8CCC-4E5D8CB1E237}">
    <text>Start Capturing from Oct’25</text>
  </threadedComment>
  <threadedComment ref="BH474" dT="2025-11-24T11:54:36.06" personId="{6777EDD4-E46F-4979-A7E7-6FC0A82E0C8E}" id="{D3C26D69-CA8B-4E12-A92A-E57730D90AA2}">
    <text>Start Capturing from Oct’25</text>
  </threadedComment>
  <threadedComment ref="BI474" dT="2025-11-24T11:54:36.06" personId="{6777EDD4-E46F-4979-A7E7-6FC0A82E0C8E}" id="{016A46B7-D463-4915-BD51-87D7D9A80062}">
    <text>Start Capturing from Oct’25</text>
  </threadedComment>
  <threadedComment ref="BJ474" dT="2025-11-24T11:54:36.06" personId="{6777EDD4-E46F-4979-A7E7-6FC0A82E0C8E}" id="{CA435862-D534-47D8-A47E-9B075DB9749C}">
    <text>Start Capturing from Oct’25</text>
  </threadedComment>
  <threadedComment ref="BG475" dT="2025-11-24T11:54:36.06" personId="{6777EDD4-E46F-4979-A7E7-6FC0A82E0C8E}" id="{61F00538-802A-4E76-9E4B-5752BFBB3852}">
    <text>Start Capturing from Oct’25</text>
  </threadedComment>
  <threadedComment ref="BH475" dT="2025-11-24T11:54:36.06" personId="{6777EDD4-E46F-4979-A7E7-6FC0A82E0C8E}" id="{0C59A6F8-6583-43E7-9B33-6B5C9B0068E0}">
    <text>Start Capturing from Oct’25</text>
  </threadedComment>
  <threadedComment ref="BI475" dT="2025-11-24T11:54:36.06" personId="{6777EDD4-E46F-4979-A7E7-6FC0A82E0C8E}" id="{F17AC732-B53C-4133-8A86-8A30FEC3BCC2}">
    <text>Start Capturing from Oct’25</text>
  </threadedComment>
  <threadedComment ref="BJ475" dT="2025-11-24T11:54:36.06" personId="{6777EDD4-E46F-4979-A7E7-6FC0A82E0C8E}" id="{EC657210-976F-4F47-A8ED-0877A8ED91B0}">
    <text>Start Capturing from Oct’25</text>
  </threadedComment>
  <threadedComment ref="BG476" dT="2025-11-24T11:54:36.06" personId="{6777EDD4-E46F-4979-A7E7-6FC0A82E0C8E}" id="{25844808-D42A-449E-B485-075CEBBC6222}">
    <text>Start Capturing from Oct’25</text>
  </threadedComment>
  <threadedComment ref="BH476" dT="2025-11-24T11:54:36.06" personId="{6777EDD4-E46F-4979-A7E7-6FC0A82E0C8E}" id="{CB952E41-DEA8-406C-98C6-5ABCC6728BD3}">
    <text>Start Capturing from Oct’25</text>
  </threadedComment>
  <threadedComment ref="BI476" dT="2025-11-24T11:54:36.06" personId="{6777EDD4-E46F-4979-A7E7-6FC0A82E0C8E}" id="{AF7FACA8-E0A7-4151-9463-74068D576982}">
    <text>Start Capturing from Oct’25</text>
  </threadedComment>
  <threadedComment ref="BJ476" dT="2025-11-24T11:54:36.06" personId="{6777EDD4-E46F-4979-A7E7-6FC0A82E0C8E}" id="{BE372BE0-1866-451C-94C0-C466BA2D448E}">
    <text>Start Capturing from Oct’25</text>
  </threadedComment>
  <threadedComment ref="BG477" dT="2025-11-24T11:54:36.06" personId="{6777EDD4-E46F-4979-A7E7-6FC0A82E0C8E}" id="{8AC1760F-BCAF-449A-8A50-6236B0ED2DC1}">
    <text>Start Capturing from Oct’25</text>
  </threadedComment>
  <threadedComment ref="BH477" dT="2025-11-24T11:54:36.06" personId="{6777EDD4-E46F-4979-A7E7-6FC0A82E0C8E}" id="{0866D7FA-1A61-45B9-9B03-694626CBCFB6}">
    <text>Start Capturing from Oct’25</text>
  </threadedComment>
  <threadedComment ref="BI477" dT="2025-11-24T11:54:36.06" personId="{6777EDD4-E46F-4979-A7E7-6FC0A82E0C8E}" id="{374720B6-8D9B-4DA2-9098-DB67638C0791}">
    <text>Start Capturing from Oct’25</text>
  </threadedComment>
  <threadedComment ref="BJ477" dT="2025-11-24T11:54:36.06" personId="{6777EDD4-E46F-4979-A7E7-6FC0A82E0C8E}" id="{79AFFD6C-CC44-46BE-BDE1-FC8CFED9E528}">
    <text>Start Capturing from Oct’25</text>
  </threadedComment>
  <threadedComment ref="BG478" dT="2025-11-24T11:54:36.06" personId="{6777EDD4-E46F-4979-A7E7-6FC0A82E0C8E}" id="{CD8A711A-3559-4150-8901-E1CE4A860DB6}">
    <text>Start Capturing from Oct’25</text>
  </threadedComment>
  <threadedComment ref="BH478" dT="2025-11-24T11:54:36.06" personId="{6777EDD4-E46F-4979-A7E7-6FC0A82E0C8E}" id="{31CA5316-A5A3-4149-8575-778B83C757CA}">
    <text>Start Capturing from Oct’25</text>
  </threadedComment>
  <threadedComment ref="BI478" dT="2025-11-24T11:54:36.06" personId="{6777EDD4-E46F-4979-A7E7-6FC0A82E0C8E}" id="{C6558F38-1649-4EE2-8870-5E76B86A2C98}">
    <text>Start Capturing from Oct’25</text>
  </threadedComment>
  <threadedComment ref="BJ478" dT="2025-11-24T11:54:36.06" personId="{6777EDD4-E46F-4979-A7E7-6FC0A82E0C8E}" id="{916BCE3B-D728-4EE8-8D70-705D16141376}">
    <text>Start Capturing from Oct’25</text>
  </threadedComment>
  <threadedComment ref="BG479" dT="2025-11-24T11:54:36.06" personId="{6777EDD4-E46F-4979-A7E7-6FC0A82E0C8E}" id="{16D68584-6BF3-4ECC-9215-3ED750F4325E}">
    <text>Start Capturing from Oct’25</text>
  </threadedComment>
  <threadedComment ref="BH479" dT="2025-11-24T11:54:36.06" personId="{6777EDD4-E46F-4979-A7E7-6FC0A82E0C8E}" id="{9482FAE2-9C02-49B3-A1AF-E88F5AB1BCFE}">
    <text>Start Capturing from Oct’25</text>
  </threadedComment>
  <threadedComment ref="BI479" dT="2025-11-24T11:54:36.06" personId="{6777EDD4-E46F-4979-A7E7-6FC0A82E0C8E}" id="{018CF9C0-611F-4824-B002-552161209714}">
    <text>Start Capturing from Oct’25</text>
  </threadedComment>
  <threadedComment ref="BJ479" dT="2025-11-24T11:54:36.06" personId="{6777EDD4-E46F-4979-A7E7-6FC0A82E0C8E}" id="{DBAA1137-2858-4AC9-B6FA-36EC04EC8D0B}">
    <text>Start Capturing from Oct’25</text>
  </threadedComment>
  <threadedComment ref="BG480" dT="2025-11-24T11:54:36.06" personId="{6777EDD4-E46F-4979-A7E7-6FC0A82E0C8E}" id="{D4C674EE-C734-482E-B303-072261296F31}">
    <text>Start Capturing from Oct’25</text>
  </threadedComment>
  <threadedComment ref="BH480" dT="2025-11-24T11:54:36.06" personId="{6777EDD4-E46F-4979-A7E7-6FC0A82E0C8E}" id="{23C3616B-AF62-4F0C-B73C-B32297664CB0}">
    <text>Start Capturing from Oct’25</text>
  </threadedComment>
  <threadedComment ref="BI480" dT="2025-11-24T11:54:36.06" personId="{6777EDD4-E46F-4979-A7E7-6FC0A82E0C8E}" id="{2EEEB91E-BD0B-43C9-A6FD-6AED0128921B}">
    <text>Start Capturing from Oct’25</text>
  </threadedComment>
  <threadedComment ref="BJ480" dT="2025-11-24T11:54:36.06" personId="{6777EDD4-E46F-4979-A7E7-6FC0A82E0C8E}" id="{793D9389-C454-44B1-993A-36CC8D63EB42}">
    <text>Start Capturing from Oct’25</text>
  </threadedComment>
  <threadedComment ref="BG481" dT="2025-11-24T11:54:36.06" personId="{6777EDD4-E46F-4979-A7E7-6FC0A82E0C8E}" id="{31F18BBE-F8B2-4FAF-A31D-695C65626A76}">
    <text>Start Capturing from Oct’25</text>
  </threadedComment>
  <threadedComment ref="BH481" dT="2025-11-24T11:54:36.06" personId="{6777EDD4-E46F-4979-A7E7-6FC0A82E0C8E}" id="{64C6E3D4-4A61-4406-ACE2-98333C937301}">
    <text>Start Capturing from Oct’25</text>
  </threadedComment>
  <threadedComment ref="BI481" dT="2025-11-24T11:54:36.06" personId="{6777EDD4-E46F-4979-A7E7-6FC0A82E0C8E}" id="{ED942176-89F8-42E6-AB95-E32762C6D1B5}">
    <text>Start Capturing from Oct’25</text>
  </threadedComment>
  <threadedComment ref="BJ481" dT="2025-11-24T11:54:36.06" personId="{6777EDD4-E46F-4979-A7E7-6FC0A82E0C8E}" id="{611C8F2F-629A-40A7-A320-BF476B1B58B9}">
    <text>Start Capturing from Oct’25</text>
  </threadedComment>
  <threadedComment ref="BG482" dT="2025-11-24T11:54:36.06" personId="{6777EDD4-E46F-4979-A7E7-6FC0A82E0C8E}" id="{503A9B53-F0FA-4F93-8614-6A420EA01A9E}">
    <text>Start Capturing from Oct’25</text>
  </threadedComment>
  <threadedComment ref="BH482" dT="2025-11-24T11:54:36.06" personId="{6777EDD4-E46F-4979-A7E7-6FC0A82E0C8E}" id="{48627DD6-CC50-4121-ACCE-C62CACD43937}">
    <text>Start Capturing from Oct’25</text>
  </threadedComment>
  <threadedComment ref="BI482" dT="2025-11-24T11:54:36.06" personId="{6777EDD4-E46F-4979-A7E7-6FC0A82E0C8E}" id="{D36F66C6-4A0C-4B3C-9AC6-052673C89187}">
    <text>Start Capturing from Oct’25</text>
  </threadedComment>
  <threadedComment ref="BJ482" dT="2025-11-24T11:54:36.06" personId="{6777EDD4-E46F-4979-A7E7-6FC0A82E0C8E}" id="{7D575A17-3B60-488B-AF7C-1B3E92313402}">
    <text>Start Capturing from Oct’25</text>
  </threadedComment>
  <threadedComment ref="BG483" dT="2025-11-24T11:54:36.06" personId="{6777EDD4-E46F-4979-A7E7-6FC0A82E0C8E}" id="{A737B86F-614E-4AA9-83E4-957BA2D5FA1A}">
    <text>Start Capturing from Oct’25</text>
  </threadedComment>
  <threadedComment ref="BH483" dT="2025-11-24T11:54:36.06" personId="{6777EDD4-E46F-4979-A7E7-6FC0A82E0C8E}" id="{3D4FCB69-0008-4451-AE7E-F0BEDFF970D9}">
    <text>Start Capturing from Oct’25</text>
  </threadedComment>
  <threadedComment ref="BI483" dT="2025-11-24T11:54:36.06" personId="{6777EDD4-E46F-4979-A7E7-6FC0A82E0C8E}" id="{BC429F4B-E07F-425B-8954-4A05EAD0C699}">
    <text>Start Capturing from Oct’25</text>
  </threadedComment>
  <threadedComment ref="BJ483" dT="2025-11-24T11:54:36.06" personId="{6777EDD4-E46F-4979-A7E7-6FC0A82E0C8E}" id="{52A957B3-997A-47B7-A231-32D1CFB24992}">
    <text>Start Capturing from Oct’25</text>
  </threadedComment>
  <threadedComment ref="BG484" dT="2025-11-24T11:54:36.06" personId="{6777EDD4-E46F-4979-A7E7-6FC0A82E0C8E}" id="{D2DAA9EC-BF8D-4E90-8DF2-C8C0AAC055BC}">
    <text>Start Capturing from Oct’25</text>
  </threadedComment>
  <threadedComment ref="BH484" dT="2025-11-24T11:54:36.06" personId="{6777EDD4-E46F-4979-A7E7-6FC0A82E0C8E}" id="{F5D60591-AD87-4EA6-BB85-9FC9347D8DED}">
    <text>Start Capturing from Oct’25</text>
  </threadedComment>
  <threadedComment ref="BI484" dT="2025-11-24T11:54:36.06" personId="{6777EDD4-E46F-4979-A7E7-6FC0A82E0C8E}" id="{FF8DC3A6-1BCA-43FF-ABA2-93F298FBEA1F}">
    <text>Start Capturing from Oct’25</text>
  </threadedComment>
  <threadedComment ref="BJ484" dT="2025-11-24T11:54:36.06" personId="{6777EDD4-E46F-4979-A7E7-6FC0A82E0C8E}" id="{C72D27A0-7ECF-41A7-83FA-AD28F69DFBD8}">
    <text>Start Capturing from Oct’25</text>
  </threadedComment>
  <threadedComment ref="BG485" dT="2025-11-24T11:54:36.06" personId="{6777EDD4-E46F-4979-A7E7-6FC0A82E0C8E}" id="{4AB6BBDA-759C-4104-A3FB-11C85CFDE3A6}">
    <text>Start Capturing from Oct’25</text>
  </threadedComment>
  <threadedComment ref="BH485" dT="2025-11-24T11:54:36.06" personId="{6777EDD4-E46F-4979-A7E7-6FC0A82E0C8E}" id="{5AA5E05C-FBC1-41BF-A79B-113CE541689B}">
    <text>Start Capturing from Oct’25</text>
  </threadedComment>
  <threadedComment ref="BI485" dT="2025-11-24T11:54:36.06" personId="{6777EDD4-E46F-4979-A7E7-6FC0A82E0C8E}" id="{E876955D-5F51-46B0-B7AA-A9164D7B6484}">
    <text>Start Capturing from Oct’25</text>
  </threadedComment>
  <threadedComment ref="BJ485" dT="2025-11-24T11:54:36.06" personId="{6777EDD4-E46F-4979-A7E7-6FC0A82E0C8E}" id="{DCCC0C34-7D1A-45E1-AD6F-644F0444361A}">
    <text>Start Capturing from Oct’25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E2A9-71F2-4315-BE81-BC2C1D93E5C3}">
  <dimension ref="A1:D46"/>
  <sheetViews>
    <sheetView workbookViewId="0"/>
  </sheetViews>
  <sheetFormatPr defaultRowHeight="15" x14ac:dyDescent="0.25"/>
  <cols>
    <col min="1" max="1" width="6.5703125" bestFit="1" customWidth="1"/>
    <col min="2" max="2" width="16.42578125" bestFit="1" customWidth="1"/>
    <col min="3" max="4" width="25.28515625" bestFit="1" customWidth="1"/>
  </cols>
  <sheetData>
    <row r="1" spans="1:4" x14ac:dyDescent="0.2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25">
      <c r="A2" s="15">
        <v>1</v>
      </c>
      <c r="B2" s="16" t="s">
        <v>4</v>
      </c>
      <c r="C2" s="17">
        <v>45748</v>
      </c>
      <c r="D2" s="17">
        <v>45748</v>
      </c>
    </row>
    <row r="3" spans="1:4" x14ac:dyDescent="0.25">
      <c r="A3" s="15">
        <v>2</v>
      </c>
      <c r="B3" s="18" t="s">
        <v>5</v>
      </c>
      <c r="C3" s="15" t="s">
        <v>6</v>
      </c>
      <c r="D3" s="15" t="s">
        <v>6</v>
      </c>
    </row>
    <row r="4" spans="1:4" x14ac:dyDescent="0.25">
      <c r="A4" s="15">
        <v>3</v>
      </c>
      <c r="B4" s="18" t="s">
        <v>7</v>
      </c>
      <c r="C4" s="19" t="s">
        <v>8</v>
      </c>
      <c r="D4" s="20">
        <v>45763</v>
      </c>
    </row>
    <row r="5" spans="1:4" x14ac:dyDescent="0.25">
      <c r="A5" s="15">
        <v>4</v>
      </c>
      <c r="B5" s="18" t="s">
        <v>9</v>
      </c>
      <c r="C5" s="19" t="s">
        <v>8</v>
      </c>
      <c r="D5" s="20">
        <v>45763</v>
      </c>
    </row>
    <row r="6" spans="1:4" x14ac:dyDescent="0.25">
      <c r="A6" s="15">
        <v>5</v>
      </c>
      <c r="B6" s="18" t="s">
        <v>10</v>
      </c>
      <c r="C6" s="15" t="s">
        <v>11</v>
      </c>
      <c r="D6" s="15" t="s">
        <v>11</v>
      </c>
    </row>
    <row r="7" spans="1:4" x14ac:dyDescent="0.25">
      <c r="A7" s="15">
        <v>6</v>
      </c>
      <c r="B7" s="18" t="s">
        <v>12</v>
      </c>
      <c r="C7" s="19" t="s">
        <v>8</v>
      </c>
      <c r="D7" s="20">
        <v>45763</v>
      </c>
    </row>
    <row r="8" spans="1:4" x14ac:dyDescent="0.25">
      <c r="A8" s="15">
        <v>7</v>
      </c>
      <c r="B8" s="18" t="s">
        <v>13</v>
      </c>
      <c r="C8" s="15" t="s">
        <v>11</v>
      </c>
      <c r="D8" s="15" t="s">
        <v>11</v>
      </c>
    </row>
    <row r="9" spans="1:4" x14ac:dyDescent="0.25">
      <c r="A9" s="15">
        <v>8</v>
      </c>
      <c r="B9" s="18" t="s">
        <v>14</v>
      </c>
      <c r="C9" s="15" t="s">
        <v>11</v>
      </c>
      <c r="D9" s="15" t="s">
        <v>11</v>
      </c>
    </row>
    <row r="10" spans="1:4" x14ac:dyDescent="0.25">
      <c r="A10" s="15">
        <v>9</v>
      </c>
      <c r="B10" s="18" t="s">
        <v>15</v>
      </c>
      <c r="C10" s="15" t="s">
        <v>11</v>
      </c>
      <c r="D10" s="15" t="s">
        <v>11</v>
      </c>
    </row>
    <row r="11" spans="1:4" x14ac:dyDescent="0.25">
      <c r="A11" s="15">
        <v>10</v>
      </c>
      <c r="B11" s="18" t="s">
        <v>16</v>
      </c>
      <c r="C11" s="15" t="s">
        <v>11</v>
      </c>
      <c r="D11" s="17">
        <v>45745</v>
      </c>
    </row>
    <row r="12" spans="1:4" x14ac:dyDescent="0.25">
      <c r="A12" s="15">
        <v>11</v>
      </c>
      <c r="B12" s="21" t="s">
        <v>17</v>
      </c>
      <c r="C12" s="15" t="s">
        <v>11</v>
      </c>
      <c r="D12" s="17">
        <v>45740</v>
      </c>
    </row>
    <row r="13" spans="1:4" x14ac:dyDescent="0.25">
      <c r="A13" s="15">
        <v>12</v>
      </c>
      <c r="B13" s="18" t="s">
        <v>18</v>
      </c>
      <c r="C13" s="15" t="s">
        <v>6</v>
      </c>
      <c r="D13" s="15" t="s">
        <v>6</v>
      </c>
    </row>
    <row r="14" spans="1:4" x14ac:dyDescent="0.25">
      <c r="A14" s="15">
        <v>13</v>
      </c>
      <c r="B14" s="18" t="s">
        <v>19</v>
      </c>
      <c r="C14" s="19" t="s">
        <v>8</v>
      </c>
      <c r="D14" s="17">
        <v>45749</v>
      </c>
    </row>
    <row r="15" spans="1:4" x14ac:dyDescent="0.25">
      <c r="A15" s="15">
        <v>14</v>
      </c>
      <c r="B15" s="18" t="s">
        <v>20</v>
      </c>
      <c r="C15" s="17">
        <v>45763</v>
      </c>
      <c r="D15" s="17">
        <v>45763</v>
      </c>
    </row>
    <row r="16" spans="1:4" x14ac:dyDescent="0.25">
      <c r="A16" s="15">
        <v>15</v>
      </c>
      <c r="B16" s="18" t="s">
        <v>21</v>
      </c>
      <c r="C16" s="17">
        <v>45757</v>
      </c>
      <c r="D16" s="17">
        <v>45757</v>
      </c>
    </row>
    <row r="17" spans="1:4" x14ac:dyDescent="0.25">
      <c r="A17" s="15">
        <v>16</v>
      </c>
      <c r="B17" s="18" t="s">
        <v>22</v>
      </c>
      <c r="C17" s="19" t="s">
        <v>8</v>
      </c>
      <c r="D17" s="17">
        <v>45755</v>
      </c>
    </row>
    <row r="18" spans="1:4" x14ac:dyDescent="0.25">
      <c r="A18" s="15">
        <v>17</v>
      </c>
      <c r="B18" s="18" t="s">
        <v>23</v>
      </c>
      <c r="C18" s="15" t="s">
        <v>24</v>
      </c>
      <c r="D18" s="15" t="s">
        <v>24</v>
      </c>
    </row>
    <row r="19" spans="1:4" x14ac:dyDescent="0.25">
      <c r="A19" s="15">
        <v>18</v>
      </c>
      <c r="B19" s="18" t="s">
        <v>25</v>
      </c>
      <c r="C19" s="19" t="s">
        <v>8</v>
      </c>
      <c r="D19" s="17">
        <v>45757</v>
      </c>
    </row>
    <row r="20" spans="1:4" x14ac:dyDescent="0.25">
      <c r="A20" s="15">
        <v>19</v>
      </c>
      <c r="B20" s="18" t="s">
        <v>26</v>
      </c>
      <c r="C20" s="19" t="s">
        <v>8</v>
      </c>
      <c r="D20" s="17">
        <v>45757</v>
      </c>
    </row>
    <row r="21" spans="1:4" x14ac:dyDescent="0.25">
      <c r="A21" s="15">
        <v>20</v>
      </c>
      <c r="B21" s="18" t="s">
        <v>27</v>
      </c>
      <c r="C21" s="19" t="s">
        <v>8</v>
      </c>
      <c r="D21" s="17">
        <v>45756</v>
      </c>
    </row>
    <row r="22" spans="1:4" ht="14.45" x14ac:dyDescent="0.35">
      <c r="A22" s="15">
        <v>21</v>
      </c>
      <c r="B22" s="21" t="s">
        <v>28</v>
      </c>
      <c r="C22" s="15" t="s">
        <v>29</v>
      </c>
      <c r="D22" s="15" t="s">
        <v>29</v>
      </c>
    </row>
    <row r="23" spans="1:4" ht="14.45" x14ac:dyDescent="0.35">
      <c r="A23" s="15">
        <v>22</v>
      </c>
      <c r="B23" s="18" t="s">
        <v>30</v>
      </c>
      <c r="C23" s="19" t="s">
        <v>8</v>
      </c>
      <c r="D23" s="17">
        <v>45754</v>
      </c>
    </row>
    <row r="24" spans="1:4" ht="14.45" x14ac:dyDescent="0.35">
      <c r="A24" s="15">
        <v>23</v>
      </c>
      <c r="B24" s="18" t="s">
        <v>31</v>
      </c>
      <c r="C24" s="15" t="s">
        <v>29</v>
      </c>
      <c r="D24" s="15" t="s">
        <v>29</v>
      </c>
    </row>
    <row r="25" spans="1:4" ht="14.45" x14ac:dyDescent="0.35">
      <c r="A25" s="15">
        <v>24</v>
      </c>
      <c r="B25" s="18" t="s">
        <v>32</v>
      </c>
      <c r="C25" s="15" t="s">
        <v>29</v>
      </c>
      <c r="D25" s="15" t="s">
        <v>29</v>
      </c>
    </row>
    <row r="26" spans="1:4" ht="14.45" x14ac:dyDescent="0.35">
      <c r="A26" s="15">
        <v>25</v>
      </c>
      <c r="B26" s="18" t="s">
        <v>33</v>
      </c>
      <c r="C26" s="19" t="s">
        <v>8</v>
      </c>
      <c r="D26" s="17">
        <v>45755</v>
      </c>
    </row>
    <row r="27" spans="1:4" ht="14.45" x14ac:dyDescent="0.35">
      <c r="A27" s="15">
        <v>26</v>
      </c>
      <c r="B27" s="21" t="s">
        <v>34</v>
      </c>
      <c r="C27" s="17">
        <v>45763</v>
      </c>
      <c r="D27" s="17">
        <v>45757</v>
      </c>
    </row>
    <row r="28" spans="1:4" ht="14.45" x14ac:dyDescent="0.35">
      <c r="A28" s="15">
        <v>27</v>
      </c>
      <c r="B28" s="18" t="s">
        <v>35</v>
      </c>
      <c r="C28" s="15" t="s">
        <v>6</v>
      </c>
      <c r="D28" s="15" t="s">
        <v>6</v>
      </c>
    </row>
    <row r="29" spans="1:4" ht="14.45" x14ac:dyDescent="0.35">
      <c r="A29" s="15">
        <v>28</v>
      </c>
      <c r="B29" s="18" t="s">
        <v>36</v>
      </c>
      <c r="C29" s="17">
        <v>45761</v>
      </c>
      <c r="D29" s="17">
        <v>45758</v>
      </c>
    </row>
    <row r="30" spans="1:4" ht="14.45" x14ac:dyDescent="0.35">
      <c r="A30" s="15">
        <v>29</v>
      </c>
      <c r="B30" s="18" t="s">
        <v>37</v>
      </c>
      <c r="C30" s="15" t="s">
        <v>38</v>
      </c>
      <c r="D30" s="15" t="s">
        <v>38</v>
      </c>
    </row>
    <row r="31" spans="1:4" ht="14.45" x14ac:dyDescent="0.35">
      <c r="A31" s="15">
        <v>30</v>
      </c>
      <c r="B31" s="18" t="s">
        <v>39</v>
      </c>
      <c r="C31" s="19" t="s">
        <v>8</v>
      </c>
      <c r="D31" s="17">
        <v>45757</v>
      </c>
    </row>
    <row r="32" spans="1:4" ht="14.45" x14ac:dyDescent="0.35">
      <c r="A32" s="15">
        <v>31</v>
      </c>
      <c r="B32" s="18" t="s">
        <v>40</v>
      </c>
      <c r="C32" s="15" t="s">
        <v>24</v>
      </c>
      <c r="D32" s="15" t="s">
        <v>24</v>
      </c>
    </row>
    <row r="33" spans="1:4" ht="14.45" x14ac:dyDescent="0.35">
      <c r="A33" s="15">
        <v>32</v>
      </c>
      <c r="B33" s="18" t="s">
        <v>41</v>
      </c>
      <c r="C33" s="19" t="s">
        <v>8</v>
      </c>
      <c r="D33" s="17">
        <v>45763</v>
      </c>
    </row>
    <row r="34" spans="1:4" ht="14.45" x14ac:dyDescent="0.35">
      <c r="A34" s="15">
        <v>33</v>
      </c>
      <c r="B34" s="18" t="s">
        <v>42</v>
      </c>
      <c r="C34" s="15" t="s">
        <v>38</v>
      </c>
      <c r="D34" s="15" t="s">
        <v>38</v>
      </c>
    </row>
    <row r="35" spans="1:4" ht="14.45" x14ac:dyDescent="0.35">
      <c r="A35" s="15">
        <v>34</v>
      </c>
      <c r="B35" s="18" t="s">
        <v>43</v>
      </c>
      <c r="C35" s="15" t="s">
        <v>38</v>
      </c>
      <c r="D35" s="15" t="s">
        <v>38</v>
      </c>
    </row>
    <row r="36" spans="1:4" ht="14.45" x14ac:dyDescent="0.35">
      <c r="A36" s="15">
        <v>35</v>
      </c>
      <c r="B36" s="18" t="s">
        <v>44</v>
      </c>
      <c r="C36" s="19" t="s">
        <v>8</v>
      </c>
      <c r="D36" s="17">
        <v>45758</v>
      </c>
    </row>
    <row r="37" spans="1:4" ht="14.45" x14ac:dyDescent="0.35">
      <c r="A37" s="15">
        <v>36</v>
      </c>
      <c r="B37" s="18" t="s">
        <v>45</v>
      </c>
      <c r="C37" s="15" t="s">
        <v>46</v>
      </c>
      <c r="D37" s="15" t="s">
        <v>46</v>
      </c>
    </row>
    <row r="38" spans="1:4" ht="14.45" x14ac:dyDescent="0.35">
      <c r="A38" s="15">
        <v>37</v>
      </c>
      <c r="B38" s="18" t="s">
        <v>47</v>
      </c>
      <c r="C38" s="17">
        <v>45749</v>
      </c>
      <c r="D38" s="17">
        <v>45749</v>
      </c>
    </row>
    <row r="39" spans="1:4" ht="14.45" x14ac:dyDescent="0.35">
      <c r="A39" s="15">
        <v>38</v>
      </c>
      <c r="B39" s="18" t="s">
        <v>48</v>
      </c>
      <c r="C39" s="15" t="s">
        <v>6</v>
      </c>
      <c r="D39" s="15" t="s">
        <v>6</v>
      </c>
    </row>
    <row r="40" spans="1:4" ht="14.45" x14ac:dyDescent="0.35">
      <c r="A40" s="15">
        <v>39</v>
      </c>
      <c r="B40" s="18" t="s">
        <v>49</v>
      </c>
      <c r="C40" s="15" t="s">
        <v>50</v>
      </c>
      <c r="D40" s="15" t="s">
        <v>50</v>
      </c>
    </row>
    <row r="41" spans="1:4" ht="14.45" x14ac:dyDescent="0.35">
      <c r="A41" s="15">
        <v>40</v>
      </c>
      <c r="B41" s="18" t="s">
        <v>51</v>
      </c>
      <c r="C41" s="17">
        <v>45759</v>
      </c>
      <c r="D41" s="17">
        <v>45758</v>
      </c>
    </row>
    <row r="42" spans="1:4" ht="14.45" x14ac:dyDescent="0.35">
      <c r="A42" s="15">
        <v>41</v>
      </c>
      <c r="B42" s="18" t="s">
        <v>52</v>
      </c>
      <c r="C42" s="19" t="s">
        <v>8</v>
      </c>
      <c r="D42" s="17">
        <v>45752</v>
      </c>
    </row>
    <row r="43" spans="1:4" ht="14.45" x14ac:dyDescent="0.35">
      <c r="A43" s="15">
        <v>42</v>
      </c>
      <c r="B43" s="18" t="s">
        <v>53</v>
      </c>
      <c r="C43" s="19" t="s">
        <v>8</v>
      </c>
      <c r="D43" s="17">
        <v>45756</v>
      </c>
    </row>
    <row r="44" spans="1:4" ht="14.45" x14ac:dyDescent="0.35">
      <c r="A44" s="15">
        <v>43</v>
      </c>
      <c r="B44" s="18" t="s">
        <v>54</v>
      </c>
      <c r="C44" s="17">
        <v>45754</v>
      </c>
      <c r="D44" s="17">
        <v>45754</v>
      </c>
    </row>
    <row r="45" spans="1:4" ht="14.45" x14ac:dyDescent="0.35">
      <c r="A45" s="15">
        <v>44</v>
      </c>
      <c r="B45" s="18" t="s">
        <v>55</v>
      </c>
      <c r="C45" s="15" t="s">
        <v>11</v>
      </c>
      <c r="D45" s="15" t="s">
        <v>11</v>
      </c>
    </row>
    <row r="46" spans="1:4" ht="14.45" x14ac:dyDescent="0.35">
      <c r="A46" s="15">
        <v>45</v>
      </c>
      <c r="B46" s="18" t="s">
        <v>56</v>
      </c>
      <c r="C46" s="15" t="s">
        <v>6</v>
      </c>
      <c r="D46" s="15" t="s">
        <v>6</v>
      </c>
    </row>
  </sheetData>
  <conditionalFormatting sqref="B2:B8">
    <cfRule type="containsText" dxfId="4347" priority="5" operator="containsText" text="Not Met">
      <formula>NOT(ISERROR(SEARCH("Not Met",B2)))</formula>
    </cfRule>
    <cfRule type="containsText" dxfId="4346" priority="7" operator="containsText" text="Met">
      <formula>NOT(ISERROR(SEARCH("Met",B2)))</formula>
    </cfRule>
  </conditionalFormatting>
  <conditionalFormatting sqref="B10:B19">
    <cfRule type="containsText" dxfId="4345" priority="3" operator="containsText" text="Not Met">
      <formula>NOT(ISERROR(SEARCH("Not Met",B10)))</formula>
    </cfRule>
    <cfRule type="containsText" dxfId="4344" priority="4" operator="containsText" text="Met">
      <formula>NOT(ISERROR(SEARCH("Met",B10)))</formula>
    </cfRule>
  </conditionalFormatting>
  <conditionalFormatting sqref="B27:B28">
    <cfRule type="containsText" dxfId="4343" priority="1" operator="containsText" text="Not Met">
      <formula>NOT(ISERROR(SEARCH("Not Met",B27)))</formula>
    </cfRule>
    <cfRule type="containsText" dxfId="4342" priority="2" operator="containsText" text="Met">
      <formula>NOT(ISERROR(SEARCH("Met",B27)))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D239-FAB1-4BFB-B33E-0A71335DE698}">
  <dimension ref="A1:L14"/>
  <sheetViews>
    <sheetView showGridLines="0" workbookViewId="0">
      <selection activeCell="E11" sqref="E11"/>
    </sheetView>
  </sheetViews>
  <sheetFormatPr defaultColWidth="0" defaultRowHeight="15" customHeight="1" zeroHeight="1" x14ac:dyDescent="0.25"/>
  <cols>
    <col min="1" max="1" width="5.5703125" style="2" customWidth="1"/>
    <col min="2" max="2" width="20.5703125" style="2" customWidth="1"/>
    <col min="3" max="3" width="20" style="2" customWidth="1"/>
    <col min="4" max="4" width="18.7109375" style="2" customWidth="1"/>
    <col min="5" max="5" width="20.5703125" style="2" customWidth="1"/>
    <col min="6" max="6" width="20.7109375" style="2" customWidth="1"/>
    <col min="7" max="7" width="8.7109375" style="2" hidden="1" customWidth="1"/>
    <col min="8" max="8" width="7.85546875" style="2" hidden="1" customWidth="1"/>
    <col min="9" max="12" width="18" style="2" hidden="1" customWidth="1"/>
    <col min="13" max="16384" width="9.140625" style="2" hidden="1"/>
  </cols>
  <sheetData>
    <row r="1" spans="2:5" ht="15" customHeight="1" x14ac:dyDescent="0.25"/>
    <row r="2" spans="2:5" ht="25.5" customHeight="1" x14ac:dyDescent="0.25">
      <c r="B2" s="9" t="s">
        <v>57</v>
      </c>
      <c r="C2" s="9" t="s">
        <v>58</v>
      </c>
      <c r="D2" s="8" t="s">
        <v>59</v>
      </c>
      <c r="E2" s="8" t="s">
        <v>60</v>
      </c>
    </row>
    <row r="3" spans="2:5" ht="19.5" customHeight="1" x14ac:dyDescent="0.25">
      <c r="B3" s="5"/>
      <c r="C3" s="3" t="s">
        <v>61</v>
      </c>
      <c r="D3" s="3" t="s">
        <v>62</v>
      </c>
      <c r="E3" s="3" t="s">
        <v>63</v>
      </c>
    </row>
    <row r="4" spans="2:5" ht="19.5" customHeight="1" x14ac:dyDescent="0.25">
      <c r="B4" s="6"/>
      <c r="C4" s="3" t="s">
        <v>64</v>
      </c>
      <c r="D4" s="3" t="s">
        <v>65</v>
      </c>
      <c r="E4" s="3" t="s">
        <v>66</v>
      </c>
    </row>
    <row r="5" spans="2:5" ht="19.5" customHeight="1" x14ac:dyDescent="0.25">
      <c r="B5" s="7"/>
      <c r="C5" s="3" t="s">
        <v>67</v>
      </c>
      <c r="D5" s="3" t="s">
        <v>68</v>
      </c>
      <c r="E5" s="3" t="s">
        <v>69</v>
      </c>
    </row>
    <row r="6" spans="2:5" ht="15" customHeight="1" x14ac:dyDescent="0.25"/>
    <row r="7" spans="2:5" ht="15" customHeight="1" x14ac:dyDescent="0.25"/>
    <row r="8" spans="2:5" ht="15" customHeight="1" x14ac:dyDescent="0.25">
      <c r="B8" s="2" t="s">
        <v>70</v>
      </c>
    </row>
    <row r="9" spans="2:5" ht="15" customHeight="1" x14ac:dyDescent="0.25">
      <c r="B9" s="2" t="s">
        <v>71</v>
      </c>
    </row>
    <row r="10" spans="2:5" ht="15" customHeight="1" x14ac:dyDescent="0.25">
      <c r="B10" s="2" t="s">
        <v>72</v>
      </c>
    </row>
    <row r="11" spans="2:5" ht="15" customHeight="1" x14ac:dyDescent="0.25"/>
    <row r="12" spans="2:5" ht="15" customHeight="1" x14ac:dyDescent="0.25"/>
    <row r="13" spans="2:5" ht="15" customHeight="1" x14ac:dyDescent="0.25"/>
    <row r="14" spans="2:5" ht="1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2AE2-3D7E-48F9-89B3-DE331C269A27}">
  <dimension ref="A2:DW16"/>
  <sheetViews>
    <sheetView showGridLines="0" workbookViewId="0">
      <selection activeCell="B4" sqref="B4:B15"/>
    </sheetView>
  </sheetViews>
  <sheetFormatPr defaultColWidth="8.7109375" defaultRowHeight="12.75" customHeight="1" x14ac:dyDescent="0.2"/>
  <cols>
    <col min="1" max="1" width="7.42578125" style="22" bestFit="1" customWidth="1"/>
    <col min="2" max="2" width="17.5703125" style="23" bestFit="1" customWidth="1"/>
    <col min="3" max="3" width="12.140625" style="23" bestFit="1" customWidth="1"/>
    <col min="4" max="4" width="17.28515625" style="23" bestFit="1" customWidth="1"/>
    <col min="5" max="5" width="17.5703125" style="23" customWidth="1"/>
    <col min="6" max="6" width="9.7109375" style="23" hidden="1" customWidth="1"/>
    <col min="7" max="7" width="12.5703125" style="23" hidden="1" customWidth="1"/>
    <col min="8" max="8" width="11.140625" style="23" hidden="1" customWidth="1"/>
    <col min="9" max="9" width="9.7109375" style="23" hidden="1" customWidth="1"/>
    <col min="10" max="10" width="9.140625" style="23" hidden="1" customWidth="1"/>
    <col min="11" max="11" width="12.5703125" style="23" hidden="1" customWidth="1"/>
    <col min="12" max="12" width="11.140625" style="23" hidden="1" customWidth="1"/>
    <col min="13" max="13" width="9.140625" style="23" hidden="1" customWidth="1"/>
    <col min="14" max="14" width="9.5703125" style="23" hidden="1" customWidth="1"/>
    <col min="15" max="15" width="12.5703125" style="23" hidden="1" customWidth="1"/>
    <col min="16" max="17" width="9.5703125" style="23" hidden="1" customWidth="1"/>
    <col min="18" max="21" width="9.140625" style="23" hidden="1" customWidth="1"/>
    <col min="22" max="22" width="8.85546875" style="23" hidden="1" customWidth="1"/>
    <col min="23" max="23" width="14.140625" style="23" hidden="1" customWidth="1"/>
    <col min="24" max="24" width="13.85546875" style="23" hidden="1" customWidth="1"/>
    <col min="25" max="25" width="10.42578125" style="23" hidden="1" customWidth="1"/>
    <col min="26" max="29" width="11.5703125" style="23" hidden="1" customWidth="1"/>
    <col min="30" max="33" width="15.42578125" style="23" hidden="1" customWidth="1"/>
    <col min="34" max="34" width="8.42578125" style="23" hidden="1" customWidth="1"/>
    <col min="35" max="35" width="8.5703125" style="23" hidden="1" customWidth="1"/>
    <col min="36" max="36" width="10.85546875" style="23" hidden="1" customWidth="1"/>
    <col min="37" max="38" width="8.42578125" style="23" hidden="1" customWidth="1"/>
    <col min="39" max="39" width="12.28515625" style="23" hidden="1" customWidth="1"/>
    <col min="40" max="40" width="11.42578125" style="23" hidden="1" customWidth="1"/>
    <col min="41" max="41" width="11.140625" style="23" hidden="1" customWidth="1"/>
    <col min="42" max="45" width="9" style="23" hidden="1" customWidth="1"/>
    <col min="46" max="49" width="8.7109375" style="23" hidden="1" customWidth="1"/>
    <col min="50" max="50" width="9.5703125" style="23" hidden="1" customWidth="1"/>
    <col min="51" max="51" width="8.5703125" style="23" hidden="1" customWidth="1"/>
    <col min="52" max="52" width="8.42578125" style="23" hidden="1" customWidth="1"/>
    <col min="53" max="53" width="8" style="23" hidden="1" customWidth="1"/>
    <col min="54" max="54" width="8.28515625" style="23" hidden="1" customWidth="1"/>
    <col min="55" max="55" width="8.5703125" style="23" hidden="1" customWidth="1"/>
    <col min="56" max="56" width="8.42578125" style="23" hidden="1" customWidth="1"/>
    <col min="57" max="57" width="8.28515625" style="23" hidden="1" customWidth="1"/>
    <col min="58" max="61" width="8.7109375" style="23" hidden="1" customWidth="1"/>
    <col min="62" max="62" width="8.85546875" style="23" hidden="1" customWidth="1"/>
    <col min="63" max="63" width="9.7109375" style="23" hidden="1" customWidth="1"/>
    <col min="64" max="64" width="10.140625" style="23" hidden="1" customWidth="1"/>
    <col min="65" max="65" width="8.7109375" style="23" hidden="1" customWidth="1"/>
    <col min="66" max="67" width="8.85546875" style="23" hidden="1" customWidth="1"/>
    <col min="68" max="68" width="9.7109375" style="23" hidden="1" customWidth="1"/>
    <col min="69" max="69" width="8.85546875" style="23" hidden="1" customWidth="1"/>
    <col min="70" max="73" width="13.5703125" style="23" hidden="1" customWidth="1"/>
    <col min="74" max="78" width="0" style="23" hidden="1" customWidth="1"/>
    <col min="79" max="79" width="12.42578125" style="23" hidden="1" customWidth="1"/>
    <col min="80" max="80" width="10.42578125" style="23" hidden="1" customWidth="1"/>
    <col min="81" max="82" width="0" style="23" hidden="1" customWidth="1"/>
    <col min="83" max="83" width="10.85546875" style="23" hidden="1" customWidth="1"/>
    <col min="84" max="84" width="11.140625" style="23" hidden="1" customWidth="1"/>
    <col min="85" max="102" width="0" style="23" hidden="1" customWidth="1"/>
    <col min="103" max="103" width="10.140625" style="23" hidden="1" customWidth="1"/>
    <col min="104" max="104" width="0" style="23" hidden="1" customWidth="1"/>
    <col min="105" max="105" width="10.42578125" style="23" hidden="1" customWidth="1"/>
    <col min="106" max="117" width="0" style="23" hidden="1" customWidth="1"/>
    <col min="118" max="121" width="8.7109375" style="23"/>
    <col min="122" max="122" width="12" style="23" bestFit="1" customWidth="1"/>
    <col min="123" max="123" width="11.140625" style="23" customWidth="1"/>
    <col min="124" max="124" width="12" style="23" bestFit="1" customWidth="1"/>
    <col min="125" max="125" width="10.140625" style="23" customWidth="1"/>
    <col min="126" max="16384" width="8.7109375" style="23"/>
  </cols>
  <sheetData>
    <row r="2" spans="1:127" x14ac:dyDescent="0.2">
      <c r="A2" s="446"/>
      <c r="B2" s="446"/>
      <c r="C2" s="446"/>
      <c r="D2" s="446"/>
      <c r="E2" s="387"/>
      <c r="F2" s="306" t="s">
        <v>73</v>
      </c>
      <c r="G2" s="301" t="s">
        <v>73</v>
      </c>
      <c r="H2" s="301" t="s">
        <v>73</v>
      </c>
      <c r="I2" s="301" t="s">
        <v>73</v>
      </c>
      <c r="J2" s="302" t="s">
        <v>74</v>
      </c>
      <c r="K2" s="302" t="s">
        <v>74</v>
      </c>
      <c r="L2" s="302" t="s">
        <v>74</v>
      </c>
      <c r="M2" s="302" t="s">
        <v>74</v>
      </c>
      <c r="N2" s="301" t="s">
        <v>75</v>
      </c>
      <c r="O2" s="301" t="s">
        <v>75</v>
      </c>
      <c r="P2" s="301" t="s">
        <v>75</v>
      </c>
      <c r="Q2" s="301" t="s">
        <v>75</v>
      </c>
      <c r="R2" s="303" t="s">
        <v>76</v>
      </c>
      <c r="S2" s="303" t="s">
        <v>76</v>
      </c>
      <c r="T2" s="303" t="s">
        <v>76</v>
      </c>
      <c r="U2" s="303" t="s">
        <v>76</v>
      </c>
      <c r="V2" s="302" t="s">
        <v>77</v>
      </c>
      <c r="W2" s="302" t="s">
        <v>77</v>
      </c>
      <c r="X2" s="302" t="s">
        <v>77</v>
      </c>
      <c r="Y2" s="302" t="s">
        <v>77</v>
      </c>
      <c r="Z2" s="301" t="s">
        <v>78</v>
      </c>
      <c r="AA2" s="301" t="s">
        <v>78</v>
      </c>
      <c r="AB2" s="301" t="s">
        <v>78</v>
      </c>
      <c r="AC2" s="301" t="s">
        <v>78</v>
      </c>
      <c r="AD2" s="302" t="s">
        <v>79</v>
      </c>
      <c r="AE2" s="302" t="s">
        <v>79</v>
      </c>
      <c r="AF2" s="302" t="s">
        <v>79</v>
      </c>
      <c r="AG2" s="302" t="s">
        <v>79</v>
      </c>
      <c r="AH2" s="303" t="s">
        <v>80</v>
      </c>
      <c r="AI2" s="303" t="s">
        <v>80</v>
      </c>
      <c r="AJ2" s="303" t="s">
        <v>80</v>
      </c>
      <c r="AK2" s="303" t="s">
        <v>80</v>
      </c>
      <c r="AL2" s="302" t="s">
        <v>81</v>
      </c>
      <c r="AM2" s="302" t="s">
        <v>81</v>
      </c>
      <c r="AN2" s="302" t="s">
        <v>81</v>
      </c>
      <c r="AO2" s="302" t="s">
        <v>81</v>
      </c>
      <c r="AP2" s="301" t="s">
        <v>82</v>
      </c>
      <c r="AQ2" s="301" t="s">
        <v>82</v>
      </c>
      <c r="AR2" s="301" t="s">
        <v>82</v>
      </c>
      <c r="AS2" s="301" t="s">
        <v>82</v>
      </c>
      <c r="AT2" s="302" t="s">
        <v>83</v>
      </c>
      <c r="AU2" s="302" t="s">
        <v>83</v>
      </c>
      <c r="AV2" s="302" t="s">
        <v>83</v>
      </c>
      <c r="AW2" s="302" t="s">
        <v>83</v>
      </c>
      <c r="AX2" s="303" t="s">
        <v>84</v>
      </c>
      <c r="AY2" s="303" t="s">
        <v>84</v>
      </c>
      <c r="AZ2" s="303" t="s">
        <v>84</v>
      </c>
      <c r="BA2" s="303" t="s">
        <v>84</v>
      </c>
      <c r="BB2" s="302" t="s">
        <v>85</v>
      </c>
      <c r="BC2" s="302" t="s">
        <v>85</v>
      </c>
      <c r="BD2" s="302" t="s">
        <v>85</v>
      </c>
      <c r="BE2" s="302" t="s">
        <v>85</v>
      </c>
      <c r="BF2" s="301" t="s">
        <v>86</v>
      </c>
      <c r="BG2" s="301" t="s">
        <v>86</v>
      </c>
      <c r="BH2" s="301" t="s">
        <v>86</v>
      </c>
      <c r="BI2" s="301" t="s">
        <v>86</v>
      </c>
      <c r="BJ2" s="302" t="s">
        <v>87</v>
      </c>
      <c r="BK2" s="302" t="s">
        <v>87</v>
      </c>
      <c r="BL2" s="302" t="s">
        <v>87</v>
      </c>
      <c r="BM2" s="302" t="s">
        <v>87</v>
      </c>
      <c r="BN2" s="303" t="s">
        <v>88</v>
      </c>
      <c r="BO2" s="303" t="s">
        <v>88</v>
      </c>
      <c r="BP2" s="303" t="s">
        <v>88</v>
      </c>
      <c r="BQ2" s="303" t="s">
        <v>88</v>
      </c>
      <c r="BR2" s="74" t="s">
        <v>89</v>
      </c>
      <c r="BS2" s="74" t="s">
        <v>89</v>
      </c>
      <c r="BT2" s="74" t="s">
        <v>89</v>
      </c>
      <c r="BU2" s="74" t="s">
        <v>89</v>
      </c>
      <c r="BV2" s="302">
        <v>45748</v>
      </c>
      <c r="BW2" s="302">
        <v>45748</v>
      </c>
      <c r="BX2" s="302">
        <v>45748</v>
      </c>
      <c r="BY2" s="302">
        <v>45748</v>
      </c>
      <c r="BZ2" s="304" t="s">
        <v>90</v>
      </c>
      <c r="CA2" s="304" t="s">
        <v>90</v>
      </c>
      <c r="CB2" s="304" t="s">
        <v>90</v>
      </c>
      <c r="CC2" s="304" t="s">
        <v>90</v>
      </c>
      <c r="CD2" s="305" t="s">
        <v>91</v>
      </c>
      <c r="CE2" s="305" t="s">
        <v>91</v>
      </c>
      <c r="CF2" s="305" t="s">
        <v>91</v>
      </c>
      <c r="CG2" s="305" t="s">
        <v>91</v>
      </c>
      <c r="CH2" s="304" t="s">
        <v>92</v>
      </c>
      <c r="CI2" s="304" t="s">
        <v>92</v>
      </c>
      <c r="CJ2" s="304" t="s">
        <v>92</v>
      </c>
      <c r="CK2" s="304" t="s">
        <v>92</v>
      </c>
      <c r="CL2" s="304">
        <v>45894</v>
      </c>
      <c r="CM2" s="304">
        <v>45894</v>
      </c>
      <c r="CN2" s="304">
        <v>45894</v>
      </c>
      <c r="CO2" s="304">
        <v>45894</v>
      </c>
      <c r="CP2" s="76">
        <v>45925</v>
      </c>
      <c r="CQ2" s="76">
        <v>45925</v>
      </c>
      <c r="CR2" s="76">
        <v>45925</v>
      </c>
      <c r="CS2" s="76">
        <v>45925</v>
      </c>
      <c r="CT2" s="86" t="s">
        <v>853</v>
      </c>
      <c r="CU2" s="86" t="s">
        <v>898</v>
      </c>
      <c r="CV2" s="86" t="s">
        <v>898</v>
      </c>
      <c r="CW2" s="86" t="s">
        <v>898</v>
      </c>
      <c r="CX2" s="88" t="s">
        <v>895</v>
      </c>
      <c r="CY2" s="88" t="s">
        <v>895</v>
      </c>
      <c r="CZ2" s="88" t="s">
        <v>895</v>
      </c>
      <c r="DA2" s="88" t="s">
        <v>895</v>
      </c>
      <c r="DB2" s="75" t="s">
        <v>850</v>
      </c>
      <c r="DC2" s="75" t="s">
        <v>850</v>
      </c>
      <c r="DD2" s="75" t="s">
        <v>850</v>
      </c>
      <c r="DE2" s="75" t="s">
        <v>850</v>
      </c>
      <c r="DF2" s="361" t="s">
        <v>953</v>
      </c>
      <c r="DG2" s="361" t="s">
        <v>953</v>
      </c>
      <c r="DH2" s="361" t="s">
        <v>953</v>
      </c>
      <c r="DI2" s="361" t="s">
        <v>953</v>
      </c>
      <c r="DJ2" s="86" t="s">
        <v>954</v>
      </c>
      <c r="DK2" s="86" t="s">
        <v>954</v>
      </c>
      <c r="DL2" s="86" t="s">
        <v>954</v>
      </c>
      <c r="DM2" s="86" t="s">
        <v>954</v>
      </c>
      <c r="DN2" s="361" t="s">
        <v>961</v>
      </c>
      <c r="DO2" s="361" t="s">
        <v>961</v>
      </c>
      <c r="DP2" s="361" t="s">
        <v>961</v>
      </c>
      <c r="DQ2" s="361" t="s">
        <v>961</v>
      </c>
      <c r="DR2" s="74" t="s">
        <v>93</v>
      </c>
      <c r="DS2" s="74" t="s">
        <v>93</v>
      </c>
      <c r="DT2" s="74" t="s">
        <v>93</v>
      </c>
      <c r="DU2" s="74" t="s">
        <v>93</v>
      </c>
    </row>
    <row r="3" spans="1:127" ht="44.1" customHeight="1" x14ac:dyDescent="0.2">
      <c r="A3" s="307" t="s">
        <v>0</v>
      </c>
      <c r="B3" s="308" t="s">
        <v>94</v>
      </c>
      <c r="C3" s="307" t="s">
        <v>95</v>
      </c>
      <c r="D3" s="307" t="s">
        <v>58</v>
      </c>
      <c r="E3" s="307" t="s">
        <v>96</v>
      </c>
      <c r="F3" s="32" t="s">
        <v>97</v>
      </c>
      <c r="G3" s="32" t="s">
        <v>98</v>
      </c>
      <c r="H3" s="32" t="s">
        <v>99</v>
      </c>
      <c r="I3" s="32" t="s">
        <v>100</v>
      </c>
      <c r="J3" s="33" t="s">
        <v>97</v>
      </c>
      <c r="K3" s="33" t="s">
        <v>98</v>
      </c>
      <c r="L3" s="33" t="s">
        <v>99</v>
      </c>
      <c r="M3" s="33" t="s">
        <v>100</v>
      </c>
      <c r="N3" s="32" t="s">
        <v>97</v>
      </c>
      <c r="O3" s="32" t="s">
        <v>98</v>
      </c>
      <c r="P3" s="32" t="s">
        <v>99</v>
      </c>
      <c r="Q3" s="32" t="s">
        <v>100</v>
      </c>
      <c r="R3" s="34" t="s">
        <v>97</v>
      </c>
      <c r="S3" s="34" t="s">
        <v>98</v>
      </c>
      <c r="T3" s="34" t="s">
        <v>99</v>
      </c>
      <c r="U3" s="34" t="s">
        <v>100</v>
      </c>
      <c r="V3" s="33" t="s">
        <v>97</v>
      </c>
      <c r="W3" s="33" t="s">
        <v>98</v>
      </c>
      <c r="X3" s="33" t="s">
        <v>99</v>
      </c>
      <c r="Y3" s="33" t="s">
        <v>100</v>
      </c>
      <c r="Z3" s="32" t="s">
        <v>97</v>
      </c>
      <c r="AA3" s="32" t="s">
        <v>98</v>
      </c>
      <c r="AB3" s="32" t="s">
        <v>99</v>
      </c>
      <c r="AC3" s="32" t="s">
        <v>100</v>
      </c>
      <c r="AD3" s="33" t="s">
        <v>97</v>
      </c>
      <c r="AE3" s="33" t="s">
        <v>98</v>
      </c>
      <c r="AF3" s="33" t="s">
        <v>99</v>
      </c>
      <c r="AG3" s="33" t="s">
        <v>100</v>
      </c>
      <c r="AH3" s="34" t="s">
        <v>97</v>
      </c>
      <c r="AI3" s="34" t="s">
        <v>98</v>
      </c>
      <c r="AJ3" s="34" t="s">
        <v>99</v>
      </c>
      <c r="AK3" s="34" t="s">
        <v>100</v>
      </c>
      <c r="AL3" s="33" t="s">
        <v>97</v>
      </c>
      <c r="AM3" s="33" t="s">
        <v>98</v>
      </c>
      <c r="AN3" s="33" t="s">
        <v>99</v>
      </c>
      <c r="AO3" s="33" t="s">
        <v>100</v>
      </c>
      <c r="AP3" s="32" t="s">
        <v>97</v>
      </c>
      <c r="AQ3" s="32" t="s">
        <v>98</v>
      </c>
      <c r="AR3" s="32" t="s">
        <v>99</v>
      </c>
      <c r="AS3" s="32" t="s">
        <v>100</v>
      </c>
      <c r="AT3" s="33" t="s">
        <v>97</v>
      </c>
      <c r="AU3" s="33" t="s">
        <v>98</v>
      </c>
      <c r="AV3" s="33" t="s">
        <v>99</v>
      </c>
      <c r="AW3" s="33" t="s">
        <v>100</v>
      </c>
      <c r="AX3" s="34" t="s">
        <v>97</v>
      </c>
      <c r="AY3" s="34" t="s">
        <v>98</v>
      </c>
      <c r="AZ3" s="34" t="s">
        <v>99</v>
      </c>
      <c r="BA3" s="34" t="s">
        <v>100</v>
      </c>
      <c r="BB3" s="33" t="s">
        <v>97</v>
      </c>
      <c r="BC3" s="33" t="s">
        <v>98</v>
      </c>
      <c r="BD3" s="33" t="s">
        <v>99</v>
      </c>
      <c r="BE3" s="33" t="s">
        <v>100</v>
      </c>
      <c r="BF3" s="32" t="s">
        <v>97</v>
      </c>
      <c r="BG3" s="32" t="s">
        <v>98</v>
      </c>
      <c r="BH3" s="32" t="s">
        <v>99</v>
      </c>
      <c r="BI3" s="32" t="s">
        <v>100</v>
      </c>
      <c r="BJ3" s="33" t="s">
        <v>97</v>
      </c>
      <c r="BK3" s="33" t="s">
        <v>98</v>
      </c>
      <c r="BL3" s="33" t="s">
        <v>99</v>
      </c>
      <c r="BM3" s="33" t="s">
        <v>100</v>
      </c>
      <c r="BN3" s="34" t="s">
        <v>97</v>
      </c>
      <c r="BO3" s="34" t="s">
        <v>98</v>
      </c>
      <c r="BP3" s="34" t="s">
        <v>99</v>
      </c>
      <c r="BQ3" s="34" t="s">
        <v>100</v>
      </c>
      <c r="BR3" s="35" t="s">
        <v>97</v>
      </c>
      <c r="BS3" s="35" t="s">
        <v>98</v>
      </c>
      <c r="BT3" s="35" t="s">
        <v>99</v>
      </c>
      <c r="BU3" s="35" t="s">
        <v>100</v>
      </c>
      <c r="BV3" s="33" t="s">
        <v>97</v>
      </c>
      <c r="BW3" s="33" t="s">
        <v>98</v>
      </c>
      <c r="BX3" s="33" t="s">
        <v>99</v>
      </c>
      <c r="BY3" s="33" t="s">
        <v>100</v>
      </c>
      <c r="BZ3" s="36" t="s">
        <v>97</v>
      </c>
      <c r="CA3" s="36" t="s">
        <v>98</v>
      </c>
      <c r="CB3" s="36" t="s">
        <v>99</v>
      </c>
      <c r="CC3" s="36" t="s">
        <v>100</v>
      </c>
      <c r="CD3" s="37" t="s">
        <v>97</v>
      </c>
      <c r="CE3" s="37" t="s">
        <v>98</v>
      </c>
      <c r="CF3" s="37" t="s">
        <v>99</v>
      </c>
      <c r="CG3" s="37" t="s">
        <v>100</v>
      </c>
      <c r="CH3" s="36" t="s">
        <v>97</v>
      </c>
      <c r="CI3" s="36" t="s">
        <v>98</v>
      </c>
      <c r="CJ3" s="36" t="s">
        <v>99</v>
      </c>
      <c r="CK3" s="36" t="s">
        <v>100</v>
      </c>
      <c r="CL3" s="36" t="s">
        <v>97</v>
      </c>
      <c r="CM3" s="36" t="s">
        <v>98</v>
      </c>
      <c r="CN3" s="36" t="s">
        <v>99</v>
      </c>
      <c r="CO3" s="36" t="s">
        <v>100</v>
      </c>
      <c r="CP3" s="38" t="s">
        <v>97</v>
      </c>
      <c r="CQ3" s="38" t="s">
        <v>98</v>
      </c>
      <c r="CR3" s="38" t="s">
        <v>99</v>
      </c>
      <c r="CS3" s="38" t="s">
        <v>100</v>
      </c>
      <c r="CT3" s="87" t="s">
        <v>97</v>
      </c>
      <c r="CU3" s="87" t="s">
        <v>98</v>
      </c>
      <c r="CV3" s="87" t="s">
        <v>99</v>
      </c>
      <c r="CW3" s="87" t="s">
        <v>100</v>
      </c>
      <c r="CX3" s="300" t="s">
        <v>97</v>
      </c>
      <c r="CY3" s="300" t="s">
        <v>98</v>
      </c>
      <c r="CZ3" s="300" t="s">
        <v>99</v>
      </c>
      <c r="DA3" s="300" t="s">
        <v>100</v>
      </c>
      <c r="DB3" s="37" t="s">
        <v>97</v>
      </c>
      <c r="DC3" s="37" t="s">
        <v>98</v>
      </c>
      <c r="DD3" s="37" t="s">
        <v>99</v>
      </c>
      <c r="DE3" s="37" t="s">
        <v>100</v>
      </c>
      <c r="DF3" s="362" t="s">
        <v>97</v>
      </c>
      <c r="DG3" s="362" t="s">
        <v>98</v>
      </c>
      <c r="DH3" s="362" t="s">
        <v>99</v>
      </c>
      <c r="DI3" s="362" t="s">
        <v>100</v>
      </c>
      <c r="DJ3" s="87" t="s">
        <v>97</v>
      </c>
      <c r="DK3" s="87" t="s">
        <v>98</v>
      </c>
      <c r="DL3" s="87" t="s">
        <v>99</v>
      </c>
      <c r="DM3" s="87" t="s">
        <v>100</v>
      </c>
      <c r="DN3" s="362" t="s">
        <v>97</v>
      </c>
      <c r="DO3" s="362" t="s">
        <v>98</v>
      </c>
      <c r="DP3" s="362" t="s">
        <v>99</v>
      </c>
      <c r="DQ3" s="362" t="s">
        <v>100</v>
      </c>
      <c r="DR3" s="300" t="s">
        <v>97</v>
      </c>
      <c r="DS3" s="300" t="s">
        <v>98</v>
      </c>
      <c r="DT3" s="300" t="s">
        <v>99</v>
      </c>
      <c r="DU3" s="300" t="s">
        <v>100</v>
      </c>
    </row>
    <row r="4" spans="1:127" s="24" customFormat="1" x14ac:dyDescent="0.2">
      <c r="A4" s="39">
        <v>1</v>
      </c>
      <c r="B4" s="40" t="s">
        <v>101</v>
      </c>
      <c r="C4" s="41" t="s">
        <v>102</v>
      </c>
      <c r="D4" s="364" t="s">
        <v>955</v>
      </c>
      <c r="E4" s="364" t="s">
        <v>65</v>
      </c>
      <c r="F4" s="42">
        <v>0.64</v>
      </c>
      <c r="G4" s="42">
        <v>0.96</v>
      </c>
      <c r="H4" s="42">
        <v>0.69</v>
      </c>
      <c r="I4" s="42">
        <v>0.38</v>
      </c>
      <c r="J4" s="42">
        <f>50/73</f>
        <v>0.68493150684931503</v>
      </c>
      <c r="K4" s="42">
        <f>23/25</f>
        <v>0.92</v>
      </c>
      <c r="L4" s="42">
        <f>10/13</f>
        <v>0.76923076923076927</v>
      </c>
      <c r="M4" s="42">
        <f>17/35</f>
        <v>0.48571428571428571</v>
      </c>
      <c r="N4" s="43" t="str">
        <f>IFERROR(COUNTIFS('Base File'!$V:$V,"Met",'Base File'!$C:$C,B4)/(COUNTIFS('Base File'!$V:$V,"Met",'Base File'!$C:$C,B4)+COUNTIFS('Base File'!$V:$V,"Not Met",'Base File'!$C:$C,B4)),"NR")</f>
        <v>NR</v>
      </c>
      <c r="O4" s="44" t="str">
        <f>IFERROR(COUNTIFS('Base File'!$G:$G,"Contractual SLA",'Base File'!$H:$H,"No",'Base File'!$C:$C,B4,'Base File'!$V:$V,"Met")/SUM(COUNTIFS('Base File'!$G:$G,"Contractual SLA",'Base File'!$H:$H,"No",'Base File'!$C:$C,B4,'Base File'!$V:$V,"Met")+COUNTIFS('Base File'!$G:$G,"Contractual SLA",'Base File'!$H:$H,"No",'Base File'!$C:$C,B4,'Base File'!$V:$V,"Not Met")),"-")</f>
        <v>-</v>
      </c>
      <c r="P4" s="45" t="str">
        <f>IFERROR(COUNTIFS('Base File'!$G:$G,"Contractual SLA",'Base File'!$H:$H,"Yes",'Base File'!$C:$C,B4,'Base File'!$V:$V,"Met")/SUM(COUNTIFS('Base File'!$G:$G,"Contractual SLA",'Base File'!$H:$H,"yes",'Base File'!$C:$C,B4,'Base File'!$V:$V,"Met")+COUNTIFS('Base File'!$G:$G,"Contractual SLA",'Base File'!$H:$H,"yes",'Base File'!$C:$C,B4,'Base File'!$V:$V,"Not Met")),"-")</f>
        <v>-</v>
      </c>
      <c r="Q4" s="46" t="str">
        <f>IFERROR(COUNTIFS('Base File'!$G:$G,"Internal KPI",'Base File'!$C:$C,B4,'Base File'!$V:$V,"Met")/SUM(COUNTIFS('Base File'!$G:$G,"Internal KPI",'Base File'!$C:$C,B4,'Base File'!$V:$V,"Met")+COUNTIFS('Base File'!$G:$G,"Internal KPI",'Base File'!$C:$C,B4,'Base File'!$V:$V,"Not Met")),"-")</f>
        <v>-</v>
      </c>
      <c r="R4" s="43">
        <f t="shared" ref="R4:U8" si="0">BR4</f>
        <v>0.75</v>
      </c>
      <c r="S4" s="44">
        <f t="shared" si="0"/>
        <v>0.9375</v>
      </c>
      <c r="T4" s="47" t="str">
        <f t="shared" si="0"/>
        <v>NR</v>
      </c>
      <c r="U4" s="43">
        <f t="shared" si="0"/>
        <v>0.625</v>
      </c>
      <c r="V4" s="43" t="str">
        <f>IFERROR(COUNTIFS('Base File'!$X:$X,"Met",'Base File'!$C:$C,B4)/(COUNTIFS('Base File'!$X:$X,"Met",'Base File'!$C:$C,B4)+COUNTIFS('Base File'!$X:$X,"Not Met",'Base File'!$C:$C,B4)),"NR")</f>
        <v>NR</v>
      </c>
      <c r="W4" s="44" t="str">
        <f>IFERROR(COUNTIFS('Base File'!$G:$G,"Contractual SLA",'Base File'!$H:$H,"No",'Base File'!$C:$C,B4,'Base File'!$X:$X,"Met")/SUM(COUNTIFS('Base File'!$G:$G,"Contractual SLA",'Base File'!$H:$H,"No",'Base File'!$C:$C,B4,'Base File'!$X:$X,"Met")+COUNTIFS('Base File'!$G:$G,"Contractual SLA",'Base File'!$H:$H,"No",'Base File'!$C:$C,B4,'Base File'!$X:$X,"Not Met")),"-")</f>
        <v>-</v>
      </c>
      <c r="X4" s="46" t="str">
        <f>IFERROR(COUNTIFS('Base File'!$G:$G,"Contractual SLA",'Base File'!$H:$H,"Yes",'Base File'!$C:$C,B4,'Base File'!$X:$X,"Met")/SUM(COUNTIFS('Base File'!$G:$G,"Contractual SLA",'Base File'!$H:$H,"yes",'Base File'!$C:$C,B4,'Base File'!$X:$X,"Met")+COUNTIFS('Base File'!$G:$G,"Contractual SLA",'Base File'!$H:$H,"yes",'Base File'!$C:$C,B4,'Base File'!$X:$X,"Not Met")),"-")</f>
        <v>-</v>
      </c>
      <c r="Y4" s="45" t="str">
        <f>IFERROR(COUNTIFS('Base File'!$G:$G,"Internal KPI",'Base File'!$C:$C,B4,'Base File'!$X:$X,"Met")/SUM(COUNTIFS('Base File'!$G:$G,"Internal KPI",'Base File'!$C:$C,B4,'Base File'!$X:$X,"Met")+COUNTIFS('Base File'!$G:$G,"Internal KPI",'Base File'!$C:$C,B4,'Base File'!$X:$X,"Not Met")),"-")</f>
        <v>-</v>
      </c>
      <c r="Z4" s="43" t="str">
        <f>IFERROR(COUNTIFS('Base File'!$Z:$Z,"Met",'Base File'!$C:$C,B4)/(COUNTIFS('Base File'!$Z:$Z,"Met",'Base File'!$C:$C,B4)+COUNTIFS('Base File'!$Z:$Z,"Not Met",'Base File'!$C:$C,B4)),"NR")</f>
        <v>NR</v>
      </c>
      <c r="AA4" s="44" t="str">
        <f>IFERROR(COUNTIFS('Base File'!$G:$G,"Contractual SLA",'Base File'!$H:$H,"No",'Base File'!$C:$C,B4,'Base File'!$Z:$Z,"Met")/SUM(COUNTIFS('Base File'!$G:$G,"Contractual SLA",'Base File'!$H:$H,"No",'Base File'!$C:$C,B4,'Base File'!$Z:$Z,"Met")+COUNTIFS('Base File'!$G:$G,"Contractual SLA",'Base File'!$H:$H,"No",'Base File'!$C:$C,B4,'Base File'!$Z:$Z,"Not Met")),"-")</f>
        <v>-</v>
      </c>
      <c r="AB4" s="47" t="str">
        <f>IFERROR(COUNTIFS('Base File'!$G:$G,"Contractual SLA",'Base File'!$H:$H,"Yes",'Base File'!$C:$C,B4,'Base File'!$Z:$Z,"Met")/SUM(COUNTIFS('Base File'!$G:$G,"Contractual SLA",'Base File'!$H:$H,"yes",'Base File'!$C:$C,B4,'Base File'!$Z:$Z,"Met")+COUNTIFS('Base File'!$G:$G,"Contractual SLA",'Base File'!$H:$H,"yes",'Base File'!$C:$C,B4,'Base File'!$Z:$Z,"Not Met")),"-")</f>
        <v>-</v>
      </c>
      <c r="AC4" s="43" t="str">
        <f>IFERROR(COUNTIFS('Base File'!$G:$G,"Internal KPI",'Base File'!$C:$C,B4,'Base File'!$Z:$Z,"Met")/SUM(COUNTIFS('Base File'!$G:$G,"Internal KPI",'Base File'!$C:$C,B4,'Base File'!$Z:$Z,"Met")+COUNTIFS('Base File'!$G:$G,"Internal KPI",'Base File'!$C:$C,B4,'Base File'!$Z:$Z,"Not Met")),"-")</f>
        <v>-</v>
      </c>
      <c r="AD4" s="44" t="str">
        <f>IFERROR(COUNTIFS('Base File'!$AB:$AB,"Met",'Base File'!$C:$C,B4)/(COUNTIFS('Base File'!$AB:$AB,"Met",'Base File'!$C:$C,B4)+COUNTIFS('Base File'!$AB:$AB,"Not Met",'Base File'!$C:$C,B4)),"NR")</f>
        <v>NR</v>
      </c>
      <c r="AE4" s="44" t="str">
        <f>IFERROR(COUNTIFS('Base File'!$G:$G,"Contractual SLA",'Base File'!$H:$H,"No",'Base File'!$C:$C,B4,'Base File'!$AB:$AB,"Met")/SUM(COUNTIFS('Base File'!$G:$G,"Contractual SLA",'Base File'!$H:$H,"No",'Base File'!$C:$C,B4,'Base File'!$AB:$AB,"Met")+COUNTIFS('Base File'!$G:$G,"Contractual SLA",'Base File'!$H:$H,"No",'Base File'!$C:$C,B4,'Base File'!$AB:$AB,"Not Met")),"-")</f>
        <v>-</v>
      </c>
      <c r="AF4" s="47" t="str">
        <f>IFERROR(COUNTIFS('Base File'!$G:$G,"Contractual SLA",'Base File'!$H:$H,"Yes",'Base File'!$C:$C,B4,'Base File'!$AB:$AB,"Met")/SUM(COUNTIFS('Base File'!$G:$G,"Contractual SLA",'Base File'!$H:$H,"yes",'Base File'!$C:$C,B4,'Base File'!$AB:$AB,"Met")+COUNTIFS('Base File'!$G:$G,"Contractual SLA",'Base File'!$H:$H,"yes",'Base File'!$C:$C,B4,'Base File'!$AB:$AB,"Not Met")),"-")</f>
        <v>-</v>
      </c>
      <c r="AG4" s="43" t="str">
        <f>IFERROR(COUNTIFS('Base File'!$G:$G,"Internal KPI",'Base File'!$C:$C,B4,'Base File'!$AB:$AB,"Met")/SUM(COUNTIFS('Base File'!$G:$G,"Internal KPI",'Base File'!$C:$C,B4,'Base File'!$AB:$AB,"Met")+COUNTIFS('Base File'!$G:$G,"Internal KPI",'Base File'!$C:$C,B4,'Base File'!$AB:$AB,"Not Met")),"-")</f>
        <v>-</v>
      </c>
      <c r="AH4" s="44" t="str">
        <f>IFERROR(COUNTIFS('Base File'!$AD:$AD,"Met",'Base File'!$C:$C,B4)/(COUNTIFS('Base File'!$AD:$AD,"Met",'Base File'!$C:$C,B4)+COUNTIFS('Base File'!$AD:$AD,"Not Met",'Base File'!$C:$C,B4)),"NR")</f>
        <v>NR</v>
      </c>
      <c r="AI4" s="42" t="str">
        <f>IFERROR(COUNTIFS('Base File'!$G:$G,"Contractual SLA",'Base File'!$H:$H,"No",'Base File'!$C:$C,B4,'Base File'!$AD:$AD,"Met")/SUM(COUNTIFS('Base File'!$G:$G,"Contractual SLA",'Base File'!$H:$H,"No",'Base File'!$C:$C,B4,'Base File'!$AD:$AD,"Met")+COUNTIFS('Base File'!$G:$G,"Contractual SLA",'Base File'!$H:$H,"No",'Base File'!$C:$C,B4,'Base File'!$AD:$AD,"Not Met")),"-")</f>
        <v>-</v>
      </c>
      <c r="AJ4" s="44" t="str">
        <f>IFERROR(COUNTIFS('Base File'!$G:$G,"Contractual SLA",'Base File'!$H:$H,"Yes",'Base File'!$C:$C,B4,'Base File'!$AD:$AD,"Met")/SUM(COUNTIFS('Base File'!$G:$G,"Contractual SLA",'Base File'!$H:$H,"yes",'Base File'!$C:$C,B4,'Base File'!$AD:$AD,"Met")+COUNTIFS('Base File'!$G:$G,"Contractual SLA",'Base File'!$H:$H,"yes",'Base File'!$C:$C,B4,'Base File'!$AD:$AD,"Not Met")),"-")</f>
        <v>-</v>
      </c>
      <c r="AK4" s="42" t="str">
        <f>IFERROR(COUNTIFS('Base File'!$G:$G,"Internal KPI",'Base File'!$C:$C,B4,'Base File'!$AD:$AD,"Met")/SUM(COUNTIFS('Base File'!$G:$G,"Internal KPI",'Base File'!$C:$C,B4,'Base File'!$AD:$AD,"Met")+COUNTIFS('Base File'!$G:$G,"Internal KPI",'Base File'!$C:$C,B4,'Base File'!$AD:$AD,"Not Met")),"-")</f>
        <v>-</v>
      </c>
      <c r="AL4" s="44">
        <f>25/33</f>
        <v>0.75757575757575757</v>
      </c>
      <c r="AM4" s="44">
        <f>15/15</f>
        <v>1</v>
      </c>
      <c r="AN4" s="42" t="s">
        <v>103</v>
      </c>
      <c r="AO4" s="43">
        <f>10/18</f>
        <v>0.55555555555555558</v>
      </c>
      <c r="AP4" s="43">
        <f>23/33</f>
        <v>0.69696969696969702</v>
      </c>
      <c r="AQ4" s="44">
        <f>13/15</f>
        <v>0.8666666666666667</v>
      </c>
      <c r="AR4" s="42" t="s">
        <v>103</v>
      </c>
      <c r="AS4" s="43">
        <f>10/18</f>
        <v>0.55555555555555558</v>
      </c>
      <c r="AT4" s="43">
        <f>24/33</f>
        <v>0.72727272727272729</v>
      </c>
      <c r="AU4" s="44">
        <f>14/15</f>
        <v>0.93333333333333335</v>
      </c>
      <c r="AV4" s="42" t="s">
        <v>103</v>
      </c>
      <c r="AW4" s="43">
        <f>10/18</f>
        <v>0.55555555555555558</v>
      </c>
      <c r="AX4" s="42" t="s">
        <v>103</v>
      </c>
      <c r="AY4" s="42" t="s">
        <v>103</v>
      </c>
      <c r="AZ4" s="42" t="s">
        <v>103</v>
      </c>
      <c r="BA4" s="42" t="s">
        <v>103</v>
      </c>
      <c r="BB4" s="44">
        <f>25/33</f>
        <v>0.75757575757575757</v>
      </c>
      <c r="BC4" s="44">
        <f>14/15</f>
        <v>0.93333333333333335</v>
      </c>
      <c r="BD4" s="42" t="s">
        <v>103</v>
      </c>
      <c r="BE4" s="43">
        <f>11/18</f>
        <v>0.61111111111111116</v>
      </c>
      <c r="BF4" s="43">
        <f>27/40</f>
        <v>0.67500000000000004</v>
      </c>
      <c r="BG4" s="44">
        <f>12/16</f>
        <v>0.75</v>
      </c>
      <c r="BH4" s="42" t="s">
        <v>103</v>
      </c>
      <c r="BI4" s="43">
        <f>15/24</f>
        <v>0.625</v>
      </c>
      <c r="BJ4" s="43">
        <f>27/40</f>
        <v>0.67500000000000004</v>
      </c>
      <c r="BK4" s="44">
        <f>12/16</f>
        <v>0.75</v>
      </c>
      <c r="BL4" s="42" t="s">
        <v>103</v>
      </c>
      <c r="BM4" s="43">
        <f>15/24</f>
        <v>0.625</v>
      </c>
      <c r="BN4" s="43">
        <f>28/40</f>
        <v>0.7</v>
      </c>
      <c r="BO4" s="44">
        <f>14/16</f>
        <v>0.875</v>
      </c>
      <c r="BP4" s="42" t="s">
        <v>103</v>
      </c>
      <c r="BQ4" s="43">
        <f>14/24</f>
        <v>0.58333333333333337</v>
      </c>
      <c r="BR4" s="44">
        <f>30/40</f>
        <v>0.75</v>
      </c>
      <c r="BS4" s="44">
        <f>15/16</f>
        <v>0.9375</v>
      </c>
      <c r="BT4" s="42" t="s">
        <v>103</v>
      </c>
      <c r="BU4" s="43">
        <f>15/24</f>
        <v>0.625</v>
      </c>
      <c r="BV4" s="48">
        <f>32/40</f>
        <v>0.8</v>
      </c>
      <c r="BW4" s="48">
        <f>14/16</f>
        <v>0.875</v>
      </c>
      <c r="BX4" s="49" t="s">
        <v>103</v>
      </c>
      <c r="BY4" s="48">
        <f>18/24</f>
        <v>0.75</v>
      </c>
      <c r="BZ4" s="48">
        <f>33/41</f>
        <v>0.80487804878048785</v>
      </c>
      <c r="CA4" s="48">
        <f>14/16</f>
        <v>0.875</v>
      </c>
      <c r="CB4" s="50" t="s">
        <v>103</v>
      </c>
      <c r="CC4" s="48">
        <f>19/25</f>
        <v>0.76</v>
      </c>
      <c r="CD4" s="48">
        <f>33/41</f>
        <v>0.80487804878048785</v>
      </c>
      <c r="CE4" s="48">
        <f>15/16</f>
        <v>0.9375</v>
      </c>
      <c r="CF4" s="49" t="s">
        <v>103</v>
      </c>
      <c r="CG4" s="51">
        <f>18/25</f>
        <v>0.72</v>
      </c>
      <c r="CH4" s="51">
        <f>28/40</f>
        <v>0.7</v>
      </c>
      <c r="CI4" s="51">
        <f>10/15</f>
        <v>0.66666666666666663</v>
      </c>
      <c r="CJ4" s="50" t="s">
        <v>103</v>
      </c>
      <c r="CK4" s="51">
        <f>18/25</f>
        <v>0.72</v>
      </c>
      <c r="CL4" s="51">
        <f>28/40</f>
        <v>0.7</v>
      </c>
      <c r="CM4" s="48">
        <f>13/15</f>
        <v>0.8666666666666667</v>
      </c>
      <c r="CN4" s="50" t="s">
        <v>103</v>
      </c>
      <c r="CO4" s="51">
        <f>15/25</f>
        <v>0.6</v>
      </c>
      <c r="CP4" s="48">
        <f>6/7</f>
        <v>0.8571428571428571</v>
      </c>
      <c r="CQ4" s="50" t="s">
        <v>103</v>
      </c>
      <c r="CR4" s="50" t="s">
        <v>103</v>
      </c>
      <c r="CS4" s="48">
        <f>6/7</f>
        <v>0.8571428571428571</v>
      </c>
      <c r="CT4" s="48">
        <f>31/40</f>
        <v>0.77500000000000002</v>
      </c>
      <c r="CU4" s="48">
        <f>14/15</f>
        <v>0.93333333333333335</v>
      </c>
      <c r="CV4" s="50" t="s">
        <v>103</v>
      </c>
      <c r="CW4" s="51">
        <f>17/25</f>
        <v>0.68</v>
      </c>
      <c r="CX4" s="370"/>
      <c r="CY4" s="370"/>
      <c r="CZ4" s="370"/>
      <c r="DA4" s="370"/>
      <c r="DB4" s="298"/>
      <c r="DC4" s="298"/>
      <c r="DD4" s="298"/>
      <c r="DE4" s="298"/>
      <c r="DF4" s="368">
        <f>6/7</f>
        <v>0.8571428571428571</v>
      </c>
      <c r="DG4" s="298" t="s">
        <v>103</v>
      </c>
      <c r="DH4" s="298" t="s">
        <v>103</v>
      </c>
      <c r="DI4" s="368">
        <f>6/7</f>
        <v>0.8571428571428571</v>
      </c>
      <c r="DJ4" s="368">
        <f>6/7</f>
        <v>0.8571428571428571</v>
      </c>
      <c r="DK4" s="298" t="s">
        <v>103</v>
      </c>
      <c r="DL4" s="298" t="s">
        <v>103</v>
      </c>
      <c r="DM4" s="368">
        <f>6/7</f>
        <v>0.8571428571428571</v>
      </c>
      <c r="DN4" s="439">
        <f>34/48</f>
        <v>0.70833333333333337</v>
      </c>
      <c r="DO4" s="439">
        <f>15/15</f>
        <v>1</v>
      </c>
      <c r="DP4" s="439">
        <f>0/2</f>
        <v>0</v>
      </c>
      <c r="DQ4" s="439">
        <f>19/31</f>
        <v>0.61290322580645162</v>
      </c>
      <c r="DR4" s="439">
        <f>37/48</f>
        <v>0.77083333333333337</v>
      </c>
      <c r="DS4" s="439">
        <f>14/15</f>
        <v>0.93333333333333335</v>
      </c>
      <c r="DT4" s="440">
        <f>1/2</f>
        <v>0.5</v>
      </c>
      <c r="DU4" s="441">
        <f>22/31</f>
        <v>0.70967741935483875</v>
      </c>
    </row>
    <row r="5" spans="1:127" s="24" customFormat="1" x14ac:dyDescent="0.2">
      <c r="A5" s="39">
        <v>2</v>
      </c>
      <c r="B5" s="40" t="s">
        <v>104</v>
      </c>
      <c r="C5" s="52" t="s">
        <v>105</v>
      </c>
      <c r="D5" s="364" t="s">
        <v>955</v>
      </c>
      <c r="E5" s="364" t="s">
        <v>65</v>
      </c>
      <c r="F5" s="42">
        <f>8/8</f>
        <v>1</v>
      </c>
      <c r="G5" s="42" t="s">
        <v>103</v>
      </c>
      <c r="H5" s="42" t="s">
        <v>11</v>
      </c>
      <c r="I5" s="42" t="s">
        <v>103</v>
      </c>
      <c r="J5" s="42">
        <f>11/13</f>
        <v>0.84615384615384615</v>
      </c>
      <c r="K5" s="42">
        <f>8/8</f>
        <v>1</v>
      </c>
      <c r="L5" s="42" t="s">
        <v>11</v>
      </c>
      <c r="M5" s="42">
        <f>3/5</f>
        <v>0.6</v>
      </c>
      <c r="N5" s="43" t="str">
        <f>IFERROR(COUNTIFS('Base File'!$V:$V,"Met",'Base File'!$C:$C,B5)/(COUNTIFS('Base File'!$V:$V,"Met",'Base File'!$C:$C,B5)+COUNTIFS('Base File'!$V:$V,"Not Met",'Base File'!$C:$C,B5)),"NR")</f>
        <v>NR</v>
      </c>
      <c r="O5" s="44" t="str">
        <f>IFERROR(COUNTIFS('Base File'!$G:$G,"Contractual SLA",'Base File'!$H:$H,"No",'Base File'!$C:$C,B5,'Base File'!$V:$V,"Met")/SUM(COUNTIFS('Base File'!$G:$G,"Contractual SLA",'Base File'!$H:$H,"No",'Base File'!$C:$C,B5,'Base File'!$V:$V,"Met")+COUNTIFS('Base File'!$G:$G,"Contractual SLA",'Base File'!$H:$H,"No",'Base File'!$C:$C,B5,'Base File'!$V:$V,"Not Met")),"-")</f>
        <v>-</v>
      </c>
      <c r="P5" s="45" t="str">
        <f>IFERROR(COUNTIFS('Base File'!$G:$G,"Contractual SLA",'Base File'!$H:$H,"Yes",'Base File'!$C:$C,B5,'Base File'!$V:$V,"Met")/SUM(COUNTIFS('Base File'!$G:$G,"Contractual SLA",'Base File'!$H:$H,"yes",'Base File'!$C:$C,B5,'Base File'!$V:$V,"Met")+COUNTIFS('Base File'!$G:$G,"Contractual SLA",'Base File'!$H:$H,"yes",'Base File'!$C:$C,B5,'Base File'!$V:$V,"Not Met")),"-")</f>
        <v>-</v>
      </c>
      <c r="Q5" s="46" t="str">
        <f>IFERROR(COUNTIFS('Base File'!$G:$G,"Internal KPI",'Base File'!$C:$C,B5,'Base File'!$V:$V,"Met")/SUM(COUNTIFS('Base File'!$G:$G,"Internal KPI",'Base File'!$C:$C,B5,'Base File'!$V:$V,"Met")+COUNTIFS('Base File'!$G:$G,"Internal KPI",'Base File'!$C:$C,B5,'Base File'!$V:$V,"Not Met")),"-")</f>
        <v>-</v>
      </c>
      <c r="R5" s="43">
        <f t="shared" si="0"/>
        <v>0.57894736842105265</v>
      </c>
      <c r="S5" s="44">
        <f t="shared" si="0"/>
        <v>1</v>
      </c>
      <c r="T5" s="42" t="str">
        <f t="shared" si="0"/>
        <v>NA</v>
      </c>
      <c r="U5" s="47">
        <f t="shared" si="0"/>
        <v>0</v>
      </c>
      <c r="V5" s="43" t="str">
        <f>IFERROR(COUNTIFS('Base File'!$X:$X,"Met",'Base File'!$C:$C,B5)/(COUNTIFS('Base File'!$X:$X,"Met",'Base File'!$C:$C,B5)+COUNTIFS('Base File'!$X:$X,"Not Met",'Base File'!$C:$C,B5)),"NR")</f>
        <v>NR</v>
      </c>
      <c r="W5" s="44" t="str">
        <f>IFERROR(COUNTIFS('Base File'!$G:$G,"Contractual SLA",'Base File'!$H:$H,"No",'Base File'!$C:$C,B5,'Base File'!$X:$X,"Met")/SUM(COUNTIFS('Base File'!$G:$G,"Contractual SLA",'Base File'!$H:$H,"No",'Base File'!$C:$C,B5,'Base File'!$X:$X,"Met")+COUNTIFS('Base File'!$G:$G,"Contractual SLA",'Base File'!$H:$H,"No",'Base File'!$C:$C,B5,'Base File'!$X:$X,"Not Met")),"-")</f>
        <v>-</v>
      </c>
      <c r="X5" s="53" t="str">
        <f>IFERROR(COUNTIFS('Base File'!$G:$G,"Contractual SLA",'Base File'!$H:$H,"Yes",'Base File'!$C:$C,B5,'Base File'!$X:$X,"Met")/SUM(COUNTIFS('Base File'!$G:$G,"Contractual SLA",'Base File'!$H:$H,"yes",'Base File'!$C:$C,B5,'Base File'!$X:$X,"Met")+COUNTIFS('Base File'!$G:$G,"Contractual SLA",'Base File'!$H:$H,"yes",'Base File'!$C:$C,B5,'Base File'!$X:$X,"Not Met")),"-")</f>
        <v>-</v>
      </c>
      <c r="Y5" s="54" t="str">
        <f>IFERROR(COUNTIFS('Base File'!$G:$G,"Internal KPI",'Base File'!$C:$C,B5,'Base File'!$X:$X,"Met")/SUM(COUNTIFS('Base File'!$G:$G,"Internal KPI",'Base File'!$C:$C,B5,'Base File'!$X:$X,"Met")+COUNTIFS('Base File'!$G:$G,"Internal KPI",'Base File'!$C:$C,B5,'Base File'!$X:$X,"Not Met")),"-")</f>
        <v>-</v>
      </c>
      <c r="Z5" s="43" t="str">
        <f>IFERROR(COUNTIFS('Base File'!$Z:$Z,"Met",'Base File'!$C:$C,B5)/(COUNTIFS('Base File'!$Z:$Z,"Met",'Base File'!$C:$C,B5)+COUNTIFS('Base File'!$Z:$Z,"Not Met",'Base File'!$C:$C,B5)),"NR")</f>
        <v>NR</v>
      </c>
      <c r="AA5" s="44" t="str">
        <f>IFERROR(COUNTIFS('Base File'!$G:$G,"Contractual SLA",'Base File'!$H:$H,"No",'Base File'!$C:$C,B5,'Base File'!$Z:$Z,"Met")/SUM(COUNTIFS('Base File'!$G:$G,"Contractual SLA",'Base File'!$H:$H,"No",'Base File'!$C:$C,B5,'Base File'!$Z:$Z,"Met")+COUNTIFS('Base File'!$G:$G,"Contractual SLA",'Base File'!$H:$H,"No",'Base File'!$C:$C,B5,'Base File'!$Z:$Z,"Not Met")),"-")</f>
        <v>-</v>
      </c>
      <c r="AB5" s="42" t="str">
        <f>IFERROR(COUNTIFS('Base File'!$G:$G,"Contractual SLA",'Base File'!$H:$H,"Yes",'Base File'!$C:$C,B5,'Base File'!$Z:$Z,"Met")/SUM(COUNTIFS('Base File'!$G:$G,"Contractual SLA",'Base File'!$H:$H,"yes",'Base File'!$C:$C,B5,'Base File'!$Z:$Z,"Met")+COUNTIFS('Base File'!$G:$G,"Contractual SLA",'Base File'!$H:$H,"yes",'Base File'!$C:$C,B5,'Base File'!$Z:$Z,"Not Met")),"-")</f>
        <v>-</v>
      </c>
      <c r="AC5" s="43" t="str">
        <f>IFERROR(COUNTIFS('Base File'!$G:$G,"Internal KPI",'Base File'!$C:$C,B5,'Base File'!$Z:$Z,"Met")/SUM(COUNTIFS('Base File'!$G:$G,"Internal KPI",'Base File'!$C:$C,B5,'Base File'!$Z:$Z,"Met")+COUNTIFS('Base File'!$G:$G,"Internal KPI",'Base File'!$C:$C,B5,'Base File'!$Z:$Z,"Not Met")),"-")</f>
        <v>-</v>
      </c>
      <c r="AD5" s="44" t="str">
        <f>IFERROR(COUNTIFS('Base File'!$AB:$AB,"Met",'Base File'!$C:$C,B5)/(COUNTIFS('Base File'!$AB:$AB,"Met",'Base File'!$C:$C,B5)+COUNTIFS('Base File'!$AB:$AB,"Not Met",'Base File'!$C:$C,B5)),"NR")</f>
        <v>NR</v>
      </c>
      <c r="AE5" s="44" t="str">
        <f>IFERROR(COUNTIFS('Base File'!$G:$G,"Contractual SLA",'Base File'!$H:$H,"No",'Base File'!$C:$C,B5,'Base File'!$AB:$AB,"Met")/SUM(COUNTIFS('Base File'!$G:$G,"Contractual SLA",'Base File'!$H:$H,"No",'Base File'!$C:$C,B5,'Base File'!$AB:$AB,"Met")+COUNTIFS('Base File'!$G:$G,"Contractual SLA",'Base File'!$H:$H,"No",'Base File'!$C:$C,B5,'Base File'!$AB:$AB,"Not Met")),"-")</f>
        <v>-</v>
      </c>
      <c r="AF5" s="42" t="str">
        <f>IFERROR(COUNTIFS('Base File'!$G:$G,"Contractual SLA",'Base File'!$H:$H,"Yes",'Base File'!$C:$C,B5,'Base File'!$AB:$AB,"Met")/SUM(COUNTIFS('Base File'!$G:$G,"Contractual SLA",'Base File'!$H:$H,"yes",'Base File'!$C:$C,B5,'Base File'!$AB:$AB,"Met")+COUNTIFS('Base File'!$G:$G,"Contractual SLA",'Base File'!$H:$H,"yes",'Base File'!$C:$C,B5,'Base File'!$AB:$AB,"Not Met")),"-")</f>
        <v>-</v>
      </c>
      <c r="AG5" s="47" t="str">
        <f>IFERROR(COUNTIFS('Base File'!$G:$G,"Internal KPI",'Base File'!$C:$C,B5,'Base File'!$AB:$AB,"Met")/SUM(COUNTIFS('Base File'!$G:$G,"Internal KPI",'Base File'!$C:$C,B5,'Base File'!$AB:$AB,"Met")+COUNTIFS('Base File'!$G:$G,"Internal KPI",'Base File'!$C:$C,B5,'Base File'!$AB:$AB,"Not Met")),"-")</f>
        <v>-</v>
      </c>
      <c r="AH5" s="44" t="str">
        <f>IFERROR(COUNTIFS('Base File'!$AD:$AD,"Met",'Base File'!$C:$C,B5)/(COUNTIFS('Base File'!$AD:$AD,"Met",'Base File'!$C:$C,B5)+COUNTIFS('Base File'!$AD:$AD,"Not Met",'Base File'!$C:$C,B5)),"NR")</f>
        <v>NR</v>
      </c>
      <c r="AI5" s="44" t="str">
        <f>IFERROR(COUNTIFS('Base File'!$G:$G,"Contractual SLA",'Base File'!$H:$H,"No",'Base File'!$C:$C,B5,'Base File'!$AD:$AD,"Met")/SUM(COUNTIFS('Base File'!$G:$G,"Contractual SLA",'Base File'!$H:$H,"No",'Base File'!$C:$C,B5,'Base File'!$AD:$AD,"Met")+COUNTIFS('Base File'!$G:$G,"Contractual SLA",'Base File'!$H:$H,"No",'Base File'!$C:$C,B5,'Base File'!$AD:$AD,"Not Met")),"-")</f>
        <v>-</v>
      </c>
      <c r="AJ5" s="42" t="str">
        <f>IFERROR(COUNTIFS('Base File'!$G:$G,"Contractual SLA",'Base File'!$H:$H,"Yes",'Base File'!$C:$C,B5,'Base File'!$AD:$AD,"Met")/SUM(COUNTIFS('Base File'!$G:$G,"Contractual SLA",'Base File'!$H:$H,"yes",'Base File'!$C:$C,B5,'Base File'!$AD:$AD,"Met")+COUNTIFS('Base File'!$G:$G,"Contractual SLA",'Base File'!$H:$H,"yes",'Base File'!$C:$C,B5,'Base File'!$AD:$AD,"Not Met")),"-")</f>
        <v>-</v>
      </c>
      <c r="AK5" s="42" t="str">
        <f>IFERROR(COUNTIFS('Base File'!$G:$G,"Internal KPI",'Base File'!$C:$C,B5,'Base File'!$AD:$AD,"Met")/SUM(COUNTIFS('Base File'!$G:$G,"Internal KPI",'Base File'!$C:$C,B5,'Base File'!$AD:$AD,"Met")+COUNTIFS('Base File'!$G:$G,"Internal KPI",'Base File'!$C:$C,B5,'Base File'!$AD:$AD,"Not Met")),"-")</f>
        <v>-</v>
      </c>
      <c r="AL5" s="43" t="str">
        <f>IFERROR(COUNTIFS('Base File'!$AF:$AF,"Met",'Base File'!$C:$C,B5)/(COUNTIFS('Base File'!$AF:$AF,"Met",'Base File'!$C:$C,B5)+COUNTIFS('Base File'!$AF:$AF,"Not Met",'Base File'!$C:$C,B5)),"NR")</f>
        <v>NR</v>
      </c>
      <c r="AM5" s="44" t="str">
        <f>IFERROR(COUNTIFS('Base File'!$G:$G,"Contractual SLA",'Base File'!$H:$H,"No",'Base File'!$C:$C,B5,'Base File'!$AF:$AF,"Met")/SUM(COUNTIFS('Base File'!$G:$G,"Contractual SLA",'Base File'!$H:$H,"No",'Base File'!$C:$C,B5,'Base File'!$AF:$AF,"Met")+COUNTIFS('Base File'!$G:$G,"Contractual SLA",'Base File'!$H:$H,"No",'Base File'!$C:$C,B5,'Base File'!$AF:$AF,"Not Met")),"-")</f>
        <v>-</v>
      </c>
      <c r="AN5" s="42" t="str">
        <f>IFERROR(COUNTIFS('Base File'!$G:$G,"Contractual SLA",'Base File'!$H:$H,"Yes",'Base File'!$C:$C,B5,'Base File'!$AF:$AF,"Met")/SUM(COUNTIFS('Base File'!$G:$G,"Contractual SLA",'Base File'!$H:$H,"yes",'Base File'!$C:$C,B5,'Base File'!$AF:$AF,"Met")+COUNTIFS('Base File'!$G:$G,"Contractual SLA",'Base File'!$H:$H,"yes",'Base File'!$C:$C,B5,'Base File'!$AF:$AF,"Not Met")),"-")</f>
        <v>-</v>
      </c>
      <c r="AO5" s="47" t="str">
        <f>IFERROR(COUNTIFS('Base File'!$G:$G,"Internal KPI",'Base File'!$C:$C,B5,'Base File'!$AF:$AF,"Met")/SUM(COUNTIFS('Base File'!$G:$G,"Internal KPI",'Base File'!$C:$C,B5,'Base File'!$AF:$AF,"Met")+COUNTIFS('Base File'!$G:$G,"Internal KPI",'Base File'!$C:$C,B5,'Base File'!$AF:$AF,"Not Met")),"-")</f>
        <v>-</v>
      </c>
      <c r="AP5" s="43" t="str">
        <f>IFERROR(COUNTIFS('Base File'!$AH:$AH,"Met",'Base File'!$C:$C,B5)/(COUNTIFS('Base File'!$AH:$AH,"Met",'Base File'!$C:$C,B5)+COUNTIFS('Base File'!$AH:$AH,"Not Met",'Base File'!$C:$C,B5)),"NR")</f>
        <v>NR</v>
      </c>
      <c r="AQ5" s="44" t="str">
        <f>IFERROR(COUNTIFS('Base File'!$G:$G,"Contractual SLA",'Base File'!$H:$H,"No",'Base File'!$C:$C,B5,'Base File'!$AH:$AH,"Met")/SUM(COUNTIFS('Base File'!$G:$G,"Contractual SLA",'Base File'!$H:$H,"No",'Base File'!$C:$C,B5,'Base File'!$AH:$AH,"Met")+COUNTIFS('Base File'!$G:$G,"Contractual SLA",'Base File'!$H:$H,"No",'Base File'!$C:$C,B5,'Base File'!$AH:$AH,"Not Met")),"-")</f>
        <v>-</v>
      </c>
      <c r="AR5" s="42" t="str">
        <f>IFERROR(COUNTIFS('Base File'!$G:$G,"Contractual SLA",'Base File'!$H:$H,"Yes",'Base File'!$C:$C,B5,'Base File'!$AH:$AH,"Met")/SUM(COUNTIFS('Base File'!$G:$G,"Contractual SLA",'Base File'!$H:$H,"yes",'Base File'!$C:$C,B5,'Base File'!$AH:$AH,"Met")+COUNTIFS('Base File'!$G:$G,"Contractual SLA",'Base File'!$H:$H,"yes",'Base File'!$C:$C,B5,'Base File'!$AH:$AH,"Not Met")),"-")</f>
        <v>-</v>
      </c>
      <c r="AS5" s="47" t="str">
        <f>IFERROR(COUNTIFS('Base File'!$G:$G,"Internal KPI",'Base File'!$C:$C,B5,'Base File'!$AH:$AH,"Met")/SUM(COUNTIFS('Base File'!$G:$G,"Internal KPI",'Base File'!$C:$C,B5,'Base File'!$AH:$AH,"Met")+COUNTIFS('Base File'!$G:$G,"Internal KPI",'Base File'!$C:$C,B5,'Base File'!$AH:$AH,"Not Met")),"-")</f>
        <v>-</v>
      </c>
      <c r="AT5" s="43">
        <f>22/33</f>
        <v>0.66666666666666663</v>
      </c>
      <c r="AU5" s="44">
        <f>10/11</f>
        <v>0.90909090909090906</v>
      </c>
      <c r="AV5" s="44">
        <f>7/7</f>
        <v>1</v>
      </c>
      <c r="AW5" s="47">
        <f>5/15</f>
        <v>0.33333333333333331</v>
      </c>
      <c r="AX5" s="43">
        <f>17/23</f>
        <v>0.73913043478260865</v>
      </c>
      <c r="AY5" s="44">
        <f>8/8</f>
        <v>1</v>
      </c>
      <c r="AZ5" s="44">
        <f>7/7</f>
        <v>1</v>
      </c>
      <c r="BA5" s="47">
        <f>2/8</f>
        <v>0.25</v>
      </c>
      <c r="BB5" s="44">
        <f>20/26</f>
        <v>0.76923076923076927</v>
      </c>
      <c r="BC5" s="44">
        <f>10/11</f>
        <v>0.90909090909090906</v>
      </c>
      <c r="BD5" s="44">
        <f>7/7</f>
        <v>1</v>
      </c>
      <c r="BE5" s="47">
        <f>3/8</f>
        <v>0.375</v>
      </c>
      <c r="BF5" s="44">
        <f>21/27</f>
        <v>0.77777777777777779</v>
      </c>
      <c r="BG5" s="44">
        <f>11/11</f>
        <v>1</v>
      </c>
      <c r="BH5" s="44">
        <f>7/7</f>
        <v>1</v>
      </c>
      <c r="BI5" s="47">
        <f>3/9</f>
        <v>0.33333333333333331</v>
      </c>
      <c r="BJ5" s="43">
        <f>14/19</f>
        <v>0.73684210526315785</v>
      </c>
      <c r="BK5" s="44">
        <v>1</v>
      </c>
      <c r="BL5" s="42" t="s">
        <v>11</v>
      </c>
      <c r="BM5" s="47">
        <f>3/8</f>
        <v>0.375</v>
      </c>
      <c r="BN5" s="43">
        <f>12/19</f>
        <v>0.63157894736842102</v>
      </c>
      <c r="BO5" s="44">
        <v>1</v>
      </c>
      <c r="BP5" s="42" t="s">
        <v>11</v>
      </c>
      <c r="BQ5" s="47">
        <f>1/8</f>
        <v>0.125</v>
      </c>
      <c r="BR5" s="45">
        <f>11/19</f>
        <v>0.57894736842105265</v>
      </c>
      <c r="BS5" s="46">
        <f>11/11</f>
        <v>1</v>
      </c>
      <c r="BT5" s="44" t="s">
        <v>11</v>
      </c>
      <c r="BU5" s="47">
        <f>0/8</f>
        <v>0</v>
      </c>
      <c r="BV5" s="51">
        <f>9/14</f>
        <v>0.6428571428571429</v>
      </c>
      <c r="BW5" s="48">
        <f>8/8</f>
        <v>1</v>
      </c>
      <c r="BX5" s="49" t="s">
        <v>11</v>
      </c>
      <c r="BY5" s="55">
        <f>1/6</f>
        <v>0.16666666666666666</v>
      </c>
      <c r="BZ5" s="51">
        <f>14/20</f>
        <v>0.7</v>
      </c>
      <c r="CA5" s="51">
        <f>14/20</f>
        <v>0.7</v>
      </c>
      <c r="CB5" s="50" t="s">
        <v>11</v>
      </c>
      <c r="CC5" s="55">
        <f>3/9</f>
        <v>0.33333333333333331</v>
      </c>
      <c r="CD5" s="51">
        <f>15/21</f>
        <v>0.7142857142857143</v>
      </c>
      <c r="CE5" s="51">
        <f>15/21</f>
        <v>0.7142857142857143</v>
      </c>
      <c r="CF5" s="49" t="s">
        <v>11</v>
      </c>
      <c r="CG5" s="55">
        <f>3/9</f>
        <v>0.33333333333333331</v>
      </c>
      <c r="CH5" s="51">
        <f>8/16</f>
        <v>0.5</v>
      </c>
      <c r="CI5" s="48">
        <f>8/8</f>
        <v>1</v>
      </c>
      <c r="CJ5" s="50" t="s">
        <v>11</v>
      </c>
      <c r="CK5" s="55">
        <f>0/8</f>
        <v>0</v>
      </c>
      <c r="CL5" s="51">
        <f>11/16</f>
        <v>0.6875</v>
      </c>
      <c r="CM5" s="48">
        <f>8/8</f>
        <v>1</v>
      </c>
      <c r="CN5" s="55" t="s">
        <v>11</v>
      </c>
      <c r="CO5" s="55">
        <f>3/8</f>
        <v>0.375</v>
      </c>
      <c r="CP5" s="48">
        <f>8/8</f>
        <v>1</v>
      </c>
      <c r="CQ5" s="48">
        <f>8/8</f>
        <v>1</v>
      </c>
      <c r="CR5" s="50" t="s">
        <v>103</v>
      </c>
      <c r="CS5" s="50" t="s">
        <v>103</v>
      </c>
      <c r="CT5" s="48">
        <f>8/8</f>
        <v>1</v>
      </c>
      <c r="CU5" s="48">
        <f>8/8</f>
        <v>1</v>
      </c>
      <c r="CV5" s="50" t="s">
        <v>103</v>
      </c>
      <c r="CW5" s="50" t="s">
        <v>103</v>
      </c>
      <c r="CX5" s="298"/>
      <c r="CY5" s="298"/>
      <c r="CZ5" s="298"/>
      <c r="DA5" s="298"/>
      <c r="DB5" s="298"/>
      <c r="DC5" s="298"/>
      <c r="DD5" s="298"/>
      <c r="DE5" s="298"/>
      <c r="DF5" s="367">
        <f>7/10</f>
        <v>0.7</v>
      </c>
      <c r="DG5" s="371">
        <f>7/8</f>
        <v>0.875</v>
      </c>
      <c r="DH5" s="298" t="s">
        <v>103</v>
      </c>
      <c r="DI5" s="365">
        <f>0/2</f>
        <v>0</v>
      </c>
      <c r="DJ5" s="298" t="s">
        <v>103</v>
      </c>
      <c r="DK5" s="298" t="s">
        <v>103</v>
      </c>
      <c r="DL5" s="298" t="s">
        <v>103</v>
      </c>
      <c r="DM5" s="298" t="s">
        <v>103</v>
      </c>
      <c r="DN5" s="440">
        <f>5/12</f>
        <v>0.41666666666666669</v>
      </c>
      <c r="DO5" s="440">
        <f>5/10</f>
        <v>0.5</v>
      </c>
      <c r="DP5" s="440" t="s">
        <v>103</v>
      </c>
      <c r="DQ5" s="440">
        <f>0/2</f>
        <v>0</v>
      </c>
      <c r="DR5" s="440">
        <f>4/4</f>
        <v>1</v>
      </c>
      <c r="DS5" s="440">
        <f>4/4</f>
        <v>1</v>
      </c>
      <c r="DT5" s="440" t="s">
        <v>103</v>
      </c>
      <c r="DU5" s="440" t="s">
        <v>103</v>
      </c>
    </row>
    <row r="6" spans="1:127" s="24" customFormat="1" x14ac:dyDescent="0.2">
      <c r="A6" s="39">
        <v>3</v>
      </c>
      <c r="B6" s="40" t="s">
        <v>106</v>
      </c>
      <c r="C6" s="52" t="s">
        <v>921</v>
      </c>
      <c r="D6" s="372" t="s">
        <v>67</v>
      </c>
      <c r="E6" s="372" t="s">
        <v>68</v>
      </c>
      <c r="F6" s="42">
        <f>13/20</f>
        <v>0.65</v>
      </c>
      <c r="G6" s="42">
        <f>5/8</f>
        <v>0.625</v>
      </c>
      <c r="H6" s="42" t="s">
        <v>11</v>
      </c>
      <c r="I6" s="42">
        <f>8/12</f>
        <v>0.66666666666666663</v>
      </c>
      <c r="J6" s="42">
        <f>13/20</f>
        <v>0.65</v>
      </c>
      <c r="K6" s="42">
        <f>3/8</f>
        <v>0.375</v>
      </c>
      <c r="L6" s="42" t="s">
        <v>11</v>
      </c>
      <c r="M6" s="42">
        <f>10/12</f>
        <v>0.83333333333333337</v>
      </c>
      <c r="N6" s="43">
        <f>IFERROR(COUNTIFS('Base File'!$V:$V,"Met",'Base File'!$C:$C,B6)/(COUNTIFS('Base File'!$V:$V,"Met",'Base File'!$C:$C,B6)+COUNTIFS('Base File'!$V:$V,"Not Met",'Base File'!$C:$C,B6)),"NR")</f>
        <v>0.58620689655172409</v>
      </c>
      <c r="O6" s="44" t="str">
        <f>IFERROR(COUNTIFS('Base File'!$G:$G,"Contractual SLA",'Base File'!$H:$H,"No",'Base File'!$C:$C,B6,'Base File'!$V:$V,"Met")/SUM(COUNTIFS('Base File'!$G:$G,"Contractual SLA",'Base File'!$H:$H,"No",'Base File'!$C:$C,B6,'Base File'!$V:$V,"Met")+COUNTIFS('Base File'!$G:$G,"Contractual SLA",'Base File'!$H:$H,"No",'Base File'!$C:$C,B6,'Base File'!$V:$V,"Not Met")),"-")</f>
        <v>-</v>
      </c>
      <c r="P6" s="45">
        <f>IFERROR(COUNTIFS('Base File'!$G:$G,"Contractual SLA",'Base File'!$H:$H,"Yes",'Base File'!$C:$C,B6,'Base File'!$V:$V,"Met")/SUM(COUNTIFS('Base File'!$G:$G,"Contractual SLA",'Base File'!$H:$H,"yes",'Base File'!$C:$C,B6,'Base File'!$V:$V,"Met")+COUNTIFS('Base File'!$G:$G,"Contractual SLA",'Base File'!$H:$H,"yes",'Base File'!$C:$C,B6,'Base File'!$V:$V,"Not Met")),"-")</f>
        <v>0.7</v>
      </c>
      <c r="Q6" s="46">
        <f>IFERROR(COUNTIFS('Base File'!$G:$G,"Internal KPI",'Base File'!$C:$C,B6,'Base File'!$V:$V,"Met")/SUM(COUNTIFS('Base File'!$G:$G,"Internal KPI",'Base File'!$C:$C,B6,'Base File'!$V:$V,"Met")+COUNTIFS('Base File'!$G:$G,"Internal KPI",'Base File'!$C:$C,B6,'Base File'!$V:$V,"Not Met")),"-")</f>
        <v>0.52631578947368418</v>
      </c>
      <c r="R6" s="43">
        <f t="shared" si="0"/>
        <v>0.6</v>
      </c>
      <c r="S6" s="42" t="str">
        <f t="shared" si="0"/>
        <v>-</v>
      </c>
      <c r="T6" s="43">
        <f t="shared" si="0"/>
        <v>0.73333333333333328</v>
      </c>
      <c r="U6" s="43">
        <f t="shared" si="0"/>
        <v>0.46666666666666667</v>
      </c>
      <c r="V6" s="43">
        <f>IFERROR(COUNTIFS('Base File'!$X:$X,"Met",'Base File'!$C:$C,B6)/(COUNTIFS('Base File'!$X:$X,"Met",'Base File'!$C:$C,B6)+COUNTIFS('Base File'!$X:$X,"Not Met",'Base File'!$C:$C,B6)),"NR")</f>
        <v>0.58620689655172409</v>
      </c>
      <c r="W6" s="42" t="str">
        <f>IFERROR(COUNTIFS('Base File'!$G:$G,"Contractual SLA",'Base File'!$H:$H,"No",'Base File'!$C:$C,B6,'Base File'!$X:$X,"Met")/SUM(COUNTIFS('Base File'!$G:$G,"Contractual SLA",'Base File'!$H:$H,"No",'Base File'!$C:$C,B6,'Base File'!$X:$X,"Met")+COUNTIFS('Base File'!$G:$G,"Contractual SLA",'Base File'!$H:$H,"No",'Base File'!$C:$C,B6,'Base File'!$X:$X,"Not Met")),"-")</f>
        <v>-</v>
      </c>
      <c r="X6" s="45">
        <f>IFERROR(COUNTIFS('Base File'!$G:$G,"Contractual SLA",'Base File'!$H:$H,"Yes",'Base File'!$C:$C,B6,'Base File'!$X:$X,"Met")/SUM(COUNTIFS('Base File'!$G:$G,"Contractual SLA",'Base File'!$H:$H,"yes",'Base File'!$C:$C,B6,'Base File'!$X:$X,"Met")+COUNTIFS('Base File'!$G:$G,"Contractual SLA",'Base File'!$H:$H,"yes",'Base File'!$C:$C,B6,'Base File'!$X:$X,"Not Met")),"-")</f>
        <v>0.5</v>
      </c>
      <c r="Y6" s="45">
        <f>IFERROR(COUNTIFS('Base File'!$G:$G,"Internal KPI",'Base File'!$C:$C,B6,'Base File'!$X:$X,"Met")/SUM(COUNTIFS('Base File'!$G:$G,"Internal KPI",'Base File'!$C:$C,B6,'Base File'!$X:$X,"Met")+COUNTIFS('Base File'!$G:$G,"Internal KPI",'Base File'!$C:$C,B6,'Base File'!$X:$X,"Not Met")),"-")</f>
        <v>0.63157894736842102</v>
      </c>
      <c r="Z6" s="43">
        <f>IFERROR(COUNTIFS('Base File'!$Z:$Z,"Met",'Base File'!$C:$C,B6)/(COUNTIFS('Base File'!$Z:$Z,"Met",'Base File'!$C:$C,B6)+COUNTIFS('Base File'!$Z:$Z,"Not Met",'Base File'!$C:$C,B6)),"NR")</f>
        <v>0.70967741935483875</v>
      </c>
      <c r="AA6" s="44" t="str">
        <f>IFERROR(COUNTIFS('Base File'!$G:$G,"Contractual SLA",'Base File'!$H:$H,"No",'Base File'!$C:$C,B6,'Base File'!$Z:$Z,"Met")/SUM(COUNTIFS('Base File'!$G:$G,"Contractual SLA",'Base File'!$H:$H,"No",'Base File'!$C:$C,B6,'Base File'!$Z:$Z,"Met")+COUNTIFS('Base File'!$G:$G,"Contractual SLA",'Base File'!$H:$H,"No",'Base File'!$C:$C,B6,'Base File'!$Z:$Z,"Not Met")),"-")</f>
        <v>-</v>
      </c>
      <c r="AB6" s="47">
        <f>IFERROR(COUNTIFS('Base File'!$G:$G,"Contractual SLA",'Base File'!$H:$H,"Yes",'Base File'!$C:$C,B6,'Base File'!$Z:$Z,"Met")/SUM(COUNTIFS('Base File'!$G:$G,"Contractual SLA",'Base File'!$H:$H,"yes",'Base File'!$C:$C,B6,'Base File'!$Z:$Z,"Met")+COUNTIFS('Base File'!$G:$G,"Contractual SLA",'Base File'!$H:$H,"yes",'Base File'!$C:$C,B6,'Base File'!$Z:$Z,"Not Met")),"-")</f>
        <v>0.66666666666666663</v>
      </c>
      <c r="AC6" s="44">
        <f>IFERROR(COUNTIFS('Base File'!$G:$G,"Internal KPI",'Base File'!$C:$C,B6,'Base File'!$Z:$Z,"Met")/SUM(COUNTIFS('Base File'!$G:$G,"Internal KPI",'Base File'!$C:$C,B6,'Base File'!$Z:$Z,"Met")+COUNTIFS('Base File'!$G:$G,"Internal KPI",'Base File'!$C:$C,B6,'Base File'!$Z:$Z,"Not Met")),"-")</f>
        <v>0.75</v>
      </c>
      <c r="AD6" s="44">
        <f>IFERROR(COUNTIFS('Base File'!$AB:$AB,"Met",'Base File'!$C:$C,B6)/(COUNTIFS('Base File'!$AB:$AB,"Met",'Base File'!$C:$C,B6)+COUNTIFS('Base File'!$AB:$AB,"Not Met",'Base File'!$C:$C,B6)),"NR")</f>
        <v>0.78787878787878785</v>
      </c>
      <c r="AE6" s="42" t="str">
        <f>IFERROR(COUNTIFS('Base File'!$G:$G,"Contractual SLA",'Base File'!$H:$H,"No",'Base File'!$C:$C,B6,'Base File'!$AB:$AB,"Met")/SUM(COUNTIFS('Base File'!$G:$G,"Contractual SLA",'Base File'!$H:$H,"No",'Base File'!$C:$C,B6,'Base File'!$AB:$AB,"Met")+COUNTIFS('Base File'!$G:$G,"Contractual SLA",'Base File'!$H:$H,"No",'Base File'!$C:$C,B6,'Base File'!$AB:$AB,"Not Met")),"-")</f>
        <v>-</v>
      </c>
      <c r="AF6" s="47">
        <f>IFERROR(COUNTIFS('Base File'!$G:$G,"Contractual SLA",'Base File'!$H:$H,"Yes",'Base File'!$C:$C,B6,'Base File'!$AB:$AB,"Met")/SUM(COUNTIFS('Base File'!$G:$G,"Contractual SLA",'Base File'!$H:$H,"yes",'Base File'!$C:$C,B6,'Base File'!$AB:$AB,"Met")+COUNTIFS('Base File'!$G:$G,"Contractual SLA",'Base File'!$H:$H,"yes",'Base File'!$C:$C,B6,'Base File'!$AB:$AB,"Not Met")),"-")</f>
        <v>0.73333333333333328</v>
      </c>
      <c r="AG6" s="44">
        <f>IFERROR(COUNTIFS('Base File'!$G:$G,"Internal KPI",'Base File'!$C:$C,B6,'Base File'!$AB:$AB,"Met")/SUM(COUNTIFS('Base File'!$G:$G,"Internal KPI",'Base File'!$C:$C,B6,'Base File'!$AB:$AB,"Met")+COUNTIFS('Base File'!$G:$G,"Internal KPI",'Base File'!$C:$C,B6,'Base File'!$AB:$AB,"Not Met")),"-")</f>
        <v>0.83333333333333337</v>
      </c>
      <c r="AH6" s="43">
        <f>IFERROR(COUNTIFS('Base File'!$AD:$AD,"Met",'Base File'!$C:$C,B6)/(COUNTIFS('Base File'!$AD:$AD,"Met",'Base File'!$C:$C,B6)+COUNTIFS('Base File'!$AD:$AD,"Not Met",'Base File'!$C:$C,B6)),"NR")</f>
        <v>0.66666666666666663</v>
      </c>
      <c r="AI6" s="42" t="str">
        <f>IFERROR(COUNTIFS('Base File'!$G:$G,"Contractual SLA",'Base File'!$H:$H,"No",'Base File'!$C:$C,B6,'Base File'!$AD:$AD,"Met")/SUM(COUNTIFS('Base File'!$G:$G,"Contractual SLA",'Base File'!$H:$H,"No",'Base File'!$C:$C,B6,'Base File'!$AD:$AD,"Met")+COUNTIFS('Base File'!$G:$G,"Contractual SLA",'Base File'!$H:$H,"No",'Base File'!$C:$C,B6,'Base File'!$AD:$AD,"Not Met")),"-")</f>
        <v>-</v>
      </c>
      <c r="AJ6" s="47">
        <f>IFERROR(COUNTIFS('Base File'!$G:$G,"Contractual SLA",'Base File'!$H:$H,"Yes",'Base File'!$C:$C,B6,'Base File'!$AD:$AD,"Met")/SUM(COUNTIFS('Base File'!$G:$G,"Contractual SLA",'Base File'!$H:$H,"yes",'Base File'!$C:$C,B6,'Base File'!$AD:$AD,"Met")+COUNTIFS('Base File'!$G:$G,"Contractual SLA",'Base File'!$H:$H,"yes",'Base File'!$C:$C,B6,'Base File'!$AD:$AD,"Not Met")),"-")</f>
        <v>0.66666666666666663</v>
      </c>
      <c r="AK6" s="44">
        <f>IFERROR(COUNTIFS('Base File'!$G:$G,"Internal KPI",'Base File'!$C:$C,B6,'Base File'!$AD:$AD,"Met")/SUM(COUNTIFS('Base File'!$G:$G,"Internal KPI",'Base File'!$C:$C,B6,'Base File'!$AD:$AD,"Met")+COUNTIFS('Base File'!$G:$G,"Internal KPI",'Base File'!$C:$C,B6,'Base File'!$AD:$AD,"Not Met")),"-")</f>
        <v>0.66666666666666663</v>
      </c>
      <c r="AL6" s="43">
        <f>IFERROR(COUNTIFS('Base File'!$AF:$AF,"Met",'Base File'!$C:$C,B6)/(COUNTIFS('Base File'!$AF:$AF,"Met",'Base File'!$C:$C,B6)+COUNTIFS('Base File'!$AF:$AF,"Not Met",'Base File'!$C:$C,B6)),"NR")</f>
        <v>0.59375</v>
      </c>
      <c r="AM6" s="44" t="str">
        <f>IFERROR(COUNTIFS('Base File'!$G:$G,"Contractual SLA",'Base File'!$H:$H,"No",'Base File'!$C:$C,B6,'Base File'!$AF:$AF,"Met")/SUM(COUNTIFS('Base File'!$G:$G,"Contractual SLA",'Base File'!$H:$H,"No",'Base File'!$C:$C,B6,'Base File'!$AF:$AF,"Met")+COUNTIFS('Base File'!$G:$G,"Contractual SLA",'Base File'!$H:$H,"No",'Base File'!$C:$C,B6,'Base File'!$AF:$AF,"Not Met")),"-")</f>
        <v>-</v>
      </c>
      <c r="AN6" s="47">
        <f>IFERROR(COUNTIFS('Base File'!$G:$G,"Contractual SLA",'Base File'!$H:$H,"Yes",'Base File'!$C:$C,B6,'Base File'!$AF:$AF,"Met")/SUM(COUNTIFS('Base File'!$G:$G,"Contractual SLA",'Base File'!$H:$H,"yes",'Base File'!$C:$C,B6,'Base File'!$AF:$AF,"Met")+COUNTIFS('Base File'!$G:$G,"Contractual SLA",'Base File'!$H:$H,"yes",'Base File'!$C:$C,B6,'Base File'!$AF:$AF,"Not Met")),"-")</f>
        <v>0.73333333333333328</v>
      </c>
      <c r="AO6" s="43">
        <f>IFERROR(COUNTIFS('Base File'!$G:$G,"Internal KPI",'Base File'!$C:$C,B6,'Base File'!$AF:$AF,"Met")/SUM(COUNTIFS('Base File'!$G:$G,"Internal KPI",'Base File'!$C:$C,B6,'Base File'!$AF:$AF,"Met")+COUNTIFS('Base File'!$G:$G,"Internal KPI",'Base File'!$C:$C,B6,'Base File'!$AF:$AF,"Not Met")),"-")</f>
        <v>0.47058823529411764</v>
      </c>
      <c r="AP6" s="43">
        <f>IFERROR(COUNTIFS('Base File'!$AH:$AH,"Met",'Base File'!$C:$C,B6)/(COUNTIFS('Base File'!$AH:$AH,"Met",'Base File'!$C:$C,B6)+COUNTIFS('Base File'!$AH:$AH,"Not Met",'Base File'!$C:$C,B6)),"NR")</f>
        <v>0.70967741935483875</v>
      </c>
      <c r="AQ6" s="44" t="str">
        <f>IFERROR(COUNTIFS('Base File'!$G:$G,"Contractual SLA",'Base File'!$H:$H,"No",'Base File'!$C:$C,B6,'Base File'!$AH:$AH,"Met")/SUM(COUNTIFS('Base File'!$G:$G,"Contractual SLA",'Base File'!$H:$H,"No",'Base File'!$C:$C,B6,'Base File'!$AH:$AH,"Met")+COUNTIFS('Base File'!$G:$G,"Contractual SLA",'Base File'!$H:$H,"No",'Base File'!$C:$C,B6,'Base File'!$AH:$AH,"Not Met")),"-")</f>
        <v>-</v>
      </c>
      <c r="AR6" s="47">
        <f>IFERROR(COUNTIFS('Base File'!$G:$G,"Contractual SLA",'Base File'!$H:$H,"Yes",'Base File'!$C:$C,B6,'Base File'!$AH:$AH,"Met")/SUM(COUNTIFS('Base File'!$G:$G,"Contractual SLA",'Base File'!$H:$H,"yes",'Base File'!$C:$C,B6,'Base File'!$AH:$AH,"Met")+COUNTIFS('Base File'!$G:$G,"Contractual SLA",'Base File'!$H:$H,"yes",'Base File'!$C:$C,B6,'Base File'!$AH:$AH,"Not Met")),"-")</f>
        <v>0.6</v>
      </c>
      <c r="AS6" s="43">
        <f>IFERROR(COUNTIFS('Base File'!$G:$G,"Internal KPI",'Base File'!$C:$C,B6,'Base File'!$AH:$AH,"Met")/SUM(COUNTIFS('Base File'!$G:$G,"Internal KPI",'Base File'!$C:$C,B6,'Base File'!$AH:$AH,"Met")+COUNTIFS('Base File'!$G:$G,"Internal KPI",'Base File'!$C:$C,B6,'Base File'!$AH:$AH,"Not Met")),"-")</f>
        <v>0.8125</v>
      </c>
      <c r="AT6" s="43">
        <f>18/25</f>
        <v>0.72</v>
      </c>
      <c r="AU6" s="44">
        <f>3/4</f>
        <v>0.75</v>
      </c>
      <c r="AV6" s="47">
        <f>7/10</f>
        <v>0.7</v>
      </c>
      <c r="AW6" s="43">
        <f>8/11</f>
        <v>0.72727272727272729</v>
      </c>
      <c r="AX6" s="43">
        <f>8/13</f>
        <v>0.61538461538461542</v>
      </c>
      <c r="AY6" s="42" t="s">
        <v>103</v>
      </c>
      <c r="AZ6" s="47">
        <f>6/10</f>
        <v>0.6</v>
      </c>
      <c r="BA6" s="43">
        <f>2/3</f>
        <v>0.66666666666666663</v>
      </c>
      <c r="BB6" s="43">
        <f>17/24</f>
        <v>0.70833333333333337</v>
      </c>
      <c r="BC6" s="56" t="s">
        <v>107</v>
      </c>
      <c r="BD6" s="47">
        <f>8/13</f>
        <v>0.61538461538461542</v>
      </c>
      <c r="BE6" s="44">
        <f>9/11</f>
        <v>0.81818181818181823</v>
      </c>
      <c r="BF6" s="43">
        <f>17/25</f>
        <v>0.68</v>
      </c>
      <c r="BG6" s="57" t="s">
        <v>107</v>
      </c>
      <c r="BH6" s="47">
        <f>11/15</f>
        <v>0.73333333333333328</v>
      </c>
      <c r="BI6" s="43">
        <f>6/10</f>
        <v>0.6</v>
      </c>
      <c r="BJ6" s="43">
        <f>20/29</f>
        <v>0.68965517241379315</v>
      </c>
      <c r="BK6" s="58" t="s">
        <v>107</v>
      </c>
      <c r="BL6" s="47">
        <f>11/14</f>
        <v>0.7857142857142857</v>
      </c>
      <c r="BM6" s="59">
        <f>9/15</f>
        <v>0.6</v>
      </c>
      <c r="BN6" s="43">
        <f>17/29</f>
        <v>0.58620689655172409</v>
      </c>
      <c r="BO6" s="58" t="s">
        <v>107</v>
      </c>
      <c r="BP6" s="47">
        <f>9/14</f>
        <v>0.6428571428571429</v>
      </c>
      <c r="BQ6" s="43">
        <f>8/15</f>
        <v>0.53333333333333333</v>
      </c>
      <c r="BR6" s="45">
        <f>18/30</f>
        <v>0.6</v>
      </c>
      <c r="BS6" s="58" t="s">
        <v>107</v>
      </c>
      <c r="BT6" s="47">
        <f>11/15</f>
        <v>0.73333333333333328</v>
      </c>
      <c r="BU6" s="54">
        <f>7/15</f>
        <v>0.46666666666666667</v>
      </c>
      <c r="BV6" s="51">
        <f>14/22</f>
        <v>0.63636363636363635</v>
      </c>
      <c r="BW6" s="49" t="s">
        <v>11</v>
      </c>
      <c r="BX6" s="55">
        <f>8/10</f>
        <v>0.8</v>
      </c>
      <c r="BY6" s="51">
        <f>6/12</f>
        <v>0.5</v>
      </c>
      <c r="BZ6" s="51">
        <f>24/34</f>
        <v>0.70588235294117652</v>
      </c>
      <c r="CA6" s="50" t="s">
        <v>11</v>
      </c>
      <c r="CB6" s="55">
        <f>12/14</f>
        <v>0.8571428571428571</v>
      </c>
      <c r="CC6" s="51">
        <f>12/20</f>
        <v>0.6</v>
      </c>
      <c r="CD6" s="51">
        <f>22/34</f>
        <v>0.6470588235294118</v>
      </c>
      <c r="CE6" s="49" t="s">
        <v>11</v>
      </c>
      <c r="CF6" s="55">
        <f>10/14</f>
        <v>0.7142857142857143</v>
      </c>
      <c r="CG6" s="51">
        <f>12/20</f>
        <v>0.6</v>
      </c>
      <c r="CH6" s="51">
        <f>22/36</f>
        <v>0.61111111111111116</v>
      </c>
      <c r="CI6" s="50" t="s">
        <v>11</v>
      </c>
      <c r="CJ6" s="55">
        <f>12/14</f>
        <v>0.8571428571428571</v>
      </c>
      <c r="CK6" s="55">
        <f>10/22</f>
        <v>0.45454545454545453</v>
      </c>
      <c r="CL6" s="51">
        <f>19/37</f>
        <v>0.51351351351351349</v>
      </c>
      <c r="CM6" s="50" t="s">
        <v>11</v>
      </c>
      <c r="CN6" s="55">
        <f>7/10</f>
        <v>0.7</v>
      </c>
      <c r="CO6" s="55">
        <f>12/27</f>
        <v>0.44444444444444442</v>
      </c>
      <c r="CP6" s="51">
        <f>16/28</f>
        <v>0.5714285714285714</v>
      </c>
      <c r="CQ6" s="50" t="s">
        <v>11</v>
      </c>
      <c r="CR6" s="55">
        <f>6/10</f>
        <v>0.6</v>
      </c>
      <c r="CS6" s="51">
        <f>10/18</f>
        <v>0.55555555555555558</v>
      </c>
      <c r="CT6" s="51">
        <f>36/55</f>
        <v>0.65454545454545454</v>
      </c>
      <c r="CU6" s="50" t="s">
        <v>11</v>
      </c>
      <c r="CV6" s="55">
        <f>17/22</f>
        <v>0.77272727272727271</v>
      </c>
      <c r="CW6" s="51">
        <f>19/33</f>
        <v>0.5757575757575758</v>
      </c>
      <c r="CX6" s="298"/>
      <c r="CY6" s="298"/>
      <c r="CZ6" s="298"/>
      <c r="DA6" s="298"/>
      <c r="DB6" s="298"/>
      <c r="DC6" s="298"/>
      <c r="DD6" s="298"/>
      <c r="DE6" s="298"/>
      <c r="DF6" s="367">
        <f>43/63</f>
        <v>0.68253968253968256</v>
      </c>
      <c r="DG6" s="359" t="s">
        <v>107</v>
      </c>
      <c r="DH6" s="365">
        <f>19/25</f>
        <v>0.76</v>
      </c>
      <c r="DI6" s="367">
        <f>24/38</f>
        <v>0.63157894736842102</v>
      </c>
      <c r="DJ6" s="367">
        <f>41/64</f>
        <v>0.640625</v>
      </c>
      <c r="DK6" s="359" t="s">
        <v>107</v>
      </c>
      <c r="DL6" s="365">
        <f>19/25</f>
        <v>0.76</v>
      </c>
      <c r="DM6" s="367">
        <f>20/32</f>
        <v>0.625</v>
      </c>
      <c r="DN6" s="441">
        <f>44/63</f>
        <v>0.69841269841269837</v>
      </c>
      <c r="DO6" s="442" t="s">
        <v>107</v>
      </c>
      <c r="DP6" s="441">
        <f>18/23</f>
        <v>0.78260869565217395</v>
      </c>
      <c r="DQ6" s="441">
        <f>26/40</f>
        <v>0.65</v>
      </c>
      <c r="DR6" s="441">
        <f>55/79</f>
        <v>0.69620253164556967</v>
      </c>
      <c r="DS6" s="442" t="s">
        <v>107</v>
      </c>
      <c r="DT6" s="443">
        <f>26/35</f>
        <v>0.74285714285714288</v>
      </c>
      <c r="DU6" s="441">
        <f>29/44</f>
        <v>0.65909090909090906</v>
      </c>
    </row>
    <row r="7" spans="1:127" s="24" customFormat="1" x14ac:dyDescent="0.2">
      <c r="A7" s="39">
        <v>4</v>
      </c>
      <c r="B7" s="40" t="s">
        <v>108</v>
      </c>
      <c r="C7" s="41" t="s">
        <v>109</v>
      </c>
      <c r="D7" s="364" t="s">
        <v>955</v>
      </c>
      <c r="E7" s="364" t="s">
        <v>65</v>
      </c>
      <c r="F7" s="42">
        <f>17/40</f>
        <v>0.42499999999999999</v>
      </c>
      <c r="G7" s="42">
        <f>1/4</f>
        <v>0.25</v>
      </c>
      <c r="H7" s="42">
        <f>4/6</f>
        <v>0.66666666666666663</v>
      </c>
      <c r="I7" s="42">
        <f>12/30</f>
        <v>0.4</v>
      </c>
      <c r="J7" s="42">
        <f>23/40</f>
        <v>0.57499999999999996</v>
      </c>
      <c r="K7" s="42">
        <f>3/4</f>
        <v>0.75</v>
      </c>
      <c r="L7" s="42">
        <f>3/6</f>
        <v>0.5</v>
      </c>
      <c r="M7" s="42">
        <f>17/30</f>
        <v>0.56666666666666665</v>
      </c>
      <c r="N7" s="43" t="str">
        <f>IFERROR(COUNTIFS('Base File'!$V:$V,"Met",'Base File'!$C:$C,B7)/(COUNTIFS('Base File'!$V:$V,"Met",'Base File'!$C:$C,B7)+COUNTIFS('Base File'!$V:$V,"Not Met",'Base File'!$C:$C,B7)),"NR")</f>
        <v>NR</v>
      </c>
      <c r="O7" s="44" t="str">
        <f>IFERROR(COUNTIFS('Base File'!$G:$G,"Contractual SLA",'Base File'!$H:$H,"No",'Base File'!$C:$C,B7,'Base File'!$V:$V,"Met")/SUM(COUNTIFS('Base File'!$G:$G,"Contractual SLA",'Base File'!$H:$H,"No",'Base File'!$C:$C,B7,'Base File'!$V:$V,"Met")+COUNTIFS('Base File'!$G:$G,"Contractual SLA",'Base File'!$H:$H,"No",'Base File'!$C:$C,B7,'Base File'!$V:$V,"Not Met")),"-")</f>
        <v>-</v>
      </c>
      <c r="P7" s="45" t="str">
        <f>IFERROR(COUNTIFS('Base File'!$G:$G,"Contractual SLA",'Base File'!$H:$H,"Yes",'Base File'!$C:$C,B7,'Base File'!$V:$V,"Met")/SUM(COUNTIFS('Base File'!$G:$G,"Contractual SLA",'Base File'!$H:$H,"yes",'Base File'!$C:$C,B7,'Base File'!$V:$V,"Met")+COUNTIFS('Base File'!$G:$G,"Contractual SLA",'Base File'!$H:$H,"yes",'Base File'!$C:$C,B7,'Base File'!$V:$V,"Not Met")),"-")</f>
        <v>-</v>
      </c>
      <c r="Q7" s="46" t="str">
        <f>IFERROR(COUNTIFS('Base File'!$G:$G,"Internal KPI",'Base File'!$C:$C,B7,'Base File'!$V:$V,"Met")/SUM(COUNTIFS('Base File'!$G:$G,"Internal KPI",'Base File'!$C:$C,B7,'Base File'!$V:$V,"Met")+COUNTIFS('Base File'!$G:$G,"Internal KPI",'Base File'!$C:$C,B7,'Base File'!$V:$V,"Not Met")),"-")</f>
        <v>-</v>
      </c>
      <c r="R7" s="43">
        <f t="shared" si="0"/>
        <v>0.45454545454545453</v>
      </c>
      <c r="S7" s="44" t="str">
        <f t="shared" si="0"/>
        <v>NA</v>
      </c>
      <c r="T7" s="43">
        <f t="shared" si="0"/>
        <v>0.5</v>
      </c>
      <c r="U7" s="47">
        <f t="shared" si="0"/>
        <v>0.4375</v>
      </c>
      <c r="V7" s="43" t="str">
        <f>IFERROR(COUNTIFS('Base File'!$X:$X,"Met",'Base File'!$C:$C,B7)/(COUNTIFS('Base File'!$X:$X,"Met",'Base File'!$C:$C,B7)+COUNTIFS('Base File'!$X:$X,"Not Met",'Base File'!$C:$C,B7)),"NR")</f>
        <v>NR</v>
      </c>
      <c r="W7" s="43" t="str">
        <f>IFERROR(COUNTIFS('Base File'!$G:$G,"Contractual SLA",'Base File'!$H:$H,"No",'Base File'!$C:$C,B7,'Base File'!$X:$X,"Met")/SUM(COUNTIFS('Base File'!$G:$G,"Contractual SLA",'Base File'!$H:$H,"No",'Base File'!$C:$C,B7,'Base File'!$X:$X,"Met")+COUNTIFS('Base File'!$G:$G,"Contractual SLA",'Base File'!$H:$H,"No",'Base File'!$C:$C,B7,'Base File'!$X:$X,"Not Met")),"-")</f>
        <v>-</v>
      </c>
      <c r="X7" s="54" t="str">
        <f>IFERROR(COUNTIFS('Base File'!$G:$G,"Contractual SLA",'Base File'!$H:$H,"Yes",'Base File'!$C:$C,B7,'Base File'!$X:$X,"Met")/SUM(COUNTIFS('Base File'!$G:$G,"Contractual SLA",'Base File'!$H:$H,"yes",'Base File'!$C:$C,B7,'Base File'!$X:$X,"Met")+COUNTIFS('Base File'!$G:$G,"Contractual SLA",'Base File'!$H:$H,"yes",'Base File'!$C:$C,B7,'Base File'!$X:$X,"Not Met")),"-")</f>
        <v>-</v>
      </c>
      <c r="Y7" s="45" t="str">
        <f>IFERROR(COUNTIFS('Base File'!$G:$G,"Internal KPI",'Base File'!$C:$C,B7,'Base File'!$X:$X,"Met")/SUM(COUNTIFS('Base File'!$G:$G,"Internal KPI",'Base File'!$C:$C,B7,'Base File'!$X:$X,"Met")+COUNTIFS('Base File'!$G:$G,"Internal KPI",'Base File'!$C:$C,B7,'Base File'!$X:$X,"Not Met")),"-")</f>
        <v>-</v>
      </c>
      <c r="Z7" s="43" t="str">
        <f>IFERROR(COUNTIFS('Base File'!$Z:$Z,"Met",'Base File'!$C:$C,B7)/(COUNTIFS('Base File'!$Z:$Z,"Met",'Base File'!$C:$C,B7)+COUNTIFS('Base File'!$Z:$Z,"Not Met",'Base File'!$C:$C,B7)),"NR")</f>
        <v>NR</v>
      </c>
      <c r="AA7" s="44" t="str">
        <f>IFERROR(COUNTIFS('Base File'!$G:$G,"Contractual SLA",'Base File'!$H:$H,"No",'Base File'!$C:$C,B7,'Base File'!$Z:$Z,"Met")/SUM(COUNTIFS('Base File'!$G:$G,"Contractual SLA",'Base File'!$H:$H,"No",'Base File'!$C:$C,B7,'Base File'!$Z:$Z,"Met")+COUNTIFS('Base File'!$G:$G,"Contractual SLA",'Base File'!$H:$H,"No",'Base File'!$C:$C,B7,'Base File'!$Z:$Z,"Not Met")),"-")</f>
        <v>-</v>
      </c>
      <c r="AB7" s="47" t="str">
        <f>IFERROR(COUNTIFS('Base File'!$G:$G,"Contractual SLA",'Base File'!$H:$H,"Yes",'Base File'!$C:$C,B7,'Base File'!$Z:$Z,"Met")/SUM(COUNTIFS('Base File'!$G:$G,"Contractual SLA",'Base File'!$H:$H,"yes",'Base File'!$C:$C,B7,'Base File'!$Z:$Z,"Met")+COUNTIFS('Base File'!$G:$G,"Contractual SLA",'Base File'!$H:$H,"yes",'Base File'!$C:$C,B7,'Base File'!$Z:$Z,"Not Met")),"-")</f>
        <v>-</v>
      </c>
      <c r="AC7" s="43" t="str">
        <f>IFERROR(COUNTIFS('Base File'!$G:$G,"Internal KPI",'Base File'!$C:$C,B7,'Base File'!$Z:$Z,"Met")/SUM(COUNTIFS('Base File'!$G:$G,"Internal KPI",'Base File'!$C:$C,B7,'Base File'!$Z:$Z,"Met")+COUNTIFS('Base File'!$G:$G,"Internal KPI",'Base File'!$C:$C,B7,'Base File'!$Z:$Z,"Not Met")),"-")</f>
        <v>-</v>
      </c>
      <c r="AD7" s="43" t="str">
        <f>IFERROR(COUNTIFS('Base File'!$AB:$AB,"Met",'Base File'!$C:$C,B7)/(COUNTIFS('Base File'!$AB:$AB,"Met",'Base File'!$C:$C,B7)+COUNTIFS('Base File'!$AB:$AB,"Not Met",'Base File'!$C:$C,B7)),"NR")</f>
        <v>NR</v>
      </c>
      <c r="AE7" s="43" t="str">
        <f>IFERROR(COUNTIFS('Base File'!$G:$G,"Contractual SLA",'Base File'!$H:$H,"No",'Base File'!$C:$C,B7,'Base File'!$AB:$AB,"Met")/SUM(COUNTIFS('Base File'!$G:$G,"Contractual SLA",'Base File'!$H:$H,"No",'Base File'!$C:$C,B7,'Base File'!$AB:$AB,"Met")+COUNTIFS('Base File'!$G:$G,"Contractual SLA",'Base File'!$H:$H,"No",'Base File'!$C:$C,B7,'Base File'!$AB:$AB,"Not Met")),"-")</f>
        <v>-</v>
      </c>
      <c r="AF7" s="47" t="str">
        <f>IFERROR(COUNTIFS('Base File'!$G:$G,"Contractual SLA",'Base File'!$H:$H,"Yes",'Base File'!$C:$C,B7,'Base File'!$AB:$AB,"Met")/SUM(COUNTIFS('Base File'!$G:$G,"Contractual SLA",'Base File'!$H:$H,"yes",'Base File'!$C:$C,B7,'Base File'!$AB:$AB,"Met")+COUNTIFS('Base File'!$G:$G,"Contractual SLA",'Base File'!$H:$H,"yes",'Base File'!$C:$C,B7,'Base File'!$AB:$AB,"Not Met")),"-")</f>
        <v>-</v>
      </c>
      <c r="AG7" s="43" t="str">
        <f>IFERROR(COUNTIFS('Base File'!$G:$G,"Internal KPI",'Base File'!$C:$C,B7,'Base File'!$AB:$AB,"Met")/SUM(COUNTIFS('Base File'!$G:$G,"Internal KPI",'Base File'!$C:$C,B7,'Base File'!$AB:$AB,"Met")+COUNTIFS('Base File'!$G:$G,"Internal KPI",'Base File'!$C:$C,B7,'Base File'!$AB:$AB,"Not Met")),"-")</f>
        <v>-</v>
      </c>
      <c r="AH7" s="43" t="str">
        <f>IFERROR(COUNTIFS('Base File'!$AD:$AD,"Met",'Base File'!$C:$C,B7)/(COUNTIFS('Base File'!$AD:$AD,"Met",'Base File'!$C:$C,B7)+COUNTIFS('Base File'!$AD:$AD,"Not Met",'Base File'!$C:$C,B7)),"NR")</f>
        <v>NR</v>
      </c>
      <c r="AI7" s="44" t="str">
        <f>IFERROR(COUNTIFS('Base File'!$G:$G,"Contractual SLA",'Base File'!$H:$H,"No",'Base File'!$C:$C,B7,'Base File'!$AD:$AD,"Met")/SUM(COUNTIFS('Base File'!$G:$G,"Contractual SLA",'Base File'!$H:$H,"No",'Base File'!$C:$C,B7,'Base File'!$AD:$AD,"Met")+COUNTIFS('Base File'!$G:$G,"Contractual SLA",'Base File'!$H:$H,"No",'Base File'!$C:$C,B7,'Base File'!$AD:$AD,"Not Met")),"-")</f>
        <v>-</v>
      </c>
      <c r="AJ7" s="47" t="str">
        <f>IFERROR(COUNTIFS('Base File'!$G:$G,"Contractual SLA",'Base File'!$H:$H,"Yes",'Base File'!$C:$C,B7,'Base File'!$AD:$AD,"Met")/SUM(COUNTIFS('Base File'!$G:$G,"Contractual SLA",'Base File'!$H:$H,"yes",'Base File'!$C:$C,B7,'Base File'!$AD:$AD,"Met")+COUNTIFS('Base File'!$G:$G,"Contractual SLA",'Base File'!$H:$H,"yes",'Base File'!$C:$C,B7,'Base File'!$AD:$AD,"Not Met")),"-")</f>
        <v>-</v>
      </c>
      <c r="AK7" s="43" t="str">
        <f>IFERROR(COUNTIFS('Base File'!$G:$G,"Internal KPI",'Base File'!$C:$C,B7,'Base File'!$AD:$AD,"Met")/SUM(COUNTIFS('Base File'!$G:$G,"Internal KPI",'Base File'!$C:$C,B7,'Base File'!$AD:$AD,"Met")+COUNTIFS('Base File'!$G:$G,"Internal KPI",'Base File'!$C:$C,B7,'Base File'!$AD:$AD,"Not Met")),"-")</f>
        <v>-</v>
      </c>
      <c r="AL7" s="43" t="str">
        <f>IFERROR(COUNTIFS('Base File'!$AF:$AF,"Met",'Base File'!$C:$C,B7)/(COUNTIFS('Base File'!$AF:$AF,"Met",'Base File'!$C:$C,B7)+COUNTIFS('Base File'!$AF:$AF,"Not Met",'Base File'!$C:$C,B7)),"NR")</f>
        <v>NR</v>
      </c>
      <c r="AM7" s="44" t="str">
        <f>IFERROR(COUNTIFS('Base File'!$G:$G,"Contractual SLA",'Base File'!$H:$H,"No",'Base File'!$C:$C,B7,'Base File'!$AF:$AF,"Met")/SUM(COUNTIFS('Base File'!$G:$G,"Contractual SLA",'Base File'!$H:$H,"No",'Base File'!$C:$C,B7,'Base File'!$AF:$AF,"Met")+COUNTIFS('Base File'!$G:$G,"Contractual SLA",'Base File'!$H:$H,"No",'Base File'!$C:$C,B7,'Base File'!$AF:$AF,"Not Met")),"-")</f>
        <v>-</v>
      </c>
      <c r="AN7" s="47" t="str">
        <f>IFERROR(COUNTIFS('Base File'!$G:$G,"Contractual SLA",'Base File'!$H:$H,"Yes",'Base File'!$C:$C,B7,'Base File'!$AF:$AF,"Met")/SUM(COUNTIFS('Base File'!$G:$G,"Contractual SLA",'Base File'!$H:$H,"yes",'Base File'!$C:$C,B7,'Base File'!$AF:$AF,"Met")+COUNTIFS('Base File'!$G:$G,"Contractual SLA",'Base File'!$H:$H,"yes",'Base File'!$C:$C,B7,'Base File'!$AF:$AF,"Not Met")),"-")</f>
        <v>-</v>
      </c>
      <c r="AO7" s="43" t="str">
        <f>IFERROR(COUNTIFS('Base File'!$G:$G,"Internal KPI",'Base File'!$C:$C,B7,'Base File'!$AF:$AF,"Met")/SUM(COUNTIFS('Base File'!$G:$G,"Internal KPI",'Base File'!$C:$C,B7,'Base File'!$AF:$AF,"Met")+COUNTIFS('Base File'!$G:$G,"Internal KPI",'Base File'!$C:$C,B7,'Base File'!$AF:$AF,"Not Met")),"-")</f>
        <v>-</v>
      </c>
      <c r="AP7" s="43" t="str">
        <f>IFERROR(COUNTIFS('Base File'!$AH:$AH,"Met",'Base File'!$C:$C,B7)/(COUNTIFS('Base File'!$AH:$AH,"Met",'Base File'!$C:$C,B7)+COUNTIFS('Base File'!$AH:$AH,"Not Met",'Base File'!$C:$C,B7)),"NR")</f>
        <v>NR</v>
      </c>
      <c r="AQ7" s="44" t="str">
        <f>IFERROR(COUNTIFS('Base File'!$G:$G,"Contractual SLA",'Base File'!$H:$H,"No",'Base File'!$C:$C,B7,'Base File'!$AH:$AH,"Met")/SUM(COUNTIFS('Base File'!$G:$G,"Contractual SLA",'Base File'!$H:$H,"No",'Base File'!$C:$C,B7,'Base File'!$AH:$AH,"Met")+COUNTIFS('Base File'!$G:$G,"Contractual SLA",'Base File'!$H:$H,"No",'Base File'!$C:$C,B7,'Base File'!$AH:$AH,"Not Met")),"-")</f>
        <v>-</v>
      </c>
      <c r="AR7" s="47" t="str">
        <f>IFERROR(COUNTIFS('Base File'!$G:$G,"Contractual SLA",'Base File'!$H:$H,"Yes",'Base File'!$C:$C,B7,'Base File'!$AH:$AH,"Met")/SUM(COUNTIFS('Base File'!$G:$G,"Contractual SLA",'Base File'!$H:$H,"yes",'Base File'!$C:$C,B7,'Base File'!$AH:$AH,"Met")+COUNTIFS('Base File'!$G:$G,"Contractual SLA",'Base File'!$H:$H,"yes",'Base File'!$C:$C,B7,'Base File'!$AH:$AH,"Not Met")),"-")</f>
        <v>-</v>
      </c>
      <c r="AS7" s="43" t="str">
        <f>IFERROR(COUNTIFS('Base File'!$G:$G,"Internal KPI",'Base File'!$C:$C,B7,'Base File'!$AH:$AH,"Met")/SUM(COUNTIFS('Base File'!$G:$G,"Internal KPI",'Base File'!$C:$C,B7,'Base File'!$AH:$AH,"Met")+COUNTIFS('Base File'!$G:$G,"Internal KPI",'Base File'!$C:$C,B7,'Base File'!$AH:$AH,"Not Met")),"-")</f>
        <v>-</v>
      </c>
      <c r="AT7" s="47">
        <f>13/28</f>
        <v>0.4642857142857143</v>
      </c>
      <c r="AU7" s="43">
        <f>2/4</f>
        <v>0.5</v>
      </c>
      <c r="AV7" s="44">
        <f>2/2</f>
        <v>1</v>
      </c>
      <c r="AW7" s="47">
        <f>9/22</f>
        <v>0.40909090909090912</v>
      </c>
      <c r="AX7" s="43">
        <f>15/29</f>
        <v>0.51724137931034486</v>
      </c>
      <c r="AY7" s="44">
        <f>3/4</f>
        <v>0.75</v>
      </c>
      <c r="AZ7" s="47">
        <f>1/2</f>
        <v>0.5</v>
      </c>
      <c r="BA7" s="47">
        <f>11/23</f>
        <v>0.47826086956521741</v>
      </c>
      <c r="BB7" s="47">
        <f>14/31</f>
        <v>0.45161290322580644</v>
      </c>
      <c r="BC7" s="43">
        <f>2/3</f>
        <v>0.66666666666666663</v>
      </c>
      <c r="BD7" s="47">
        <f>3/6</f>
        <v>0.5</v>
      </c>
      <c r="BE7" s="47">
        <f>9/22</f>
        <v>0.40909090909090912</v>
      </c>
      <c r="BF7" s="47">
        <f>10/22</f>
        <v>0.45454545454545453</v>
      </c>
      <c r="BG7" s="42" t="s">
        <v>11</v>
      </c>
      <c r="BH7" s="47">
        <f>3/6</f>
        <v>0.5</v>
      </c>
      <c r="BI7" s="47">
        <f>7/16</f>
        <v>0.4375</v>
      </c>
      <c r="BJ7" s="47">
        <f>9/21</f>
        <v>0.42857142857142855</v>
      </c>
      <c r="BK7" s="42" t="s">
        <v>11</v>
      </c>
      <c r="BL7" s="47">
        <f>2/6</f>
        <v>0.33333333333333331</v>
      </c>
      <c r="BM7" s="47">
        <f>7/15</f>
        <v>0.46666666666666667</v>
      </c>
      <c r="BN7" s="47">
        <f>8/21</f>
        <v>0.38095238095238093</v>
      </c>
      <c r="BO7" s="42" t="s">
        <v>11</v>
      </c>
      <c r="BP7" s="47">
        <f>2/6</f>
        <v>0.33333333333333331</v>
      </c>
      <c r="BQ7" s="47">
        <f>6/15</f>
        <v>0.4</v>
      </c>
      <c r="BR7" s="47">
        <f>10/22</f>
        <v>0.45454545454545453</v>
      </c>
      <c r="BS7" s="42" t="s">
        <v>11</v>
      </c>
      <c r="BT7" s="47">
        <f>3/6</f>
        <v>0.5</v>
      </c>
      <c r="BU7" s="47">
        <f>7/16</f>
        <v>0.4375</v>
      </c>
      <c r="BV7" s="55">
        <f>7/21</f>
        <v>0.33333333333333331</v>
      </c>
      <c r="BW7" s="49" t="s">
        <v>11</v>
      </c>
      <c r="BX7" s="55">
        <f>3/6</f>
        <v>0.5</v>
      </c>
      <c r="BY7" s="55">
        <f>4/15</f>
        <v>0.26666666666666666</v>
      </c>
      <c r="BZ7" s="51">
        <f>13/26</f>
        <v>0.5</v>
      </c>
      <c r="CA7" s="48">
        <f>3/4</f>
        <v>0.75</v>
      </c>
      <c r="CB7" s="55">
        <f>3/5</f>
        <v>0.6</v>
      </c>
      <c r="CC7" s="55">
        <f>7/17</f>
        <v>0.41176470588235292</v>
      </c>
      <c r="CD7" s="51">
        <f>14/26</f>
        <v>0.53846153846153844</v>
      </c>
      <c r="CE7" s="48">
        <f>4/4</f>
        <v>1</v>
      </c>
      <c r="CF7" s="55">
        <f>3/5</f>
        <v>0.6</v>
      </c>
      <c r="CG7" s="55">
        <f>7/17</f>
        <v>0.41176470588235292</v>
      </c>
      <c r="CH7" s="51">
        <f>14/26</f>
        <v>0.53846153846153844</v>
      </c>
      <c r="CI7" s="48">
        <f>3/4</f>
        <v>0.75</v>
      </c>
      <c r="CJ7" s="55">
        <f>2/5</f>
        <v>0.4</v>
      </c>
      <c r="CK7" s="51">
        <f>9/17</f>
        <v>0.52941176470588236</v>
      </c>
      <c r="CL7" s="51">
        <f>16/26</f>
        <v>0.61538461538461542</v>
      </c>
      <c r="CM7" s="48">
        <f>3/4</f>
        <v>0.75</v>
      </c>
      <c r="CN7" s="55">
        <f>3/6</f>
        <v>0.5</v>
      </c>
      <c r="CO7" s="51">
        <f>10/16</f>
        <v>0.625</v>
      </c>
      <c r="CP7" s="55">
        <f>11/27</f>
        <v>0.40740740740740738</v>
      </c>
      <c r="CQ7" s="48">
        <f>3/4</f>
        <v>0.75</v>
      </c>
      <c r="CR7" s="55">
        <f>1/6</f>
        <v>0.16666666666666666</v>
      </c>
      <c r="CS7" s="55">
        <f>7/17</f>
        <v>0.41176470588235292</v>
      </c>
      <c r="CT7" s="51">
        <f>13/25</f>
        <v>0.52</v>
      </c>
      <c r="CU7" s="48">
        <f>3/4</f>
        <v>0.75</v>
      </c>
      <c r="CV7" s="55">
        <f>2/5</f>
        <v>0.4</v>
      </c>
      <c r="CW7" s="51">
        <f>8/16</f>
        <v>0.5</v>
      </c>
      <c r="CX7" s="298"/>
      <c r="CY7" s="298"/>
      <c r="CZ7" s="298"/>
      <c r="DA7" s="298"/>
      <c r="DB7" s="298"/>
      <c r="DC7" s="298"/>
      <c r="DD7" s="298"/>
      <c r="DE7" s="298"/>
      <c r="DF7" s="367">
        <f>6/12</f>
        <v>0.5</v>
      </c>
      <c r="DG7" s="368">
        <f>3/4</f>
        <v>0.75</v>
      </c>
      <c r="DH7" s="298" t="s">
        <v>103</v>
      </c>
      <c r="DI7" s="365">
        <f>3/8</f>
        <v>0.375</v>
      </c>
      <c r="DJ7" s="298" t="s">
        <v>103</v>
      </c>
      <c r="DK7" s="298" t="s">
        <v>103</v>
      </c>
      <c r="DL7" s="298" t="s">
        <v>103</v>
      </c>
      <c r="DM7" s="298" t="s">
        <v>103</v>
      </c>
      <c r="DN7" s="440" t="s">
        <v>103</v>
      </c>
      <c r="DO7" s="440" t="s">
        <v>103</v>
      </c>
      <c r="DP7" s="440" t="s">
        <v>103</v>
      </c>
      <c r="DQ7" s="440" t="s">
        <v>103</v>
      </c>
      <c r="DR7" s="440" t="s">
        <v>103</v>
      </c>
      <c r="DS7" s="440" t="s">
        <v>103</v>
      </c>
      <c r="DT7" s="440" t="s">
        <v>103</v>
      </c>
      <c r="DU7" s="440" t="s">
        <v>103</v>
      </c>
    </row>
    <row r="8" spans="1:127" s="24" customFormat="1" x14ac:dyDescent="0.2">
      <c r="A8" s="39">
        <v>5</v>
      </c>
      <c r="B8" s="40" t="s">
        <v>110</v>
      </c>
      <c r="C8" s="52" t="s">
        <v>111</v>
      </c>
      <c r="D8" s="373" t="s">
        <v>38</v>
      </c>
      <c r="E8" s="94" t="s">
        <v>38</v>
      </c>
      <c r="F8" s="42">
        <f>61/98</f>
        <v>0.62244897959183676</v>
      </c>
      <c r="G8" s="42">
        <f>15/23</f>
        <v>0.65217391304347827</v>
      </c>
      <c r="H8" s="42">
        <f>2/3</f>
        <v>0.66666666666666663</v>
      </c>
      <c r="I8" s="42">
        <f>44/72</f>
        <v>0.61111111111111116</v>
      </c>
      <c r="J8" s="42">
        <f>68/101</f>
        <v>0.67326732673267331</v>
      </c>
      <c r="K8" s="42">
        <f>19/27</f>
        <v>0.70370370370370372</v>
      </c>
      <c r="L8" s="42">
        <f>5/7</f>
        <v>0.7142857142857143</v>
      </c>
      <c r="M8" s="42">
        <f>44/67</f>
        <v>0.65671641791044777</v>
      </c>
      <c r="N8" s="43" t="str">
        <f>IFERROR(COUNTIFS('Base File'!$V:$V,"Met",'Base File'!$C:$C,B8)/(COUNTIFS('Base File'!$V:$V,"Met",'Base File'!$C:$C,B8)+COUNTIFS('Base File'!$V:$V,"Not Met",'Base File'!$C:$C,B8)),"NR")</f>
        <v>NR</v>
      </c>
      <c r="O8" s="44" t="str">
        <f>IFERROR(COUNTIFS('Base File'!$G:$G,"Contractual SLA",'Base File'!$H:$H,"No",'Base File'!$C:$C,B8,'Base File'!$V:$V,"Met")/SUM(COUNTIFS('Base File'!$G:$G,"Contractual SLA",'Base File'!$H:$H,"No",'Base File'!$C:$C,B8,'Base File'!$V:$V,"Met")+COUNTIFS('Base File'!$G:$G,"Contractual SLA",'Base File'!$H:$H,"No",'Base File'!$C:$C,B8,'Base File'!$V:$V,"Not Met")),"-")</f>
        <v>-</v>
      </c>
      <c r="P8" s="45" t="str">
        <f>IFERROR(COUNTIFS('Base File'!$G:$G,"Contractual SLA",'Base File'!$H:$H,"Yes",'Base File'!$C:$C,B8,'Base File'!$V:$V,"Met")/SUM(COUNTIFS('Base File'!$G:$G,"Contractual SLA",'Base File'!$H:$H,"yes",'Base File'!$C:$C,B8,'Base File'!$V:$V,"Met")+COUNTIFS('Base File'!$G:$G,"Contractual SLA",'Base File'!$H:$H,"yes",'Base File'!$C:$C,B8,'Base File'!$V:$V,"Not Met")),"-")</f>
        <v>-</v>
      </c>
      <c r="Q8" s="46" t="str">
        <f>IFERROR(COUNTIFS('Base File'!$G:$G,"Internal KPI",'Base File'!$C:$C,B8,'Base File'!$V:$V,"Met")/SUM(COUNTIFS('Base File'!$G:$G,"Internal KPI",'Base File'!$C:$C,B8,'Base File'!$V:$V,"Met")+COUNTIFS('Base File'!$G:$G,"Internal KPI",'Base File'!$C:$C,B8,'Base File'!$V:$V,"Not Met")),"-")</f>
        <v>-</v>
      </c>
      <c r="R8" s="43">
        <f t="shared" si="0"/>
        <v>0.5</v>
      </c>
      <c r="S8" s="43">
        <f t="shared" si="0"/>
        <v>0</v>
      </c>
      <c r="T8" s="43" t="str">
        <f t="shared" si="0"/>
        <v>NR</v>
      </c>
      <c r="U8" s="43">
        <f t="shared" si="0"/>
        <v>0.5161290322580645</v>
      </c>
      <c r="V8" s="43" t="str">
        <f>IFERROR(COUNTIFS('Base File'!$X:$X,"Met",'Base File'!$C:$C,B8)/(COUNTIFS('Base File'!$X:$X,"Met",'Base File'!$C:$C,B8)+COUNTIFS('Base File'!$X:$X,"Not Met",'Base File'!$C:$C,B8)),"NR")</f>
        <v>NR</v>
      </c>
      <c r="W8" s="43" t="str">
        <f>IFERROR(COUNTIFS('Base File'!$G:$G,"Contractual SLA",'Base File'!$H:$H,"No",'Base File'!$C:$C,B8,'Base File'!$X:$X,"Met")/SUM(COUNTIFS('Base File'!$G:$G,"Contractual SLA",'Base File'!$H:$H,"No",'Base File'!$C:$C,B8,'Base File'!$X:$X,"Met")+COUNTIFS('Base File'!$G:$G,"Contractual SLA",'Base File'!$H:$H,"No",'Base File'!$C:$C,B8,'Base File'!$X:$X,"Not Met")),"-")</f>
        <v>-</v>
      </c>
      <c r="X8" s="46" t="str">
        <f>IFERROR(COUNTIFS('Base File'!$G:$G,"Contractual SLA",'Base File'!$H:$H,"Yes",'Base File'!$C:$C,B8,'Base File'!$X:$X,"Met")/SUM(COUNTIFS('Base File'!$G:$G,"Contractual SLA",'Base File'!$H:$H,"yes",'Base File'!$C:$C,B8,'Base File'!$X:$X,"Met")+COUNTIFS('Base File'!$G:$G,"Contractual SLA",'Base File'!$H:$H,"yes",'Base File'!$C:$C,B8,'Base File'!$X:$X,"Not Met")),"-")</f>
        <v>-</v>
      </c>
      <c r="Y8" s="45" t="str">
        <f>IFERROR(COUNTIFS('Base File'!$G:$G,"Internal KPI",'Base File'!$C:$C,B8,'Base File'!$X:$X,"Met")/SUM(COUNTIFS('Base File'!$G:$G,"Internal KPI",'Base File'!$C:$C,B8,'Base File'!$X:$X,"Met")+COUNTIFS('Base File'!$G:$G,"Internal KPI",'Base File'!$C:$C,B8,'Base File'!$X:$X,"Not Met")),"-")</f>
        <v>-</v>
      </c>
      <c r="Z8" s="43" t="str">
        <f>IFERROR(COUNTIFS('Base File'!$Z:$Z,"Met",'Base File'!$C:$C,B8)/(COUNTIFS('Base File'!$Z:$Z,"Met",'Base File'!$C:$C,B8)+COUNTIFS('Base File'!$Z:$Z,"Not Met",'Base File'!$C:$C,B8)),"NR")</f>
        <v>NR</v>
      </c>
      <c r="AA8" s="44" t="str">
        <f>IFERROR(COUNTIFS('Base File'!$G:$G,"Contractual SLA",'Base File'!$H:$H,"No",'Base File'!$C:$C,B8,'Base File'!$Z:$Z,"Met")/SUM(COUNTIFS('Base File'!$G:$G,"Contractual SLA",'Base File'!$H:$H,"No",'Base File'!$C:$C,B8,'Base File'!$Z:$Z,"Met")+COUNTIFS('Base File'!$G:$G,"Contractual SLA",'Base File'!$H:$H,"No",'Base File'!$C:$C,B8,'Base File'!$Z:$Z,"Not Met")),"-")</f>
        <v>-</v>
      </c>
      <c r="AB8" s="44" t="str">
        <f>IFERROR(COUNTIFS('Base File'!$G:$G,"Contractual SLA",'Base File'!$H:$H,"Yes",'Base File'!$C:$C,B8,'Base File'!$Z:$Z,"Met")/SUM(COUNTIFS('Base File'!$G:$G,"Contractual SLA",'Base File'!$H:$H,"yes",'Base File'!$C:$C,B8,'Base File'!$Z:$Z,"Met")+COUNTIFS('Base File'!$G:$G,"Contractual SLA",'Base File'!$H:$H,"yes",'Base File'!$C:$C,B8,'Base File'!$Z:$Z,"Not Met")),"-")</f>
        <v>-</v>
      </c>
      <c r="AC8" s="43" t="str">
        <f>IFERROR(COUNTIFS('Base File'!$G:$G,"Internal KPI",'Base File'!$C:$C,B8,'Base File'!$Z:$Z,"Met")/SUM(COUNTIFS('Base File'!$G:$G,"Internal KPI",'Base File'!$C:$C,B8,'Base File'!$Z:$Z,"Met")+COUNTIFS('Base File'!$G:$G,"Internal KPI",'Base File'!$C:$C,B8,'Base File'!$Z:$Z,"Not Met")),"-")</f>
        <v>-</v>
      </c>
      <c r="AD8" s="43" t="str">
        <f>IFERROR(COUNTIFS('Base File'!$AB:$AB,"Met",'Base File'!$C:$C,B8)/(COUNTIFS('Base File'!$AB:$AB,"Met",'Base File'!$C:$C,B8)+COUNTIFS('Base File'!$AB:$AB,"Not Met",'Base File'!$C:$C,B8)),"NR")</f>
        <v>NR</v>
      </c>
      <c r="AE8" s="44" t="str">
        <f>IFERROR(COUNTIFS('Base File'!$G:$G,"Contractual SLA",'Base File'!$H:$H,"No",'Base File'!$C:$C,B8,'Base File'!$AB:$AB,"Met")/SUM(COUNTIFS('Base File'!$G:$G,"Contractual SLA",'Base File'!$H:$H,"No",'Base File'!$C:$C,B8,'Base File'!$AB:$AB,"Met")+COUNTIFS('Base File'!$G:$G,"Contractual SLA",'Base File'!$H:$H,"No",'Base File'!$C:$C,B8,'Base File'!$AB:$AB,"Not Met")),"-")</f>
        <v>-</v>
      </c>
      <c r="AF8" s="44" t="str">
        <f>IFERROR(COUNTIFS('Base File'!$G:$G,"Contractual SLA",'Base File'!$H:$H,"Yes",'Base File'!$C:$C,B8,'Base File'!$AB:$AB,"Met")/SUM(COUNTIFS('Base File'!$G:$G,"Contractual SLA",'Base File'!$H:$H,"yes",'Base File'!$C:$C,B8,'Base File'!$AB:$AB,"Met")+COUNTIFS('Base File'!$G:$G,"Contractual SLA",'Base File'!$H:$H,"yes",'Base File'!$C:$C,B8,'Base File'!$AB:$AB,"Not Met")),"-")</f>
        <v>-</v>
      </c>
      <c r="AG8" s="43" t="str">
        <f>IFERROR(COUNTIFS('Base File'!$G:$G,"Internal KPI",'Base File'!$C:$C,B8,'Base File'!$AB:$AB,"Met")/SUM(COUNTIFS('Base File'!$G:$G,"Internal KPI",'Base File'!$C:$C,B8,'Base File'!$AB:$AB,"Met")+COUNTIFS('Base File'!$G:$G,"Internal KPI",'Base File'!$C:$C,B8,'Base File'!$AB:$AB,"Not Met")),"-")</f>
        <v>-</v>
      </c>
      <c r="AH8" s="43" t="str">
        <f>IFERROR(COUNTIFS('Base File'!$AD:$AD,"Met",'Base File'!$C:$C,B8)/(COUNTIFS('Base File'!$AD:$AD,"Met",'Base File'!$C:$C,B8)+COUNTIFS('Base File'!$AD:$AD,"Not Met",'Base File'!$C:$C,B8)),"NR")</f>
        <v>NR</v>
      </c>
      <c r="AI8" s="47" t="str">
        <f>IFERROR(COUNTIFS('Base File'!$G:$G,"Contractual SLA",'Base File'!$H:$H,"No",'Base File'!$C:$C,B8,'Base File'!$AD:$AD,"Met")/SUM(COUNTIFS('Base File'!$G:$G,"Contractual SLA",'Base File'!$H:$H,"No",'Base File'!$C:$C,B8,'Base File'!$AD:$AD,"Met")+COUNTIFS('Base File'!$G:$G,"Contractual SLA",'Base File'!$H:$H,"No",'Base File'!$C:$C,B8,'Base File'!$AD:$AD,"Not Met")),"-")</f>
        <v>-</v>
      </c>
      <c r="AJ8" s="42" t="str">
        <f>IFERROR(COUNTIFS('Base File'!$G:$G,"Contractual SLA",'Base File'!$H:$H,"Yes",'Base File'!$C:$C,B8,'Base File'!$AD:$AD,"Met")/SUM(COUNTIFS('Base File'!$G:$G,"Contractual SLA",'Base File'!$H:$H,"yes",'Base File'!$C:$C,B8,'Base File'!$AD:$AD,"Met")+COUNTIFS('Base File'!$G:$G,"Contractual SLA",'Base File'!$H:$H,"yes",'Base File'!$C:$C,B8,'Base File'!$AD:$AD,"Not Met")),"-")</f>
        <v>-</v>
      </c>
      <c r="AK8" s="43" t="str">
        <f>IFERROR(COUNTIFS('Base File'!$G:$G,"Internal KPI",'Base File'!$C:$C,B8,'Base File'!$AD:$AD,"Met")/SUM(COUNTIFS('Base File'!$G:$G,"Internal KPI",'Base File'!$C:$C,B8,'Base File'!$AD:$AD,"Met")+COUNTIFS('Base File'!$G:$G,"Internal KPI",'Base File'!$C:$C,B8,'Base File'!$AD:$AD,"Not Met")),"-")</f>
        <v>-</v>
      </c>
      <c r="AL8" s="43" t="str">
        <f>IFERROR(COUNTIFS('Base File'!$AF:$AF,"Met",'Base File'!$C:$C,B8)/(COUNTIFS('Base File'!$AF:$AF,"Met",'Base File'!$C:$C,B8)+COUNTIFS('Base File'!$AF:$AF,"Not Met",'Base File'!$C:$C,B8)),"NR")</f>
        <v>NR</v>
      </c>
      <c r="AM8" s="43" t="str">
        <f>IFERROR(COUNTIFS('Base File'!$G:$G,"Contractual SLA",'Base File'!$H:$H,"No",'Base File'!$C:$C,B8,'Base File'!$AF:$AF,"Met")/SUM(COUNTIFS('Base File'!$G:$G,"Contractual SLA",'Base File'!$H:$H,"No",'Base File'!$C:$C,B8,'Base File'!$AF:$AF,"Met")+COUNTIFS('Base File'!$G:$G,"Contractual SLA",'Base File'!$H:$H,"No",'Base File'!$C:$C,B8,'Base File'!$AF:$AF,"Not Met")),"-")</f>
        <v>-</v>
      </c>
      <c r="AN8" s="47" t="str">
        <f>IFERROR(COUNTIFS('Base File'!$G:$G,"Contractual SLA",'Base File'!$H:$H,"Yes",'Base File'!$C:$C,B8,'Base File'!$AF:$AF,"Met")/SUM(COUNTIFS('Base File'!$G:$G,"Contractual SLA",'Base File'!$H:$H,"yes",'Base File'!$C:$C,B8,'Base File'!$AF:$AF,"Met")+COUNTIFS('Base File'!$G:$G,"Contractual SLA",'Base File'!$H:$H,"yes",'Base File'!$C:$C,B8,'Base File'!$AF:$AF,"Not Met")),"-")</f>
        <v>-</v>
      </c>
      <c r="AO8" s="43" t="str">
        <f>IFERROR(COUNTIFS('Base File'!$G:$G,"Internal KPI",'Base File'!$C:$C,B8,'Base File'!$AF:$AF,"Met")/SUM(COUNTIFS('Base File'!$G:$G,"Internal KPI",'Base File'!$C:$C,B8,'Base File'!$AF:$AF,"Met")+COUNTIFS('Base File'!$G:$G,"Internal KPI",'Base File'!$C:$C,B8,'Base File'!$AF:$AF,"Not Met")),"-")</f>
        <v>-</v>
      </c>
      <c r="AP8" s="43">
        <f>12/23</f>
        <v>0.52173913043478259</v>
      </c>
      <c r="AQ8" s="47">
        <f>0/2</f>
        <v>0</v>
      </c>
      <c r="AR8" s="47">
        <f>0/2</f>
        <v>0</v>
      </c>
      <c r="AS8" s="43">
        <f>12/19</f>
        <v>0.63157894736842102</v>
      </c>
      <c r="AT8" s="47">
        <f>29/60</f>
        <v>0.48333333333333334</v>
      </c>
      <c r="AU8" s="43">
        <f>1/2</f>
        <v>0.5</v>
      </c>
      <c r="AV8" s="47">
        <f>0/2</f>
        <v>0</v>
      </c>
      <c r="AW8" s="43">
        <f>28/56</f>
        <v>0.5</v>
      </c>
      <c r="AX8" s="47">
        <f>28/58</f>
        <v>0.48275862068965519</v>
      </c>
      <c r="AY8" s="43">
        <f>1/2</f>
        <v>0.5</v>
      </c>
      <c r="AZ8" s="47">
        <f>0/2</f>
        <v>0</v>
      </c>
      <c r="BA8" s="43">
        <f>27/54</f>
        <v>0.5</v>
      </c>
      <c r="BB8" s="43">
        <f>38/61</f>
        <v>0.62295081967213117</v>
      </c>
      <c r="BC8" s="47">
        <f>0/2</f>
        <v>0</v>
      </c>
      <c r="BD8" s="47">
        <f>0/2</f>
        <v>0</v>
      </c>
      <c r="BE8" s="43">
        <f>38/57</f>
        <v>0.66666666666666663</v>
      </c>
      <c r="BF8" s="43">
        <f>29/48</f>
        <v>0.60416666666666663</v>
      </c>
      <c r="BG8" s="43">
        <f>1/2</f>
        <v>0.5</v>
      </c>
      <c r="BH8" s="42" t="s">
        <v>103</v>
      </c>
      <c r="BI8" s="43">
        <f>28/46</f>
        <v>0.60869565217391308</v>
      </c>
      <c r="BJ8" s="43">
        <f>25/48</f>
        <v>0.52083333333333337</v>
      </c>
      <c r="BK8" s="60">
        <f>1/2</f>
        <v>0.5</v>
      </c>
      <c r="BL8" s="42" t="s">
        <v>103</v>
      </c>
      <c r="BM8" s="43">
        <f>24/46</f>
        <v>0.52173913043478259</v>
      </c>
      <c r="BN8" s="43">
        <f>28/48</f>
        <v>0.58333333333333337</v>
      </c>
      <c r="BO8" s="43">
        <f>1/2</f>
        <v>0.5</v>
      </c>
      <c r="BP8" s="42" t="s">
        <v>103</v>
      </c>
      <c r="BQ8" s="43">
        <f>27/46</f>
        <v>0.58695652173913049</v>
      </c>
      <c r="BR8" s="45">
        <f>32/64</f>
        <v>0.5</v>
      </c>
      <c r="BS8" s="54">
        <f>0/2</f>
        <v>0</v>
      </c>
      <c r="BT8" s="53" t="s">
        <v>103</v>
      </c>
      <c r="BU8" s="45">
        <f>32/62</f>
        <v>0.5161290322580645</v>
      </c>
      <c r="BV8" s="55">
        <f>22/47</f>
        <v>0.46808510638297873</v>
      </c>
      <c r="BW8" s="49" t="s">
        <v>103</v>
      </c>
      <c r="BX8" s="49" t="s">
        <v>103</v>
      </c>
      <c r="BY8" s="55">
        <f>22/47</f>
        <v>0.46808510638297873</v>
      </c>
      <c r="BZ8" s="61" t="s">
        <v>107</v>
      </c>
      <c r="CA8" s="61" t="s">
        <v>107</v>
      </c>
      <c r="CB8" s="61" t="s">
        <v>107</v>
      </c>
      <c r="CC8" s="61" t="s">
        <v>107</v>
      </c>
      <c r="CD8" s="61" t="s">
        <v>107</v>
      </c>
      <c r="CE8" s="61" t="s">
        <v>107</v>
      </c>
      <c r="CF8" s="61" t="s">
        <v>107</v>
      </c>
      <c r="CG8" s="61" t="s">
        <v>107</v>
      </c>
      <c r="CH8" s="61" t="s">
        <v>107</v>
      </c>
      <c r="CI8" s="61" t="s">
        <v>107</v>
      </c>
      <c r="CJ8" s="61" t="s">
        <v>107</v>
      </c>
      <c r="CK8" s="61" t="s">
        <v>107</v>
      </c>
      <c r="CL8" s="61" t="s">
        <v>11</v>
      </c>
      <c r="CM8" s="61" t="s">
        <v>11</v>
      </c>
      <c r="CN8" s="61" t="s">
        <v>11</v>
      </c>
      <c r="CO8" s="61" t="s">
        <v>11</v>
      </c>
      <c r="CP8" s="61" t="s">
        <v>11</v>
      </c>
      <c r="CQ8" s="61" t="s">
        <v>11</v>
      </c>
      <c r="CR8" s="61" t="s">
        <v>11</v>
      </c>
      <c r="CS8" s="61" t="s">
        <v>11</v>
      </c>
      <c r="CT8" s="61" t="s">
        <v>11</v>
      </c>
      <c r="CU8" s="61" t="s">
        <v>11</v>
      </c>
      <c r="CV8" s="61" t="s">
        <v>11</v>
      </c>
      <c r="CW8" s="61" t="s">
        <v>11</v>
      </c>
      <c r="CX8" s="359"/>
      <c r="CY8" s="359"/>
      <c r="CZ8" s="359"/>
      <c r="DA8" s="359"/>
      <c r="DB8" s="359"/>
      <c r="DC8" s="359"/>
      <c r="DD8" s="359"/>
      <c r="DE8" s="359"/>
      <c r="DF8" s="298" t="s">
        <v>11</v>
      </c>
      <c r="DG8" s="298" t="s">
        <v>11</v>
      </c>
      <c r="DH8" s="298" t="s">
        <v>11</v>
      </c>
      <c r="DI8" s="298" t="s">
        <v>11</v>
      </c>
      <c r="DJ8" s="298" t="s">
        <v>11</v>
      </c>
      <c r="DK8" s="298" t="s">
        <v>11</v>
      </c>
      <c r="DL8" s="298" t="s">
        <v>11</v>
      </c>
      <c r="DM8" s="298" t="s">
        <v>11</v>
      </c>
      <c r="DN8" s="440" t="s">
        <v>11</v>
      </c>
      <c r="DO8" s="440" t="s">
        <v>11</v>
      </c>
      <c r="DP8" s="440" t="s">
        <v>11</v>
      </c>
      <c r="DQ8" s="440" t="s">
        <v>11</v>
      </c>
      <c r="DR8" s="440" t="s">
        <v>11</v>
      </c>
      <c r="DS8" s="440" t="s">
        <v>11</v>
      </c>
      <c r="DT8" s="440" t="s">
        <v>11</v>
      </c>
      <c r="DU8" s="440" t="s">
        <v>11</v>
      </c>
    </row>
    <row r="9" spans="1:127" x14ac:dyDescent="0.2">
      <c r="A9" s="39">
        <v>6</v>
      </c>
      <c r="B9" s="40" t="s">
        <v>110</v>
      </c>
      <c r="C9" s="62" t="s">
        <v>112</v>
      </c>
      <c r="D9" s="89" t="s">
        <v>956</v>
      </c>
      <c r="E9" s="89" t="s">
        <v>956</v>
      </c>
      <c r="F9" s="42">
        <f>61/98</f>
        <v>0.62244897959183676</v>
      </c>
      <c r="G9" s="42">
        <f>15/23</f>
        <v>0.65217391304347827</v>
      </c>
      <c r="H9" s="42">
        <f>2/3</f>
        <v>0.66666666666666663</v>
      </c>
      <c r="I9" s="42">
        <f>44/72</f>
        <v>0.61111111111111116</v>
      </c>
      <c r="J9" s="42">
        <f>68/101</f>
        <v>0.67326732673267331</v>
      </c>
      <c r="K9" s="42">
        <f>19/27</f>
        <v>0.70370370370370372</v>
      </c>
      <c r="L9" s="42">
        <f>5/7</f>
        <v>0.7142857142857143</v>
      </c>
      <c r="M9" s="42">
        <f>44/67</f>
        <v>0.65671641791044777</v>
      </c>
      <c r="N9" s="43" t="str">
        <f>IFERROR(COUNTIFS('Base File'!$V:$V,"Met",'Base File'!$C:$C,B9)/(COUNTIFS('Base File'!$V:$V,"Met",'Base File'!$C:$C,B9)+COUNTIFS('Base File'!$V:$V,"Not Met",'Base File'!$C:$C,B9)),"NR")</f>
        <v>NR</v>
      </c>
      <c r="O9" s="44" t="str">
        <f>IFERROR(COUNTIFS('Base File'!$G:$G,"Contractual SLA",'Base File'!$H:$H,"No",'Base File'!$C:$C,B9,'Base File'!$V:$V,"Met")/SUM(COUNTIFS('Base File'!$G:$G,"Contractual SLA",'Base File'!$H:$H,"No",'Base File'!$C:$C,B9,'Base File'!$V:$V,"Met")+COUNTIFS('Base File'!$G:$G,"Contractual SLA",'Base File'!$H:$H,"No",'Base File'!$C:$C,B9,'Base File'!$V:$V,"Not Met")),"-")</f>
        <v>-</v>
      </c>
      <c r="P9" s="45" t="str">
        <f>IFERROR(COUNTIFS('Base File'!$G:$G,"Contractual SLA",'Base File'!$H:$H,"Yes",'Base File'!$C:$C,B9,'Base File'!$V:$V,"Met")/SUM(COUNTIFS('Base File'!$G:$G,"Contractual SLA",'Base File'!$H:$H,"yes",'Base File'!$C:$C,B9,'Base File'!$V:$V,"Met")+COUNTIFS('Base File'!$G:$G,"Contractual SLA",'Base File'!$H:$H,"yes",'Base File'!$C:$C,B9,'Base File'!$V:$V,"Not Met")),"-")</f>
        <v>-</v>
      </c>
      <c r="Q9" s="46" t="str">
        <f>IFERROR(COUNTIFS('Base File'!$G:$G,"Internal KPI",'Base File'!$C:$C,B9,'Base File'!$V:$V,"Met")/SUM(COUNTIFS('Base File'!$G:$G,"Internal KPI",'Base File'!$C:$C,B9,'Base File'!$V:$V,"Met")+COUNTIFS('Base File'!$G:$G,"Internal KPI",'Base File'!$C:$C,B9,'Base File'!$V:$V,"Not Met")),"-")</f>
        <v>-</v>
      </c>
      <c r="R9" s="43">
        <f t="shared" ref="R9" si="1">BR9</f>
        <v>0.2857142857142857</v>
      </c>
      <c r="S9" s="43">
        <f t="shared" ref="S9" si="2">BS9</f>
        <v>0.5</v>
      </c>
      <c r="T9" s="43" t="str">
        <f t="shared" ref="T9" si="3">BT9</f>
        <v>-</v>
      </c>
      <c r="U9" s="43">
        <f t="shared" ref="U9" si="4">BU9</f>
        <v>0</v>
      </c>
      <c r="V9" s="43" t="str">
        <f>IFERROR(COUNTIFS('Base File'!$X:$X,"Met",'Base File'!$C:$C,B9)/(COUNTIFS('Base File'!$X:$X,"Met",'Base File'!$C:$C,B9)+COUNTIFS('Base File'!$X:$X,"Not Met",'Base File'!$C:$C,B9)),"NR")</f>
        <v>NR</v>
      </c>
      <c r="W9" s="43" t="str">
        <f>IFERROR(COUNTIFS('Base File'!$G:$G,"Contractual SLA",'Base File'!$H:$H,"No",'Base File'!$C:$C,B9,'Base File'!$X:$X,"Met")/SUM(COUNTIFS('Base File'!$G:$G,"Contractual SLA",'Base File'!$H:$H,"No",'Base File'!$C:$C,B9,'Base File'!$X:$X,"Met")+COUNTIFS('Base File'!$G:$G,"Contractual SLA",'Base File'!$H:$H,"No",'Base File'!$C:$C,B9,'Base File'!$X:$X,"Not Met")),"-")</f>
        <v>-</v>
      </c>
      <c r="X9" s="46" t="str">
        <f>IFERROR(COUNTIFS('Base File'!$G:$G,"Contractual SLA",'Base File'!$H:$H,"Yes",'Base File'!$C:$C,B9,'Base File'!$X:$X,"Met")/SUM(COUNTIFS('Base File'!$G:$G,"Contractual SLA",'Base File'!$H:$H,"yes",'Base File'!$C:$C,B9,'Base File'!$X:$X,"Met")+COUNTIFS('Base File'!$G:$G,"Contractual SLA",'Base File'!$H:$H,"yes",'Base File'!$C:$C,B9,'Base File'!$X:$X,"Not Met")),"-")</f>
        <v>-</v>
      </c>
      <c r="Y9" s="45" t="str">
        <f>IFERROR(COUNTIFS('Base File'!$G:$G,"Internal KPI",'Base File'!$C:$C,B9,'Base File'!$X:$X,"Met")/SUM(COUNTIFS('Base File'!$G:$G,"Internal KPI",'Base File'!$C:$C,B9,'Base File'!$X:$X,"Met")+COUNTIFS('Base File'!$G:$G,"Internal KPI",'Base File'!$C:$C,B9,'Base File'!$X:$X,"Not Met")),"-")</f>
        <v>-</v>
      </c>
      <c r="Z9" s="43" t="str">
        <f>IFERROR(COUNTIFS('Base File'!$Z:$Z,"Met",'Base File'!$C:$C,B9)/(COUNTIFS('Base File'!$Z:$Z,"Met",'Base File'!$C:$C,B9)+COUNTIFS('Base File'!$Z:$Z,"Not Met",'Base File'!$C:$C,B9)),"NR")</f>
        <v>NR</v>
      </c>
      <c r="AA9" s="44" t="str">
        <f>IFERROR(COUNTIFS('Base File'!$G:$G,"Contractual SLA",'Base File'!$H:$H,"No",'Base File'!$C:$C,B9,'Base File'!$Z:$Z,"Met")/SUM(COUNTIFS('Base File'!$G:$G,"Contractual SLA",'Base File'!$H:$H,"No",'Base File'!$C:$C,B9,'Base File'!$Z:$Z,"Met")+COUNTIFS('Base File'!$G:$G,"Contractual SLA",'Base File'!$H:$H,"No",'Base File'!$C:$C,B9,'Base File'!$Z:$Z,"Not Met")),"-")</f>
        <v>-</v>
      </c>
      <c r="AB9" s="44" t="str">
        <f>IFERROR(COUNTIFS('Base File'!$G:$G,"Contractual SLA",'Base File'!$H:$H,"Yes",'Base File'!$C:$C,B9,'Base File'!$Z:$Z,"Met")/SUM(COUNTIFS('Base File'!$G:$G,"Contractual SLA",'Base File'!$H:$H,"yes",'Base File'!$C:$C,B9,'Base File'!$Z:$Z,"Met")+COUNTIFS('Base File'!$G:$G,"Contractual SLA",'Base File'!$H:$H,"yes",'Base File'!$C:$C,B9,'Base File'!$Z:$Z,"Not Met")),"-")</f>
        <v>-</v>
      </c>
      <c r="AC9" s="43" t="str">
        <f>IFERROR(COUNTIFS('Base File'!$G:$G,"Internal KPI",'Base File'!$C:$C,B9,'Base File'!$Z:$Z,"Met")/SUM(COUNTIFS('Base File'!$G:$G,"Internal KPI",'Base File'!$C:$C,B9,'Base File'!$Z:$Z,"Met")+COUNTIFS('Base File'!$G:$G,"Internal KPI",'Base File'!$C:$C,B9,'Base File'!$Z:$Z,"Not Met")),"-")</f>
        <v>-</v>
      </c>
      <c r="AD9" s="43">
        <f>4/7</f>
        <v>0.5714285714285714</v>
      </c>
      <c r="AE9" s="43">
        <v>0.5</v>
      </c>
      <c r="AF9" s="58" t="s">
        <v>107</v>
      </c>
      <c r="AG9" s="43" t="str">
        <f>IFERROR(COUNTIFS('Base File'!$G:$G,"Internal KPI",'Base File'!$C:$C,B9,'Base File'!$AB:$AB,"Met")/SUM(COUNTIFS('Base File'!$G:$G,"Internal KPI",'Base File'!$C:$C,B9,'Base File'!$AB:$AB,"Met")+COUNTIFS('Base File'!$G:$G,"Internal KPI",'Base File'!$C:$C,B9,'Base File'!$AB:$AB,"Not Met")),"-")</f>
        <v>-</v>
      </c>
      <c r="AH9" s="42" t="s">
        <v>103</v>
      </c>
      <c r="AI9" s="42" t="s">
        <v>103</v>
      </c>
      <c r="AJ9" s="42" t="str">
        <f>IFERROR(COUNTIFS('Base File'!$G:$G,"Contractual SLA",'Base File'!$H:$H,"Yes",'Base File'!$C:$C,B9,'Base File'!$AD:$AD,"Met")/SUM(COUNTIFS('Base File'!$G:$G,"Contractual SLA",'Base File'!$H:$H,"yes",'Base File'!$C:$C,B9,'Base File'!$AD:$AD,"Met")+COUNTIFS('Base File'!$G:$G,"Contractual SLA",'Base File'!$H:$H,"yes",'Base File'!$C:$C,B9,'Base File'!$AD:$AD,"Not Met")),"-")</f>
        <v>-</v>
      </c>
      <c r="AK9" s="42" t="s">
        <v>103</v>
      </c>
      <c r="AL9" s="47">
        <f>2/7</f>
        <v>0.2857142857142857</v>
      </c>
      <c r="AM9" s="43">
        <f>2/4</f>
        <v>0.5</v>
      </c>
      <c r="AN9" s="58" t="s">
        <v>107</v>
      </c>
      <c r="AO9" s="47">
        <f>0/3</f>
        <v>0</v>
      </c>
      <c r="AP9" s="63">
        <f>3/7</f>
        <v>0.42857142857142855</v>
      </c>
      <c r="AQ9" s="43">
        <f>2/4</f>
        <v>0.5</v>
      </c>
      <c r="AR9" s="58" t="s">
        <v>107</v>
      </c>
      <c r="AS9" s="47">
        <f>1/3</f>
        <v>0.33333333333333331</v>
      </c>
      <c r="AT9" s="47">
        <f>2/7</f>
        <v>0.2857142857142857</v>
      </c>
      <c r="AU9" s="43">
        <f>2/4</f>
        <v>0.5</v>
      </c>
      <c r="AV9" s="64" t="s">
        <v>107</v>
      </c>
      <c r="AW9" s="47">
        <f>0/3</f>
        <v>0</v>
      </c>
      <c r="AX9" s="47">
        <f>2/7</f>
        <v>0.2857142857142857</v>
      </c>
      <c r="AY9" s="43">
        <f>2/4</f>
        <v>0.5</v>
      </c>
      <c r="AZ9" s="64" t="s">
        <v>107</v>
      </c>
      <c r="BA9" s="47">
        <f>0/3</f>
        <v>0</v>
      </c>
      <c r="BB9" s="47">
        <f>2/7</f>
        <v>0.2857142857142857</v>
      </c>
      <c r="BC9" s="43">
        <f>2/4</f>
        <v>0.5</v>
      </c>
      <c r="BD9" s="58" t="s">
        <v>107</v>
      </c>
      <c r="BE9" s="47">
        <f>0/3</f>
        <v>0</v>
      </c>
      <c r="BF9" s="47">
        <f>1/7</f>
        <v>0.14285714285714285</v>
      </c>
      <c r="BG9" s="47">
        <f>1/4</f>
        <v>0.25</v>
      </c>
      <c r="BH9" s="58" t="s">
        <v>107</v>
      </c>
      <c r="BI9" s="47">
        <f>0/3</f>
        <v>0</v>
      </c>
      <c r="BJ9" s="47">
        <f>2/7</f>
        <v>0.2857142857142857</v>
      </c>
      <c r="BK9" s="60">
        <f>2/4</f>
        <v>0.5</v>
      </c>
      <c r="BL9" s="58" t="s">
        <v>107</v>
      </c>
      <c r="BM9" s="47">
        <f>0/3</f>
        <v>0</v>
      </c>
      <c r="BN9" s="47">
        <f>2/7</f>
        <v>0.2857142857142857</v>
      </c>
      <c r="BO9" s="43">
        <f>2/4</f>
        <v>0.5</v>
      </c>
      <c r="BP9" s="58" t="s">
        <v>107</v>
      </c>
      <c r="BQ9" s="47">
        <f>0/3</f>
        <v>0</v>
      </c>
      <c r="BR9" s="47">
        <f>2/7</f>
        <v>0.2857142857142857</v>
      </c>
      <c r="BS9" s="43">
        <f>2/4</f>
        <v>0.5</v>
      </c>
      <c r="BT9" s="58" t="s">
        <v>107</v>
      </c>
      <c r="BU9" s="47">
        <f>0/3</f>
        <v>0</v>
      </c>
      <c r="BV9" s="65">
        <f>2/7</f>
        <v>0.2857142857142857</v>
      </c>
      <c r="BW9" s="66">
        <f>2/4</f>
        <v>0.5</v>
      </c>
      <c r="BX9" s="49" t="s">
        <v>11</v>
      </c>
      <c r="BY9" s="65">
        <f>0/3</f>
        <v>0</v>
      </c>
      <c r="BZ9" s="67" t="s">
        <v>11</v>
      </c>
      <c r="CA9" s="67" t="s">
        <v>11</v>
      </c>
      <c r="CB9" s="67" t="s">
        <v>107</v>
      </c>
      <c r="CC9" s="67" t="s">
        <v>11</v>
      </c>
      <c r="CD9" s="67" t="s">
        <v>11</v>
      </c>
      <c r="CE9" s="67" t="s">
        <v>11</v>
      </c>
      <c r="CF9" s="67" t="s">
        <v>107</v>
      </c>
      <c r="CG9" s="67" t="s">
        <v>11</v>
      </c>
      <c r="CH9" s="67" t="s">
        <v>11</v>
      </c>
      <c r="CI9" s="67" t="s">
        <v>11</v>
      </c>
      <c r="CJ9" s="67" t="s">
        <v>107</v>
      </c>
      <c r="CK9" s="67" t="s">
        <v>11</v>
      </c>
      <c r="CL9" s="67" t="s">
        <v>11</v>
      </c>
      <c r="CM9" s="67" t="s">
        <v>11</v>
      </c>
      <c r="CN9" s="67" t="s">
        <v>107</v>
      </c>
      <c r="CO9" s="67" t="s">
        <v>11</v>
      </c>
      <c r="CP9" s="61" t="s">
        <v>11</v>
      </c>
      <c r="CQ9" s="61" t="s">
        <v>11</v>
      </c>
      <c r="CR9" s="61" t="s">
        <v>11</v>
      </c>
      <c r="CS9" s="61" t="s">
        <v>11</v>
      </c>
      <c r="CT9" s="61" t="s">
        <v>11</v>
      </c>
      <c r="CU9" s="61" t="s">
        <v>11</v>
      </c>
      <c r="CV9" s="61" t="s">
        <v>11</v>
      </c>
      <c r="CW9" s="61" t="s">
        <v>11</v>
      </c>
      <c r="CX9" s="359"/>
      <c r="CY9" s="359"/>
      <c r="CZ9" s="359"/>
      <c r="DA9" s="359"/>
      <c r="DB9" s="359"/>
      <c r="DC9" s="359"/>
      <c r="DD9" s="359"/>
      <c r="DE9" s="359"/>
      <c r="DF9" s="298" t="s">
        <v>11</v>
      </c>
      <c r="DG9" s="298" t="s">
        <v>11</v>
      </c>
      <c r="DH9" s="298" t="s">
        <v>11</v>
      </c>
      <c r="DI9" s="298" t="s">
        <v>11</v>
      </c>
      <c r="DJ9" s="298" t="s">
        <v>11</v>
      </c>
      <c r="DK9" s="298" t="s">
        <v>11</v>
      </c>
      <c r="DL9" s="298" t="s">
        <v>11</v>
      </c>
      <c r="DM9" s="298" t="s">
        <v>11</v>
      </c>
      <c r="DN9" s="440" t="s">
        <v>11</v>
      </c>
      <c r="DO9" s="440" t="s">
        <v>11</v>
      </c>
      <c r="DP9" s="442" t="s">
        <v>107</v>
      </c>
      <c r="DQ9" s="440" t="s">
        <v>11</v>
      </c>
      <c r="DR9" s="440">
        <f>2/7</f>
        <v>0.2857142857142857</v>
      </c>
      <c r="DS9" s="440">
        <f>2/4</f>
        <v>0.5</v>
      </c>
      <c r="DT9" s="442" t="s">
        <v>107</v>
      </c>
      <c r="DU9" s="440">
        <f>0/3</f>
        <v>0</v>
      </c>
    </row>
    <row r="10" spans="1:127" x14ac:dyDescent="0.2">
      <c r="A10" s="39">
        <v>7</v>
      </c>
      <c r="B10" s="40" t="s">
        <v>110</v>
      </c>
      <c r="C10" s="52" t="s">
        <v>113</v>
      </c>
      <c r="D10" s="364" t="s">
        <v>955</v>
      </c>
      <c r="E10" s="364" t="s">
        <v>65</v>
      </c>
      <c r="F10" s="42">
        <f>61/98</f>
        <v>0.62244897959183676</v>
      </c>
      <c r="G10" s="42">
        <f>15/23</f>
        <v>0.65217391304347827</v>
      </c>
      <c r="H10" s="42">
        <f>2/3</f>
        <v>0.66666666666666663</v>
      </c>
      <c r="I10" s="42">
        <f>44/72</f>
        <v>0.61111111111111116</v>
      </c>
      <c r="J10" s="42">
        <f>68/101</f>
        <v>0.67326732673267331</v>
      </c>
      <c r="K10" s="42">
        <f>19/27</f>
        <v>0.70370370370370372</v>
      </c>
      <c r="L10" s="42">
        <f>5/7</f>
        <v>0.7142857142857143</v>
      </c>
      <c r="M10" s="42">
        <f>44/67</f>
        <v>0.65671641791044777</v>
      </c>
      <c r="N10" s="43" t="str">
        <f>IFERROR(COUNTIFS('Base File'!$V:$V,"Met",'Base File'!$C:$C,B10)/(COUNTIFS('Base File'!$V:$V,"Met",'Base File'!$C:$C,B10)+COUNTIFS('Base File'!$V:$V,"Not Met",'Base File'!$C:$C,B10)),"NR")</f>
        <v>NR</v>
      </c>
      <c r="O10" s="44" t="str">
        <f>IFERROR(COUNTIFS('Base File'!$G:$G,"Contractual SLA",'Base File'!$H:$H,"No",'Base File'!$C:$C,B10,'Base File'!$V:$V,"Met")/SUM(COUNTIFS('Base File'!$G:$G,"Contractual SLA",'Base File'!$H:$H,"No",'Base File'!$C:$C,B10,'Base File'!$V:$V,"Met")+COUNTIFS('Base File'!$G:$G,"Contractual SLA",'Base File'!$H:$H,"No",'Base File'!$C:$C,B10,'Base File'!$V:$V,"Not Met")),"-")</f>
        <v>-</v>
      </c>
      <c r="P10" s="45" t="str">
        <f>IFERROR(COUNTIFS('Base File'!$G:$G,"Contractual SLA",'Base File'!$H:$H,"Yes",'Base File'!$C:$C,B10,'Base File'!$V:$V,"Met")/SUM(COUNTIFS('Base File'!$G:$G,"Contractual SLA",'Base File'!$H:$H,"yes",'Base File'!$C:$C,B10,'Base File'!$V:$V,"Met")+COUNTIFS('Base File'!$G:$G,"Contractual SLA",'Base File'!$H:$H,"yes",'Base File'!$C:$C,B10,'Base File'!$V:$V,"Not Met")),"-")</f>
        <v>-</v>
      </c>
      <c r="Q10" s="46" t="str">
        <f>IFERROR(COUNTIFS('Base File'!$G:$G,"Internal KPI",'Base File'!$C:$C,B10,'Base File'!$V:$V,"Met")/SUM(COUNTIFS('Base File'!$G:$G,"Internal KPI",'Base File'!$C:$C,B10,'Base File'!$V:$V,"Met")+COUNTIFS('Base File'!$G:$G,"Internal KPI",'Base File'!$C:$C,B10,'Base File'!$V:$V,"Not Met")),"-")</f>
        <v>-</v>
      </c>
      <c r="R10" s="43">
        <f t="shared" ref="R10" si="5">BR10</f>
        <v>0.79629629629629628</v>
      </c>
      <c r="S10" s="43">
        <f t="shared" ref="S10" si="6">BS10</f>
        <v>0.88888888888888884</v>
      </c>
      <c r="T10" s="43">
        <f t="shared" ref="T10" si="7">BT10</f>
        <v>0.5</v>
      </c>
      <c r="U10" s="43">
        <f t="shared" ref="U10" si="8">BU10</f>
        <v>0.78125</v>
      </c>
      <c r="V10" s="43" t="str">
        <f>IFERROR(COUNTIFS('Base File'!$X:$X,"Met",'Base File'!$C:$C,B10)/(COUNTIFS('Base File'!$X:$X,"Met",'Base File'!$C:$C,B10)+COUNTIFS('Base File'!$X:$X,"Not Met",'Base File'!$C:$C,B10)),"NR")</f>
        <v>NR</v>
      </c>
      <c r="W10" s="43" t="str">
        <f>IFERROR(COUNTIFS('Base File'!$G:$G,"Contractual SLA",'Base File'!$H:$H,"No",'Base File'!$C:$C,B10,'Base File'!$X:$X,"Met")/SUM(COUNTIFS('Base File'!$G:$G,"Contractual SLA",'Base File'!$H:$H,"No",'Base File'!$C:$C,B10,'Base File'!$X:$X,"Met")+COUNTIFS('Base File'!$G:$G,"Contractual SLA",'Base File'!$H:$H,"No",'Base File'!$C:$C,B10,'Base File'!$X:$X,"Not Met")),"-")</f>
        <v>-</v>
      </c>
      <c r="X10" s="46" t="str">
        <f>IFERROR(COUNTIFS('Base File'!$G:$G,"Contractual SLA",'Base File'!$H:$H,"Yes",'Base File'!$C:$C,B10,'Base File'!$X:$X,"Met")/SUM(COUNTIFS('Base File'!$G:$G,"Contractual SLA",'Base File'!$H:$H,"yes",'Base File'!$C:$C,B10,'Base File'!$X:$X,"Met")+COUNTIFS('Base File'!$G:$G,"Contractual SLA",'Base File'!$H:$H,"yes",'Base File'!$C:$C,B10,'Base File'!$X:$X,"Not Met")),"-")</f>
        <v>-</v>
      </c>
      <c r="Y10" s="45" t="str">
        <f>IFERROR(COUNTIFS('Base File'!$G:$G,"Internal KPI",'Base File'!$C:$C,B10,'Base File'!$X:$X,"Met")/SUM(COUNTIFS('Base File'!$G:$G,"Internal KPI",'Base File'!$C:$C,B10,'Base File'!$X:$X,"Met")+COUNTIFS('Base File'!$G:$G,"Internal KPI",'Base File'!$C:$C,B10,'Base File'!$X:$X,"Not Met")),"-")</f>
        <v>-</v>
      </c>
      <c r="Z10" s="43" t="str">
        <f>IFERROR(COUNTIFS('Base File'!$Z:$Z,"Met",'Base File'!$C:$C,B10)/(COUNTIFS('Base File'!$Z:$Z,"Met",'Base File'!$C:$C,B10)+COUNTIFS('Base File'!$Z:$Z,"Not Met",'Base File'!$C:$C,B10)),"NR")</f>
        <v>NR</v>
      </c>
      <c r="AA10" s="44" t="str">
        <f>IFERROR(COUNTIFS('Base File'!$G:$G,"Contractual SLA",'Base File'!$H:$H,"No",'Base File'!$C:$C,B10,'Base File'!$Z:$Z,"Met")/SUM(COUNTIFS('Base File'!$G:$G,"Contractual SLA",'Base File'!$H:$H,"No",'Base File'!$C:$C,B10,'Base File'!$Z:$Z,"Met")+COUNTIFS('Base File'!$G:$G,"Contractual SLA",'Base File'!$H:$H,"No",'Base File'!$C:$C,B10,'Base File'!$Z:$Z,"Not Met")),"-")</f>
        <v>-</v>
      </c>
      <c r="AB10" s="44" t="str">
        <f>IFERROR(COUNTIFS('Base File'!$G:$G,"Contractual SLA",'Base File'!$H:$H,"Yes",'Base File'!$C:$C,B10,'Base File'!$Z:$Z,"Met")/SUM(COUNTIFS('Base File'!$G:$G,"Contractual SLA",'Base File'!$H:$H,"yes",'Base File'!$C:$C,B10,'Base File'!$Z:$Z,"Met")+COUNTIFS('Base File'!$G:$G,"Contractual SLA",'Base File'!$H:$H,"yes",'Base File'!$C:$C,B10,'Base File'!$Z:$Z,"Not Met")),"-")</f>
        <v>-</v>
      </c>
      <c r="AC10" s="43" t="str">
        <f>IFERROR(COUNTIFS('Base File'!$G:$G,"Internal KPI",'Base File'!$C:$C,B10,'Base File'!$Z:$Z,"Met")/SUM(COUNTIFS('Base File'!$G:$G,"Internal KPI",'Base File'!$C:$C,B10,'Base File'!$Z:$Z,"Met")+COUNTIFS('Base File'!$G:$G,"Internal KPI",'Base File'!$C:$C,B10,'Base File'!$Z:$Z,"Not Met")),"-")</f>
        <v>-</v>
      </c>
      <c r="AD10" s="44">
        <f>24/30</f>
        <v>0.8</v>
      </c>
      <c r="AE10" s="44">
        <f>13/14</f>
        <v>0.9285714285714286</v>
      </c>
      <c r="AF10" s="44" t="str">
        <f>IFERROR(COUNTIFS('Base File'!$G:$G,"Contractual SLA",'Base File'!$H:$H,"Yes",'Base File'!$C:$C,B10,'Base File'!$AB:$AB,"Met")/SUM(COUNTIFS('Base File'!$G:$G,"Contractual SLA",'Base File'!$H:$H,"yes",'Base File'!$C:$C,B10,'Base File'!$AB:$AB,"Met")+COUNTIFS('Base File'!$G:$G,"Contractual SLA",'Base File'!$H:$H,"yes",'Base File'!$C:$C,B10,'Base File'!$AB:$AB,"Not Met")),"-")</f>
        <v>-</v>
      </c>
      <c r="AG10" s="43">
        <f>9/14</f>
        <v>0.6428571428571429</v>
      </c>
      <c r="AH10" s="42" t="s">
        <v>103</v>
      </c>
      <c r="AI10" s="42" t="s">
        <v>103</v>
      </c>
      <c r="AJ10" s="42" t="s">
        <v>103</v>
      </c>
      <c r="AK10" s="42" t="s">
        <v>103</v>
      </c>
      <c r="AL10" s="43">
        <f>15/26</f>
        <v>0.57692307692307687</v>
      </c>
      <c r="AM10" s="44">
        <f>6/8</f>
        <v>0.75</v>
      </c>
      <c r="AN10" s="47">
        <f>1/2</f>
        <v>0.5</v>
      </c>
      <c r="AO10" s="43">
        <f>8/16</f>
        <v>0.5</v>
      </c>
      <c r="AP10" s="43">
        <f>9/15</f>
        <v>0.6</v>
      </c>
      <c r="AQ10" s="68" t="s">
        <v>107</v>
      </c>
      <c r="AR10" s="44">
        <f>2/2</f>
        <v>1</v>
      </c>
      <c r="AS10" s="43">
        <f>7/13</f>
        <v>0.53846153846153844</v>
      </c>
      <c r="AT10" s="44">
        <f>23/27</f>
        <v>0.85185185185185186</v>
      </c>
      <c r="AU10" s="44">
        <f>8/8</f>
        <v>1</v>
      </c>
      <c r="AV10" s="44">
        <f>2/2</f>
        <v>1</v>
      </c>
      <c r="AW10" s="44">
        <f>13/17</f>
        <v>0.76470588235294112</v>
      </c>
      <c r="AX10" s="43">
        <f>7/11</f>
        <v>0.63636363636363635</v>
      </c>
      <c r="AY10" s="42" t="s">
        <v>103</v>
      </c>
      <c r="AZ10" s="47">
        <f>1/2</f>
        <v>0.5</v>
      </c>
      <c r="BA10" s="43">
        <f>6/9</f>
        <v>0.66666666666666663</v>
      </c>
      <c r="BB10" s="44">
        <f>14/18</f>
        <v>0.77777777777777779</v>
      </c>
      <c r="BC10" s="44">
        <f>8/8</f>
        <v>1</v>
      </c>
      <c r="BD10" s="42" t="s">
        <v>103</v>
      </c>
      <c r="BE10" s="43">
        <f>6/10</f>
        <v>0.6</v>
      </c>
      <c r="BF10" s="43">
        <f>23/31</f>
        <v>0.74193548387096775</v>
      </c>
      <c r="BG10" s="44">
        <f>1/1</f>
        <v>1</v>
      </c>
      <c r="BH10" s="47">
        <f>2/4</f>
        <v>0.5</v>
      </c>
      <c r="BI10" s="44">
        <f>20/26</f>
        <v>0.76923076923076927</v>
      </c>
      <c r="BJ10" s="44">
        <f>31/38</f>
        <v>0.81578947368421051</v>
      </c>
      <c r="BK10" s="44">
        <f>10/11</f>
        <v>0.90909090909090906</v>
      </c>
      <c r="BL10" s="47">
        <f>2/4</f>
        <v>0.5</v>
      </c>
      <c r="BM10" s="44">
        <f>19/23</f>
        <v>0.82608695652173914</v>
      </c>
      <c r="BN10" s="43">
        <f>22/30</f>
        <v>0.73333333333333328</v>
      </c>
      <c r="BO10" s="44">
        <f>4/4</f>
        <v>1</v>
      </c>
      <c r="BP10" s="47">
        <f>1/4</f>
        <v>0.25</v>
      </c>
      <c r="BQ10" s="44">
        <f>17/22</f>
        <v>0.77272727272727271</v>
      </c>
      <c r="BR10" s="46">
        <f>43/54</f>
        <v>0.79629629629629628</v>
      </c>
      <c r="BS10" s="46">
        <f>16/18</f>
        <v>0.88888888888888884</v>
      </c>
      <c r="BT10" s="47">
        <f>2/4</f>
        <v>0.5</v>
      </c>
      <c r="BU10" s="46">
        <f>25/32</f>
        <v>0.78125</v>
      </c>
      <c r="BV10" s="66">
        <f>17/32</f>
        <v>0.53125</v>
      </c>
      <c r="BW10" s="69">
        <f>3/4</f>
        <v>0.75</v>
      </c>
      <c r="BX10" s="65">
        <f>2/4</f>
        <v>0.5</v>
      </c>
      <c r="BY10" s="66">
        <f>12/24</f>
        <v>0.5</v>
      </c>
      <c r="BZ10" s="66">
        <f>17/31</f>
        <v>0.54838709677419351</v>
      </c>
      <c r="CA10" s="69">
        <f>3/4</f>
        <v>0.75</v>
      </c>
      <c r="CB10" s="65">
        <f>0/4</f>
        <v>0</v>
      </c>
      <c r="CC10" s="66">
        <f>14/23</f>
        <v>0.60869565217391308</v>
      </c>
      <c r="CD10" s="66">
        <f>19/31</f>
        <v>0.61290322580645162</v>
      </c>
      <c r="CE10" s="69">
        <f>3/4</f>
        <v>0.75</v>
      </c>
      <c r="CF10" s="65">
        <f>1/4</f>
        <v>0.25</v>
      </c>
      <c r="CG10" s="66">
        <f>15/23</f>
        <v>0.65217391304347827</v>
      </c>
      <c r="CH10" s="65">
        <f>16/33</f>
        <v>0.48484848484848486</v>
      </c>
      <c r="CI10" s="69">
        <f>3/4</f>
        <v>0.75</v>
      </c>
      <c r="CJ10" s="65">
        <f>0/4</f>
        <v>0</v>
      </c>
      <c r="CK10" s="66">
        <f>13/25</f>
        <v>0.52</v>
      </c>
      <c r="CL10" s="66">
        <f>26/43</f>
        <v>0.60465116279069764</v>
      </c>
      <c r="CM10" s="69">
        <f>10/11</f>
        <v>0.90909090909090906</v>
      </c>
      <c r="CN10" s="65">
        <f>0/4</f>
        <v>0</v>
      </c>
      <c r="CO10" s="66">
        <f>16/28</f>
        <v>0.5714285714285714</v>
      </c>
      <c r="CP10" s="66">
        <f>23/33</f>
        <v>0.69696969696969702</v>
      </c>
      <c r="CQ10" s="69">
        <f>4/4</f>
        <v>1</v>
      </c>
      <c r="CR10" s="65">
        <f>1/4</f>
        <v>0.25</v>
      </c>
      <c r="CS10" s="66">
        <f>18/25</f>
        <v>0.72</v>
      </c>
      <c r="CT10" s="66">
        <f>15/25</f>
        <v>0.6</v>
      </c>
      <c r="CU10" s="67" t="s">
        <v>11</v>
      </c>
      <c r="CV10" s="65">
        <f>0/4</f>
        <v>0</v>
      </c>
      <c r="CW10" s="66">
        <f>15/21</f>
        <v>0.7142857142857143</v>
      </c>
      <c r="CX10" s="260"/>
      <c r="CY10" s="260"/>
      <c r="CZ10" s="260"/>
      <c r="DA10" s="260"/>
      <c r="DB10" s="260"/>
      <c r="DC10" s="260"/>
      <c r="DD10" s="260"/>
      <c r="DE10" s="260"/>
      <c r="DF10" s="367">
        <f>8/14</f>
        <v>0.5714285714285714</v>
      </c>
      <c r="DG10" s="298" t="s">
        <v>103</v>
      </c>
      <c r="DH10" s="365">
        <f>0/2</f>
        <v>0</v>
      </c>
      <c r="DI10" s="367">
        <f>8/12</f>
        <v>0.66666666666666663</v>
      </c>
      <c r="DJ10" s="367">
        <f>8/11</f>
        <v>0.72727272727272729</v>
      </c>
      <c r="DK10" s="298" t="s">
        <v>103</v>
      </c>
      <c r="DL10" s="365">
        <f>0/2</f>
        <v>0</v>
      </c>
      <c r="DM10" s="368">
        <f>8/9</f>
        <v>0.88888888888888884</v>
      </c>
      <c r="DN10" s="439">
        <f>10/13</f>
        <v>0.76923076923076927</v>
      </c>
      <c r="DO10" s="22" t="s">
        <v>103</v>
      </c>
      <c r="DP10" s="439">
        <f>1/2</f>
        <v>0.5</v>
      </c>
      <c r="DQ10" s="438">
        <f>9/11</f>
        <v>0.81818181818181823</v>
      </c>
      <c r="DR10" s="441">
        <f>15/21</f>
        <v>0.7142857142857143</v>
      </c>
      <c r="DS10" s="440">
        <f>3/4</f>
        <v>0.75</v>
      </c>
      <c r="DT10" s="443">
        <f>0/2</f>
        <v>0</v>
      </c>
      <c r="DU10" s="439">
        <f>12/25</f>
        <v>0.48</v>
      </c>
    </row>
    <row r="11" spans="1:127" x14ac:dyDescent="0.2">
      <c r="A11" s="39">
        <v>8</v>
      </c>
      <c r="B11" s="40" t="s">
        <v>101</v>
      </c>
      <c r="C11" s="52" t="s">
        <v>114</v>
      </c>
      <c r="D11" s="372" t="s">
        <v>67</v>
      </c>
      <c r="E11" s="374" t="s">
        <v>62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44">
        <f>9/12</f>
        <v>0.75</v>
      </c>
      <c r="AM11" s="44">
        <f>7/8</f>
        <v>0.875</v>
      </c>
      <c r="AN11" s="47">
        <f>2/4</f>
        <v>0.5</v>
      </c>
      <c r="AO11" s="58" t="s">
        <v>107</v>
      </c>
      <c r="AP11" s="44">
        <f>9/12</f>
        <v>0.75</v>
      </c>
      <c r="AQ11" s="44">
        <f>7/8</f>
        <v>0.875</v>
      </c>
      <c r="AR11" s="47">
        <f>2/4</f>
        <v>0.5</v>
      </c>
      <c r="AS11" s="59" t="s">
        <v>107</v>
      </c>
      <c r="AT11" s="44">
        <f>9/12</f>
        <v>0.75</v>
      </c>
      <c r="AU11" s="44">
        <f>8/8</f>
        <v>1</v>
      </c>
      <c r="AV11" s="47">
        <f>1/4</f>
        <v>0.25</v>
      </c>
      <c r="AW11" s="42" t="s">
        <v>11</v>
      </c>
      <c r="AX11" s="42" t="s">
        <v>11</v>
      </c>
      <c r="AY11" s="42" t="s">
        <v>11</v>
      </c>
      <c r="AZ11" s="42" t="s">
        <v>11</v>
      </c>
      <c r="BA11" s="42" t="s">
        <v>11</v>
      </c>
      <c r="BB11" s="44">
        <f>9/12</f>
        <v>0.75</v>
      </c>
      <c r="BC11" s="44">
        <f>8/8</f>
        <v>1</v>
      </c>
      <c r="BD11" s="47">
        <f>1/4</f>
        <v>0.25</v>
      </c>
      <c r="BE11" s="58" t="s">
        <v>107</v>
      </c>
      <c r="BF11" s="44">
        <f>10/12</f>
        <v>0.83333333333333337</v>
      </c>
      <c r="BG11" s="44">
        <f>8/8</f>
        <v>1</v>
      </c>
      <c r="BH11" s="47">
        <f>2/4</f>
        <v>0.5</v>
      </c>
      <c r="BI11" s="58" t="s">
        <v>11</v>
      </c>
      <c r="BJ11" s="44">
        <f>11/12</f>
        <v>0.91666666666666663</v>
      </c>
      <c r="BK11" s="44">
        <f>7/8</f>
        <v>0.875</v>
      </c>
      <c r="BL11" s="44">
        <f>4/4</f>
        <v>1</v>
      </c>
      <c r="BM11" s="42" t="s">
        <v>11</v>
      </c>
      <c r="BN11" s="42" t="s">
        <v>103</v>
      </c>
      <c r="BO11" s="42" t="s">
        <v>103</v>
      </c>
      <c r="BP11" s="42" t="s">
        <v>103</v>
      </c>
      <c r="BQ11" s="42" t="s">
        <v>11</v>
      </c>
      <c r="BR11" s="43">
        <f>8/12</f>
        <v>0.66666666666666663</v>
      </c>
      <c r="BS11" s="44">
        <f>8/8</f>
        <v>1</v>
      </c>
      <c r="BT11" s="47">
        <f>0/4</f>
        <v>0</v>
      </c>
      <c r="BU11" s="58" t="s">
        <v>11</v>
      </c>
      <c r="BV11" s="71" t="s">
        <v>103</v>
      </c>
      <c r="BW11" s="71" t="s">
        <v>103</v>
      </c>
      <c r="BX11" s="71" t="s">
        <v>103</v>
      </c>
      <c r="BY11" s="71" t="s">
        <v>103</v>
      </c>
      <c r="BZ11" s="69">
        <f>8/10</f>
        <v>0.8</v>
      </c>
      <c r="CA11" s="69">
        <f>6/6</f>
        <v>1</v>
      </c>
      <c r="CB11" s="65">
        <f>2/4</f>
        <v>0.5</v>
      </c>
      <c r="CC11" s="67" t="s">
        <v>11</v>
      </c>
      <c r="CD11" s="66">
        <f>7/10</f>
        <v>0.7</v>
      </c>
      <c r="CE11" s="69">
        <f>5/6</f>
        <v>0.83333333333333337</v>
      </c>
      <c r="CF11" s="65">
        <f>2/4</f>
        <v>0.5</v>
      </c>
      <c r="CG11" s="67" t="s">
        <v>11</v>
      </c>
      <c r="CH11" s="69">
        <f>8/10</f>
        <v>0.8</v>
      </c>
      <c r="CI11" s="69">
        <f>6/6</f>
        <v>1</v>
      </c>
      <c r="CJ11" s="65">
        <f>2/4</f>
        <v>0.5</v>
      </c>
      <c r="CK11" s="67" t="s">
        <v>11</v>
      </c>
      <c r="CL11" s="69">
        <v>1</v>
      </c>
      <c r="CM11" s="69">
        <v>1</v>
      </c>
      <c r="CN11" s="69">
        <v>1</v>
      </c>
      <c r="CO11" s="67" t="s">
        <v>11</v>
      </c>
      <c r="CP11" s="69">
        <f>10/10</f>
        <v>1</v>
      </c>
      <c r="CQ11" s="69">
        <f>6/6</f>
        <v>1</v>
      </c>
      <c r="CR11" s="69">
        <f>4/4</f>
        <v>1</v>
      </c>
      <c r="CS11" s="67" t="s">
        <v>11</v>
      </c>
      <c r="CT11" s="69">
        <f>10/10</f>
        <v>1</v>
      </c>
      <c r="CU11" s="69">
        <f>6/6</f>
        <v>1</v>
      </c>
      <c r="CV11" s="69">
        <f>4/4</f>
        <v>1</v>
      </c>
      <c r="CW11" s="67" t="s">
        <v>11</v>
      </c>
      <c r="CX11" s="260"/>
      <c r="CY11" s="260"/>
      <c r="CZ11" s="260"/>
      <c r="DA11" s="260"/>
      <c r="DB11" s="260"/>
      <c r="DC11" s="260"/>
      <c r="DD11" s="260"/>
      <c r="DE11" s="260"/>
      <c r="DF11" s="368">
        <f>9/10</f>
        <v>0.9</v>
      </c>
      <c r="DG11" s="368">
        <f>5/6</f>
        <v>0.83333333333333337</v>
      </c>
      <c r="DH11" s="368">
        <v>1</v>
      </c>
      <c r="DI11" s="298" t="s">
        <v>11</v>
      </c>
      <c r="DJ11" s="298" t="s">
        <v>103</v>
      </c>
      <c r="DK11" s="298" t="s">
        <v>103</v>
      </c>
      <c r="DL11" s="298" t="s">
        <v>103</v>
      </c>
      <c r="DM11" s="298" t="s">
        <v>11</v>
      </c>
      <c r="DN11" s="440">
        <f>8/10</f>
        <v>0.8</v>
      </c>
      <c r="DO11" s="440">
        <f>4/6</f>
        <v>0.66666666666666663</v>
      </c>
      <c r="DP11" s="440">
        <f>4/4</f>
        <v>1</v>
      </c>
      <c r="DQ11" s="440" t="s">
        <v>11</v>
      </c>
      <c r="DR11" s="439">
        <f>8/10</f>
        <v>0.8</v>
      </c>
      <c r="DS11" s="439">
        <f>4/6</f>
        <v>0.66666666666666663</v>
      </c>
      <c r="DT11" s="439">
        <f>4/4</f>
        <v>1</v>
      </c>
      <c r="DU11" s="440" t="s">
        <v>11</v>
      </c>
    </row>
    <row r="12" spans="1:127" x14ac:dyDescent="0.2">
      <c r="A12" s="39">
        <v>9</v>
      </c>
      <c r="B12" s="40" t="s">
        <v>110</v>
      </c>
      <c r="C12" s="52" t="s">
        <v>115</v>
      </c>
      <c r="D12" s="374" t="s">
        <v>61</v>
      </c>
      <c r="E12" s="374" t="s">
        <v>62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44">
        <f t="shared" ref="AL12:AL13" si="9">7/7</f>
        <v>1</v>
      </c>
      <c r="AM12" s="58" t="s">
        <v>107</v>
      </c>
      <c r="AN12" s="44">
        <f t="shared" ref="AN12:AN13" si="10">7/7</f>
        <v>1</v>
      </c>
      <c r="AO12" s="58" t="s">
        <v>107</v>
      </c>
      <c r="AP12" s="43">
        <f t="shared" ref="AP12:AP13" si="11">11/15</f>
        <v>0.73333333333333328</v>
      </c>
      <c r="AQ12" s="68" t="s">
        <v>107</v>
      </c>
      <c r="AR12" s="44">
        <f t="shared" ref="AR12:AR13" si="12">7/7</f>
        <v>1</v>
      </c>
      <c r="AS12" s="43">
        <f t="shared" ref="AS12:AS13" si="13">4/8</f>
        <v>0.5</v>
      </c>
      <c r="AT12" s="42" t="s">
        <v>103</v>
      </c>
      <c r="AU12" s="58" t="s">
        <v>107</v>
      </c>
      <c r="AV12" s="58" t="s">
        <v>107</v>
      </c>
      <c r="AW12" s="42" t="s">
        <v>103</v>
      </c>
      <c r="AX12" s="42" t="s">
        <v>103</v>
      </c>
      <c r="AY12" s="58" t="s">
        <v>107</v>
      </c>
      <c r="AZ12" s="58" t="s">
        <v>107</v>
      </c>
      <c r="BA12" s="42" t="s">
        <v>103</v>
      </c>
      <c r="BB12" s="43">
        <f>9/13</f>
        <v>0.69230769230769229</v>
      </c>
      <c r="BC12" s="43">
        <f>3/5</f>
        <v>0.6</v>
      </c>
      <c r="BD12" s="58" t="s">
        <v>107</v>
      </c>
      <c r="BE12" s="44">
        <f>6/8</f>
        <v>0.75</v>
      </c>
      <c r="BF12" s="44">
        <f>12/14</f>
        <v>0.8571428571428571</v>
      </c>
      <c r="BG12" s="44">
        <f>5/5</f>
        <v>1</v>
      </c>
      <c r="BH12" s="58" t="s">
        <v>107</v>
      </c>
      <c r="BI12" s="44">
        <f>7/9</f>
        <v>0.77777777777777779</v>
      </c>
      <c r="BJ12" s="44">
        <f>11/14</f>
        <v>0.7857142857142857</v>
      </c>
      <c r="BK12" s="44">
        <f>4/5</f>
        <v>0.8</v>
      </c>
      <c r="BL12" s="58" t="s">
        <v>107</v>
      </c>
      <c r="BM12" s="44">
        <f>7/9</f>
        <v>0.77777777777777779</v>
      </c>
      <c r="BN12" s="42" t="s">
        <v>103</v>
      </c>
      <c r="BO12" s="42" t="s">
        <v>103</v>
      </c>
      <c r="BP12" s="58" t="s">
        <v>107</v>
      </c>
      <c r="BQ12" s="42" t="s">
        <v>103</v>
      </c>
      <c r="BR12" s="44">
        <f>12/14</f>
        <v>0.8571428571428571</v>
      </c>
      <c r="BS12" s="44">
        <f>5/5</f>
        <v>1</v>
      </c>
      <c r="BT12" s="58" t="s">
        <v>107</v>
      </c>
      <c r="BU12" s="44">
        <f>7/9</f>
        <v>0.77777777777777779</v>
      </c>
      <c r="BV12" s="69">
        <f>10/13</f>
        <v>0.76923076923076927</v>
      </c>
      <c r="BW12" s="69">
        <f>3/4</f>
        <v>0.75</v>
      </c>
      <c r="BX12" s="49" t="s">
        <v>11</v>
      </c>
      <c r="BY12" s="69">
        <f>7/9</f>
        <v>0.77777777777777779</v>
      </c>
      <c r="BZ12" s="67" t="s">
        <v>103</v>
      </c>
      <c r="CA12" s="67" t="s">
        <v>103</v>
      </c>
      <c r="CB12" s="50" t="s">
        <v>11</v>
      </c>
      <c r="CC12" s="67" t="s">
        <v>103</v>
      </c>
      <c r="CD12" s="67" t="s">
        <v>103</v>
      </c>
      <c r="CE12" s="67" t="s">
        <v>103</v>
      </c>
      <c r="CF12" s="49" t="s">
        <v>11</v>
      </c>
      <c r="CG12" s="67" t="s">
        <v>103</v>
      </c>
      <c r="CH12" s="67" t="s">
        <v>103</v>
      </c>
      <c r="CI12" s="67" t="s">
        <v>103</v>
      </c>
      <c r="CJ12" s="50" t="s">
        <v>11</v>
      </c>
      <c r="CK12" s="67" t="s">
        <v>103</v>
      </c>
      <c r="CL12" s="67" t="s">
        <v>103</v>
      </c>
      <c r="CM12" s="67" t="s">
        <v>103</v>
      </c>
      <c r="CN12" s="67" t="s">
        <v>107</v>
      </c>
      <c r="CO12" s="67" t="s">
        <v>103</v>
      </c>
      <c r="CP12" s="67" t="s">
        <v>103</v>
      </c>
      <c r="CQ12" s="67" t="s">
        <v>103</v>
      </c>
      <c r="CR12" s="67" t="s">
        <v>107</v>
      </c>
      <c r="CS12" s="67" t="s">
        <v>103</v>
      </c>
      <c r="CT12" s="67" t="s">
        <v>103</v>
      </c>
      <c r="CU12" s="67" t="s">
        <v>103</v>
      </c>
      <c r="CV12" s="67" t="s">
        <v>107</v>
      </c>
      <c r="CW12" s="67" t="s">
        <v>103</v>
      </c>
      <c r="CX12" s="260"/>
      <c r="CY12" s="260"/>
      <c r="CZ12" s="260"/>
      <c r="DA12" s="260"/>
      <c r="DB12" s="260"/>
      <c r="DC12" s="260"/>
      <c r="DD12" s="260"/>
      <c r="DE12" s="260"/>
      <c r="DF12" s="298" t="s">
        <v>103</v>
      </c>
      <c r="DG12" s="298" t="s">
        <v>103</v>
      </c>
      <c r="DH12" s="298" t="s">
        <v>103</v>
      </c>
      <c r="DI12" s="298" t="s">
        <v>103</v>
      </c>
      <c r="DJ12" s="298" t="s">
        <v>103</v>
      </c>
      <c r="DK12" s="298" t="s">
        <v>103</v>
      </c>
      <c r="DL12" s="298" t="s">
        <v>103</v>
      </c>
      <c r="DM12" s="298" t="s">
        <v>103</v>
      </c>
      <c r="DN12" s="440">
        <f>5/12</f>
        <v>0.41666666666666669</v>
      </c>
      <c r="DO12" s="440">
        <f>1/4</f>
        <v>0.25</v>
      </c>
      <c r="DP12" s="442" t="s">
        <v>107</v>
      </c>
      <c r="DQ12" s="440">
        <f>4/8</f>
        <v>0.5</v>
      </c>
      <c r="DR12" s="440">
        <f>3/12</f>
        <v>0.25</v>
      </c>
      <c r="DS12" s="440">
        <f>0/4</f>
        <v>0</v>
      </c>
      <c r="DT12" s="442" t="s">
        <v>107</v>
      </c>
      <c r="DU12" s="440">
        <f>3/8</f>
        <v>0.375</v>
      </c>
    </row>
    <row r="13" spans="1:127" x14ac:dyDescent="0.2">
      <c r="A13" s="39">
        <v>10</v>
      </c>
      <c r="B13" s="40" t="s">
        <v>106</v>
      </c>
      <c r="C13" s="52" t="s">
        <v>116</v>
      </c>
      <c r="D13" s="372" t="s">
        <v>67</v>
      </c>
      <c r="E13" s="364" t="s">
        <v>65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44">
        <f t="shared" si="9"/>
        <v>1</v>
      </c>
      <c r="AM13" s="58" t="s">
        <v>107</v>
      </c>
      <c r="AN13" s="44">
        <f t="shared" si="10"/>
        <v>1</v>
      </c>
      <c r="AO13" s="58" t="s">
        <v>107</v>
      </c>
      <c r="AP13" s="43">
        <f t="shared" si="11"/>
        <v>0.73333333333333328</v>
      </c>
      <c r="AQ13" s="68" t="s">
        <v>107</v>
      </c>
      <c r="AR13" s="44">
        <f t="shared" si="12"/>
        <v>1</v>
      </c>
      <c r="AS13" s="43">
        <f t="shared" si="13"/>
        <v>0.5</v>
      </c>
      <c r="AT13" s="42" t="s">
        <v>103</v>
      </c>
      <c r="AU13" s="58" t="s">
        <v>107</v>
      </c>
      <c r="AV13" s="58" t="s">
        <v>107</v>
      </c>
      <c r="AW13" s="42" t="s">
        <v>103</v>
      </c>
      <c r="AX13" s="42" t="s">
        <v>103</v>
      </c>
      <c r="AY13" s="58" t="s">
        <v>107</v>
      </c>
      <c r="AZ13" s="58" t="s">
        <v>107</v>
      </c>
      <c r="BA13" s="42" t="s">
        <v>103</v>
      </c>
      <c r="BB13" s="43">
        <f>4/7</f>
        <v>0.5714285714285714</v>
      </c>
      <c r="BC13" s="58" t="s">
        <v>107</v>
      </c>
      <c r="BD13" s="58" t="s">
        <v>107</v>
      </c>
      <c r="BE13" s="43">
        <f>4/7</f>
        <v>0.5714285714285714</v>
      </c>
      <c r="BF13" s="43">
        <f>4/7</f>
        <v>0.5714285714285714</v>
      </c>
      <c r="BG13" s="58" t="s">
        <v>107</v>
      </c>
      <c r="BH13" s="58" t="s">
        <v>107</v>
      </c>
      <c r="BI13" s="43">
        <f>4/7</f>
        <v>0.5714285714285714</v>
      </c>
      <c r="BJ13" s="43">
        <f>4/7</f>
        <v>0.5714285714285714</v>
      </c>
      <c r="BK13" s="58" t="s">
        <v>107</v>
      </c>
      <c r="BL13" s="58" t="s">
        <v>107</v>
      </c>
      <c r="BM13" s="43">
        <f>4/7</f>
        <v>0.5714285714285714</v>
      </c>
      <c r="BN13" s="43">
        <f>5/7</f>
        <v>0.7142857142857143</v>
      </c>
      <c r="BO13" s="58" t="s">
        <v>107</v>
      </c>
      <c r="BP13" s="58" t="s">
        <v>107</v>
      </c>
      <c r="BQ13" s="43">
        <f>4/7</f>
        <v>0.5714285714285714</v>
      </c>
      <c r="BR13" s="47">
        <f>3/7</f>
        <v>0.42857142857142855</v>
      </c>
      <c r="BS13" s="58" t="s">
        <v>107</v>
      </c>
      <c r="BT13" s="58" t="s">
        <v>107</v>
      </c>
      <c r="BU13" s="43">
        <f>4/7</f>
        <v>0.5714285714285714</v>
      </c>
      <c r="BV13" s="66">
        <f>5/7</f>
        <v>0.7142857142857143</v>
      </c>
      <c r="BW13" s="71" t="s">
        <v>11</v>
      </c>
      <c r="BX13" s="49" t="s">
        <v>11</v>
      </c>
      <c r="BY13" s="66">
        <f>5/7</f>
        <v>0.7142857142857143</v>
      </c>
      <c r="BZ13" s="66">
        <f>5/7</f>
        <v>0.7142857142857143</v>
      </c>
      <c r="CA13" s="67" t="s">
        <v>11</v>
      </c>
      <c r="CB13" s="67" t="s">
        <v>11</v>
      </c>
      <c r="CC13" s="66">
        <f>5/7</f>
        <v>0.7142857142857143</v>
      </c>
      <c r="CD13" s="66">
        <f>4/7</f>
        <v>0.5714285714285714</v>
      </c>
      <c r="CE13" s="71" t="s">
        <v>11</v>
      </c>
      <c r="CF13" s="49" t="s">
        <v>11</v>
      </c>
      <c r="CG13" s="66">
        <f>4/7</f>
        <v>0.5714285714285714</v>
      </c>
      <c r="CH13" s="69">
        <f>6/7</f>
        <v>0.8571428571428571</v>
      </c>
      <c r="CI13" s="67" t="s">
        <v>11</v>
      </c>
      <c r="CJ13" s="67" t="s">
        <v>11</v>
      </c>
      <c r="CK13" s="69">
        <f>6/7</f>
        <v>0.8571428571428571</v>
      </c>
      <c r="CL13" s="69">
        <f>6/7</f>
        <v>0.8571428571428571</v>
      </c>
      <c r="CM13" s="67" t="s">
        <v>107</v>
      </c>
      <c r="CN13" s="67" t="s">
        <v>107</v>
      </c>
      <c r="CO13" s="69">
        <f>6/7</f>
        <v>0.8571428571428571</v>
      </c>
      <c r="CP13" s="66">
        <f>5/7</f>
        <v>0.7142857142857143</v>
      </c>
      <c r="CQ13" s="67" t="s">
        <v>107</v>
      </c>
      <c r="CR13" s="67" t="s">
        <v>107</v>
      </c>
      <c r="CS13" s="66">
        <f>5/7</f>
        <v>0.7142857142857143</v>
      </c>
      <c r="CT13" s="66">
        <f>5/7</f>
        <v>0.7142857142857143</v>
      </c>
      <c r="CU13" s="67" t="s">
        <v>107</v>
      </c>
      <c r="CV13" s="67" t="s">
        <v>107</v>
      </c>
      <c r="CW13" s="66">
        <f>5/7</f>
        <v>0.7142857142857143</v>
      </c>
      <c r="CX13" s="260"/>
      <c r="CY13" s="31"/>
      <c r="CZ13" s="31"/>
      <c r="DA13" s="260"/>
      <c r="DB13" s="260"/>
      <c r="DC13" s="260"/>
      <c r="DD13" s="260"/>
      <c r="DE13" s="260"/>
      <c r="DF13" s="367">
        <f>4/7</f>
        <v>0.5714285714285714</v>
      </c>
      <c r="DG13" s="298" t="s">
        <v>11</v>
      </c>
      <c r="DH13" s="298" t="s">
        <v>11</v>
      </c>
      <c r="DI13" s="367">
        <f>4/7</f>
        <v>0.5714285714285714</v>
      </c>
      <c r="DJ13" s="367">
        <f>4/7</f>
        <v>0.5714285714285714</v>
      </c>
      <c r="DK13" s="298" t="s">
        <v>11</v>
      </c>
      <c r="DL13" s="298" t="s">
        <v>11</v>
      </c>
      <c r="DM13" s="367">
        <f>4/7</f>
        <v>0.5714285714285714</v>
      </c>
      <c r="DN13" s="441">
        <f>4/7</f>
        <v>0.5714285714285714</v>
      </c>
      <c r="DO13" s="442" t="s">
        <v>107</v>
      </c>
      <c r="DP13" s="442" t="s">
        <v>107</v>
      </c>
      <c r="DQ13" s="441">
        <f>4/7</f>
        <v>0.5714285714285714</v>
      </c>
      <c r="DR13" s="439">
        <f>6/8</f>
        <v>0.75</v>
      </c>
      <c r="DS13" s="442" t="s">
        <v>107</v>
      </c>
      <c r="DT13" s="442" t="s">
        <v>107</v>
      </c>
      <c r="DU13" s="439">
        <f>6/8</f>
        <v>0.75</v>
      </c>
    </row>
    <row r="14" spans="1:127" x14ac:dyDescent="0.2">
      <c r="A14" s="39">
        <v>11</v>
      </c>
      <c r="B14" s="40" t="s">
        <v>101</v>
      </c>
      <c r="C14" s="52" t="s">
        <v>117</v>
      </c>
      <c r="D14" s="372" t="s">
        <v>67</v>
      </c>
      <c r="E14" s="374" t="s">
        <v>62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44">
        <f>8/8</f>
        <v>1</v>
      </c>
      <c r="BK14" s="72" t="s">
        <v>107</v>
      </c>
      <c r="BL14" s="73">
        <f>7/7</f>
        <v>1</v>
      </c>
      <c r="BM14" s="44">
        <f>1/1</f>
        <v>1</v>
      </c>
      <c r="BN14" s="44">
        <f>8/8</f>
        <v>1</v>
      </c>
      <c r="BO14" s="72" t="s">
        <v>107</v>
      </c>
      <c r="BP14" s="44">
        <f>7/7</f>
        <v>1</v>
      </c>
      <c r="BQ14" s="44">
        <f>1/1</f>
        <v>1</v>
      </c>
      <c r="BR14" s="44">
        <f>8/8</f>
        <v>1</v>
      </c>
      <c r="BS14" s="72" t="s">
        <v>107</v>
      </c>
      <c r="BT14" s="44">
        <f>7/7</f>
        <v>1</v>
      </c>
      <c r="BU14" s="44">
        <f>1/1</f>
        <v>1</v>
      </c>
      <c r="BV14" s="69">
        <f>8/8</f>
        <v>1</v>
      </c>
      <c r="BW14" s="71" t="s">
        <v>11</v>
      </c>
      <c r="BX14" s="69">
        <f>7/7</f>
        <v>1</v>
      </c>
      <c r="BY14" s="69">
        <f>1/1</f>
        <v>1</v>
      </c>
      <c r="BZ14" s="67" t="s">
        <v>11</v>
      </c>
      <c r="CA14" s="67" t="s">
        <v>11</v>
      </c>
      <c r="CB14" s="67" t="s">
        <v>11</v>
      </c>
      <c r="CC14" s="67" t="s">
        <v>11</v>
      </c>
      <c r="CD14" s="67" t="s">
        <v>11</v>
      </c>
      <c r="CE14" s="67" t="s">
        <v>11</v>
      </c>
      <c r="CF14" s="67" t="s">
        <v>11</v>
      </c>
      <c r="CG14" s="67" t="s">
        <v>11</v>
      </c>
      <c r="CH14" s="67" t="s">
        <v>11</v>
      </c>
      <c r="CI14" s="67" t="s">
        <v>11</v>
      </c>
      <c r="CJ14" s="67" t="s">
        <v>11</v>
      </c>
      <c r="CK14" s="67" t="s">
        <v>11</v>
      </c>
      <c r="CL14" s="69">
        <f>8/8</f>
        <v>1</v>
      </c>
      <c r="CM14" s="67" t="s">
        <v>107</v>
      </c>
      <c r="CN14" s="69">
        <f>7/7</f>
        <v>1</v>
      </c>
      <c r="CO14" s="69">
        <f>1/1</f>
        <v>1</v>
      </c>
      <c r="CP14" s="69">
        <f>8/8</f>
        <v>1</v>
      </c>
      <c r="CQ14" s="67" t="s">
        <v>107</v>
      </c>
      <c r="CR14" s="69">
        <f>7/7</f>
        <v>1</v>
      </c>
      <c r="CS14" s="69">
        <f>1/1</f>
        <v>1</v>
      </c>
      <c r="CT14" s="69">
        <f>8/8</f>
        <v>1</v>
      </c>
      <c r="CU14" s="67" t="s">
        <v>107</v>
      </c>
      <c r="CV14" s="69">
        <f>7/7</f>
        <v>1</v>
      </c>
      <c r="CW14" s="69">
        <f>1/1</f>
        <v>1</v>
      </c>
      <c r="CX14" s="260"/>
      <c r="CY14" s="260"/>
      <c r="CZ14" s="260"/>
      <c r="DA14" s="260"/>
      <c r="DB14" s="260"/>
      <c r="DC14" s="260"/>
      <c r="DD14" s="260"/>
      <c r="DE14" s="260"/>
      <c r="DF14" s="368">
        <f>6/7</f>
        <v>0.8571428571428571</v>
      </c>
      <c r="DG14" s="298" t="s">
        <v>11</v>
      </c>
      <c r="DH14" s="365">
        <f>6/7</f>
        <v>0.8571428571428571</v>
      </c>
      <c r="DI14" s="298" t="s">
        <v>11</v>
      </c>
      <c r="DJ14" s="368">
        <f>6/7</f>
        <v>0.8571428571428571</v>
      </c>
      <c r="DK14" s="298" t="s">
        <v>11</v>
      </c>
      <c r="DL14" s="368">
        <f>6/7</f>
        <v>0.8571428571428571</v>
      </c>
      <c r="DM14" s="298" t="s">
        <v>11</v>
      </c>
      <c r="DN14" s="440">
        <f>7/8</f>
        <v>0.875</v>
      </c>
      <c r="DO14" s="442" t="s">
        <v>107</v>
      </c>
      <c r="DP14" s="440">
        <f>6/7</f>
        <v>0.8571428571428571</v>
      </c>
      <c r="DQ14" s="440">
        <f>1/1</f>
        <v>1</v>
      </c>
      <c r="DR14" s="439">
        <f>7/8</f>
        <v>0.875</v>
      </c>
      <c r="DS14" s="442" t="s">
        <v>107</v>
      </c>
      <c r="DT14" s="443">
        <f>6/7</f>
        <v>0.8571428571428571</v>
      </c>
      <c r="DU14" s="440">
        <f>1/1</f>
        <v>1</v>
      </c>
    </row>
    <row r="15" spans="1:127" x14ac:dyDescent="0.2">
      <c r="A15" s="39">
        <v>12</v>
      </c>
      <c r="B15" s="40" t="s">
        <v>110</v>
      </c>
      <c r="C15" s="52" t="s">
        <v>118</v>
      </c>
      <c r="D15" s="364" t="s">
        <v>955</v>
      </c>
      <c r="E15" s="364" t="s">
        <v>65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44"/>
      <c r="BK15" s="72"/>
      <c r="BL15" s="73"/>
      <c r="BM15" s="44"/>
      <c r="BN15" s="44"/>
      <c r="BO15" s="72"/>
      <c r="BP15" s="44"/>
      <c r="BQ15" s="44"/>
      <c r="BR15" s="44"/>
      <c r="BS15" s="72"/>
      <c r="BT15" s="44"/>
      <c r="BU15" s="44"/>
      <c r="BV15" s="69"/>
      <c r="BW15" s="71"/>
      <c r="BX15" s="69"/>
      <c r="BY15" s="69"/>
      <c r="BZ15" s="66">
        <f>24/45</f>
        <v>0.53333333333333333</v>
      </c>
      <c r="CA15" s="67" t="s">
        <v>103</v>
      </c>
      <c r="CB15" s="67" t="s">
        <v>103</v>
      </c>
      <c r="CC15" s="66">
        <f>24/45</f>
        <v>0.53333333333333333</v>
      </c>
      <c r="CD15" s="66">
        <f>25/46</f>
        <v>0.54347826086956519</v>
      </c>
      <c r="CE15" s="67" t="s">
        <v>103</v>
      </c>
      <c r="CF15" s="67" t="s">
        <v>103</v>
      </c>
      <c r="CG15" s="66">
        <f>25/46</f>
        <v>0.54347826086956519</v>
      </c>
      <c r="CH15" s="66">
        <f>19/37</f>
        <v>0.51351351351351349</v>
      </c>
      <c r="CI15" s="67" t="s">
        <v>103</v>
      </c>
      <c r="CJ15" s="67" t="s">
        <v>103</v>
      </c>
      <c r="CK15" s="66">
        <f>19/37</f>
        <v>0.51351351351351349</v>
      </c>
      <c r="CL15" s="66">
        <f>17/33</f>
        <v>0.51515151515151514</v>
      </c>
      <c r="CM15" s="67" t="s">
        <v>107</v>
      </c>
      <c r="CN15" s="67" t="s">
        <v>107</v>
      </c>
      <c r="CO15" s="66">
        <f>17/33</f>
        <v>0.51515151515151514</v>
      </c>
      <c r="CP15" s="66">
        <f>28/40</f>
        <v>0.7</v>
      </c>
      <c r="CQ15" s="67" t="s">
        <v>103</v>
      </c>
      <c r="CR15" s="67" t="s">
        <v>103</v>
      </c>
      <c r="CS15" s="66">
        <f>28/40</f>
        <v>0.7</v>
      </c>
      <c r="CT15" s="66">
        <f>29/48</f>
        <v>0.60416666666666663</v>
      </c>
      <c r="CU15" s="67" t="s">
        <v>11</v>
      </c>
      <c r="CV15" s="67" t="s">
        <v>11</v>
      </c>
      <c r="CW15" s="66">
        <f>29/48</f>
        <v>0.60416666666666663</v>
      </c>
      <c r="CX15" s="260"/>
      <c r="CY15" s="260"/>
      <c r="CZ15" s="260"/>
      <c r="DA15" s="260"/>
      <c r="DB15" s="260"/>
      <c r="DC15" s="260"/>
      <c r="DD15" s="260"/>
      <c r="DE15" s="260"/>
      <c r="DF15" s="365">
        <f>31/63</f>
        <v>0.49206349206349204</v>
      </c>
      <c r="DG15" s="367">
        <f>1/2</f>
        <v>0.5</v>
      </c>
      <c r="DH15" s="365">
        <v>0</v>
      </c>
      <c r="DI15" s="367">
        <f>30/60</f>
        <v>0.5</v>
      </c>
      <c r="DJ15" s="367">
        <f>8/15</f>
        <v>0.53333333333333333</v>
      </c>
      <c r="DK15" s="367">
        <f>1/2</f>
        <v>0.5</v>
      </c>
      <c r="DL15" s="298" t="s">
        <v>103</v>
      </c>
      <c r="DM15" s="367">
        <f>7/13</f>
        <v>0.53846153846153844</v>
      </c>
      <c r="DN15" s="441">
        <f>30/62</f>
        <v>0.4838709677419355</v>
      </c>
      <c r="DO15" s="441">
        <f>0/2</f>
        <v>0</v>
      </c>
      <c r="DP15" s="441" t="s">
        <v>103</v>
      </c>
      <c r="DQ15" s="441">
        <f>30/60</f>
        <v>0.5</v>
      </c>
      <c r="DR15" s="443">
        <f>31/64</f>
        <v>0.484375</v>
      </c>
      <c r="DS15" s="443">
        <v>0</v>
      </c>
      <c r="DT15" s="440" t="s">
        <v>103</v>
      </c>
      <c r="DU15" s="441">
        <f>31/62</f>
        <v>0.5</v>
      </c>
    </row>
    <row r="16" spans="1:127" ht="12.75" customHeight="1" x14ac:dyDescent="0.2">
      <c r="A16" s="343">
        <v>13</v>
      </c>
      <c r="B16" s="40" t="s">
        <v>110</v>
      </c>
      <c r="C16" s="360" t="s">
        <v>926</v>
      </c>
      <c r="D16" s="372" t="s">
        <v>67</v>
      </c>
      <c r="E16" s="374" t="s">
        <v>62</v>
      </c>
      <c r="F16" s="364"/>
      <c r="G16" s="364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44"/>
      <c r="BM16" s="72"/>
      <c r="BN16" s="73"/>
      <c r="BO16" s="44"/>
      <c r="BP16" s="44"/>
      <c r="BQ16" s="72"/>
      <c r="BR16" s="44"/>
      <c r="BS16" s="44"/>
      <c r="BT16" s="44"/>
      <c r="BU16" s="72"/>
      <c r="BV16" s="44"/>
      <c r="BW16" s="44"/>
      <c r="BX16" s="69"/>
      <c r="BY16" s="71"/>
      <c r="BZ16" s="69"/>
      <c r="CA16" s="69"/>
      <c r="CB16" s="66"/>
      <c r="CC16" s="67"/>
      <c r="CD16" s="67"/>
      <c r="CE16" s="66"/>
      <c r="CF16" s="66"/>
      <c r="CG16" s="67"/>
      <c r="CH16" s="67"/>
      <c r="CI16" s="66"/>
      <c r="CJ16" s="66"/>
      <c r="CK16" s="67"/>
      <c r="CL16" s="67"/>
      <c r="CM16" s="66"/>
      <c r="CN16" s="66"/>
      <c r="CO16" s="67"/>
      <c r="CP16" s="67"/>
      <c r="CQ16" s="66"/>
      <c r="CR16" s="66"/>
      <c r="CS16" s="67"/>
      <c r="CT16" s="67"/>
      <c r="CU16" s="66"/>
      <c r="CV16" s="66"/>
      <c r="CW16" s="67"/>
      <c r="CX16" s="67"/>
      <c r="CY16" s="66"/>
      <c r="CZ16" s="260"/>
      <c r="DA16" s="260"/>
      <c r="DB16" s="260"/>
      <c r="DC16" s="260"/>
      <c r="DD16" s="260"/>
      <c r="DE16" s="260"/>
      <c r="DF16" s="366">
        <f>3/8</f>
        <v>0.375</v>
      </c>
      <c r="DG16" s="260" t="s">
        <v>107</v>
      </c>
      <c r="DH16" s="298" t="s">
        <v>107</v>
      </c>
      <c r="DI16" s="365">
        <f>3/8</f>
        <v>0.375</v>
      </c>
      <c r="DJ16" s="298" t="s">
        <v>103</v>
      </c>
      <c r="DK16" s="298" t="s">
        <v>107</v>
      </c>
      <c r="DL16" s="298" t="s">
        <v>107</v>
      </c>
      <c r="DM16" s="298" t="s">
        <v>103</v>
      </c>
      <c r="DN16" s="440">
        <f>8/8</f>
        <v>1</v>
      </c>
      <c r="DO16" s="442" t="s">
        <v>107</v>
      </c>
      <c r="DP16" s="442" t="s">
        <v>107</v>
      </c>
      <c r="DQ16" s="440">
        <f>8/8</f>
        <v>1</v>
      </c>
      <c r="DR16" s="440" t="s">
        <v>103</v>
      </c>
      <c r="DS16" s="440" t="s">
        <v>107</v>
      </c>
      <c r="DT16" s="440" t="s">
        <v>107</v>
      </c>
      <c r="DU16" s="440">
        <f>4/8</f>
        <v>0.5</v>
      </c>
      <c r="DV16" s="369"/>
      <c r="DW16" s="298"/>
    </row>
  </sheetData>
  <mergeCells count="1">
    <mergeCell ref="A2:D2"/>
  </mergeCells>
  <conditionalFormatting sqref="B5:B10 B12:B16">
    <cfRule type="containsText" dxfId="4341" priority="24" operator="containsText" text="Not Met">
      <formula>NOT(ISERROR(SEARCH("Not Met",B5)))</formula>
    </cfRule>
    <cfRule type="containsText" dxfId="4340" priority="25" operator="containsText" text="Met">
      <formula>NOT(ISERROR(SEARCH("Met",B5)))</formula>
    </cfRule>
  </conditionalFormatting>
  <conditionalFormatting sqref="C4">
    <cfRule type="containsText" dxfId="4339" priority="22" operator="containsText" text="Not Met">
      <formula>NOT(ISERROR(SEARCH("Not Met",C4)))</formula>
    </cfRule>
    <cfRule type="containsText" dxfId="4338" priority="23" operator="containsText" text="Met">
      <formula>NOT(ISERROR(SEARCH("Met",C4)))</formula>
    </cfRule>
  </conditionalFormatting>
  <conditionalFormatting sqref="C7">
    <cfRule type="containsText" dxfId="4337" priority="18" operator="containsText" text="Not Met">
      <formula>NOT(ISERROR(SEARCH("Not Met",C7)))</formula>
    </cfRule>
    <cfRule type="containsText" dxfId="4336" priority="19" operator="containsText" text="Met">
      <formula>NOT(ISERROR(SEARCH("Met",C7)))</formula>
    </cfRule>
  </conditionalFormatting>
  <conditionalFormatting sqref="C9">
    <cfRule type="containsText" dxfId="4335" priority="16" operator="containsText" text="Not Met">
      <formula>NOT(ISERROR(SEARCH("Not Met",C9)))</formula>
    </cfRule>
    <cfRule type="containsText" dxfId="4334" priority="17" operator="containsText" text="Met">
      <formula>NOT(ISERROR(SEARCH("Met",C9)))</formula>
    </cfRule>
  </conditionalFormatting>
  <conditionalFormatting sqref="F3:DU3">
    <cfRule type="cellIs" dxfId="4333" priority="15" operator="equal">
      <formula>0.75</formula>
    </cfRule>
  </conditionalFormatting>
  <conditionalFormatting sqref="DN4:DU5 DN6 DP6:DR6 DT6:DU6 DN7:DU8 DN9:DO9 DQ9:DS9 DU9 DN10:DU11 DN12:DO12 DQ12:DS12 DU12:DU13 DQ13:DR13 DN13:DN14 DP14:DR14 DT14:DU14 DN15:DU15 DN16 DQ16:DR16 DU16">
    <cfRule type="cellIs" dxfId="4332" priority="1" operator="equal">
      <formula>"'-"</formula>
    </cfRule>
    <cfRule type="cellIs" dxfId="4331" priority="2" operator="equal">
      <formula>0.75</formula>
    </cfRule>
    <cfRule type="cellIs" dxfId="4330" priority="3" operator="equal">
      <formula>"NA"</formula>
    </cfRule>
    <cfRule type="cellIs" dxfId="4329" priority="4" operator="equal">
      <formula>"NR"</formula>
    </cfRule>
    <cfRule type="cellIs" dxfId="4328" priority="5" operator="greaterThan">
      <formula>0.75</formula>
    </cfRule>
    <cfRule type="cellIs" dxfId="4327" priority="6" operator="between">
      <formula>0.5</formula>
      <formula>1</formula>
    </cfRule>
    <cfRule type="cellIs" dxfId="4326" priority="7" operator="between">
      <formula>50</formula>
      <formula>75</formula>
    </cfRule>
    <cfRule type="cellIs" dxfId="4325" priority="8" operator="lessThan">
      <formula>0.5</formula>
    </cfRule>
  </conditionalFormatting>
  <pageMargins left="0.7" right="0.7" top="0.75" bottom="0.75" header="0.3" footer="0.3"/>
  <pageSetup paperSize="9" orientation="portrait" r:id="rId1"/>
  <ignoredErrors>
    <ignoredError sqref="AL9:AM9 AO9 AP8 AQ8:AS8 AP11:AS11 AU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4632-C2DD-4896-B06D-E3BA00A0F9E5}">
  <dimension ref="A2:BW50"/>
  <sheetViews>
    <sheetView showGridLines="0" zoomScale="95" zoomScaleNormal="95" workbookViewId="0">
      <pane ySplit="3" topLeftCell="A4" activePane="bottomLeft" state="frozen"/>
      <selection pane="bottomLeft" activeCell="BL4" sqref="BL4"/>
    </sheetView>
  </sheetViews>
  <sheetFormatPr defaultRowHeight="15" outlineLevelRow="1" x14ac:dyDescent="0.25"/>
  <cols>
    <col min="1" max="1" width="1.140625" customWidth="1"/>
    <col min="2" max="2" width="5.7109375" bestFit="1" customWidth="1"/>
    <col min="3" max="3" width="13.5703125" bestFit="1" customWidth="1"/>
    <col min="4" max="4" width="12.5703125" style="10" hidden="1" customWidth="1"/>
    <col min="5" max="5" width="12.5703125" style="10" customWidth="1"/>
    <col min="6" max="6" width="25.5703125" hidden="1" customWidth="1"/>
    <col min="7" max="7" width="9.5703125" hidden="1" customWidth="1"/>
    <col min="8" max="8" width="13.28515625" hidden="1" customWidth="1"/>
    <col min="9" max="9" width="16.140625" customWidth="1"/>
    <col min="10" max="10" width="32.42578125" bestFit="1" customWidth="1"/>
    <col min="11" max="11" width="21.85546875" customWidth="1"/>
    <col min="12" max="12" width="10.28515625" hidden="1" customWidth="1"/>
    <col min="13" max="13" width="23.140625" hidden="1" customWidth="1"/>
    <col min="14" max="14" width="19.140625" hidden="1" customWidth="1"/>
    <col min="15" max="15" width="13.5703125" hidden="1" customWidth="1"/>
    <col min="16" max="16" width="10.28515625" hidden="1" customWidth="1"/>
    <col min="17" max="17" width="23.140625" hidden="1" customWidth="1"/>
    <col min="18" max="18" width="19.140625" hidden="1" customWidth="1"/>
    <col min="19" max="24" width="13.5703125" hidden="1" customWidth="1"/>
    <col min="25" max="25" width="22.5703125" hidden="1" customWidth="1"/>
    <col min="26" max="26" width="19.140625" hidden="1" customWidth="1"/>
    <col min="27" max="40" width="13.5703125" hidden="1" customWidth="1"/>
    <col min="41" max="41" width="22.5703125" hidden="1" customWidth="1"/>
    <col min="42" max="42" width="19.140625" hidden="1" customWidth="1"/>
    <col min="43" max="44" width="13.5703125" hidden="1" customWidth="1"/>
    <col min="45" max="45" width="22.5703125" hidden="1" customWidth="1"/>
    <col min="46" max="46" width="19.140625" hidden="1" customWidth="1"/>
    <col min="47" max="48" width="13.5703125" hidden="1" customWidth="1"/>
    <col min="49" max="49" width="22.5703125" hidden="1" customWidth="1"/>
    <col min="50" max="50" width="19.140625" hidden="1" customWidth="1"/>
    <col min="51" max="56" width="13.5703125" hidden="1" customWidth="1"/>
    <col min="57" max="57" width="22.5703125" hidden="1" customWidth="1"/>
    <col min="58" max="58" width="19.140625" hidden="1" customWidth="1"/>
    <col min="59" max="60" width="13.5703125" hidden="1" customWidth="1"/>
    <col min="61" max="61" width="22.5703125" hidden="1" customWidth="1"/>
    <col min="62" max="62" width="19.140625" hidden="1" customWidth="1"/>
    <col min="63" max="63" width="13.5703125" hidden="1" customWidth="1"/>
    <col min="64" max="67" width="13.5703125" customWidth="1"/>
    <col min="68" max="68" width="14.140625" bestFit="1" customWidth="1"/>
    <col min="69" max="69" width="23.140625" bestFit="1" customWidth="1"/>
    <col min="70" max="70" width="19.140625" bestFit="1" customWidth="1"/>
    <col min="71" max="71" width="13.5703125" bestFit="1" customWidth="1"/>
  </cols>
  <sheetData>
    <row r="2" spans="1:72" x14ac:dyDescent="0.25"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375" t="s">
        <v>87</v>
      </c>
      <c r="M2" s="376" t="s">
        <v>87</v>
      </c>
      <c r="N2" s="376" t="s">
        <v>87</v>
      </c>
      <c r="O2" s="376" t="s">
        <v>87</v>
      </c>
      <c r="P2" s="377" t="s">
        <v>119</v>
      </c>
      <c r="Q2" s="377" t="s">
        <v>119</v>
      </c>
      <c r="R2" s="377" t="s">
        <v>119</v>
      </c>
      <c r="S2" s="377" t="s">
        <v>119</v>
      </c>
      <c r="T2" s="377" t="s">
        <v>120</v>
      </c>
      <c r="U2" s="377" t="s">
        <v>120</v>
      </c>
      <c r="V2" s="377" t="s">
        <v>120</v>
      </c>
      <c r="W2" s="377" t="s">
        <v>120</v>
      </c>
      <c r="X2" s="377" t="s">
        <v>90</v>
      </c>
      <c r="Y2" s="377" t="s">
        <v>90</v>
      </c>
      <c r="Z2" s="377" t="s">
        <v>90</v>
      </c>
      <c r="AA2" s="377" t="s">
        <v>90</v>
      </c>
      <c r="AB2" s="378" t="s">
        <v>121</v>
      </c>
      <c r="AC2" s="378" t="s">
        <v>121</v>
      </c>
      <c r="AD2" s="378" t="s">
        <v>121</v>
      </c>
      <c r="AE2" s="378" t="s">
        <v>121</v>
      </c>
      <c r="AF2" s="377" t="s">
        <v>92</v>
      </c>
      <c r="AG2" s="377" t="s">
        <v>92</v>
      </c>
      <c r="AH2" s="377" t="s">
        <v>92</v>
      </c>
      <c r="AI2" s="377" t="s">
        <v>92</v>
      </c>
      <c r="AJ2" s="377" t="s">
        <v>122</v>
      </c>
      <c r="AK2" s="377" t="s">
        <v>122</v>
      </c>
      <c r="AL2" s="377" t="s">
        <v>122</v>
      </c>
      <c r="AM2" s="377" t="s">
        <v>122</v>
      </c>
      <c r="AN2" s="379" t="s">
        <v>845</v>
      </c>
      <c r="AO2" s="379" t="s">
        <v>845</v>
      </c>
      <c r="AP2" s="379" t="s">
        <v>845</v>
      </c>
      <c r="AQ2" s="379" t="s">
        <v>845</v>
      </c>
      <c r="AR2" s="380" t="s">
        <v>846</v>
      </c>
      <c r="AS2" s="380" t="s">
        <v>846</v>
      </c>
      <c r="AT2" s="380" t="s">
        <v>846</v>
      </c>
      <c r="AU2" s="380" t="s">
        <v>846</v>
      </c>
      <c r="AV2" s="381" t="s">
        <v>853</v>
      </c>
      <c r="AW2" s="381" t="s">
        <v>853</v>
      </c>
      <c r="AX2" s="381" t="s">
        <v>853</v>
      </c>
      <c r="AY2" s="381" t="s">
        <v>853</v>
      </c>
      <c r="AZ2" s="382" t="s">
        <v>895</v>
      </c>
      <c r="BA2" s="382" t="s">
        <v>895</v>
      </c>
      <c r="BB2" s="382" t="s">
        <v>895</v>
      </c>
      <c r="BC2" s="382" t="s">
        <v>895</v>
      </c>
      <c r="BD2" s="377" t="s">
        <v>953</v>
      </c>
      <c r="BE2" s="377" t="s">
        <v>953</v>
      </c>
      <c r="BF2" s="377" t="s">
        <v>953</v>
      </c>
      <c r="BG2" s="377" t="s">
        <v>953</v>
      </c>
      <c r="BH2" s="381" t="s">
        <v>954</v>
      </c>
      <c r="BI2" s="381" t="s">
        <v>954</v>
      </c>
      <c r="BJ2" s="381" t="s">
        <v>954</v>
      </c>
      <c r="BK2" s="381" t="s">
        <v>954</v>
      </c>
      <c r="BL2" s="427" t="s">
        <v>961</v>
      </c>
      <c r="BM2" s="427" t="s">
        <v>961</v>
      </c>
      <c r="BN2" s="427" t="s">
        <v>961</v>
      </c>
      <c r="BO2" s="427" t="s">
        <v>961</v>
      </c>
      <c r="BP2" s="383" t="s">
        <v>93</v>
      </c>
      <c r="BQ2" s="383" t="s">
        <v>93</v>
      </c>
      <c r="BR2" s="383" t="s">
        <v>93</v>
      </c>
      <c r="BS2" s="383" t="s">
        <v>93</v>
      </c>
    </row>
    <row r="3" spans="1:72" s="11" customFormat="1" x14ac:dyDescent="0.25">
      <c r="A3" s="388" t="s">
        <v>123</v>
      </c>
      <c r="B3" s="384" t="s">
        <v>0</v>
      </c>
      <c r="C3" s="384" t="s">
        <v>1</v>
      </c>
      <c r="D3" s="384" t="s">
        <v>124</v>
      </c>
      <c r="E3" s="384" t="s">
        <v>124</v>
      </c>
      <c r="F3" s="385" t="s">
        <v>125</v>
      </c>
      <c r="G3" s="386" t="s">
        <v>126</v>
      </c>
      <c r="H3" s="386" t="s">
        <v>127</v>
      </c>
      <c r="I3" s="384" t="s">
        <v>95</v>
      </c>
      <c r="J3" s="384" t="s">
        <v>58</v>
      </c>
      <c r="K3" s="384" t="s">
        <v>128</v>
      </c>
      <c r="L3" s="90" t="s">
        <v>97</v>
      </c>
      <c r="M3" s="90" t="s">
        <v>98</v>
      </c>
      <c r="N3" s="90" t="s">
        <v>99</v>
      </c>
      <c r="O3" s="90" t="s">
        <v>100</v>
      </c>
      <c r="P3" s="91" t="s">
        <v>97</v>
      </c>
      <c r="Q3" s="91" t="s">
        <v>98</v>
      </c>
      <c r="R3" s="91" t="s">
        <v>99</v>
      </c>
      <c r="S3" s="91" t="s">
        <v>100</v>
      </c>
      <c r="T3" s="91" t="s">
        <v>97</v>
      </c>
      <c r="U3" s="91" t="s">
        <v>129</v>
      </c>
      <c r="V3" s="91" t="s">
        <v>99</v>
      </c>
      <c r="W3" s="91" t="s">
        <v>100</v>
      </c>
      <c r="X3" s="91" t="s">
        <v>97</v>
      </c>
      <c r="Y3" s="91" t="s">
        <v>130</v>
      </c>
      <c r="Z3" s="91" t="s">
        <v>99</v>
      </c>
      <c r="AA3" s="91" t="s">
        <v>100</v>
      </c>
      <c r="AB3" s="91" t="s">
        <v>97</v>
      </c>
      <c r="AC3" s="91" t="s">
        <v>129</v>
      </c>
      <c r="AD3" s="91" t="s">
        <v>99</v>
      </c>
      <c r="AE3" s="91" t="s">
        <v>100</v>
      </c>
      <c r="AF3" s="91" t="s">
        <v>97</v>
      </c>
      <c r="AG3" s="91" t="s">
        <v>130</v>
      </c>
      <c r="AH3" s="91" t="s">
        <v>99</v>
      </c>
      <c r="AI3" s="91" t="s">
        <v>100</v>
      </c>
      <c r="AJ3" s="91" t="s">
        <v>97</v>
      </c>
      <c r="AK3" s="91" t="s">
        <v>130</v>
      </c>
      <c r="AL3" s="91" t="s">
        <v>99</v>
      </c>
      <c r="AM3" s="91" t="s">
        <v>100</v>
      </c>
      <c r="AN3" s="92" t="s">
        <v>97</v>
      </c>
      <c r="AO3" s="92" t="s">
        <v>130</v>
      </c>
      <c r="AP3" s="92" t="s">
        <v>99</v>
      </c>
      <c r="AQ3" s="92" t="s">
        <v>100</v>
      </c>
      <c r="AR3" s="93" t="s">
        <v>97</v>
      </c>
      <c r="AS3" s="93" t="s">
        <v>130</v>
      </c>
      <c r="AT3" s="93" t="s">
        <v>99</v>
      </c>
      <c r="AU3" s="93" t="s">
        <v>100</v>
      </c>
      <c r="AV3" s="93" t="s">
        <v>97</v>
      </c>
      <c r="AW3" s="93" t="s">
        <v>130</v>
      </c>
      <c r="AX3" s="93" t="s">
        <v>99</v>
      </c>
      <c r="AY3" s="93" t="s">
        <v>100</v>
      </c>
      <c r="AZ3" s="93" t="s">
        <v>97</v>
      </c>
      <c r="BA3" s="93" t="s">
        <v>130</v>
      </c>
      <c r="BB3" s="93" t="s">
        <v>99</v>
      </c>
      <c r="BC3" s="93" t="s">
        <v>100</v>
      </c>
      <c r="BD3" s="93" t="s">
        <v>97</v>
      </c>
      <c r="BE3" s="93" t="s">
        <v>130</v>
      </c>
      <c r="BF3" s="93" t="s">
        <v>99</v>
      </c>
      <c r="BG3" s="93" t="s">
        <v>100</v>
      </c>
      <c r="BH3" s="93" t="s">
        <v>97</v>
      </c>
      <c r="BI3" s="93" t="s">
        <v>130</v>
      </c>
      <c r="BJ3" s="93" t="s">
        <v>99</v>
      </c>
      <c r="BK3" s="93" t="s">
        <v>100</v>
      </c>
      <c r="BL3" s="93" t="s">
        <v>97</v>
      </c>
      <c r="BM3" s="93" t="s">
        <v>130</v>
      </c>
      <c r="BN3" s="93" t="s">
        <v>99</v>
      </c>
      <c r="BO3" s="93" t="s">
        <v>100</v>
      </c>
      <c r="BP3" s="299" t="s">
        <v>97</v>
      </c>
      <c r="BQ3" s="299" t="s">
        <v>130</v>
      </c>
      <c r="BR3" s="299" t="s">
        <v>99</v>
      </c>
      <c r="BS3" s="299" t="s">
        <v>100</v>
      </c>
    </row>
    <row r="4" spans="1:72" s="12" customFormat="1" x14ac:dyDescent="0.25">
      <c r="A4" s="389"/>
      <c r="B4" s="94">
        <v>1</v>
      </c>
      <c r="C4" s="95" t="s">
        <v>4</v>
      </c>
      <c r="D4" s="95" t="s">
        <v>101</v>
      </c>
      <c r="E4" s="95" t="s">
        <v>901</v>
      </c>
      <c r="F4" s="94" t="s">
        <v>900</v>
      </c>
      <c r="G4" s="96"/>
      <c r="H4" s="94"/>
      <c r="I4" s="94" t="s">
        <v>131</v>
      </c>
      <c r="J4" s="89" t="s">
        <v>67</v>
      </c>
      <c r="K4" s="89" t="s">
        <v>62</v>
      </c>
      <c r="L4" s="97">
        <f>IFERROR(COUNTIFS('Base File'!$AR:$AR,"Met",'Base File'!$B:$B,'Account Summary'!C4)/(COUNTIFS('Base File'!$AR:$AR,"Met",'Base File'!$B:$B,'Account Summary'!C4)+COUNTIFS('Base File'!$AR:$AR,"Not Met",'Base File'!$B:$B,'Account Summary'!C4)),"NR")</f>
        <v>1</v>
      </c>
      <c r="M4" s="98" t="str">
        <f>IFERROR(COUNTIFS('Base File'!$G:$G,"Contractual SLA",'Base File'!$H:$H,"No",'Base File'!$B:$B,'Account Summary'!$C4,'Base File'!$AR:$AR,"Met")/SUM(COUNTIFS('Base File'!$G:$G,"Contractual SLA",'Base File'!$H:$H,"No",'Base File'!$B:$B,'Account Summary'!$C4,'Base File'!$AR:$AR,"Met")+COUNTIFS('Base File'!$G:$G,"Contractual SLA",'Base File'!$H:$H,"No",'Base File'!$B:$B,'Account Summary'!$C4,'Base File'!$AR:$AR,"Not Met")),"-")</f>
        <v>-</v>
      </c>
      <c r="N4" s="97">
        <f>IFERROR(COUNTIFS('Base File'!$G:$G,"Contractual SLA",'Base File'!$H:$H,"Yes",'Base File'!$B:$B,'Account Summary'!$C4,'Base File'!$AR:$AR,"Met")/SUM(COUNTIFS('Base File'!$G:$G,"Contractual SLA",'Base File'!$H:$H,"yes",'Base File'!$B:$B,'Account Summary'!$C4,'Base File'!$AR:$AR,"Met")+COUNTIFS('Base File'!$G:$G,"Contractual SLA",'Base File'!$H:$H,"yes",'Base File'!$B:$B,'Account Summary'!$C4,'Base File'!$AR:$AR,"Not Met")),"-")</f>
        <v>1</v>
      </c>
      <c r="O4" s="97">
        <f>IFERROR(COUNTIFS('Base File'!$G:$G,"Internal KPI",'Base File'!$B:$B,'Account Summary'!$C4,'Base File'!$AR:$AR,"Met")/SUM(COUNTIFS('Base File'!$G:$G,"Internal KPI",'Base File'!$B:$B,'Account Summary'!$C4,'Base File'!$AR:$AR,"Met")+COUNTIFS('Base File'!$G:$G,"Internal KPI",'Base File'!$B:$B,'Account Summary'!$C4,'Base File'!$AR:$AR,"Not Met")),"-")</f>
        <v>1</v>
      </c>
      <c r="P4" s="99">
        <f>IFERROR(COUNTIFS('Base File'!$AV:$AV,"Met",'Base File'!$B:$B,'Account Summary'!C4)/(COUNTIFS('Base File'!$AV:$AV,"Met",'Base File'!$B:$B,'Account Summary'!C4)+COUNTIFS('Base File'!$AV:$AV,"Not Met",'Base File'!$B:$B,'Account Summary'!C4)),"NR")</f>
        <v>1</v>
      </c>
      <c r="Q4" s="98" t="str">
        <f>IFERROR(COUNTIFS('Base File'!$G:$G,"Contractual SLA",'Base File'!$H:$H,"No",'Base File'!$B:$B,'Account Summary'!$C4,'Base File'!$AV:$AV,"Met")/SUM(COUNTIFS('Base File'!$G:$G,"Contractual SLA",'Base File'!$H:$H,"No",'Base File'!$B:$B,'Account Summary'!$C4,'Base File'!$AV:$AV,"Met")+COUNTIFS('Base File'!$G:$G,"Contractual SLA",'Base File'!$H:$H,"No",'Base File'!$B:$B,'Account Summary'!$C4,'Base File'!$AV:$AV,"Not Met")),"-")</f>
        <v>-</v>
      </c>
      <c r="R4" s="99">
        <f>IFERROR(COUNTIFS('Base File'!$G:$G,"Contractual SLA",'Base File'!$H:$H,"Yes",'Base File'!$B:$B,'Account Summary'!$C4,'Base File'!$AV:$AV,"Met")/SUM(COUNTIFS('Base File'!$G:$G,"Contractual SLA",'Base File'!$H:$H,"yes",'Base File'!$B:$B,'Account Summary'!$C4,'Base File'!$AV:$AV,"Met")+COUNTIFS('Base File'!$G:$G,"Contractual SLA",'Base File'!$H:$H,"yes",'Base File'!$B:$B,'Account Summary'!$C4,'Base File'!$AV:$AV,"Not Met")),"-")</f>
        <v>1</v>
      </c>
      <c r="S4" s="99">
        <f>IFERROR(COUNTIFS('Base File'!$G:$G,"Internal KPI",'Base File'!$B:$B,'Account Summary'!$C4,'Base File'!$AV:$AV,"Met")/SUM(COUNTIFS('Base File'!$G:$G,"Internal KPI",'Base File'!$B:$B,'Account Summary'!$C4,'Base File'!$AV:$AV,"Met")+COUNTIFS('Base File'!$G:$G,"Internal KPI",'Base File'!$B:$B,'Account Summary'!$C4,'Base File'!$AV:$AV,"Not Met")),"-")</f>
        <v>1</v>
      </c>
      <c r="T4" s="100" t="s">
        <v>11</v>
      </c>
      <c r="U4" s="101" t="str">
        <f>IFERROR(COUNTIFS('Base File'!$G:$G,"Contractual SLA",'Base File'!$H:$H,"No",'Base File'!$B:$B,'Account Summary'!$C4,'Base File'!$AX:$AX,"Met")/SUM(COUNTIFS('Base File'!$G:$G,"Contractual SLA",'Base File'!$H:$H,"No",'Base File'!$B:$B,'Account Summary'!$C4,'Base File'!$AX:$AX,"Met")+COUNTIFS('Base File'!$G:$G,"Contractual SLA",'Base File'!$H:$H,"No",'Base File'!$B:$B,'Account Summary'!$C4,'Base File'!$AX:$AX,"Not Met")),"NA")</f>
        <v>NA</v>
      </c>
      <c r="V4" s="100" t="str">
        <f>IFERROR(COUNTIFS('Base File'!$G:$G,"Contractual SLA",'Base File'!$H:$H,"Yes",'Base File'!$B:$B,'Account Summary'!$C4,'Base File'!$AX:$AX,"Met")/SUM(COUNTIFS('Base File'!$G:$G,"Contractual SLA",'Base File'!$H:$H,"yes",'Base File'!$B:$B,'Account Summary'!$C4,'Base File'!$AX:$AX,"Met")+COUNTIFS('Base File'!$G:$G,"Contractual SLA",'Base File'!$H:$H,"yes",'Base File'!$B:$B,'Account Summary'!$C4,'Base File'!$AX:$AX,"Not Met")),"NA")</f>
        <v>NA</v>
      </c>
      <c r="W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X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Y4" s="102" t="s">
        <v>107</v>
      </c>
      <c r="Z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A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B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C4" s="102" t="s">
        <v>107</v>
      </c>
      <c r="AD4" s="100" t="s">
        <v>11</v>
      </c>
      <c r="AE4" s="100" t="s">
        <v>11</v>
      </c>
      <c r="AF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G4" s="102" t="s">
        <v>107</v>
      </c>
      <c r="AH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I4" s="10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J4" s="99">
        <f>IFERROR(COUNTIFS('Base File'!$BF:$BF,"Met",'Base File'!$B:$B,'Account Summary'!C4)/(COUNTIFS('Base File'!$BF:$BF,"Met",'Base File'!$B:$B,'Account Summary'!C4)+COUNTIFS('Base File'!$BF:$BF,"Not Met",'Base File'!$B:$B,'Account Summary'!C4)),"NR")</f>
        <v>1</v>
      </c>
      <c r="AK4" s="100" t="str">
        <f>IFERROR(COUNTIFS('Base File'!$G:$G,"Contractual SLA",'Base File'!$H:$H,"No",'Base File'!$B:$B,'Account Summary'!$C4,'Base File'!$BF:$BF,"Met")/SUM(COUNTIFS('Base File'!$G:$G,"Contractual SLA",'Base File'!$H:$H,"No",'Base File'!$B:$B,'Account Summary'!$C4,'Base File'!$BF:$BF,"Met")+COUNTIFS('Base File'!$G:$G,"Contractual SLA",'Base File'!$H:$H,"No",'Base File'!$B:$B,'Account Summary'!$C4,'Base File'!$BF:$BF,"Not Met")),"-")</f>
        <v>-</v>
      </c>
      <c r="AL4" s="99">
        <f>IFERROR(COUNTIFS('Base File'!$G:$G,"Contractual SLA",'Base File'!$H:$H,"Yes",'Base File'!$B:$B,'Account Summary'!$C4,'Base File'!$BF:$BF,"Met")/SUM(COUNTIFS('Base File'!$G:$G,"Contractual SLA",'Base File'!$H:$H,"yes",'Base File'!$B:$B,'Account Summary'!$C4,'Base File'!$BF:$BF,"Met")+COUNTIFS('Base File'!$G:$G,"Contractual SLA",'Base File'!$H:$H,"yes",'Base File'!$B:$B,'Account Summary'!$C4,'Base File'!$BF:$BF,"Not Met")),"-")</f>
        <v>1</v>
      </c>
      <c r="AM4" s="99">
        <f>IFERROR(COUNTIFS('Base File'!$G:$G,"Internal KPI",'Base File'!$B:$B,'Account Summary'!$C4,'Base File'!$BF:$BF,"Met")/SUM(COUNTIFS('Base File'!$G:$G,"Internal KPI",'Base File'!$B:$B,'Account Summary'!$C4,'Base File'!$BF:$BF,"Met")+COUNTIFS('Base File'!$G:$G,"Internal KPI",'Base File'!$B:$B,'Account Summary'!$C4,'Base File'!$BF:$BF,"Not Met")),"-")</f>
        <v>1</v>
      </c>
      <c r="AN4" s="99">
        <f>IFERROR(COUNTIFS('Base File'!$BH:$BH,"Met",'Base File'!$B:$B,'Account Summary'!C4)/(COUNTIFS('Base File'!$BH:$BH,"Met",'Base File'!$B:$B,'Account Summary'!C4)+COUNTIFS('Base File'!$BH:$BH,"Not Met",'Base File'!$B:$B,'Account Summary'!C4)),"NR")</f>
        <v>1</v>
      </c>
      <c r="AO4" s="100" t="str">
        <f>IFERROR(COUNTIFS('Base File'!$G:$G,"Contractual SLA",'Base File'!$H:$H,"No",'Base File'!$B:$B,'Account Summary'!$C4,'Base File'!$BH:$BH,"Met")/SUM(COUNTIFS('Base File'!$G:$G,"Contractual SLA",'Base File'!$H:$H,"No",'Base File'!$B:$B,'Account Summary'!$C4,'Base File'!$BH:$BH,"Met")+COUNTIFS('Base File'!$G:$G,"Contractual SLA",'Base File'!$H:$H,"No",'Base File'!$B:$B,'Account Summary'!$C4,'Base File'!$BH:$BH,"Not Met")),"-")</f>
        <v>-</v>
      </c>
      <c r="AP4" s="99">
        <f>IFERROR(COUNTIFS('Base File'!$G:$G,"Contractual SLA",'Base File'!$H:$H,"Yes",'Base File'!$B:$B,'Account Summary'!$C4,'Base File'!$BH:$BH,"Met")/SUM(COUNTIFS('Base File'!$G:$G,"Contractual SLA",'Base File'!$H:$H,"yes",'Base File'!$B:$B,'Account Summary'!$C4,'Base File'!$BH:$BH,"Met")+COUNTIFS('Base File'!$G:$G,"Contractual SLA",'Base File'!$H:$H,"yes",'Base File'!$B:$B,'Account Summary'!$C4,'Base File'!$BH:$BH,"Not Met")),"-")</f>
        <v>1</v>
      </c>
      <c r="AQ4" s="99">
        <f>IFERROR(COUNTIFS('Base File'!$G:$G,"Internal KPI",'Base File'!$B:$B,'Account Summary'!$C4,'Base File'!$BH:$BH,"Met")/SUM(COUNTIFS('Base File'!$G:$G,"Internal KPI",'Base File'!$B:$B,'Account Summary'!$C4,'Base File'!$BH:$BH,"Met")+COUNTIFS('Base File'!$G:$G,"Internal KPI",'Base File'!$B:$B,'Account Summary'!$C4,'Base File'!$BH:$BH,"Not Met")),"-")</f>
        <v>1</v>
      </c>
      <c r="AR4" s="99">
        <f>IFERROR(COUNTIFS('Base File'!$BJ:$BJ,"Met",'Base File'!$B:$B,'Account Summary'!C4)/(COUNTIFS('Base File'!$BJ:$BJ,"Met",'Base File'!$B:$B,'Account Summary'!C4)+COUNTIFS('Base File'!$BJ:$BJ,"Not Met",'Base File'!$B:$B,'Account Summary'!C4)),"NR")</f>
        <v>1</v>
      </c>
      <c r="AS4" s="101" t="str">
        <f>IFERROR(COUNTIFS('Base File'!$G:$G,"Contractual SLA",'Base File'!$H:$H,"No",'Base File'!$B:$B,'Account Summary'!$C4,'Base File'!$BJ:$BJ,"Met")/SUM(COUNTIFS('Base File'!$G:$G,"Contractual SLA",'Base File'!$H:$H,"No",'Base File'!$B:$B,'Account Summary'!$C4,'Base File'!$BJ:$BJ,"Met")+COUNTIFS('Base File'!$G:$G,"Contractual SLA",'Base File'!$H:$H,"No",'Base File'!$B:$B,'Account Summary'!$C4,'Base File'!$BJ:$BJ,"Not Met")),"-")</f>
        <v>-</v>
      </c>
      <c r="AT4" s="99">
        <f>IFERROR(COUNTIFS('Base File'!$G:$G,"Contractual SLA",'Base File'!$H:$H,"Yes",'Base File'!$B:$B,'Account Summary'!$C4,'Base File'!$BJ:$BJ,"Met")/SUM(COUNTIFS('Base File'!$G:$G,"Contractual SLA",'Base File'!$H:$H,"yes",'Base File'!$B:$B,'Account Summary'!$C4,'Base File'!$BJ:$BJ,"Met")+COUNTIFS('Base File'!$G:$G,"Contractual SLA",'Base File'!$H:$H,"yes",'Base File'!$B:$B,'Account Summary'!$C4,'Base File'!$BJ:$BJ,"Not Met")),"-")</f>
        <v>1</v>
      </c>
      <c r="AU4" s="99">
        <f>IFERROR(COUNTIFS('Base File'!$G:$G,"Internal KPI",'Base File'!$B:$B,'Account Summary'!$C4,'Base File'!$BJ:$BJ,"Met")/SUM(COUNTIFS('Base File'!$G:$G,"Internal KPI",'Base File'!$B:$B,'Account Summary'!$C4,'Base File'!$BJ:$BJ,"Met")+COUNTIFS('Base File'!$G:$G,"Internal KPI",'Base File'!$B:$B,'Account Summary'!$C4,'Base File'!$BJ:$BJ,"Not Met")),"-")</f>
        <v>1</v>
      </c>
      <c r="AV4" s="100">
        <f>IFERROR(COUNTIFS('Base File'!$BL:$BL,"Met",'Base File'!$B:$B,'Account Summary'!C4)/(COUNTIFS('Base File'!$BL:$BL,"Met",'Base File'!$B:$B,'Account Summary'!C4)+COUNTIFS('Base File'!$BL:$BL,"Not Met",'Base File'!$B:$B,'Account Summary'!C4)),"NR")</f>
        <v>0.8571428571428571</v>
      </c>
      <c r="AW4" s="100" t="str">
        <f>IFERROR(COUNTIFS('Base File'!$G:$G,"Contractual SLA",'Base File'!$H:$H,"No",'Base File'!$B:$B,'Account Summary'!$C4,'Base File'!$BL:$BL,"Met")/SUM(COUNTIFS('Base File'!$G:$G,"Contractual SLA",'Base File'!$H:$H,"No",'Base File'!$B:$B,'Account Summary'!$C4,'Base File'!$BL:$BL,"Met")+COUNTIFS('Base File'!$G:$G,"Contractual SLA",'Base File'!$H:$H,"No",'Base File'!$B:$B,'Account Summary'!$C4,'Base File'!$BL:$BL,"Not Met")),"-")</f>
        <v>-</v>
      </c>
      <c r="AX4" s="100">
        <f>IFERROR(COUNTIFS('Base File'!$G:$G,"Contractual SLA",'Base File'!$H:$H,"Yes",'Base File'!$B:$B,'Account Summary'!$C4,'Base File'!$BL:$BL,"Met")/SUM(COUNTIFS('Base File'!$G:$G,"Contractual SLA",'Base File'!$H:$H,"yes",'Base File'!$B:$B,'Account Summary'!$C4,'Base File'!$BL:$BL,"Met")+COUNTIFS('Base File'!$G:$G,"Contractual SLA",'Base File'!$H:$H,"yes",'Base File'!$B:$B,'Account Summary'!$C4,'Base File'!$BL:$BL,"Not Met")),"-")</f>
        <v>0.8571428571428571</v>
      </c>
      <c r="AY4" s="100" t="str">
        <f>IFERROR(COUNTIFS('Base File'!$G:$G,"Internal KPI",'Base File'!$B:$B,'Account Summary'!$C4,'Base File'!$BL:$BL,"Met")/SUM(COUNTIFS('Base File'!$G:$G,"Internal KPI",'Base File'!$B:$B,'Account Summary'!$C4,'Base File'!$BL:$BL,"Met")+COUNTIFS('Base File'!$G:$G,"Internal KPI",'Base File'!$B:$B,'Account Summary'!$C4,'Base File'!$BL:$BL,"Not Met")),"-")</f>
        <v>-</v>
      </c>
      <c r="AZ4" s="100">
        <v>1</v>
      </c>
      <c r="BA4" s="100" t="s">
        <v>107</v>
      </c>
      <c r="BB4" s="100">
        <v>1</v>
      </c>
      <c r="BC4" s="100" t="s">
        <v>11</v>
      </c>
      <c r="BD4" s="99">
        <f>IFERROR(COUNTIFS('Base File'!$BP:$BP,"Met",'Base File'!$B:$B,'Account Summary'!C4)/(COUNTIFS('Base File'!$BP:$BP,"Met",'Base File'!$B:$B,'Account Summary'!C4)+COUNTIFS('Base File'!$BP:$BP,"Not Met",'Base File'!$B:$B,'Account Summary'!C4)),"NR")</f>
        <v>0.8571428571428571</v>
      </c>
      <c r="BE4" s="100" t="str">
        <f>IFERROR(COUNTIFS('Base File'!$G:$G,"Contractual SLA",'Base File'!$H:$H,"No",'Base File'!$B:$B,'Account Summary'!$C4,'Base File'!$BP:$BP,"Met")/SUM(COUNTIFS('Base File'!$G:$G,"Contractual SLA",'Base File'!$H:$H,"No",'Base File'!$B:$B,'Account Summary'!$C4,'Base File'!$BP:$BP,"Met")+COUNTIFS('Base File'!$G:$G,"Contractual SLA",'Base File'!$H:$H,"No",'Base File'!$B:$B,'Account Summary'!$C4,'Base File'!$BP:$BP,"Not Met")),"-")</f>
        <v>-</v>
      </c>
      <c r="BF4" s="110">
        <f>IFERROR(COUNTIFS('Base File'!$G:$G,"Contractual SLA",'Base File'!$H:$H,"Yes",'Base File'!$B:$B,'Account Summary'!$C4,'Base File'!$BP:$BP,"Met")/SUM(COUNTIFS('Base File'!$G:$G,"Contractual SLA",'Base File'!$H:$H,"yes",'Base File'!$B:$B,'Account Summary'!$C4,'Base File'!$BP:$BP,"Met")+COUNTIFS('Base File'!$G:$G,"Contractual SLA",'Base File'!$H:$H,"yes",'Base File'!$B:$B,'Account Summary'!$C4,'Base File'!$BP:$BP,"Not Met")),"-")</f>
        <v>0.8571428571428571</v>
      </c>
      <c r="BG4" s="100" t="s">
        <v>11</v>
      </c>
      <c r="BH4" s="99">
        <f>IFERROR(COUNTIFS('Base File'!$BR:$BR,"Met",'Base File'!$B:$B,'Account Summary'!C4)/(COUNTIFS('Base File'!$BR:$BR,"Met",'Base File'!$B:$B,'Account Summary'!C4)+COUNTIFS('Base File'!$BR:$BR,"Not Met",'Base File'!$B:$B,'Account Summary'!C4)),"NR")</f>
        <v>0.8571428571428571</v>
      </c>
      <c r="BI4" s="101" t="str">
        <f>IFERROR(COUNTIFS('Base File'!$G:$G,"Contractual SLA",'Base File'!$H:$H,"No",'Base File'!$B:$B,'Account Summary'!$C4,'Base File'!$BR:$BR,"Met")/SUM(COUNTIFS('Base File'!$G:$G,"Contractual SLA",'Base File'!$H:$H,"No",'Base File'!$B:$B,'Account Summary'!$C4,'Base File'!$BR:$BR,"Met")+COUNTIFS('Base File'!$G:$G,"Contractual SLA",'Base File'!$H:$H,"No",'Base File'!$B:$B,'Account Summary'!$C4,'Base File'!$BR:$BR,"Not Met")),"-")</f>
        <v>-</v>
      </c>
      <c r="BJ4" s="110">
        <v>0.86</v>
      </c>
      <c r="BK4" s="100" t="s">
        <v>11</v>
      </c>
      <c r="BL4" s="100">
        <f>IFERROR(COUNTIFS('Base File'!$BT:$BT,"Met",'Base File'!$B:$B,'Account Summary'!C4)/(COUNTIFS('Base File'!$BT:$BT,"Met",'Base File'!$B:$B,'Account Summary'!C4)+COUNTIFS('Base File'!$BT:$BT,"Not Met",'Base File'!$B:$B,'Account Summary'!C4)),"NR")</f>
        <v>0.875</v>
      </c>
      <c r="BM4" s="100" t="str">
        <f>IFERROR(COUNTIFS('Base File'!$G:$G,"Contractual SLA",'Base File'!$H:$H,"No",'Base File'!$B:$B,'Account Summary'!$C4,'Base File'!$BT:$BT,"Met")/SUM(COUNTIFS('Base File'!$G:$G,"Contractual SLA",'Base File'!$H:$H,"No",'Base File'!$B:$B,'Account Summary'!$C4,'Base File'!$BT:$BT,"Met")+COUNTIFS('Base File'!$G:$G,"Contractual SLA",'Base File'!$H:$H,"No",'Base File'!$B:$B,'Account Summary'!$C4,'Base File'!$BT:$BT,"Not Met")),"-")</f>
        <v>-</v>
      </c>
      <c r="BN4" s="100">
        <f>IFERROR(COUNTIFS('Base File'!$G:$G,"Contractual SLA",'Base File'!$H:$H,"Yes",'Base File'!$B:$B,'Account Summary'!$C4,'Base File'!$BT:$BT,"Met")/SUM(COUNTIFS('Base File'!$G:$G,"Contractual SLA",'Base File'!$H:$H,"yes",'Base File'!$B:$B,'Account Summary'!$C4,'Base File'!$BT:$BT,"Met")+COUNTIFS('Base File'!$G:$G,"Contractual SLA",'Base File'!$H:$H,"yes",'Base File'!$B:$B,'Account Summary'!$C4,'Base File'!$BT:$BT,"Not Met")),"-")</f>
        <v>0.8571428571428571</v>
      </c>
      <c r="BO4" s="100">
        <f>IFERROR(COUNTIFS('Base File'!$G:$G,"Internal KPI",'Base File'!$B:$B,'Account Summary'!$C4,'Base File'!$BT:$BT,"Met")/SUM(COUNTIFS('Base File'!$G:$G,"Internal KPI",'Base File'!$B:$B,'Account Summary'!$C4,'Base File'!$BT:$BT,"Met")+COUNTIFS('Base File'!$G:$G,"Internal KPI",'Base File'!$B:$B,'Account Summary'!$C4,'Base File'!$BT:$BT,"Not Met")),"-")</f>
        <v>1</v>
      </c>
      <c r="BP4" s="100">
        <f>IFERROR(COUNTIFS('Base File'!$BV:$BV,"Met",'Base File'!$B:$B,'Account Summary'!C4)/(COUNTIFS('Base File'!$BV:$BV,"Met",'Base File'!$B:$B,'Account Summary'!C4)+COUNTIFS('Base File'!$BV:$BV,"Not Met",'Base File'!$B:$B,'Account Summary'!C4)),"NR")</f>
        <v>0.875</v>
      </c>
      <c r="BQ4" s="102" t="s">
        <v>107</v>
      </c>
      <c r="BR4" s="100">
        <f>IFERROR(COUNTIFS('Base File'!$G:$G,"Contractual SLA",'Base File'!$H:$H,"Yes",'Base File'!$B:$B,'Account Summary'!$C4,'Base File'!$BV:$BV,"Met")/SUM(COUNTIFS('Base File'!$G:$G,"Contractual SLA",'Base File'!$H:$H,"Yes",'Base File'!$B:$B,'Account Summary'!$C4,'Base File'!$BV:$BV,"Met")+COUNTIFS('Base File'!$G:$G,"Contractual SLA",'Base File'!$H:$H,"Yes",'Base File'!$B:$B,'Account Summary'!$C4,'Base File'!$BV:$BV,"Not Met")),"-")</f>
        <v>0.8571428571428571</v>
      </c>
      <c r="BS4" s="100">
        <v>1</v>
      </c>
    </row>
    <row r="5" spans="1:72" s="12" customFormat="1" x14ac:dyDescent="0.25">
      <c r="A5" s="389"/>
      <c r="B5" s="94">
        <v>2</v>
      </c>
      <c r="C5" s="94" t="s">
        <v>5</v>
      </c>
      <c r="D5" s="95" t="s">
        <v>101</v>
      </c>
      <c r="E5" s="95" t="s">
        <v>901</v>
      </c>
      <c r="F5" s="94" t="s">
        <v>900</v>
      </c>
      <c r="G5" s="96"/>
      <c r="H5" s="94"/>
      <c r="I5" s="94" t="s">
        <v>102</v>
      </c>
      <c r="J5" s="89" t="s">
        <v>67</v>
      </c>
      <c r="K5" s="89" t="s">
        <v>68</v>
      </c>
      <c r="L5" s="98" t="str">
        <f>IFERROR(COUNTIFS('Base File'!$AR:$AR,"Met",'Base File'!$B:$B,'Account Summary'!C5)/(COUNTIFS('Base File'!$AR:$AR,"Met",'Base File'!$B:$B,'Account Summary'!C5)+COUNTIFS('Base File'!$AR:$AR,"Not Met",'Base File'!$B:$B,'Account Summary'!C5)),"NR")</f>
        <v>NR</v>
      </c>
      <c r="M5" s="98" t="str">
        <f>IFERROR(COUNTIFS('Base File'!$G:$G,"Contractual SLA",'Base File'!$H:$H,"No",'Base File'!$B:$B,'Account Summary'!$C5,'Base File'!$AR:$AR,"Met")/SUM(COUNTIFS('Base File'!$G:$G,"Contractual SLA",'Base File'!$H:$H,"No",'Base File'!$B:$B,'Account Summary'!$C5,'Base File'!$AR:$AR,"Met")+COUNTIFS('Base File'!$G:$G,"Contractual SLA",'Base File'!$H:$H,"No",'Base File'!$B:$B,'Account Summary'!$C5,'Base File'!$AR:$AR,"Not Met")),"-")</f>
        <v>-</v>
      </c>
      <c r="N5" s="98" t="s">
        <v>103</v>
      </c>
      <c r="O5" s="98" t="s">
        <v>103</v>
      </c>
      <c r="P5" s="98" t="str">
        <f>IFERROR(COUNTIFS('Base File'!$AV:$AV,"Met",'Base File'!$B:$B,'Account Summary'!C5)/(COUNTIFS('Base File'!$AV:$AV,"Met",'Base File'!$B:$B,'Account Summary'!C5)+COUNTIFS('Base File'!$AV:$AV,"Not Met",'Base File'!$B:$B,'Account Summary'!C5)),"NR")</f>
        <v>NR</v>
      </c>
      <c r="Q5" s="98" t="str">
        <f>IFERROR(COUNTIFS('Base File'!$G:$G,"Contractual SLA",'Base File'!$H:$H,"No",'Base File'!$B:$B,'Account Summary'!$C5,'Base File'!$AV:$AV,"Met")/SUM(COUNTIFS('Base File'!$G:$G,"Contractual SLA",'Base File'!$H:$H,"No",'Base File'!$B:$B,'Account Summary'!$C5,'Base File'!$AV:$AV,"Met")+COUNTIFS('Base File'!$G:$G,"Contractual SLA",'Base File'!$H:$H,"No",'Base File'!$B:$B,'Account Summary'!$C5,'Base File'!$AV:$AV,"Not Met")),"-")</f>
        <v>-</v>
      </c>
      <c r="R5" s="103" t="str">
        <f>IFERROR(COUNTIFS('Base File'!$BV:$BV,"Met",'Base File'!$B:$B,'Account Summary'!A5)/(COUNTIFS('Base File'!$BV:$BV,"Met",'Base File'!$B:$B,'Account Summary'!A5)+COUNTIFS('Base File'!$BV:$BV,"Not Met",'Base File'!$B:$B,'Account Summary'!A5)),"NR")</f>
        <v>NR</v>
      </c>
      <c r="S5" s="98" t="str">
        <f>IFERROR(COUNTIFS('Base File'!$BV:$BV,"Met",'Base File'!$B:$B,'Account Summary'!B5)/(COUNTIFS('Base File'!$BV:$BV,"Met",'Base File'!$B:$B,'Account Summary'!B5)+COUNTIFS('Base File'!$BV:$BV,"Not Met",'Base File'!$B:$B,'Account Summary'!B5)),"NR")</f>
        <v>NR</v>
      </c>
      <c r="T5" s="100" t="str">
        <f>IFERROR(COUNTIFS('Base File'!$AX:$AX,"Met",'Base File'!$B:$B,'Account Summary'!C5)/(COUNTIFS('Base File'!$AX:$AX,"Met",'Base File'!$B:$B,'Account Summary'!C5)+COUNTIFS('Base File'!$AX:$AX,"Not Met",'Base File'!$B:$B,'Account Summary'!C5)),"NR")</f>
        <v>NR</v>
      </c>
      <c r="U5" s="101" t="str">
        <f>IFERROR(COUNTIFS('Base File'!$G:$G,"Contractual SLA",'Base File'!$H:$H,"No",'Base File'!$B:$B,'Account Summary'!$C5,'Base File'!$AX:$AX,"Met")/SUM(COUNTIFS('Base File'!$G:$G,"Contractual SLA",'Base File'!$H:$H,"No",'Base File'!$B:$B,'Account Summary'!$C5,'Base File'!$AX:$AX,"Met")+COUNTIFS('Base File'!$G:$G,"Contractual SLA",'Base File'!$H:$H,"No",'Base File'!$B:$B,'Account Summary'!$C5,'Base File'!$AX:$AX,"Not Met")),"NA")</f>
        <v>NA</v>
      </c>
      <c r="V5" s="100" t="s">
        <v>103</v>
      </c>
      <c r="W5" s="100" t="s">
        <v>103</v>
      </c>
      <c r="X5" s="100" t="str">
        <f>IFERROR(COUNTIFS('Base File'!$AZ:$AZ,"Met",'Base File'!$B:$B,'Account Summary'!C5)/(COUNTIFS('Base File'!$AZ:$AZ,"Met",'Base File'!$B:$B,'Account Summary'!C5)+COUNTIFS('Base File'!$AZ:$AZ,"Not Met",'Base File'!$B:$B,'Account Summary'!C5)),"NR")</f>
        <v>NR</v>
      </c>
      <c r="Y5" s="101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Z5" s="100" t="s">
        <v>103</v>
      </c>
      <c r="AA5" s="100" t="s">
        <v>103</v>
      </c>
      <c r="AB5" s="101" t="str">
        <f>IFERROR(COUNTIFS('Base File'!$BB:$BB,"Met",'Base File'!$B:$B,'Account Summary'!C5)/(COUNTIFS('Base File'!$BB:$BB,"Met",'Base File'!$B:$B,'Account Summary'!C5)+COUNTIFS('Base File'!$BB:$BB,"Not Met",'Base File'!$B:$B,'Account Summary'!C5)),"NR")</f>
        <v>NR</v>
      </c>
      <c r="AC5" s="104" t="s">
        <v>107</v>
      </c>
      <c r="AD5" s="100" t="s">
        <v>103</v>
      </c>
      <c r="AE5" s="100" t="s">
        <v>103</v>
      </c>
      <c r="AF5" s="100" t="str">
        <f>IFERROR(COUNTIFS('Base File'!$AZ:$AZ,"Met",'Base File'!$B:$B,'Account Summary'!L5)/(COUNTIFS('Base File'!$AZ:$AZ,"Met",'Base File'!$B:$B,'Account Summary'!L5)+COUNTIFS('Base File'!$AZ:$AZ,"Not Met",'Base File'!$B:$B,'Account Summary'!L5)),"NR")</f>
        <v>NR</v>
      </c>
      <c r="AG5" s="101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AH5" s="100" t="s">
        <v>103</v>
      </c>
      <c r="AI5" s="100" t="s">
        <v>103</v>
      </c>
      <c r="AJ5" s="100" t="str">
        <f>IFERROR(COUNTIFS('Base File'!$BF:$BF,"Met",'Base File'!$B:$B,'Account Summary'!C5)/(COUNTIFS('Base File'!$BF:$BF,"Met",'Base File'!$B:$B,'Account Summary'!C5)+COUNTIFS('Base File'!$BF:$BF,"Not Met",'Base File'!$B:$B,'Account Summary'!C5)),"NR")</f>
        <v>NR</v>
      </c>
      <c r="AK5" s="100" t="str">
        <f>IFERROR(COUNTIFS('Base File'!$G:$G,"Contractual SLA",'Base File'!$H:$H,"No",'Base File'!$B:$B,'Account Summary'!$C5,'Base File'!$BF:$BF,"Met")/SUM(COUNTIFS('Base File'!$G:$G,"Contractual SLA",'Base File'!$H:$H,"No",'Base File'!$B:$B,'Account Summary'!$C5,'Base File'!$BF:$BF,"Met")+COUNTIFS('Base File'!$G:$G,"Contractual SLA",'Base File'!$H:$H,"No",'Base File'!$B:$B,'Account Summary'!$C5,'Base File'!$BF:$BF,"Not Met")),"-")</f>
        <v>-</v>
      </c>
      <c r="AL5" s="100" t="s">
        <v>103</v>
      </c>
      <c r="AM5" s="100" t="s">
        <v>103</v>
      </c>
      <c r="AN5" s="100" t="str">
        <f>IFERROR(COUNTIFS('Base File'!$BH:$BH,"Met",'Base File'!$B:$B,'Account Summary'!C5)/(COUNTIFS('Base File'!$BH:$BH,"Met",'Base File'!$B:$B,'Account Summary'!C5)+COUNTIFS('Base File'!$BH:$BH,"Not Met",'Base File'!$B:$B,'Account Summary'!C5)),"NR")</f>
        <v>NR</v>
      </c>
      <c r="AO5" s="100" t="str">
        <f>IFERROR(COUNTIFS('Base File'!$G:$G,"Contractual SLA",'Base File'!$H:$H,"No",'Base File'!$B:$B,'Account Summary'!$C5,'Base File'!$BH:$BH,"Met")/SUM(COUNTIFS('Base File'!$G:$G,"Contractual SLA",'Base File'!$H:$H,"No",'Base File'!$B:$B,'Account Summary'!$C5,'Base File'!$BH:$BH,"Met")+COUNTIFS('Base File'!$G:$G,"Contractual SLA",'Base File'!$H:$H,"No",'Base File'!$B:$B,'Account Summary'!$C5,'Base File'!$BH:$BH,"Not Met")),"-")</f>
        <v>-</v>
      </c>
      <c r="AP5" s="100" t="s">
        <v>103</v>
      </c>
      <c r="AQ5" s="100" t="s">
        <v>103</v>
      </c>
      <c r="AR5" s="100" t="str">
        <f>IFERROR(COUNTIFS('Base File'!$BJ:$BJ,"Met",'Base File'!$B:$B,'Account Summary'!C5)/(COUNTIFS('Base File'!$BJ:$BJ,"Met",'Base File'!$B:$B,'Account Summary'!C5)+COUNTIFS('Base File'!$BJ:$BJ,"Not Met",'Base File'!$B:$B,'Account Summary'!C5)),"NR")</f>
        <v>NR</v>
      </c>
      <c r="AS5" s="101" t="str">
        <f>IFERROR(COUNTIFS('Base File'!$G:$G,"Contractual SLA",'Base File'!$H:$H,"No",'Base File'!$B:$B,'Account Summary'!$C5,'Base File'!$BJ:$BJ,"Met")/SUM(COUNTIFS('Base File'!$G:$G,"Contractual SLA",'Base File'!$H:$H,"No",'Base File'!$B:$B,'Account Summary'!$C5,'Base File'!$BJ:$BJ,"Met")+COUNTIFS('Base File'!$G:$G,"Contractual SLA",'Base File'!$H:$H,"No",'Base File'!$B:$B,'Account Summary'!$C5,'Base File'!$BJ:$BJ,"Not Met")),"-")</f>
        <v>-</v>
      </c>
      <c r="AT5" s="100" t="s">
        <v>103</v>
      </c>
      <c r="AU5" s="100" t="s">
        <v>103</v>
      </c>
      <c r="AV5" s="103" t="str">
        <f>IFERROR(COUNTIFS('Base File'!$AZ:$AZ,"Met",'Base File'!$B:$B,'Account Summary'!L5)/(COUNTIFS('Base File'!$AZ:$AZ,"Met",'Base File'!$B:$B,'Account Summary'!L5)+COUNTIFS('Base File'!$AZ:$AZ,"Not Met",'Base File'!$B:$B,'Account Summary'!L5)),"NR")</f>
        <v>NR</v>
      </c>
      <c r="AW5" s="98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AX5" s="103" t="s">
        <v>103</v>
      </c>
      <c r="AY5" s="103" t="s">
        <v>103</v>
      </c>
      <c r="AZ5" s="100" t="s">
        <v>103</v>
      </c>
      <c r="BA5" s="100" t="s">
        <v>107</v>
      </c>
      <c r="BB5" s="100" t="s">
        <v>103</v>
      </c>
      <c r="BC5" s="100" t="s">
        <v>103</v>
      </c>
      <c r="BD5" s="100" t="str">
        <f>IFERROR(COUNTIFS('Base File'!$BP:$BP,"Met",'Base File'!$B:$B,'Account Summary'!C5)/(COUNTIFS('Base File'!$BP:$BP,"Met",'Base File'!$B:$B,'Account Summary'!C5)+COUNTIFS('Base File'!$BP:$BP,"Not Met",'Base File'!$B:$B,'Account Summary'!C5)),"NR")</f>
        <v>NR</v>
      </c>
      <c r="BE5" s="100" t="str">
        <f>IFERROR(COUNTIFS('Base File'!$G:$G,"Contractual SLA",'Base File'!$H:$H,"No",'Base File'!$B:$B,'Account Summary'!$C5,'Base File'!$BP:$BP,"Met")/SUM(COUNTIFS('Base File'!$G:$G,"Contractual SLA",'Base File'!$H:$H,"No",'Base File'!$B:$B,'Account Summary'!$C5,'Base File'!$BP:$BP,"Met")+COUNTIFS('Base File'!$G:$G,"Contractual SLA",'Base File'!$H:$H,"No",'Base File'!$B:$B,'Account Summary'!$C5,'Base File'!$BP:$BP,"Not Met")),"-")</f>
        <v>-</v>
      </c>
      <c r="BF5" s="100" t="s">
        <v>103</v>
      </c>
      <c r="BG5" s="100" t="s">
        <v>103</v>
      </c>
      <c r="BH5" s="100" t="str">
        <f>IFERROR(COUNTIFS('Base File'!$BR:$BR,"Met",'Base File'!$B:$B,'Account Summary'!C5)/(COUNTIFS('Base File'!$BR:$BR,"Met",'Base File'!$B:$B,'Account Summary'!C5)+COUNTIFS('Base File'!$BR:$BR,"Not Met",'Base File'!$B:$B,'Account Summary'!C5)),"NR")</f>
        <v>NR</v>
      </c>
      <c r="BI5" s="101" t="str">
        <f>IFERROR(COUNTIFS('Base File'!$G:$G,"Contractual SLA",'Base File'!$H:$H,"No",'Base File'!$B:$B,'Account Summary'!$C5,'Base File'!$BR:$BR,"Met")/SUM(COUNTIFS('Base File'!$G:$G,"Contractual SLA",'Base File'!$H:$H,"No",'Base File'!$B:$B,'Account Summary'!$C5,'Base File'!$BR:$BR,"Met")+COUNTIFS('Base File'!$G:$G,"Contractual SLA",'Base File'!$H:$H,"No",'Base File'!$B:$B,'Account Summary'!$C5,'Base File'!$BR:$BR,"Not Met")),"-")</f>
        <v>-</v>
      </c>
      <c r="BJ5" s="100" t="s">
        <v>103</v>
      </c>
      <c r="BK5" s="100" t="s">
        <v>103</v>
      </c>
      <c r="BL5" s="100">
        <f>IFERROR(COUNTIFS('Base File'!$BT:$BT,"Met",'Base File'!$B:$B,'Account Summary'!C5)/(COUNTIFS('Base File'!$BT:$BT,"Met",'Base File'!$B:$B,'Account Summary'!C5)+COUNTIFS('Base File'!$BT:$BT,"Not Met",'Base File'!$B:$B,'Account Summary'!C5)),"NR")</f>
        <v>0.625</v>
      </c>
      <c r="BM5" s="100" t="str">
        <f>IFERROR(COUNTIFS('Base File'!$G:$G,"Contractual SLA",'Base File'!$H:$H,"No",'Base File'!$B:$B,'Account Summary'!$C5,'Base File'!$BT:$BT,"Met")/SUM(COUNTIFS('Base File'!$G:$G,"Contractual SLA",'Base File'!$H:$H,"No",'Base File'!$B:$B,'Account Summary'!$C5,'Base File'!$BT:$BT,"Met")+COUNTIFS('Base File'!$G:$G,"Contractual SLA",'Base File'!$H:$H,"No",'Base File'!$B:$B,'Account Summary'!$C5,'Base File'!$BT:$BT,"Not Met")),"-")</f>
        <v>-</v>
      </c>
      <c r="BN5" s="100">
        <f>IFERROR(COUNTIFS('Base File'!$G:$G,"Contractual SLA",'Base File'!$H:$H,"Yes",'Base File'!$B:$B,'Account Summary'!$C5,'Base File'!$BT:$BT,"Met")/SUM(COUNTIFS('Base File'!$G:$G,"Contractual SLA",'Base File'!$H:$H,"yes",'Base File'!$B:$B,'Account Summary'!$C5,'Base File'!$BT:$BT,"Met")+COUNTIFS('Base File'!$G:$G,"Contractual SLA",'Base File'!$H:$H,"yes",'Base File'!$B:$B,'Account Summary'!$C5,'Base File'!$BT:$BT,"Not Met")),"-")</f>
        <v>0</v>
      </c>
      <c r="BO5" s="100">
        <f>IFERROR(COUNTIFS('Base File'!$G:$G,"Internal KPI",'Base File'!$B:$B,'Account Summary'!$C5,'Base File'!$BT:$BT,"Met")/SUM(COUNTIFS('Base File'!$G:$G,"Internal KPI",'Base File'!$B:$B,'Account Summary'!$C5,'Base File'!$BT:$BT,"Met")+COUNTIFS('Base File'!$G:$G,"Internal KPI",'Base File'!$B:$B,'Account Summary'!$C5,'Base File'!$BT:$BT,"Not Met")),"-")</f>
        <v>0.83333333333333337</v>
      </c>
      <c r="BP5" s="100">
        <f>IFERROR(COUNTIFS('Base File'!$BV:$BV,"Met",'Base File'!$B:$B,'Account Summary'!C5)/(COUNTIFS('Base File'!$BV:$BV,"Met",'Base File'!$B:$B,'Account Summary'!C5)+COUNTIFS('Base File'!$BV:$BV,"Not Met",'Base File'!$B:$B,'Account Summary'!C5)),"NR")</f>
        <v>0.625</v>
      </c>
      <c r="BQ5" s="102" t="s">
        <v>107</v>
      </c>
      <c r="BR5" s="100">
        <f>IFERROR(COUNTIFS('Base File'!$G:$G,"Contractual SLA",'Base File'!$H:$H,"Yes",'Base File'!$B:$B,'Account Summary'!$C5,'Base File'!$BV:$BV,"Met")/SUM(COUNTIFS('Base File'!$G:$G,"Contractual SLA",'Base File'!$H:$H,"Yes",'Base File'!$B:$B,'Account Summary'!$C5,'Base File'!$BV:$BV,"Met")+COUNTIFS('Base File'!$G:$G,"Contractual SLA",'Base File'!$H:$H,"Yes",'Base File'!$B:$B,'Account Summary'!$C5,'Base File'!$BV:$BV,"Not Met")),"-")</f>
        <v>0.5</v>
      </c>
      <c r="BS5" s="100">
        <v>0.67</v>
      </c>
      <c r="BT5" s="25"/>
    </row>
    <row r="6" spans="1:72" s="12" customFormat="1" x14ac:dyDescent="0.25">
      <c r="A6" s="389"/>
      <c r="B6" s="94">
        <v>3</v>
      </c>
      <c r="C6" s="94" t="s">
        <v>7</v>
      </c>
      <c r="D6" s="95" t="s">
        <v>101</v>
      </c>
      <c r="E6" s="95" t="s">
        <v>901</v>
      </c>
      <c r="F6" s="94" t="s">
        <v>900</v>
      </c>
      <c r="G6" s="96"/>
      <c r="H6" s="94"/>
      <c r="I6" s="94" t="s">
        <v>102</v>
      </c>
      <c r="J6" s="89" t="s">
        <v>67</v>
      </c>
      <c r="K6" s="89" t="s">
        <v>68</v>
      </c>
      <c r="L6" s="97">
        <f>IFERROR(COUNTIFS('Base File'!$AR:$AR,"Met",'Base File'!$B:$B,'Account Summary'!C6)/(COUNTIFS('Base File'!$AR:$AR,"Met",'Base File'!$B:$B,'Account Summary'!C6)+COUNTIFS('Base File'!$AR:$AR,"Not Met",'Base File'!$B:$B,'Account Summary'!C6)),"NR")</f>
        <v>0.81818181818181823</v>
      </c>
      <c r="M6" s="97">
        <f>IFERROR(COUNTIFS('Base File'!$G:$G,"Contractual SLA",'Base File'!$H:$H,"No",'Base File'!$B:$B,'Account Summary'!$C6,'Base File'!$AR:$AR,"Met")/SUM(COUNTIFS('Base File'!$G:$G,"Contractual SLA",'Base File'!$H:$H,"No",'Base File'!$B:$B,'Account Summary'!$C6,'Base File'!$AR:$AR,"Met")+COUNTIFS('Base File'!$G:$G,"Contractual SLA",'Base File'!$H:$H,"No",'Base File'!$B:$B,'Account Summary'!$C6,'Base File'!$AR:$AR,"Not Met")),"-")</f>
        <v>0.8</v>
      </c>
      <c r="N6" s="98" t="str">
        <f>IFERROR(COUNTIFS('Base File'!$G:$G,"Contractual SLA",'Base File'!$H:$H,"Yes",'Base File'!$B:$B,'Account Summary'!$C6,'Base File'!$AR:$AR,"Met")/SUM(COUNTIFS('Base File'!$G:$G,"Contractual SLA",'Base File'!$H:$H,"yes",'Base File'!$B:$B,'Account Summary'!$C6,'Base File'!$AR:$AR,"Met")+COUNTIFS('Base File'!$G:$G,"Contractual SLA",'Base File'!$H:$H,"yes",'Base File'!$B:$B,'Account Summary'!$C6,'Base File'!$AR:$AR,"Not Met")),"-")</f>
        <v>-</v>
      </c>
      <c r="O6" s="97">
        <f>IFERROR(COUNTIFS('Base File'!$G:$G,"Internal KPI",'Base File'!$B:$B,'Account Summary'!$C6,'Base File'!$AR:$AR,"Met")/SUM(COUNTIFS('Base File'!$G:$G,"Internal KPI",'Base File'!$B:$B,'Account Summary'!$C6,'Base File'!$AR:$AR,"Met")+COUNTIFS('Base File'!$G:$G,"Internal KPI",'Base File'!$B:$B,'Account Summary'!$C6,'Base File'!$AR:$AR,"Not Met")),"-")</f>
        <v>0.83333333333333337</v>
      </c>
      <c r="P6" s="99">
        <f>IFERROR(COUNTIFS('Base File'!$AV:$AV,"Met",'Base File'!$B:$B,'Account Summary'!C6)/(COUNTIFS('Base File'!$AV:$AV,"Met",'Base File'!$B:$B,'Account Summary'!C6)+COUNTIFS('Base File'!$AV:$AV,"Not Met",'Base File'!$B:$B,'Account Summary'!C6)),"NR")</f>
        <v>0.90909090909090906</v>
      </c>
      <c r="Q6" s="99">
        <f>IFERROR(COUNTIFS('Base File'!$G:$G,"Contractual SLA",'Base File'!$H:$H,"No",'Base File'!$B:$B,'Account Summary'!$C6,'Base File'!$AV:$AV,"Met")/SUM(COUNTIFS('Base File'!$G:$G,"Contractual SLA",'Base File'!$H:$H,"No",'Base File'!$B:$B,'Account Summary'!$C6,'Base File'!$AV:$AV,"Met")+COUNTIFS('Base File'!$G:$G,"Contractual SLA",'Base File'!$H:$H,"No",'Base File'!$B:$B,'Account Summary'!$C6,'Base File'!$AV:$AV,"Not Met")),"-")</f>
        <v>1</v>
      </c>
      <c r="R6" s="103" t="str">
        <f>IFERROR(COUNTIFS('Base File'!$G:$G,"Contractual SLA",'Base File'!$H:$H,"Yes",'Base File'!$B:$B,'Account Summary'!$C6,'Base File'!$AV:$AV,"Met")/SUM(COUNTIFS('Base File'!$G:$G,"Contractual SLA",'Base File'!$H:$H,"yes",'Base File'!$B:$B,'Account Summary'!$C6,'Base File'!$AV:$AV,"Met")+COUNTIFS('Base File'!$G:$G,"Contractual SLA",'Base File'!$H:$H,"yes",'Base File'!$B:$B,'Account Summary'!$C6,'Base File'!$AV:$AV,"Not Met")),"-")</f>
        <v>-</v>
      </c>
      <c r="S6" s="99">
        <f>IFERROR(COUNTIFS('Base File'!$G:$G,"Internal KPI",'Base File'!$B:$B,'Account Summary'!$C6,'Base File'!$AV:$AV,"Met")/SUM(COUNTIFS('Base File'!$G:$G,"Internal KPI",'Base File'!$B:$B,'Account Summary'!$C6,'Base File'!$AV:$AV,"Met")+COUNTIFS('Base File'!$G:$G,"Internal KPI",'Base File'!$B:$B,'Account Summary'!$C6,'Base File'!$AV:$AV,"Not Met")),"-")</f>
        <v>0.83333333333333337</v>
      </c>
      <c r="T6" s="99">
        <f>IFERROR(COUNTIFS('Base File'!$AX:$AX,"Met",'Base File'!$B:$B,'Account Summary'!C6)/(COUNTIFS('Base File'!$AX:$AX,"Met",'Base File'!$B:$B,'Account Summary'!C6)+COUNTIFS('Base File'!$AX:$AX,"Not Met",'Base File'!$B:$B,'Account Summary'!C6)),"NR")</f>
        <v>0.90909090909090906</v>
      </c>
      <c r="U6" s="105">
        <f>IFERROR(COUNTIFS('Base File'!$G:$G,"Contractual SLA",'Base File'!$H:$H,"No",'Base File'!$B:$B,'Account Summary'!$C6,'Base File'!$AX:$AX,"Met")/SUM(COUNTIFS('Base File'!$G:$G,"Contractual SLA",'Base File'!$H:$H,"No",'Base File'!$B:$B,'Account Summary'!$C6,'Base File'!$AX:$AX,"Met")+COUNTIFS('Base File'!$G:$G,"Contractual SLA",'Base File'!$H:$H,"No",'Base File'!$B:$B,'Account Summary'!$C6,'Base File'!$AX:$AX,"Not Met")),"-")</f>
        <v>1</v>
      </c>
      <c r="V6" s="100" t="s">
        <v>11</v>
      </c>
      <c r="W6" s="99">
        <f>IFERROR(COUNTIFS('Base File'!$G:$G,"Internal KPI",'Base File'!$B:$B,'Account Summary'!$C6,'Base File'!$AX:$AX,"Met")/SUM(COUNTIFS('Base File'!$G:$G,"Internal KPI",'Base File'!$B:$B,'Account Summary'!$C6,'Base File'!$AX:$AX,"Met")+COUNTIFS('Base File'!$G:$G,"Internal KPI",'Base File'!$B:$B,'Account Summary'!$C6,'Base File'!$AX:$AX,"Not Met")),"-")</f>
        <v>0.83333333333333337</v>
      </c>
      <c r="X6" s="99">
        <f>IFERROR(COUNTIFS('Base File'!$AZ:$AZ,"Met",'Base File'!$B:$B,'Account Summary'!C6)/(COUNTIFS('Base File'!$AZ:$AZ,"Met",'Base File'!$B:$B,'Account Summary'!C6)+COUNTIFS('Base File'!$AZ:$AZ,"Not Met",'Base File'!$B:$B,'Account Summary'!C6)),"NR")</f>
        <v>0.81818181818181823</v>
      </c>
      <c r="Y6" s="105">
        <f>IFERROR(COUNTIFS('Base File'!$G:$G,"Contractual SLA",'Base File'!$H:$H,"No",'Base File'!$B:$B,'Account Summary'!$C6,'Base File'!$AZ:$AZ,"Met")/SUM(COUNTIFS('Base File'!$G:$G,"Contractual SLA",'Base File'!$H:$H,"No",'Base File'!$B:$B,'Account Summary'!$C6,'Base File'!$AZ:$AZ,"Met")+COUNTIFS('Base File'!$G:$G,"Contractual SLA",'Base File'!$H:$H,"No",'Base File'!$B:$B,'Account Summary'!$C6,'Base File'!$AZ:$AZ,"Not Met")),"-")</f>
        <v>1</v>
      </c>
      <c r="Z6" s="100" t="str">
        <f>IFERROR(COUNTIFS('Base File'!$G:$G,"Contractual SLA",'Base File'!$H:$H,"Yes",'Base File'!$B:$B,'Account Summary'!$C6,'Base File'!$AZ:$AZ,"Met")/SUM(COUNTIFS('Base File'!$G:$G,"Contractual SLA",'Base File'!$H:$H,"yes",'Base File'!$B:$B,'Account Summary'!$C6,'Base File'!$AZ:$AZ,"Met")+COUNTIFS('Base File'!$G:$G,"Contractual SLA",'Base File'!$H:$H,"yes",'Base File'!$B:$B,'Account Summary'!$C6,'Base File'!$AZ:$AZ,"Not Met")),"-")</f>
        <v>-</v>
      </c>
      <c r="AA6" s="106">
        <f>IFERROR(COUNTIFS('Base File'!$G:$G,"Internal KPI",'Base File'!$B:$B,'Account Summary'!$C6,'Base File'!$AZ:$AZ,"Met")/SUM(COUNTIFS('Base File'!$G:$G,"Internal KPI",'Base File'!$B:$B,'Account Summary'!$C6,'Base File'!$AZ:$AZ,"Met")+COUNTIFS('Base File'!$G:$G,"Internal KPI",'Base File'!$B:$B,'Account Summary'!$C6,'Base File'!$AZ:$AZ,"Not Met")),"-")</f>
        <v>0.66666666666666663</v>
      </c>
      <c r="AB6" s="99">
        <f>IFERROR(COUNTIFS('Base File'!$BB:$BB,"Met",'Base File'!$B:$B,'Account Summary'!C6)/(COUNTIFS('Base File'!$BB:$BB,"Met",'Base File'!$B:$B,'Account Summary'!C6)+COUNTIFS('Base File'!$BB:$BB,"Not Met",'Base File'!$B:$B,'Account Summary'!C6)),"NR")</f>
        <v>0.81818181818181823</v>
      </c>
      <c r="AC6" s="105">
        <f>IFERROR(COUNTIFS('Base File'!$G:$G,"Contractual SLA",'Base File'!$H:$H,"No",'Base File'!$B:$B,'Account Summary'!$C6,'Base File'!$BB:$BB,"Met")/SUM(COUNTIFS('Base File'!$G:$G,"Contractual SLA",'Base File'!$H:$H,"No",'Base File'!$B:$B,'Account Summary'!$C6,'Base File'!$BB:$BB,"Met")+COUNTIFS('Base File'!$G:$G,"Contractual SLA",'Base File'!$H:$H,"No",'Base File'!$B:$B,'Account Summary'!$C6,'Base File'!$BB:$BB,"Not Met")),"-")</f>
        <v>1</v>
      </c>
      <c r="AD6" s="100" t="str">
        <f>IFERROR(COUNTIFS('Base File'!$G:$G,"Contractual SLA",'Base File'!$H:$H,"Yes",'Base File'!$B:$B,'Account Summary'!$C6,'Base File'!$BB:$BB,"Met")/SUM(COUNTIFS('Base File'!$G:$G,"Contractual SLA",'Base File'!$H:$H,"yes",'Base File'!$B:$B,'Account Summary'!$C6,'Base File'!$BB:$BB,"Met")+COUNTIFS('Base File'!$G:$G,"Contractual SLA",'Base File'!$H:$H,"yes",'Base File'!$B:$B,'Account Summary'!$C6,'Base File'!$BB:$BB,"Not Met")),"-")</f>
        <v>-</v>
      </c>
      <c r="AE6" s="106">
        <f>IFERROR(COUNTIFS('Base File'!$G:$G,"Internal KPI",'Base File'!$B:$B,'Account Summary'!$C6,'Base File'!$BB:$BB,"Met")/SUM(COUNTIFS('Base File'!$G:$G,"Internal KPI",'Base File'!$B:$B,'Account Summary'!$C6,'Base File'!$BB:$BB,"Met")+COUNTIFS('Base File'!$G:$G,"Internal KPI",'Base File'!$B:$B,'Account Summary'!$C6,'Base File'!$BB:$BB,"Not Met")),"-")</f>
        <v>0.66666666666666663</v>
      </c>
      <c r="AF6" s="106">
        <f>IFERROR(COUNTIFS('Base File'!$BD:$BD,"Met",'Base File'!$B:$B,'Account Summary'!C6)/(COUNTIFS('Base File'!$BD:$BD,"Met",'Base File'!$B:$B,'Account Summary'!C6)+COUNTIFS('Base File'!$BD:$BD,"Not Met",'Base File'!$B:$B,'Account Summary'!C6)),"NR")</f>
        <v>0.63636363636363635</v>
      </c>
      <c r="AG6" s="106">
        <f>IFERROR(COUNTIFS('Base File'!$G:$G,"Contractual SLA",'Base File'!$H:$H,"No",'Base File'!$B:$B,'Account Summary'!$C6,'Base File'!$BD:$BD,"Met")/SUM(COUNTIFS('Base File'!$G:$G,"Contractual SLA",'Base File'!$H:$H,"No",'Base File'!$B:$B,'Account Summary'!$C6,'Base File'!$BD:$BD,"Met")+COUNTIFS('Base File'!$G:$G,"Contractual SLA",'Base File'!$H:$H,"No",'Base File'!$B:$B,'Account Summary'!$C6,'Base File'!$BD:$BD,"Not Met")),"-")</f>
        <v>0.6</v>
      </c>
      <c r="AH6" s="100" t="str">
        <f>IFERROR(COUNTIFS('Base File'!$G:$G,"Contractual SLA",'Base File'!$H:$H,"Yes",'Base File'!$B:$B,'Account Summary'!$C6,'Base File'!$BD:$BD,"Met")/SUM(COUNTIFS('Base File'!$G:$G,"Contractual SLA",'Base File'!$H:$H,"yes",'Base File'!$B:$B,'Account Summary'!$C6,'Base File'!$BD:$BD,"Met")+COUNTIFS('Base File'!$G:$G,"Contractual SLA",'Base File'!$H:$H,"yes",'Base File'!$B:$B,'Account Summary'!$C6,'Base File'!$BD:$BD,"Not Met")),"-")</f>
        <v>-</v>
      </c>
      <c r="AI6" s="106">
        <f>IFERROR(COUNTIFS('Base File'!$G:$G,"Internal KPI",'Base File'!$B:$B,'Account Summary'!$C6,'Base File'!$BD:$BD,"Met")/SUM(COUNTIFS('Base File'!$G:$G,"Internal KPI",'Base File'!$B:$B,'Account Summary'!$C6,'Base File'!$BD:$BD,"Met")+COUNTIFS('Base File'!$G:$G,"Internal KPI",'Base File'!$B:$B,'Account Summary'!$C6,'Base File'!$BD:$BD,"Not Met")),"-")</f>
        <v>0.66666666666666663</v>
      </c>
      <c r="AJ6" s="99">
        <f>IFERROR(COUNTIFS('Base File'!$BF:$BF,"Met",'Base File'!$B:$B,'Account Summary'!C6)/(COUNTIFS('Base File'!$BF:$BF,"Met",'Base File'!$B:$B,'Account Summary'!C6)+COUNTIFS('Base File'!$BF:$BF,"Not Met",'Base File'!$B:$B,'Account Summary'!C6)),"NR")</f>
        <v>0.81818181818181823</v>
      </c>
      <c r="AK6" s="99">
        <f>IFERROR(COUNTIFS('Base File'!$G:$G,"Contractual SLA",'Base File'!$H:$H,"No",'Base File'!$B:$B,'Account Summary'!$C6,'Base File'!$BF:$BF,"Met")/SUM(COUNTIFS('Base File'!$G:$G,"Contractual SLA",'Base File'!$H:$H,"No",'Base File'!$B:$B,'Account Summary'!$C6,'Base File'!$BF:$BF,"Met")+COUNTIFS('Base File'!$G:$G,"Contractual SLA",'Base File'!$H:$H,"No",'Base File'!$B:$B,'Account Summary'!$C6,'Base File'!$BF:$BF,"Not Met")),"-")</f>
        <v>0.8</v>
      </c>
      <c r="AL6" s="100" t="str">
        <f>IFERROR(COUNTIFS('Base File'!$G:$G,"Contractual SLA",'Base File'!$H:$H,"Yes",'Base File'!$B:$B,'Account Summary'!$C6,'Base File'!$BF:$BF,"Met")/SUM(COUNTIFS('Base File'!$G:$G,"Contractual SLA",'Base File'!$H:$H,"yes",'Base File'!$B:$B,'Account Summary'!$C6,'Base File'!$BF:$BF,"Met")+COUNTIFS('Base File'!$G:$G,"Contractual SLA",'Base File'!$H:$H,"yes",'Base File'!$B:$B,'Account Summary'!$C6,'Base File'!$BF:$BF,"Not Met")),"-")</f>
        <v>-</v>
      </c>
      <c r="AM6" s="99">
        <f>IFERROR(COUNTIFS('Base File'!$G:$G,"Internal KPI",'Base File'!$B:$B,'Account Summary'!$C6,'Base File'!$BF:$BF,"Met")/SUM(COUNTIFS('Base File'!$G:$G,"Internal KPI",'Base File'!$B:$B,'Account Summary'!$C6,'Base File'!$BF:$BF,"Met")+COUNTIFS('Base File'!$G:$G,"Internal KPI",'Base File'!$B:$B,'Account Summary'!$C6,'Base File'!$BF:$BF,"Not Met")),"-")</f>
        <v>0.83333333333333337</v>
      </c>
      <c r="AN6" s="100">
        <f>IFERROR(COUNTIFS('Base File'!$BH:$BH,"Met",'Base File'!$B:$B,'Account Summary'!C6)/(COUNTIFS('Base File'!$BH:$BH,"Met",'Base File'!$B:$B,'Account Summary'!C6)+COUNTIFS('Base File'!$BH:$BH,"Not Met",'Base File'!$B:$B,'Account Summary'!C6)),"NR")</f>
        <v>0.81818181818181823</v>
      </c>
      <c r="AO6" s="100" t="s">
        <v>103</v>
      </c>
      <c r="AP6" s="100" t="str">
        <f>IFERROR(COUNTIFS('Base File'!$G:$G,"Contractual SLA",'Base File'!$H:$H,"Yes",'Base File'!$B:$B,'Account Summary'!$C6,'Base File'!$BH:$BH,"Met")/SUM(COUNTIFS('Base File'!$G:$G,"Contractual SLA",'Base File'!$H:$H,"yes",'Base File'!$B:$B,'Account Summary'!$C6,'Base File'!$BH:$BH,"Met")+COUNTIFS('Base File'!$G:$G,"Contractual SLA",'Base File'!$H:$H,"yes",'Base File'!$B:$B,'Account Summary'!$C6,'Base File'!$BH:$BH,"Not Met")),"-")</f>
        <v>-</v>
      </c>
      <c r="AQ6" s="100" t="s">
        <v>103</v>
      </c>
      <c r="AR6" s="100">
        <f>IFERROR(COUNTIFS('Base File'!$BJ:$BJ,"Met",'Base File'!$B:$B,'Account Summary'!C6)/(COUNTIFS('Base File'!$BJ:$BJ,"Met",'Base File'!$B:$B,'Account Summary'!C6)+COUNTIFS('Base File'!$BJ:$BJ,"Not Met",'Base File'!$B:$B,'Account Summary'!C6)),"NR")</f>
        <v>0.90909090909090906</v>
      </c>
      <c r="AS6" s="101" t="s">
        <v>103</v>
      </c>
      <c r="AT6" s="100" t="str">
        <f>IFERROR(COUNTIFS('Base File'!$G:$G,"Contractual SLA",'Base File'!$H:$H,"Yes",'Base File'!$B:$B,'Account Summary'!$C6,'Base File'!$BJ:$BJ,"Met")/SUM(COUNTIFS('Base File'!$G:$G,"Contractual SLA",'Base File'!$H:$H,"yes",'Base File'!$B:$B,'Account Summary'!$C6,'Base File'!$BJ:$BJ,"Met")+COUNTIFS('Base File'!$G:$G,"Contractual SLA",'Base File'!$H:$H,"yes",'Base File'!$B:$B,'Account Summary'!$C6,'Base File'!$BJ:$BJ,"Not Met")),"-")</f>
        <v>-</v>
      </c>
      <c r="AU6" s="100" t="s">
        <v>103</v>
      </c>
      <c r="AV6" s="100">
        <f>IFERROR(COUNTIFS('Base File'!$BL:$BL,"Met",'Base File'!$B:$B,'Account Summary'!C6)/(COUNTIFS('Base File'!$BL:$BL,"Met",'Base File'!$B:$B,'Account Summary'!C6)+COUNTIFS('Base File'!$BL:$BL,"Not Met",'Base File'!$B:$B,'Account Summary'!C6)),"NR")</f>
        <v>0.81818181818181823</v>
      </c>
      <c r="AW6" s="100">
        <f>IFERROR(COUNTIFS('Base File'!$G:$G,"Contractual SLA",'Base File'!$H:$H,"No",'Base File'!$B:$B,'Account Summary'!$C6,'Base File'!$BL:$BL,"Met")/SUM(COUNTIFS('Base File'!$G:$G,"Contractual SLA",'Base File'!$H:$H,"No",'Base File'!$B:$B,'Account Summary'!$C6,'Base File'!$BL:$BL,"Met")+COUNTIFS('Base File'!$G:$G,"Contractual SLA",'Base File'!$H:$H,"No",'Base File'!$B:$B,'Account Summary'!$C6,'Base File'!$BL:$BL,"Not Met")),"-")</f>
        <v>0.8</v>
      </c>
      <c r="AX6" s="100" t="str">
        <f>IFERROR(COUNTIFS('Base File'!$G:$G,"Contractual SLA",'Base File'!$H:$H,"Yes",'Base File'!$B:$B,'Account Summary'!$C6,'Base File'!$BL:$BL,"Met")/SUM(COUNTIFS('Base File'!$G:$G,"Contractual SLA",'Base File'!$H:$H,"yes",'Base File'!$B:$B,'Account Summary'!$C6,'Base File'!$BL:$BL,"Met")+COUNTIFS('Base File'!$G:$G,"Contractual SLA",'Base File'!$H:$H,"yes",'Base File'!$B:$B,'Account Summary'!$C6,'Base File'!$BL:$BL,"Not Met")),"-")</f>
        <v>-</v>
      </c>
      <c r="AY6" s="100">
        <f>IFERROR(COUNTIFS('Base File'!$G:$G,"Internal KPI",'Base File'!$B:$B,'Account Summary'!$C6,'Base File'!$BL:$BL,"Met")/SUM(COUNTIFS('Base File'!$G:$G,"Internal KPI",'Base File'!$B:$B,'Account Summary'!$C6,'Base File'!$BL:$BL,"Met")+COUNTIFS('Base File'!$G:$G,"Internal KPI",'Base File'!$B:$B,'Account Summary'!$C6,'Base File'!$BL:$BL,"Not Met")),"-")</f>
        <v>0.83333333333333337</v>
      </c>
      <c r="AZ6" s="100">
        <v>0.81818181818181823</v>
      </c>
      <c r="BA6" s="100">
        <v>0.8</v>
      </c>
      <c r="BB6" s="100" t="s">
        <v>107</v>
      </c>
      <c r="BC6" s="100">
        <v>0.83333333333333337</v>
      </c>
      <c r="BD6" s="100" t="str">
        <f>IFERROR(COUNTIFS('Base File'!$BP:$BP,"Met",'Base File'!$B:$B,'Account Summary'!C6)/(COUNTIFS('Base File'!$BP:$BP,"Met",'Base File'!$B:$B,'Account Summary'!C6)+COUNTIFS('Base File'!$BP:$BP,"Not Met",'Base File'!$B:$B,'Account Summary'!C6)),"NR")</f>
        <v>NR</v>
      </c>
      <c r="BE6" s="100" t="s">
        <v>103</v>
      </c>
      <c r="BF6" s="100" t="str">
        <f>IFERROR(COUNTIFS('Base File'!$G:$G,"Contractual SLA",'Base File'!$H:$H,"Yes",'Base File'!$B:$B,'Account Summary'!$C6,'Base File'!$BP:$BP,"Met")/SUM(COUNTIFS('Base File'!$G:$G,"Contractual SLA",'Base File'!$H:$H,"yes",'Base File'!$B:$B,'Account Summary'!$C6,'Base File'!$BP:$BP,"Met")+COUNTIFS('Base File'!$G:$G,"Contractual SLA",'Base File'!$H:$H,"yes",'Base File'!$B:$B,'Account Summary'!$C6,'Base File'!$BP:$BP,"Not Met")),"-")</f>
        <v>-</v>
      </c>
      <c r="BG6" s="100" t="s">
        <v>103</v>
      </c>
      <c r="BH6" s="100" t="str">
        <f>IFERROR(COUNTIFS('Base File'!$BR:$BR,"Met",'Base File'!$B:$B,'Account Summary'!C6)/(COUNTIFS('Base File'!$BR:$BR,"Met",'Base File'!$B:$B,'Account Summary'!C6)+COUNTIFS('Base File'!$BR:$BR,"Not Met",'Base File'!$B:$B,'Account Summary'!C6)),"NR")</f>
        <v>NR</v>
      </c>
      <c r="BI6" s="101" t="s">
        <v>103</v>
      </c>
      <c r="BJ6" s="100" t="str">
        <f>IFERROR(COUNTIFS('Base File'!$G:$G,"Contractual SLA",'Base File'!$H:$H,"No",'Base File'!$B:$B,'Account Summary'!$C6,'Base File'!$BR:$BR,"Met")/SUM(COUNTIFS('Base File'!$G:$G,"Contractual SLA",'Base File'!$H:$H,"No",'Base File'!$B:$B,'Account Summary'!$C6,'Base File'!$BR:$BR,"Met")+COUNTIFS('Base File'!$G:$G,"Contractual SLA",'Base File'!$H:$H,"No",'Base File'!$B:$B,'Account Summary'!$C6,'Base File'!$BR:$BR,"Not Met")),"-")</f>
        <v>-</v>
      </c>
      <c r="BK6" s="100" t="s">
        <v>103</v>
      </c>
      <c r="BL6" s="100">
        <f>IFERROR(COUNTIFS('Base File'!$BT:$BT,"Met",'Base File'!$B:$B,'Account Summary'!C6)/(COUNTIFS('Base File'!$BT:$BT,"Met",'Base File'!$B:$B,'Account Summary'!C6)+COUNTIFS('Base File'!$BT:$BT,"Not Met",'Base File'!$B:$B,'Account Summary'!C6)),"NR")</f>
        <v>0.90909090909090906</v>
      </c>
      <c r="BM6" s="100">
        <f>IFERROR(COUNTIFS('Base File'!$G:$G,"Contractual SLA",'Base File'!$H:$H,"No",'Base File'!$B:$B,'Account Summary'!$C6,'Base File'!$BT:$BT,"Met")/SUM(COUNTIFS('Base File'!$G:$G,"Contractual SLA",'Base File'!$H:$H,"No",'Base File'!$B:$B,'Account Summary'!$C6,'Base File'!$BT:$BT,"Met")+COUNTIFS('Base File'!$G:$G,"Contractual SLA",'Base File'!$H:$H,"No",'Base File'!$B:$B,'Account Summary'!$C6,'Base File'!$BT:$BT,"Not Met")),"-")</f>
        <v>1</v>
      </c>
      <c r="BN6" s="100" t="str">
        <f>IFERROR(COUNTIFS('Base File'!$G:$G,"Contractual SLA",'Base File'!$H:$H,"Yes",'Base File'!$B:$B,'Account Summary'!$C6,'Base File'!$BT:$BT,"Met")/SUM(COUNTIFS('Base File'!$G:$G,"Contractual SLA",'Base File'!$H:$H,"yes",'Base File'!$B:$B,'Account Summary'!$C6,'Base File'!$BT:$BT,"Met")+COUNTIFS('Base File'!$G:$G,"Contractual SLA",'Base File'!$H:$H,"yes",'Base File'!$B:$B,'Account Summary'!$C6,'Base File'!$BT:$BT,"Not Met")),"-")</f>
        <v>-</v>
      </c>
      <c r="BO6" s="100">
        <f>IFERROR(COUNTIFS('Base File'!$G:$G,"Internal KPI",'Base File'!$B:$B,'Account Summary'!$C6,'Base File'!$BT:$BT,"Met")/SUM(COUNTIFS('Base File'!$G:$G,"Internal KPI",'Base File'!$B:$B,'Account Summary'!$C6,'Base File'!$BT:$BT,"Met")+COUNTIFS('Base File'!$G:$G,"Internal KPI",'Base File'!$B:$B,'Account Summary'!$C6,'Base File'!$BT:$BT,"Not Met")),"-")</f>
        <v>0.83333333333333337</v>
      </c>
      <c r="BP6" s="100">
        <f>IFERROR(COUNTIFS('Base File'!$BV:$BV,"Met",'Base File'!$B:$B,'Account Summary'!C6)/(COUNTIFS('Base File'!$BV:$BV,"Met",'Base File'!$B:$B,'Account Summary'!C6)+COUNTIFS('Base File'!$BV:$BV,"Not Met",'Base File'!$B:$B,'Account Summary'!C6)),"NR")</f>
        <v>0.90909090909090906</v>
      </c>
      <c r="BQ6" s="100">
        <v>1</v>
      </c>
      <c r="BR6" s="100" t="str">
        <f>IFERROR(COUNTIFS('Base File'!$G:$G,"Contractual SLA",'Base File'!$H:$H,"Yes",'Base File'!$B:$B,'Account Summary'!$C6,'Base File'!$BV:$BV,"Met")/SUM(COUNTIFS('Base File'!$G:$G,"Contractual SLA",'Base File'!$H:$H,"Yes",'Base File'!$B:$B,'Account Summary'!$C6,'Base File'!$BV:$BV,"Met")+COUNTIFS('Base File'!$G:$G,"Contractual SLA",'Base File'!$H:$H,"Yes",'Base File'!$B:$B,'Account Summary'!$C6,'Base File'!$BV:$BV,"Not Met")),"-")</f>
        <v>-</v>
      </c>
      <c r="BS6" s="100">
        <v>0.83</v>
      </c>
    </row>
    <row r="7" spans="1:72" s="12" customFormat="1" x14ac:dyDescent="0.25">
      <c r="A7" s="389"/>
      <c r="B7" s="94">
        <v>4</v>
      </c>
      <c r="C7" s="94" t="s">
        <v>9</v>
      </c>
      <c r="D7" s="95" t="s">
        <v>101</v>
      </c>
      <c r="E7" s="95" t="s">
        <v>901</v>
      </c>
      <c r="F7" s="94" t="s">
        <v>900</v>
      </c>
      <c r="G7" s="96"/>
      <c r="H7" s="94"/>
      <c r="I7" s="94" t="s">
        <v>102</v>
      </c>
      <c r="J7" s="89" t="s">
        <v>67</v>
      </c>
      <c r="K7" s="89" t="s">
        <v>68</v>
      </c>
      <c r="L7" s="107">
        <f>IFERROR(COUNTIFS('Base File'!$AR:$AR,"Met",'Base File'!$B:$B,'Account Summary'!C7)/(COUNTIFS('Base File'!$AR:$AR,"Met",'Base File'!$B:$B,'Account Summary'!C7)+COUNTIFS('Base File'!$AR:$AR,"Not Met",'Base File'!$B:$B,'Account Summary'!C7)),"NR")</f>
        <v>0.54545454545454541</v>
      </c>
      <c r="M7" s="97">
        <f>IFERROR(COUNTIFS('Base File'!$G:$G,"Contractual SLA",'Base File'!$H:$H,"No",'Base File'!$B:$B,'Account Summary'!$C7,'Base File'!$AR:$AR,"Met")/SUM(COUNTIFS('Base File'!$G:$G,"Contractual SLA",'Base File'!$H:$H,"No",'Base File'!$B:$B,'Account Summary'!$C7,'Base File'!$AR:$AR,"Met")+COUNTIFS('Base File'!$G:$G,"Contractual SLA",'Base File'!$H:$H,"No",'Base File'!$B:$B,'Account Summary'!$C7,'Base File'!$AR:$AR,"Not Met")),"-")</f>
        <v>0.8</v>
      </c>
      <c r="N7" s="98" t="str">
        <f>IFERROR(COUNTIFS('Base File'!$G:$G,"Contractual SLA",'Base File'!$H:$H,"Yes",'Base File'!$B:$B,'Account Summary'!$C7,'Base File'!$AR:$AR,"Met")/SUM(COUNTIFS('Base File'!$G:$G,"Contractual SLA",'Base File'!$H:$H,"yes",'Base File'!$B:$B,'Account Summary'!$C7,'Base File'!$AR:$AR,"Met")+COUNTIFS('Base File'!$G:$G,"Contractual SLA",'Base File'!$H:$H,"yes",'Base File'!$B:$B,'Account Summary'!$C7,'Base File'!$AR:$AR,"Not Met")),"-")</f>
        <v>-</v>
      </c>
      <c r="O7" s="108">
        <f>IFERROR(COUNTIFS('Base File'!$G:$G,"Internal KPI",'Base File'!$B:$B,'Account Summary'!$C7,'Base File'!$AR:$AR,"Met")/SUM(COUNTIFS('Base File'!$G:$G,"Internal KPI",'Base File'!$B:$B,'Account Summary'!$C7,'Base File'!$AR:$AR,"Met")+COUNTIFS('Base File'!$G:$G,"Internal KPI",'Base File'!$B:$B,'Account Summary'!$C7,'Base File'!$AR:$AR,"Not Met")),"-")</f>
        <v>0.33333333333333331</v>
      </c>
      <c r="P7" s="109">
        <f>IFERROR(COUNTIFS('Base File'!$AV:$AV,"Met",'Base File'!$B:$B,'Account Summary'!C7)/(COUNTIFS('Base File'!$AV:$AV,"Met",'Base File'!$B:$B,'Account Summary'!C7)+COUNTIFS('Base File'!$AV:$AV,"Not Met",'Base File'!$B:$B,'Account Summary'!C7)),"NR")</f>
        <v>0.63636363636363635</v>
      </c>
      <c r="Q7" s="99">
        <f>IFERROR(COUNTIFS('Base File'!$G:$G,"Contractual SLA",'Base File'!$H:$H,"No",'Base File'!$B:$B,'Account Summary'!$C7,'Base File'!$AV:$AV,"Met")/SUM(COUNTIFS('Base File'!$G:$G,"Contractual SLA",'Base File'!$H:$H,"No",'Base File'!$B:$B,'Account Summary'!$C7,'Base File'!$AV:$AV,"Met")+COUNTIFS('Base File'!$G:$G,"Contractual SLA",'Base File'!$H:$H,"No",'Base File'!$B:$B,'Account Summary'!$C7,'Base File'!$AV:$AV,"Not Met")),"-")</f>
        <v>0.8</v>
      </c>
      <c r="R7" s="103" t="str">
        <f>IFERROR(COUNTIFS('Base File'!$G:$G,"Contractual SLA",'Base File'!$H:$H,"Yes",'Base File'!$B:$B,'Account Summary'!$C7,'Base File'!$AV:$AV,"Met")/SUM(COUNTIFS('Base File'!$G:$G,"Contractual SLA",'Base File'!$H:$H,"yes",'Base File'!$B:$B,'Account Summary'!$C7,'Base File'!$AV:$AV,"Met")+COUNTIFS('Base File'!$G:$G,"Contractual SLA",'Base File'!$H:$H,"yes",'Base File'!$B:$B,'Account Summary'!$C7,'Base File'!$AV:$AV,"Not Met")),"-")</f>
        <v>-</v>
      </c>
      <c r="S7" s="109">
        <f>IFERROR(COUNTIFS('Base File'!$G:$G,"Internal KPI",'Base File'!$B:$B,'Account Summary'!$C7,'Base File'!$AV:$AV,"Met")/SUM(COUNTIFS('Base File'!$G:$G,"Internal KPI",'Base File'!$B:$B,'Account Summary'!$C7,'Base File'!$AV:$AV,"Met")+COUNTIFS('Base File'!$G:$G,"Internal KPI",'Base File'!$B:$B,'Account Summary'!$C7,'Base File'!$AV:$AV,"Not Met")),"-")</f>
        <v>0.5</v>
      </c>
      <c r="T7" s="106">
        <f>IFERROR(COUNTIFS('Base File'!$AX:$AX,"Met",'Base File'!$B:$B,'Account Summary'!C7)/(COUNTIFS('Base File'!$AX:$AX,"Met",'Base File'!$B:$B,'Account Summary'!C7)+COUNTIFS('Base File'!$AX:$AX,"Not Met",'Base File'!$B:$B,'Account Summary'!C7)),"NR")</f>
        <v>0.63636363636363635</v>
      </c>
      <c r="U7" s="105">
        <f>IFERROR(COUNTIFS('Base File'!$G:$G,"Contractual SLA",'Base File'!$H:$H,"No",'Base File'!$B:$B,'Account Summary'!$C7,'Base File'!$AX:$AX,"Met")/SUM(COUNTIFS('Base File'!$G:$G,"Contractual SLA",'Base File'!$H:$H,"No",'Base File'!$B:$B,'Account Summary'!$C7,'Base File'!$AX:$AX,"Met")+COUNTIFS('Base File'!$G:$G,"Contractual SLA",'Base File'!$H:$H,"No",'Base File'!$B:$B,'Account Summary'!$C7,'Base File'!$AX:$AX,"Not Met")),"-")</f>
        <v>0.8</v>
      </c>
      <c r="V7" s="100" t="s">
        <v>11</v>
      </c>
      <c r="W7" s="106">
        <f>IFERROR(COUNTIFS('Base File'!$G:$G,"Internal KPI",'Base File'!$B:$B,'Account Summary'!$C7,'Base File'!$AX:$AX,"Met")/SUM(COUNTIFS('Base File'!$G:$G,"Internal KPI",'Base File'!$B:$B,'Account Summary'!$C7,'Base File'!$AX:$AX,"Met")+COUNTIFS('Base File'!$G:$G,"Internal KPI",'Base File'!$B:$B,'Account Summary'!$C7,'Base File'!$AX:$AX,"Not Met")),"-")</f>
        <v>0.5</v>
      </c>
      <c r="X7" s="106">
        <f>IFERROR(COUNTIFS('Base File'!$AZ:$AZ,"Met",'Base File'!$B:$B,'Account Summary'!C7)/(COUNTIFS('Base File'!$AZ:$AZ,"Met",'Base File'!$B:$B,'Account Summary'!C7)+COUNTIFS('Base File'!$AZ:$AZ,"Not Met",'Base File'!$B:$B,'Account Summary'!C7)),"NR")</f>
        <v>0.63636363636363635</v>
      </c>
      <c r="Y7" s="107">
        <f>IFERROR(COUNTIFS('Base File'!$G:$G,"Contractual SLA",'Base File'!$H:$H,"No",'Base File'!$B:$B,'Account Summary'!$C7,'Base File'!$AZ:$AZ,"Met")/SUM(COUNTIFS('Base File'!$G:$G,"Contractual SLA",'Base File'!$H:$H,"No",'Base File'!$B:$B,'Account Summary'!$C7,'Base File'!$AZ:$AZ,"Met")+COUNTIFS('Base File'!$G:$G,"Contractual SLA",'Base File'!$H:$H,"No",'Base File'!$B:$B,'Account Summary'!$C7,'Base File'!$AZ:$AZ,"Not Met")),"-")</f>
        <v>0.6</v>
      </c>
      <c r="Z7" s="100" t="str">
        <f>IFERROR(COUNTIFS('Base File'!$G:$G,"Contractual SLA",'Base File'!$H:$H,"Yes",'Base File'!$B:$B,'Account Summary'!$C7,'Base File'!$AZ:$AZ,"Met")/SUM(COUNTIFS('Base File'!$G:$G,"Contractual SLA",'Base File'!$H:$H,"yes",'Base File'!$B:$B,'Account Summary'!$C7,'Base File'!$AZ:$AZ,"Met")+COUNTIFS('Base File'!$G:$G,"Contractual SLA",'Base File'!$H:$H,"yes",'Base File'!$B:$B,'Account Summary'!$C7,'Base File'!$AZ:$AZ,"Not Met")),"-")</f>
        <v>-</v>
      </c>
      <c r="AA7" s="106">
        <f>IFERROR(COUNTIFS('Base File'!$G:$G,"Internal KPI",'Base File'!$B:$B,'Account Summary'!$C7,'Base File'!$AZ:$AZ,"Met")/SUM(COUNTIFS('Base File'!$G:$G,"Internal KPI",'Base File'!$B:$B,'Account Summary'!$C7,'Base File'!$AZ:$AZ,"Met")+COUNTIFS('Base File'!$G:$G,"Internal KPI",'Base File'!$B:$B,'Account Summary'!$C7,'Base File'!$AZ:$AZ,"Not Met")),"-")</f>
        <v>0.66666666666666663</v>
      </c>
      <c r="AB7" s="107">
        <f>IFERROR(COUNTIFS('Base File'!$BB:$BB,"Met",'Base File'!$B:$B,'Account Summary'!C7)/(COUNTIFS('Base File'!$BB:$BB,"Met",'Base File'!$B:$B,'Account Summary'!C7)+COUNTIFS('Base File'!$BB:$BB,"Not Met",'Base File'!$B:$B,'Account Summary'!C7)),"NR")</f>
        <v>0.63636363636363635</v>
      </c>
      <c r="AC7" s="105">
        <f>IFERROR(COUNTIFS('Base File'!$G:$G,"Contractual SLA",'Base File'!$H:$H,"No",'Base File'!$B:$B,'Account Summary'!$C7,'Base File'!$BB:$BB,"Met")/SUM(COUNTIFS('Base File'!$G:$G,"Contractual SLA",'Base File'!$H:$H,"No",'Base File'!$B:$B,'Account Summary'!$C7,'Base File'!$BB:$BB,"Met")+COUNTIFS('Base File'!$G:$G,"Contractual SLA",'Base File'!$H:$H,"No",'Base File'!$B:$B,'Account Summary'!$C7,'Base File'!$BB:$BB,"Not Met")),"-")</f>
        <v>0.8</v>
      </c>
      <c r="AD7" s="100" t="str">
        <f>IFERROR(COUNTIFS('Base File'!$G:$G,"Contractual SLA",'Base File'!$H:$H,"Yes",'Base File'!$B:$B,'Account Summary'!$C7,'Base File'!$BB:$BB,"Met")/SUM(COUNTIFS('Base File'!$G:$G,"Contractual SLA",'Base File'!$H:$H,"yes",'Base File'!$B:$B,'Account Summary'!$C7,'Base File'!$BB:$BB,"Met")+COUNTIFS('Base File'!$G:$G,"Contractual SLA",'Base File'!$H:$H,"yes",'Base File'!$B:$B,'Account Summary'!$C7,'Base File'!$BB:$BB,"Not Met")),"-")</f>
        <v>-</v>
      </c>
      <c r="AE7" s="106">
        <f>IFERROR(COUNTIFS('Base File'!$G:$G,"Internal KPI",'Base File'!$B:$B,'Account Summary'!$C7,'Base File'!$BB:$BB,"Met")/SUM(COUNTIFS('Base File'!$G:$G,"Internal KPI",'Base File'!$B:$B,'Account Summary'!$C7,'Base File'!$BB:$BB,"Met")+COUNTIFS('Base File'!$G:$G,"Internal KPI",'Base File'!$B:$B,'Account Summary'!$C7,'Base File'!$BB:$BB,"Not Met")),"-")</f>
        <v>0.5</v>
      </c>
      <c r="AF7" s="106">
        <f>IFERROR(COUNTIFS('Base File'!$BD:$BD,"Met",'Base File'!$B:$B,'Account Summary'!C7)/(COUNTIFS('Base File'!$BD:$BD,"Met",'Base File'!$B:$B,'Account Summary'!C7)+COUNTIFS('Base File'!$BD:$BD,"Not Met",'Base File'!$B:$B,'Account Summary'!C7)),"NR")</f>
        <v>0.63636363636363635</v>
      </c>
      <c r="AG7" s="106">
        <f>IFERROR(COUNTIFS('Base File'!$G:$G,"Contractual SLA",'Base File'!$H:$H,"No",'Base File'!$B:$B,'Account Summary'!$C7,'Base File'!$BD:$BD,"Met")/SUM(COUNTIFS('Base File'!$G:$G,"Contractual SLA",'Base File'!$H:$H,"No",'Base File'!$B:$B,'Account Summary'!$C7,'Base File'!$BD:$BD,"Met")+COUNTIFS('Base File'!$G:$G,"Contractual SLA",'Base File'!$H:$H,"No",'Base File'!$B:$B,'Account Summary'!$C7,'Base File'!$BD:$BD,"Not Met")),"-")</f>
        <v>0.6</v>
      </c>
      <c r="AH7" s="100" t="str">
        <f>IFERROR(COUNTIFS('Base File'!$G:$G,"Contractual SLA",'Base File'!$H:$H,"Yes",'Base File'!$B:$B,'Account Summary'!$C7,'Base File'!$BD:$BD,"Met")/SUM(COUNTIFS('Base File'!$G:$G,"Contractual SLA",'Base File'!$H:$H,"yes",'Base File'!$B:$B,'Account Summary'!$C7,'Base File'!$BD:$BD,"Met")+COUNTIFS('Base File'!$G:$G,"Contractual SLA",'Base File'!$H:$H,"yes",'Base File'!$B:$B,'Account Summary'!$C7,'Base File'!$BD:$BD,"Not Met")),"-")</f>
        <v>-</v>
      </c>
      <c r="AI7" s="106">
        <f>IFERROR(COUNTIFS('Base File'!$G:$G,"Internal KPI",'Base File'!$B:$B,'Account Summary'!$C7,'Base File'!$BD:$BD,"Met")/SUM(COUNTIFS('Base File'!$G:$G,"Internal KPI",'Base File'!$B:$B,'Account Summary'!$C7,'Base File'!$BD:$BD,"Met")+COUNTIFS('Base File'!$G:$G,"Internal KPI",'Base File'!$B:$B,'Account Summary'!$C7,'Base File'!$BD:$BD,"Not Met")),"-")</f>
        <v>0.66666666666666663</v>
      </c>
      <c r="AJ7" s="106">
        <f>IFERROR(COUNTIFS('Base File'!$BF:$BF,"Met",'Base File'!$B:$B,'Account Summary'!C7)/(COUNTIFS('Base File'!$BF:$BF,"Met",'Base File'!$B:$B,'Account Summary'!C7)+COUNTIFS('Base File'!$BF:$BF,"Not Met",'Base File'!$B:$B,'Account Summary'!C7)),"NR")</f>
        <v>0.54545454545454541</v>
      </c>
      <c r="AK7" s="99">
        <f>IFERROR(COUNTIFS('Base File'!$G:$G,"Contractual SLA",'Base File'!$H:$H,"No",'Base File'!$B:$B,'Account Summary'!$C7,'Base File'!$BF:$BF,"Met")/SUM(COUNTIFS('Base File'!$G:$G,"Contractual SLA",'Base File'!$H:$H,"No",'Base File'!$B:$B,'Account Summary'!$C7,'Base File'!$BF:$BF,"Met")+COUNTIFS('Base File'!$G:$G,"Contractual SLA",'Base File'!$H:$H,"No",'Base File'!$B:$B,'Account Summary'!$C7,'Base File'!$BF:$BF,"Not Met")),"-")</f>
        <v>0.8</v>
      </c>
      <c r="AL7" s="100" t="str">
        <f>IFERROR(COUNTIFS('Base File'!$G:$G,"Contractual SLA",'Base File'!$H:$H,"Yes",'Base File'!$B:$B,'Account Summary'!$C7,'Base File'!$BF:$BF,"Met")/SUM(COUNTIFS('Base File'!$G:$G,"Contractual SLA",'Base File'!$H:$H,"yes",'Base File'!$B:$B,'Account Summary'!$C7,'Base File'!$BF:$BF,"Met")+COUNTIFS('Base File'!$G:$G,"Contractual SLA",'Base File'!$H:$H,"yes",'Base File'!$B:$B,'Account Summary'!$C7,'Base File'!$BF:$BF,"Not Met")),"-")</f>
        <v>-</v>
      </c>
      <c r="AM7" s="110">
        <f>IFERROR(COUNTIFS('Base File'!$G:$G,"Internal KPI",'Base File'!$B:$B,'Account Summary'!$C7,'Base File'!$BF:$BF,"Met")/SUM(COUNTIFS('Base File'!$G:$G,"Internal KPI",'Base File'!$B:$B,'Account Summary'!$C7,'Base File'!$BF:$BF,"Met")+COUNTIFS('Base File'!$G:$G,"Internal KPI",'Base File'!$B:$B,'Account Summary'!$C7,'Base File'!$BF:$BF,"Not Met")),"-")</f>
        <v>0.33333333333333331</v>
      </c>
      <c r="AN7" s="100">
        <f>IFERROR(COUNTIFS('Base File'!$BH:$BH,"Met",'Base File'!$B:$B,'Account Summary'!C7)/(COUNTIFS('Base File'!$BH:$BH,"Met",'Base File'!$B:$B,'Account Summary'!C7)+COUNTIFS('Base File'!$BH:$BH,"Not Met",'Base File'!$B:$B,'Account Summary'!C7)),"NR")</f>
        <v>0.72727272727272729</v>
      </c>
      <c r="AO7" s="100" t="s">
        <v>103</v>
      </c>
      <c r="AP7" s="100" t="str">
        <f>IFERROR(COUNTIFS('Base File'!$G:$G,"Contractual SLA",'Base File'!$H:$H,"Yes",'Base File'!$B:$B,'Account Summary'!$C7,'Base File'!$BH:$BH,"Met")/SUM(COUNTIFS('Base File'!$G:$G,"Contractual SLA",'Base File'!$H:$H,"yes",'Base File'!$B:$B,'Account Summary'!$C7,'Base File'!$BH:$BH,"Met")+COUNTIFS('Base File'!$G:$G,"Contractual SLA",'Base File'!$H:$H,"yes",'Base File'!$B:$B,'Account Summary'!$C7,'Base File'!$BH:$BH,"Not Met")),"-")</f>
        <v>-</v>
      </c>
      <c r="AQ7" s="100" t="s">
        <v>103</v>
      </c>
      <c r="AR7" s="100">
        <f>IFERROR(COUNTIFS('Base File'!$BJ:$BJ,"Met",'Base File'!$B:$B,'Account Summary'!C7)/(COUNTIFS('Base File'!$BJ:$BJ,"Met",'Base File'!$B:$B,'Account Summary'!C7)+COUNTIFS('Base File'!$BJ:$BJ,"Not Met",'Base File'!$B:$B,'Account Summary'!C7)),"NR")</f>
        <v>0.81818181818181823</v>
      </c>
      <c r="AS7" s="101" t="s">
        <v>103</v>
      </c>
      <c r="AT7" s="100" t="str">
        <f>IFERROR(COUNTIFS('Base File'!$G:$G,"Contractual SLA",'Base File'!$H:$H,"Yes",'Base File'!$B:$B,'Account Summary'!$C7,'Base File'!$BJ:$BJ,"Met")/SUM(COUNTIFS('Base File'!$G:$G,"Contractual SLA",'Base File'!$H:$H,"yes",'Base File'!$B:$B,'Account Summary'!$C7,'Base File'!$BJ:$BJ,"Met")+COUNTIFS('Base File'!$G:$G,"Contractual SLA",'Base File'!$H:$H,"yes",'Base File'!$B:$B,'Account Summary'!$C7,'Base File'!$BJ:$BJ,"Not Met")),"-")</f>
        <v>-</v>
      </c>
      <c r="AU7" s="100" t="s">
        <v>103</v>
      </c>
      <c r="AV7" s="100">
        <f>IFERROR(COUNTIFS('Base File'!$BL:$BL,"Met",'Base File'!$B:$B,'Account Summary'!C7)/(COUNTIFS('Base File'!$BL:$BL,"Met",'Base File'!$B:$B,'Account Summary'!C7)+COUNTIFS('Base File'!$BL:$BL,"Not Met",'Base File'!$B:$B,'Account Summary'!C7)),"NR")</f>
        <v>0.72727272727272729</v>
      </c>
      <c r="AW7" s="100">
        <f>IFERROR(COUNTIFS('Base File'!$G:$G,"Contractual SLA",'Base File'!$H:$H,"No",'Base File'!$B:$B,'Account Summary'!$C7,'Base File'!$BL:$BL,"Met")/SUM(COUNTIFS('Base File'!$G:$G,"Contractual SLA",'Base File'!$H:$H,"No",'Base File'!$B:$B,'Account Summary'!$C7,'Base File'!$BL:$BL,"Met")+COUNTIFS('Base File'!$G:$G,"Contractual SLA",'Base File'!$H:$H,"No",'Base File'!$B:$B,'Account Summary'!$C7,'Base File'!$BL:$BL,"Not Met")),"-")</f>
        <v>0.8</v>
      </c>
      <c r="AX7" s="100" t="str">
        <f>IFERROR(COUNTIFS('Base File'!$G:$G,"Contractual SLA",'Base File'!$H:$H,"Yes",'Base File'!$B:$B,'Account Summary'!$C7,'Base File'!$BL:$BL,"Met")/SUM(COUNTIFS('Base File'!$G:$G,"Contractual SLA",'Base File'!$H:$H,"yes",'Base File'!$B:$B,'Account Summary'!$C7,'Base File'!$BL:$BL,"Met")+COUNTIFS('Base File'!$G:$G,"Contractual SLA",'Base File'!$H:$H,"yes",'Base File'!$B:$B,'Account Summary'!$C7,'Base File'!$BL:$BL,"Not Met")),"-")</f>
        <v>-</v>
      </c>
      <c r="AY7" s="100">
        <f>IFERROR(COUNTIFS('Base File'!$G:$G,"Internal KPI",'Base File'!$B:$B,'Account Summary'!$C7,'Base File'!$BL:$BL,"Met")/SUM(COUNTIFS('Base File'!$G:$G,"Internal KPI",'Base File'!$B:$B,'Account Summary'!$C7,'Base File'!$BL:$BL,"Met")+COUNTIFS('Base File'!$G:$G,"Internal KPI",'Base File'!$B:$B,'Account Summary'!$C7,'Base File'!$BL:$BL,"Not Met")),"-")</f>
        <v>0.66666666666666663</v>
      </c>
      <c r="AZ7" s="106">
        <v>0.72727272727272729</v>
      </c>
      <c r="BA7" s="100">
        <v>0.8</v>
      </c>
      <c r="BB7" s="100" t="s">
        <v>107</v>
      </c>
      <c r="BC7" s="106">
        <v>0.66666666666666663</v>
      </c>
      <c r="BD7" s="100" t="str">
        <f>IFERROR(COUNTIFS('Base File'!$BP:$BP,"Met",'Base File'!$B:$B,'Account Summary'!C7)/(COUNTIFS('Base File'!$BP:$BP,"Met",'Base File'!$B:$B,'Account Summary'!C7)+COUNTIFS('Base File'!$BP:$BP,"Not Met",'Base File'!$B:$B,'Account Summary'!C7)),"NR")</f>
        <v>NR</v>
      </c>
      <c r="BE7" s="100" t="s">
        <v>103</v>
      </c>
      <c r="BF7" s="100" t="str">
        <f>IFERROR(COUNTIFS('Base File'!$G:$G,"Contractual SLA",'Base File'!$H:$H,"Yes",'Base File'!$B:$B,'Account Summary'!$C7,'Base File'!$BP:$BP,"Met")/SUM(COUNTIFS('Base File'!$G:$G,"Contractual SLA",'Base File'!$H:$H,"yes",'Base File'!$B:$B,'Account Summary'!$C7,'Base File'!$BP:$BP,"Met")+COUNTIFS('Base File'!$G:$G,"Contractual SLA",'Base File'!$H:$H,"yes",'Base File'!$B:$B,'Account Summary'!$C7,'Base File'!$BP:$BP,"Not Met")),"-")</f>
        <v>-</v>
      </c>
      <c r="BG7" s="100" t="s">
        <v>103</v>
      </c>
      <c r="BH7" s="100" t="str">
        <f>IFERROR(COUNTIFS('Base File'!$BR:$BR,"Met",'Base File'!$B:$B,'Account Summary'!C7)/(COUNTIFS('Base File'!$BR:$BR,"Met",'Base File'!$B:$B,'Account Summary'!C7)+COUNTIFS('Base File'!$BR:$BR,"Not Met",'Base File'!$B:$B,'Account Summary'!C7)),"NR")</f>
        <v>NR</v>
      </c>
      <c r="BI7" s="101" t="s">
        <v>103</v>
      </c>
      <c r="BJ7" s="100" t="str">
        <f>IFERROR(COUNTIFS('Base File'!$G:$G,"Contractual SLA",'Base File'!$H:$H,"No",'Base File'!$B:$B,'Account Summary'!$C7,'Base File'!$BR:$BR,"Met")/SUM(COUNTIFS('Base File'!$G:$G,"Contractual SLA",'Base File'!$H:$H,"No",'Base File'!$B:$B,'Account Summary'!$C7,'Base File'!$BR:$BR,"Met")+COUNTIFS('Base File'!$G:$G,"Contractual SLA",'Base File'!$H:$H,"No",'Base File'!$B:$B,'Account Summary'!$C7,'Base File'!$BR:$BR,"Not Met")),"-")</f>
        <v>-</v>
      </c>
      <c r="BK7" s="100" t="s">
        <v>103</v>
      </c>
      <c r="BL7" s="100">
        <f>IFERROR(COUNTIFS('Base File'!$BT:$BT,"Met",'Base File'!$B:$B,'Account Summary'!C7)/(COUNTIFS('Base File'!$BT:$BT,"Met",'Base File'!$B:$B,'Account Summary'!C7)+COUNTIFS('Base File'!$BT:$BT,"Not Met",'Base File'!$B:$B,'Account Summary'!C7)),"NR")</f>
        <v>0.54545454545454541</v>
      </c>
      <c r="BM7" s="100">
        <f>IFERROR(COUNTIFS('Base File'!$G:$G,"Contractual SLA",'Base File'!$H:$H,"No",'Base File'!$B:$B,'Account Summary'!$C7,'Base File'!$BT:$BT,"Met")/SUM(COUNTIFS('Base File'!$G:$G,"Contractual SLA",'Base File'!$H:$H,"No",'Base File'!$B:$B,'Account Summary'!$C7,'Base File'!$BT:$BT,"Met")+COUNTIFS('Base File'!$G:$G,"Contractual SLA",'Base File'!$H:$H,"No",'Base File'!$B:$B,'Account Summary'!$C7,'Base File'!$BT:$BT,"Not Met")),"-")</f>
        <v>1</v>
      </c>
      <c r="BN7" s="100" t="str">
        <f>IFERROR(COUNTIFS('Base File'!$G:$G,"Contractual SLA",'Base File'!$H:$H,"Yes",'Base File'!$B:$B,'Account Summary'!$C7,'Base File'!$BT:$BT,"Met")/SUM(COUNTIFS('Base File'!$G:$G,"Contractual SLA",'Base File'!$H:$H,"yes",'Base File'!$B:$B,'Account Summary'!$C7,'Base File'!$BT:$BT,"Met")+COUNTIFS('Base File'!$G:$G,"Contractual SLA",'Base File'!$H:$H,"yes",'Base File'!$B:$B,'Account Summary'!$C7,'Base File'!$BT:$BT,"Not Met")),"-")</f>
        <v>-</v>
      </c>
      <c r="BO7" s="100">
        <f>IFERROR(COUNTIFS('Base File'!$G:$G,"Internal KPI",'Base File'!$B:$B,'Account Summary'!$C7,'Base File'!$BT:$BT,"Met")/SUM(COUNTIFS('Base File'!$G:$G,"Internal KPI",'Base File'!$B:$B,'Account Summary'!$C7,'Base File'!$BT:$BT,"Met")+COUNTIFS('Base File'!$G:$G,"Internal KPI",'Base File'!$B:$B,'Account Summary'!$C7,'Base File'!$BT:$BT,"Not Met")),"-")</f>
        <v>0.16666666666666666</v>
      </c>
      <c r="BP7" s="100">
        <f>IFERROR(COUNTIFS('Base File'!$BV:$BV,"Met",'Base File'!$B:$B,'Account Summary'!C7)/(COUNTIFS('Base File'!$BV:$BV,"Met",'Base File'!$B:$B,'Account Summary'!C7)+COUNTIFS('Base File'!$BV:$BV,"Not Met",'Base File'!$B:$B,'Account Summary'!C7)),"NR")</f>
        <v>0.63636363636363635</v>
      </c>
      <c r="BQ7" s="100">
        <v>0.8</v>
      </c>
      <c r="BR7" s="100" t="str">
        <f>IFERROR(COUNTIFS('Base File'!$G:$G,"Contractual SLA",'Base File'!$H:$H,"Yes",'Base File'!$B:$B,'Account Summary'!$C7,'Base File'!$BV:$BV,"Met")/SUM(COUNTIFS('Base File'!$G:$G,"Contractual SLA",'Base File'!$H:$H,"Yes",'Base File'!$B:$B,'Account Summary'!$C7,'Base File'!$BV:$BV,"Met")+COUNTIFS('Base File'!$G:$G,"Contractual SLA",'Base File'!$H:$H,"Yes",'Base File'!$B:$B,'Account Summary'!$C7,'Base File'!$BV:$BV,"Not Met")),"-")</f>
        <v>-</v>
      </c>
      <c r="BS7" s="100">
        <f>IFERROR(COUNTIFS('Base File'!$G:$G,"Internal KPI",'Base File'!$B:$B,'Account Summary'!$C9,'Base File'!$BV:$BV,"Met")/SUM(COUNTIFS('Base File'!$G:$G,"Internal KPI",'Base File'!$B:$B,'Account Summary'!$C9,'Base File'!$BV:$BV,"Met")+COUNTIFS('Base File'!$G:$G,"Internal KPI",'Base File'!$B:$B,'Account Summary'!$C9,'Base File'!$BV:$BV,"Not Met")),"-")</f>
        <v>0.5</v>
      </c>
    </row>
    <row r="8" spans="1:72" s="12" customFormat="1" x14ac:dyDescent="0.25">
      <c r="A8" s="389"/>
      <c r="B8" s="94">
        <v>5</v>
      </c>
      <c r="C8" s="94" t="s">
        <v>10</v>
      </c>
      <c r="D8" s="94" t="s">
        <v>101</v>
      </c>
      <c r="E8" s="95" t="s">
        <v>901</v>
      </c>
      <c r="F8" s="94" t="s">
        <v>900</v>
      </c>
      <c r="G8" s="96"/>
      <c r="H8" s="94"/>
      <c r="I8" s="94" t="s">
        <v>102</v>
      </c>
      <c r="J8" s="373" t="s">
        <v>11</v>
      </c>
      <c r="K8" s="94" t="s">
        <v>11</v>
      </c>
      <c r="L8" s="98" t="s">
        <v>11</v>
      </c>
      <c r="M8" s="98" t="s">
        <v>11</v>
      </c>
      <c r="N8" s="111" t="s">
        <v>107</v>
      </c>
      <c r="O8" s="98" t="s">
        <v>11</v>
      </c>
      <c r="P8" s="98" t="s">
        <v>11</v>
      </c>
      <c r="Q8" s="98" t="s">
        <v>11</v>
      </c>
      <c r="R8" s="103" t="str">
        <f>IFERROR(COUNTIFS('Base File'!$G:$G,"Contractual SLA",'Base File'!$H:$H,"Yes",'Base File'!$B:$B,'Account Summary'!$C8,'Base File'!$AV:$AV,"Met")/SUM(COUNTIFS('Base File'!$G:$G,"Contractual SLA",'Base File'!$H:$H,"yes",'Base File'!$B:$B,'Account Summary'!$C8,'Base File'!$AV:$AV,"Met")+COUNTIFS('Base File'!$G:$G,"Contractual SLA",'Base File'!$H:$H,"yes",'Base File'!$B:$B,'Account Summary'!$C8,'Base File'!$AV:$AV,"Not Met")),"-")</f>
        <v>-</v>
      </c>
      <c r="S8" s="98" t="s">
        <v>11</v>
      </c>
      <c r="T8" s="98" t="s">
        <v>11</v>
      </c>
      <c r="U8" s="98" t="s">
        <v>11</v>
      </c>
      <c r="V8" s="100" t="str">
        <f>IFERROR(COUNTIFS('Base File'!$G:$G,"Contractual SLA",'Base File'!$H:$H,"Yes",'Base File'!$B:$B,'Account Summary'!$C8,'Base File'!$AX:$AX,"Met")/SUM(COUNTIFS('Base File'!$G:$G,"Contractual SLA",'Base File'!$H:$H,"yes",'Base File'!$B:$B,'Account Summary'!$C8,'Base File'!$AX:$AX,"Met")+COUNTIFS('Base File'!$G:$G,"Contractual SLA",'Base File'!$H:$H,"yes",'Base File'!$B:$B,'Account Summary'!$C8,'Base File'!$AX:$AX,"Not Met")),"NA")</f>
        <v>NA</v>
      </c>
      <c r="W8" s="98" t="s">
        <v>11</v>
      </c>
      <c r="X8" s="100" t="s">
        <v>11</v>
      </c>
      <c r="Y8" s="101" t="s">
        <v>11</v>
      </c>
      <c r="Z8" s="100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A8" s="100" t="s">
        <v>11</v>
      </c>
      <c r="AB8" s="101" t="s">
        <v>11</v>
      </c>
      <c r="AC8" s="101" t="s">
        <v>11</v>
      </c>
      <c r="AD8" s="100" t="str">
        <f>IFERROR(COUNTIFS('Base File'!$G:$G,"Contractual SLA",'Base File'!$H:$H,"Yes",'Base File'!$B:$B,'Account Summary'!$C8,'Base File'!$BB:$BB,"Met")/SUM(COUNTIFS('Base File'!$G:$G,"Contractual SLA",'Base File'!$H:$H,"yes",'Base File'!$B:$B,'Account Summary'!$C8,'Base File'!$BB:$BB,"Met")+COUNTIFS('Base File'!$G:$G,"Contractual SLA",'Base File'!$H:$H,"yes",'Base File'!$B:$B,'Account Summary'!$C8,'Base File'!$BB:$BB,"Not Met")),"-")</f>
        <v>-</v>
      </c>
      <c r="AE8" s="100" t="s">
        <v>11</v>
      </c>
      <c r="AF8" s="100" t="s">
        <v>11</v>
      </c>
      <c r="AG8" s="101" t="s">
        <v>11</v>
      </c>
      <c r="AH8" s="100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I8" s="100" t="s">
        <v>11</v>
      </c>
      <c r="AJ8" s="100" t="s">
        <v>11</v>
      </c>
      <c r="AK8" s="101" t="s">
        <v>11</v>
      </c>
      <c r="AL8" s="100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M8" s="100" t="s">
        <v>11</v>
      </c>
      <c r="AN8" s="100" t="s">
        <v>11</v>
      </c>
      <c r="AO8" s="100" t="s">
        <v>11</v>
      </c>
      <c r="AP8" s="100" t="str">
        <f>IFERROR(COUNTIFS('Base File'!$G:$G,"Contractual SLA",'Base File'!$H:$H,"Yes",'Base File'!$B:$B,'Account Summary'!$C8,'Base File'!$BH:$BH,"Met")/SUM(COUNTIFS('Base File'!$G:$G,"Contractual SLA",'Base File'!$H:$H,"yes",'Base File'!$B:$B,'Account Summary'!$C8,'Base File'!$BH:$BH,"Met")+COUNTIFS('Base File'!$G:$G,"Contractual SLA",'Base File'!$H:$H,"yes",'Base File'!$B:$B,'Account Summary'!$C8,'Base File'!$BH:$BH,"Not Met")),"-")</f>
        <v>-</v>
      </c>
      <c r="AQ8" s="100" t="s">
        <v>11</v>
      </c>
      <c r="AR8" s="100" t="s">
        <v>11</v>
      </c>
      <c r="AS8" s="101" t="s">
        <v>11</v>
      </c>
      <c r="AT8" s="100" t="str">
        <f>IFERROR(COUNTIFS('Base File'!$G:$G,"Contractual SLA",'Base File'!$H:$H,"Yes",'Base File'!$B:$B,'Account Summary'!$C8,'Base File'!$BJ:$BJ,"Met")/SUM(COUNTIFS('Base File'!$G:$G,"Contractual SLA",'Base File'!$H:$H,"yes",'Base File'!$B:$B,'Account Summary'!$C8,'Base File'!$BJ:$BJ,"Met")+COUNTIFS('Base File'!$G:$G,"Contractual SLA",'Base File'!$H:$H,"yes",'Base File'!$B:$B,'Account Summary'!$C8,'Base File'!$BJ:$BJ,"Not Met")),"-")</f>
        <v>-</v>
      </c>
      <c r="AU8" s="100" t="s">
        <v>11</v>
      </c>
      <c r="AV8" s="100" t="s">
        <v>11</v>
      </c>
      <c r="AW8" s="100" t="s">
        <v>11</v>
      </c>
      <c r="AX8" s="100" t="str">
        <f>IFERROR(COUNTIFS('Base File'!$G:$G,"Contractual SLA",'Base File'!$H:$H,"Yes",'Base File'!$B:$B,'Account Summary'!$C8,'Base File'!$BL:$BL,"Met")/SUM(COUNTIFS('Base File'!$G:$G,"Contractual SLA",'Base File'!$H:$H,"yes",'Base File'!$B:$B,'Account Summary'!$C8,'Base File'!$BL:$BL,"Met")+COUNTIFS('Base File'!$G:$G,"Contractual SLA",'Base File'!$H:$H,"yes",'Base File'!$B:$B,'Account Summary'!$C8,'Base File'!$BL:$BL,"Not Met")),"-")</f>
        <v>-</v>
      </c>
      <c r="AY8" s="100" t="s">
        <v>11</v>
      </c>
      <c r="AZ8" s="100" t="s">
        <v>11</v>
      </c>
      <c r="BA8" s="100" t="s">
        <v>11</v>
      </c>
      <c r="BB8" s="100" t="s">
        <v>107</v>
      </c>
      <c r="BC8" s="100" t="s">
        <v>11</v>
      </c>
      <c r="BD8" s="100" t="s">
        <v>11</v>
      </c>
      <c r="BE8" s="100" t="s">
        <v>11</v>
      </c>
      <c r="BF8" s="100" t="str">
        <f>IFERROR(COUNTIFS('Base File'!$G:$G,"Contractual SLA",'Base File'!$H:$H,"Yes",'Base File'!$B:$B,'Account Summary'!$C8,'Base File'!$BP:$BP,"Met")/SUM(COUNTIFS('Base File'!$G:$G,"Contractual SLA",'Base File'!$H:$H,"yes",'Base File'!$B:$B,'Account Summary'!$C8,'Base File'!$BP:$BP,"Met")+COUNTIFS('Base File'!$G:$G,"Contractual SLA",'Base File'!$H:$H,"yes",'Base File'!$B:$B,'Account Summary'!$C8,'Base File'!$BP:$BP,"Not Met")),"-")</f>
        <v>-</v>
      </c>
      <c r="BG8" s="100" t="s">
        <v>11</v>
      </c>
      <c r="BH8" s="100" t="s">
        <v>11</v>
      </c>
      <c r="BI8" s="100" t="s">
        <v>11</v>
      </c>
      <c r="BJ8" s="100" t="str">
        <f>IFERROR(COUNTIFS('Base File'!$G:$G,"Contractual SLA",'Base File'!$H:$H,"No",'Base File'!$B:$B,'Account Summary'!$C8,'Base File'!$BR:$BR,"Met")/SUM(COUNTIFS('Base File'!$G:$G,"Contractual SLA",'Base File'!$H:$H,"No",'Base File'!$B:$B,'Account Summary'!$C8,'Base File'!$BR:$BR,"Met")+COUNTIFS('Base File'!$G:$G,"Contractual SLA",'Base File'!$H:$H,"No",'Base File'!$B:$B,'Account Summary'!$C8,'Base File'!$BR:$BR,"Not Met")),"-")</f>
        <v>-</v>
      </c>
      <c r="BK8" s="100" t="s">
        <v>11</v>
      </c>
      <c r="BL8" s="100" t="s">
        <v>11</v>
      </c>
      <c r="BM8" s="100" t="s">
        <v>11</v>
      </c>
      <c r="BN8" s="100" t="str">
        <f>IFERROR(COUNTIFS('Base File'!$G:$G,"Contractual SLA",'Base File'!$H:$H,"Yes",'Base File'!$B:$B,'Account Summary'!$C8,'Base File'!$BT:$BT,"Met")/SUM(COUNTIFS('Base File'!$G:$G,"Contractual SLA",'Base File'!$H:$H,"yes",'Base File'!$B:$B,'Account Summary'!$C8,'Base File'!$BT:$BT,"Met")+COUNTIFS('Base File'!$G:$G,"Contractual SLA",'Base File'!$H:$H,"yes",'Base File'!$B:$B,'Account Summary'!$C8,'Base File'!$BT:$BT,"Not Met")),"-")</f>
        <v>-</v>
      </c>
      <c r="BO8" s="100" t="s">
        <v>11</v>
      </c>
      <c r="BP8" s="100" t="s">
        <v>11</v>
      </c>
      <c r="BQ8" s="100" t="s">
        <v>11</v>
      </c>
      <c r="BR8" s="100" t="str">
        <f>IFERROR(COUNTIFS('Base File'!$G:$G,"Contractual SLA",'Base File'!$H:$H,"Yes",'Base File'!$B:$B,'Account Summary'!$C8,'Base File'!$BT:$BT,"Met")/SUM(COUNTIFS('Base File'!$G:$G,"Contractual SLA",'Base File'!$H:$H,"yes",'Base File'!$B:$B,'Account Summary'!$C8,'Base File'!$BT:$BT,"Met")+COUNTIFS('Base File'!$G:$G,"Contractual SLA",'Base File'!$H:$H,"yes",'Base File'!$B:$B,'Account Summary'!$C8,'Base File'!$BT:$BT,"Not Met")),"-")</f>
        <v>-</v>
      </c>
      <c r="BS8" s="100" t="s">
        <v>11</v>
      </c>
    </row>
    <row r="9" spans="1:72" s="12" customFormat="1" x14ac:dyDescent="0.25">
      <c r="A9" s="389"/>
      <c r="B9" s="94">
        <v>6</v>
      </c>
      <c r="C9" s="94" t="s">
        <v>12</v>
      </c>
      <c r="D9" s="95" t="s">
        <v>101</v>
      </c>
      <c r="E9" s="95" t="s">
        <v>901</v>
      </c>
      <c r="F9" s="94" t="s">
        <v>900</v>
      </c>
      <c r="G9" s="96"/>
      <c r="H9" s="94"/>
      <c r="I9" s="94" t="s">
        <v>102</v>
      </c>
      <c r="J9" s="89" t="s">
        <v>67</v>
      </c>
      <c r="K9" s="89" t="s">
        <v>68</v>
      </c>
      <c r="L9" s="107">
        <f>IFERROR(COUNTIFS('Base File'!$AR:$AR,"Met",'Base File'!$B:$B,'Account Summary'!C9)/(COUNTIFS('Base File'!$AR:$AR,"Met",'Base File'!$B:$B,'Account Summary'!C9)+COUNTIFS('Base File'!$AR:$AR,"Not Met",'Base File'!$B:$B,'Account Summary'!C9)),"NR")</f>
        <v>0.54545454545454541</v>
      </c>
      <c r="M9" s="107">
        <f>IFERROR(COUNTIFS('Base File'!$G:$G,"Contractual SLA",'Base File'!$H:$H,"No",'Base File'!$B:$B,'Account Summary'!$C9,'Base File'!$AR:$AR,"Met")/SUM(COUNTIFS('Base File'!$G:$G,"Contractual SLA",'Base File'!$H:$H,"No",'Base File'!$B:$B,'Account Summary'!$C9,'Base File'!$AR:$AR,"Met")+COUNTIFS('Base File'!$G:$G,"Contractual SLA",'Base File'!$H:$H,"No",'Base File'!$B:$B,'Account Summary'!$C9,'Base File'!$AR:$AR,"Not Met")),"-")</f>
        <v>0.6</v>
      </c>
      <c r="N9" s="98" t="str">
        <f>IFERROR(COUNTIFS('Base File'!$G:$G,"Contractual SLA",'Base File'!$H:$H,"Yes",'Base File'!$B:$B,'Account Summary'!$C9,'Base File'!$AR:$AR,"Met")/SUM(COUNTIFS('Base File'!$G:$G,"Contractual SLA",'Base File'!$H:$H,"yes",'Base File'!$B:$B,'Account Summary'!$C9,'Base File'!$AR:$AR,"Met")+COUNTIFS('Base File'!$G:$G,"Contractual SLA",'Base File'!$H:$H,"yes",'Base File'!$B:$B,'Account Summary'!$C9,'Base File'!$AR:$AR,"Not Met")),"-")</f>
        <v>-</v>
      </c>
      <c r="O9" s="107">
        <f>IFERROR(COUNTIFS('Base File'!$G:$G,"Internal KPI",'Base File'!$B:$B,'Account Summary'!$C9,'Base File'!$AR:$AR,"Met")/SUM(COUNTIFS('Base File'!$G:$G,"Internal KPI",'Base File'!$B:$B,'Account Summary'!$C9,'Base File'!$AR:$AR,"Met")+COUNTIFS('Base File'!$G:$G,"Internal KPI",'Base File'!$B:$B,'Account Summary'!$C9,'Base File'!$AR:$AR,"Not Met")),"-")</f>
        <v>0.5</v>
      </c>
      <c r="P9" s="99">
        <f>IFERROR(COUNTIFS('Base File'!$AV:$AV,"Met",'Base File'!$B:$B,'Account Summary'!C9)/(COUNTIFS('Base File'!$AV:$AV,"Met",'Base File'!$B:$B,'Account Summary'!C9)+COUNTIFS('Base File'!$AV:$AV,"Not Met",'Base File'!$B:$B,'Account Summary'!C9)),"NR")</f>
        <v>0.81818181818181823</v>
      </c>
      <c r="Q9" s="99">
        <f>IFERROR(COUNTIFS('Base File'!$G:$G,"Contractual SLA",'Base File'!$H:$H,"No",'Base File'!$B:$B,'Account Summary'!$C9,'Base File'!$AV:$AV,"Met")/SUM(COUNTIFS('Base File'!$G:$G,"Contractual SLA",'Base File'!$H:$H,"No",'Base File'!$B:$B,'Account Summary'!$C9,'Base File'!$AV:$AV,"Met")+COUNTIFS('Base File'!$G:$G,"Contractual SLA",'Base File'!$H:$H,"No",'Base File'!$B:$B,'Account Summary'!$C9,'Base File'!$AV:$AV,"Not Met")),"-")</f>
        <v>1</v>
      </c>
      <c r="R9" s="103" t="str">
        <f>IFERROR(COUNTIFS('Base File'!$G:$G,"Contractual SLA",'Base File'!$H:$H,"Yes",'Base File'!$B:$B,'Account Summary'!$C9,'Base File'!$AV:$AV,"Met")/SUM(COUNTIFS('Base File'!$G:$G,"Contractual SLA",'Base File'!$H:$H,"yes",'Base File'!$B:$B,'Account Summary'!$C9,'Base File'!$AV:$AV,"Met")+COUNTIFS('Base File'!$G:$G,"Contractual SLA",'Base File'!$H:$H,"yes",'Base File'!$B:$B,'Account Summary'!$C9,'Base File'!$AV:$AV,"Not Met")),"-")</f>
        <v>-</v>
      </c>
      <c r="S9" s="109">
        <f>IFERROR(COUNTIFS('Base File'!$G:$G,"Internal KPI",'Base File'!$B:$B,'Account Summary'!$C9,'Base File'!$AV:$AV,"Met")/SUM(COUNTIFS('Base File'!$G:$G,"Internal KPI",'Base File'!$B:$B,'Account Summary'!$C9,'Base File'!$AV:$AV,"Met")+COUNTIFS('Base File'!$G:$G,"Internal KPI",'Base File'!$B:$B,'Account Summary'!$C9,'Base File'!$AV:$AV,"Not Met")),"-")</f>
        <v>0.66666666666666663</v>
      </c>
      <c r="T9" s="106">
        <f>IFERROR(COUNTIFS('Base File'!$AX:$AX,"Met",'Base File'!$B:$B,'Account Summary'!C9)/(COUNTIFS('Base File'!$AX:$AX,"Met",'Base File'!$B:$B,'Account Summary'!C9)+COUNTIFS('Base File'!$AX:$AX,"Not Met",'Base File'!$B:$B,'Account Summary'!C9)),"NR")</f>
        <v>0.72727272727272729</v>
      </c>
      <c r="U9" s="105">
        <f>IFERROR(COUNTIFS('Base File'!$G:$G,"Contractual SLA",'Base File'!$H:$H,"No",'Base File'!$B:$B,'Account Summary'!$C9,'Base File'!$AX:$AX,"Met")/SUM(COUNTIFS('Base File'!$G:$G,"Contractual SLA",'Base File'!$H:$H,"No",'Base File'!$B:$B,'Account Summary'!$C9,'Base File'!$AX:$AX,"Met")+COUNTIFS('Base File'!$G:$G,"Contractual SLA",'Base File'!$H:$H,"No",'Base File'!$B:$B,'Account Summary'!$C9,'Base File'!$AX:$AX,"Not Met")),"-")</f>
        <v>1</v>
      </c>
      <c r="V9" s="100" t="s">
        <v>11</v>
      </c>
      <c r="W9" s="106">
        <f>IFERROR(COUNTIFS('Base File'!$G:$G,"Internal KPI",'Base File'!$B:$B,'Account Summary'!$C9,'Base File'!$AX:$AX,"Met")/SUM(COUNTIFS('Base File'!$G:$G,"Internal KPI",'Base File'!$B:$B,'Account Summary'!$C9,'Base File'!$AX:$AX,"Met")+COUNTIFS('Base File'!$G:$G,"Internal KPI",'Base File'!$B:$B,'Account Summary'!$C9,'Base File'!$AX:$AX,"Not Met")),"-")</f>
        <v>0.5</v>
      </c>
      <c r="X9" s="99">
        <f>IFERROR(COUNTIFS('Base File'!$AZ:$AZ,"Met",'Base File'!$B:$B,'Account Summary'!C9)/(COUNTIFS('Base File'!$AZ:$AZ,"Met",'Base File'!$B:$B,'Account Summary'!C9)+COUNTIFS('Base File'!$AZ:$AZ,"Not Met",'Base File'!$B:$B,'Account Summary'!C9)),"NR")</f>
        <v>0.81818181818181823</v>
      </c>
      <c r="Y9" s="105">
        <f>IFERROR(COUNTIFS('Base File'!$G:$G,"Contractual SLA",'Base File'!$H:$H,"No",'Base File'!$B:$B,'Account Summary'!$C9,'Base File'!$AZ:$AZ,"Met")/SUM(COUNTIFS('Base File'!$G:$G,"Contractual SLA",'Base File'!$H:$H,"No",'Base File'!$B:$B,'Account Summary'!$C9,'Base File'!$AZ:$AZ,"Met")+COUNTIFS('Base File'!$G:$G,"Contractual SLA",'Base File'!$H:$H,"No",'Base File'!$B:$B,'Account Summary'!$C9,'Base File'!$AZ:$AZ,"Not Met")),"-")</f>
        <v>1</v>
      </c>
      <c r="Z9" s="100" t="str">
        <f>IFERROR(COUNTIFS('Base File'!$G:$G,"Contractual SLA",'Base File'!$H:$H,"Yes",'Base File'!$B:$B,'Account Summary'!$C9,'Base File'!$AZ:$AZ,"Met")/SUM(COUNTIFS('Base File'!$G:$G,"Contractual SLA",'Base File'!$H:$H,"yes",'Base File'!$B:$B,'Account Summary'!$C9,'Base File'!$AZ:$AZ,"Met")+COUNTIFS('Base File'!$G:$G,"Contractual SLA",'Base File'!$H:$H,"yes",'Base File'!$B:$B,'Account Summary'!$C9,'Base File'!$AZ:$AZ,"Not Met")),"-")</f>
        <v>-</v>
      </c>
      <c r="AA9" s="106">
        <f>IFERROR(COUNTIFS('Base File'!$G:$G,"Internal KPI",'Base File'!$B:$B,'Account Summary'!$C9,'Base File'!$AZ:$AZ,"Met")/SUM(COUNTIFS('Base File'!$G:$G,"Internal KPI",'Base File'!$B:$B,'Account Summary'!$C9,'Base File'!$AZ:$AZ,"Met")+COUNTIFS('Base File'!$G:$G,"Internal KPI",'Base File'!$B:$B,'Account Summary'!$C9,'Base File'!$AZ:$AZ,"Not Met")),"-")</f>
        <v>0.66666666666666663</v>
      </c>
      <c r="AB9" s="99">
        <f>IFERROR(COUNTIFS('Base File'!$BB:$BB,"Met",'Base File'!$B:$B,'Account Summary'!C9)/(COUNTIFS('Base File'!$BB:$BB,"Met",'Base File'!$B:$B,'Account Summary'!C9)+COUNTIFS('Base File'!$BB:$BB,"Not Met",'Base File'!$B:$B,'Account Summary'!C9)),"NR")</f>
        <v>0.81818181818181823</v>
      </c>
      <c r="AC9" s="105">
        <f>IFERROR(COUNTIFS('Base File'!$G:$G,"Contractual SLA",'Base File'!$H:$H,"No",'Base File'!$B:$B,'Account Summary'!$C9,'Base File'!$BB:$BB,"Met")/SUM(COUNTIFS('Base File'!$G:$G,"Contractual SLA",'Base File'!$H:$H,"No",'Base File'!$B:$B,'Account Summary'!$C9,'Base File'!$BB:$BB,"Met")+COUNTIFS('Base File'!$G:$G,"Contractual SLA",'Base File'!$H:$H,"No",'Base File'!$B:$B,'Account Summary'!$C9,'Base File'!$BB:$BB,"Not Met")),"-")</f>
        <v>1</v>
      </c>
      <c r="AD9" s="100" t="str">
        <f>IFERROR(COUNTIFS('Base File'!$G:$G,"Contractual SLA",'Base File'!$H:$H,"Yes",'Base File'!$B:$B,'Account Summary'!$C9,'Base File'!$BB:$BB,"Met")/SUM(COUNTIFS('Base File'!$G:$G,"Contractual SLA",'Base File'!$H:$H,"yes",'Base File'!$B:$B,'Account Summary'!$C9,'Base File'!$BB:$BB,"Met")+COUNTIFS('Base File'!$G:$G,"Contractual SLA",'Base File'!$H:$H,"yes",'Base File'!$B:$B,'Account Summary'!$C9,'Base File'!$BB:$BB,"Not Met")),"-")</f>
        <v>-</v>
      </c>
      <c r="AE9" s="106">
        <f>IFERROR(COUNTIFS('Base File'!$G:$G,"Internal KPI",'Base File'!$B:$B,'Account Summary'!$C9,'Base File'!$BB:$BB,"Met")/SUM(COUNTIFS('Base File'!$G:$G,"Internal KPI",'Base File'!$B:$B,'Account Summary'!$C9,'Base File'!$BB:$BB,"Met")+COUNTIFS('Base File'!$G:$G,"Internal KPI",'Base File'!$B:$B,'Account Summary'!$C9,'Base File'!$BB:$BB,"Not Met")),"-")</f>
        <v>0.66666666666666663</v>
      </c>
      <c r="AF9" s="106">
        <f>IFERROR(COUNTIFS('Base File'!$BD:$BD,"Met",'Base File'!$B:$B,'Account Summary'!C9)/(COUNTIFS('Base File'!$BD:$BD,"Met",'Base File'!$B:$B,'Account Summary'!C9)+COUNTIFS('Base File'!$BD:$BD,"Not Met",'Base File'!$B:$B,'Account Summary'!C9)),"NR")</f>
        <v>0.63636363636363635</v>
      </c>
      <c r="AG9" s="99">
        <f>IFERROR(COUNTIFS('Base File'!$G:$G,"Contractual SLA",'Base File'!$H:$H,"No",'Base File'!$B:$B,'Account Summary'!$C9,'Base File'!$BD:$BD,"Met")/SUM(COUNTIFS('Base File'!$G:$G,"Contractual SLA",'Base File'!$H:$H,"No",'Base File'!$B:$B,'Account Summary'!$C9,'Base File'!$BD:$BD,"Met")+COUNTIFS('Base File'!$G:$G,"Contractual SLA",'Base File'!$H:$H,"No",'Base File'!$B:$B,'Account Summary'!$C9,'Base File'!$BD:$BD,"Not Met")),"-")</f>
        <v>0.8</v>
      </c>
      <c r="AH9" s="100" t="str">
        <f>IFERROR(COUNTIFS('Base File'!$G:$G,"Contractual SLA",'Base File'!$H:$H,"Yes",'Base File'!$B:$B,'Account Summary'!$C9,'Base File'!$BD:$BD,"Met")/SUM(COUNTIFS('Base File'!$G:$G,"Contractual SLA",'Base File'!$H:$H,"yes",'Base File'!$B:$B,'Account Summary'!$C9,'Base File'!$BD:$BD,"Met")+COUNTIFS('Base File'!$G:$G,"Contractual SLA",'Base File'!$H:$H,"yes",'Base File'!$B:$B,'Account Summary'!$C9,'Base File'!$BD:$BD,"Not Met")),"-")</f>
        <v>-</v>
      </c>
      <c r="AI9" s="106">
        <f>IFERROR(COUNTIFS('Base File'!$G:$G,"Internal KPI",'Base File'!$B:$B,'Account Summary'!$C9,'Base File'!$BD:$BD,"Met")/SUM(COUNTIFS('Base File'!$G:$G,"Internal KPI",'Base File'!$B:$B,'Account Summary'!$C9,'Base File'!$BD:$BD,"Met")+COUNTIFS('Base File'!$G:$G,"Internal KPI",'Base File'!$B:$B,'Account Summary'!$C9,'Base File'!$BD:$BD,"Not Met")),"-")</f>
        <v>0.5</v>
      </c>
      <c r="AJ9" s="106">
        <f>IFERROR(COUNTIFS('Base File'!$BF:$BF,"Met",'Base File'!$B:$B,'Account Summary'!C9)/(COUNTIFS('Base File'!$BF:$BF,"Met",'Base File'!$B:$B,'Account Summary'!C9)+COUNTIFS('Base File'!$BF:$BF,"Not Met",'Base File'!$B:$B,'Account Summary'!C9)),"NR")</f>
        <v>0.54545454545454541</v>
      </c>
      <c r="AK9" s="99">
        <f>IFERROR(COUNTIFS('Base File'!$G:$G,"Contractual SLA",'Base File'!$H:$H,"No",'Base File'!$B:$B,'Account Summary'!$C9,'Base File'!$BF:$BF,"Met")/SUM(COUNTIFS('Base File'!$G:$G,"Contractual SLA",'Base File'!$H:$H,"No",'Base File'!$B:$B,'Account Summary'!$C9,'Base File'!$BF:$BF,"Met")+COUNTIFS('Base File'!$G:$G,"Contractual SLA",'Base File'!$H:$H,"No",'Base File'!$B:$B,'Account Summary'!$C9,'Base File'!$BF:$BF,"Not Met")),"-")</f>
        <v>1</v>
      </c>
      <c r="AL9" s="100" t="str">
        <f>IFERROR(COUNTIFS('Base File'!$G:$G,"Contractual SLA",'Base File'!$H:$H,"Yes",'Base File'!$B:$B,'Account Summary'!$C9,'Base File'!$BF:$BF,"Met")/SUM(COUNTIFS('Base File'!$G:$G,"Contractual SLA",'Base File'!$H:$H,"yes",'Base File'!$B:$B,'Account Summary'!$C9,'Base File'!$BF:$BF,"Met")+COUNTIFS('Base File'!$G:$G,"Contractual SLA",'Base File'!$H:$H,"yes",'Base File'!$B:$B,'Account Summary'!$C9,'Base File'!$BF:$BF,"Not Met")),"-")</f>
        <v>-</v>
      </c>
      <c r="AM9" s="110">
        <f>IFERROR(COUNTIFS('Base File'!$G:$G,"Internal KPI",'Base File'!$B:$B,'Account Summary'!$C9,'Base File'!$BF:$BF,"Met")/SUM(COUNTIFS('Base File'!$G:$G,"Internal KPI",'Base File'!$B:$B,'Account Summary'!$C9,'Base File'!$BF:$BF,"Met")+COUNTIFS('Base File'!$G:$G,"Internal KPI",'Base File'!$B:$B,'Account Summary'!$C9,'Base File'!$BF:$BF,"Not Met")),"-")</f>
        <v>0.16666666666666666</v>
      </c>
      <c r="AN9" s="100">
        <f>IFERROR(COUNTIFS('Base File'!$BH:$BH,"Met",'Base File'!$B:$B,'Account Summary'!C9)/(COUNTIFS('Base File'!$BH:$BH,"Met",'Base File'!$B:$B,'Account Summary'!C9)+COUNTIFS('Base File'!$BH:$BH,"Not Met",'Base File'!$B:$B,'Account Summary'!C9)),"NR")</f>
        <v>0.81818181818181823</v>
      </c>
      <c r="AO9" s="100" t="s">
        <v>103</v>
      </c>
      <c r="AP9" s="100" t="str">
        <f>IFERROR(COUNTIFS('Base File'!$G:$G,"Contractual SLA",'Base File'!$H:$H,"Yes",'Base File'!$B:$B,'Account Summary'!$C9,'Base File'!$BH:$BH,"Met")/SUM(COUNTIFS('Base File'!$G:$G,"Contractual SLA",'Base File'!$H:$H,"yes",'Base File'!$B:$B,'Account Summary'!$C9,'Base File'!$BH:$BH,"Met")+COUNTIFS('Base File'!$G:$G,"Contractual SLA",'Base File'!$H:$H,"yes",'Base File'!$B:$B,'Account Summary'!$C9,'Base File'!$BH:$BH,"Not Met")),"-")</f>
        <v>-</v>
      </c>
      <c r="AQ9" s="100" t="s">
        <v>103</v>
      </c>
      <c r="AR9" s="100">
        <f>IFERROR(COUNTIFS('Base File'!$BJ:$BJ,"Met",'Base File'!$B:$B,'Account Summary'!C9)/(COUNTIFS('Base File'!$BJ:$BJ,"Met",'Base File'!$B:$B,'Account Summary'!C9)+COUNTIFS('Base File'!$BJ:$BJ,"Not Met",'Base File'!$B:$B,'Account Summary'!C9)),"NR")</f>
        <v>0.54545454545454541</v>
      </c>
      <c r="AS9" s="101" t="s">
        <v>103</v>
      </c>
      <c r="AT9" s="100" t="str">
        <f>IFERROR(COUNTIFS('Base File'!$G:$G,"Contractual SLA",'Base File'!$H:$H,"Yes",'Base File'!$B:$B,'Account Summary'!$C9,'Base File'!$BJ:$BJ,"Met")/SUM(COUNTIFS('Base File'!$G:$G,"Contractual SLA",'Base File'!$H:$H,"yes",'Base File'!$B:$B,'Account Summary'!$C9,'Base File'!$BJ:$BJ,"Met")+COUNTIFS('Base File'!$G:$G,"Contractual SLA",'Base File'!$H:$H,"yes",'Base File'!$B:$B,'Account Summary'!$C9,'Base File'!$BJ:$BJ,"Not Met")),"-")</f>
        <v>-</v>
      </c>
      <c r="AU9" s="100" t="s">
        <v>103</v>
      </c>
      <c r="AV9" s="100">
        <f>IFERROR(COUNTIFS('Base File'!$BL:$BL,"Met",'Base File'!$B:$B,'Account Summary'!C9)/(COUNTIFS('Base File'!$BL:$BL,"Met",'Base File'!$B:$B,'Account Summary'!C9)+COUNTIFS('Base File'!$BL:$BL,"Not Met",'Base File'!$B:$B,'Account Summary'!C9)),"NR")</f>
        <v>0.54545454545454541</v>
      </c>
      <c r="AW9" s="100">
        <f>IFERROR(COUNTIFS('Base File'!$G:$G,"Contractual SLA",'Base File'!$H:$H,"No",'Base File'!$B:$B,'Account Summary'!$C9,'Base File'!$BL:$BL,"Met")/SUM(COUNTIFS('Base File'!$G:$G,"Contractual SLA",'Base File'!$H:$H,"No",'Base File'!$B:$B,'Account Summary'!$C9,'Base File'!$BL:$BL,"Met")+COUNTIFS('Base File'!$G:$G,"Contractual SLA",'Base File'!$H:$H,"No",'Base File'!$B:$B,'Account Summary'!$C9,'Base File'!$BL:$BL,"Not Met")),"-")</f>
        <v>1</v>
      </c>
      <c r="AX9" s="100" t="str">
        <f>IFERROR(COUNTIFS('Base File'!$G:$G,"Contractual SLA",'Base File'!$H:$H,"Yes",'Base File'!$B:$B,'Account Summary'!$C9,'Base File'!$BL:$BL,"Met")/SUM(COUNTIFS('Base File'!$G:$G,"Contractual SLA",'Base File'!$H:$H,"yes",'Base File'!$B:$B,'Account Summary'!$C9,'Base File'!$BL:$BL,"Met")+COUNTIFS('Base File'!$G:$G,"Contractual SLA",'Base File'!$H:$H,"yes",'Base File'!$B:$B,'Account Summary'!$C9,'Base File'!$BL:$BL,"Not Met")),"-")</f>
        <v>-</v>
      </c>
      <c r="AY9" s="100">
        <f>IFERROR(COUNTIFS('Base File'!$G:$G,"Internal KPI",'Base File'!$B:$B,'Account Summary'!$C9,'Base File'!$BL:$BL,"Met")/SUM(COUNTIFS('Base File'!$G:$G,"Internal KPI",'Base File'!$B:$B,'Account Summary'!$C9,'Base File'!$BL:$BL,"Met")+COUNTIFS('Base File'!$G:$G,"Internal KPI",'Base File'!$B:$B,'Account Summary'!$C9,'Base File'!$BL:$BL,"Not Met")),"-")</f>
        <v>0.16666666666666666</v>
      </c>
      <c r="AZ9" s="106">
        <v>0.63636363636363635</v>
      </c>
      <c r="BA9" s="100">
        <v>1</v>
      </c>
      <c r="BB9" s="100" t="s">
        <v>107</v>
      </c>
      <c r="BC9" s="100">
        <v>0.33333333333333331</v>
      </c>
      <c r="BD9" s="100" t="str">
        <f>IFERROR(COUNTIFS('Base File'!$BP:$BP,"Met",'Base File'!$B:$B,'Account Summary'!C9)/(COUNTIFS('Base File'!$BP:$BP,"Met",'Base File'!$B:$B,'Account Summary'!C9)+COUNTIFS('Base File'!$BP:$BP,"Not Met",'Base File'!$B:$B,'Account Summary'!C9)),"NR")</f>
        <v>NR</v>
      </c>
      <c r="BE9" s="100" t="s">
        <v>103</v>
      </c>
      <c r="BF9" s="100" t="str">
        <f>IFERROR(COUNTIFS('Base File'!$G:$G,"Contractual SLA",'Base File'!$H:$H,"Yes",'Base File'!$B:$B,'Account Summary'!$C9,'Base File'!$BP:$BP,"Met")/SUM(COUNTIFS('Base File'!$G:$G,"Contractual SLA",'Base File'!$H:$H,"yes",'Base File'!$B:$B,'Account Summary'!$C9,'Base File'!$BP:$BP,"Met")+COUNTIFS('Base File'!$G:$G,"Contractual SLA",'Base File'!$H:$H,"yes",'Base File'!$B:$B,'Account Summary'!$C9,'Base File'!$BP:$BP,"Not Met")),"-")</f>
        <v>-</v>
      </c>
      <c r="BG9" s="100" t="s">
        <v>103</v>
      </c>
      <c r="BH9" s="100" t="str">
        <f>IFERROR(COUNTIFS('Base File'!$BR:$BR,"Met",'Base File'!$B:$B,'Account Summary'!C9)/(COUNTIFS('Base File'!$BR:$BR,"Met",'Base File'!$B:$B,'Account Summary'!C9)+COUNTIFS('Base File'!$BR:$BR,"Not Met",'Base File'!$B:$B,'Account Summary'!C9)),"NR")</f>
        <v>NR</v>
      </c>
      <c r="BI9" s="100" t="s">
        <v>103</v>
      </c>
      <c r="BJ9" s="100" t="str">
        <f>IFERROR(COUNTIFS('Base File'!$G:$G,"Contractual SLA",'Base File'!$H:$H,"No",'Base File'!$B:$B,'Account Summary'!$C9,'Base File'!$BR:$BR,"Met")/SUM(COUNTIFS('Base File'!$G:$G,"Contractual SLA",'Base File'!$H:$H,"No",'Base File'!$B:$B,'Account Summary'!$C9,'Base File'!$BR:$BR,"Met")+COUNTIFS('Base File'!$G:$G,"Contractual SLA",'Base File'!$H:$H,"No",'Base File'!$B:$B,'Account Summary'!$C9,'Base File'!$BR:$BR,"Not Met")),"-")</f>
        <v>-</v>
      </c>
      <c r="BK9" s="100" t="s">
        <v>103</v>
      </c>
      <c r="BL9" s="100">
        <f>IFERROR(COUNTIFS('Base File'!$BT:$BT,"Met",'Base File'!$B:$B,'Account Summary'!C9)/(COUNTIFS('Base File'!$BT:$BT,"Met",'Base File'!$B:$B,'Account Summary'!C9)+COUNTIFS('Base File'!$BT:$BT,"Not Met",'Base File'!$B:$B,'Account Summary'!C9)),"NR")</f>
        <v>0.63636363636363635</v>
      </c>
      <c r="BM9" s="100">
        <f>IFERROR(COUNTIFS('Base File'!$G:$G,"Contractual SLA",'Base File'!$H:$H,"No",'Base File'!$B:$B,'Account Summary'!$C9,'Base File'!$BT:$BT,"Met")/SUM(COUNTIFS('Base File'!$G:$G,"Contractual SLA",'Base File'!$H:$H,"No",'Base File'!$B:$B,'Account Summary'!$C9,'Base File'!$BT:$BT,"Met")+COUNTIFS('Base File'!$G:$G,"Contractual SLA",'Base File'!$H:$H,"No",'Base File'!$B:$B,'Account Summary'!$C9,'Base File'!$BT:$BT,"Not Met")),"-")</f>
        <v>1</v>
      </c>
      <c r="BN9" s="100" t="str">
        <f>IFERROR(COUNTIFS('Base File'!$G:$G,"Contractual SLA",'Base File'!$H:$H,"Yes",'Base File'!$B:$B,'Account Summary'!$C9,'Base File'!$BT:$BT,"Met")/SUM(COUNTIFS('Base File'!$G:$G,"Contractual SLA",'Base File'!$H:$H,"yes",'Base File'!$B:$B,'Account Summary'!$C9,'Base File'!$BT:$BT,"Met")+COUNTIFS('Base File'!$G:$G,"Contractual SLA",'Base File'!$H:$H,"yes",'Base File'!$B:$B,'Account Summary'!$C9,'Base File'!$BT:$BT,"Not Met")),"-")</f>
        <v>-</v>
      </c>
      <c r="BO9" s="100">
        <f>IFERROR(COUNTIFS('Base File'!$G:$G,"Internal KPI",'Base File'!$B:$B,'Account Summary'!$C9,'Base File'!$BT:$BT,"Met")/SUM(COUNTIFS('Base File'!$G:$G,"Internal KPI",'Base File'!$B:$B,'Account Summary'!$C9,'Base File'!$BT:$BT,"Met")+COUNTIFS('Base File'!$G:$G,"Internal KPI",'Base File'!$B:$B,'Account Summary'!$C9,'Base File'!$BT:$BT,"Not Met")),"-")</f>
        <v>0.33333333333333331</v>
      </c>
      <c r="BP9" s="100">
        <f>IFERROR(COUNTIFS('Base File'!$BV:$BV,"Met",'Base File'!$B:$B,'Account Summary'!C9)/(COUNTIFS('Base File'!$BV:$BV,"Met",'Base File'!$B:$B,'Account Summary'!C9)+COUNTIFS('Base File'!$BV:$BV,"Not Met",'Base File'!$B:$B,'Account Summary'!C9)),"NR")</f>
        <v>0.72727272727272729</v>
      </c>
      <c r="BQ9" s="100">
        <v>1</v>
      </c>
      <c r="BR9" s="100" t="str">
        <f>IFERROR(COUNTIFS('Base File'!$G:$G,"Contractual SLA",'Base File'!$H:$H,"Yes",'Base File'!$B:$B,'Account Summary'!$C9,'Base File'!$BV:$BV,"Met")/SUM(COUNTIFS('Base File'!$G:$G,"Contractual SLA",'Base File'!$H:$H,"Yes",'Base File'!$B:$B,'Account Summary'!$C9,'Base File'!$BV:$BV,"Met")+COUNTIFS('Base File'!$G:$G,"Contractual SLA",'Base File'!$H:$H,"Yes",'Base File'!$B:$B,'Account Summary'!$C9,'Base File'!$BV:$BV,"Not Met")),"-")</f>
        <v>-</v>
      </c>
      <c r="BS9" s="100">
        <v>0.5</v>
      </c>
    </row>
    <row r="10" spans="1:72" s="12" customFormat="1" x14ac:dyDescent="0.25">
      <c r="A10" s="389"/>
      <c r="B10" s="94">
        <v>7</v>
      </c>
      <c r="C10" s="94" t="s">
        <v>13</v>
      </c>
      <c r="D10" s="95" t="s">
        <v>101</v>
      </c>
      <c r="E10" s="95" t="s">
        <v>901</v>
      </c>
      <c r="F10" s="94" t="s">
        <v>900</v>
      </c>
      <c r="G10" s="96"/>
      <c r="H10" s="94"/>
      <c r="I10" s="94" t="s">
        <v>114</v>
      </c>
      <c r="J10" s="89" t="s">
        <v>67</v>
      </c>
      <c r="K10" s="89" t="s">
        <v>65</v>
      </c>
      <c r="L10" s="97">
        <f>IFERROR(COUNTIFS('Base File'!$AR:$AR,"Met",'Base File'!$B:$B,'Account Summary'!C10)/(COUNTIFS('Base File'!$AR:$AR,"Met",'Base File'!$B:$B,'Account Summary'!C10)+COUNTIFS('Base File'!$AR:$AR,"Not Met",'Base File'!$B:$B,'Account Summary'!C10)),"NR")</f>
        <v>0.91666666666666663</v>
      </c>
      <c r="M10" s="97">
        <f>IFERROR(COUNTIFS('Base File'!$G:$G,"Contractual SLA",'Base File'!$H:$H,"No",'Base File'!$B:$B,'Account Summary'!$C10,'Base File'!$AR:$AR,"Met")/SUM(COUNTIFS('Base File'!$G:$G,"Contractual SLA",'Base File'!$H:$H,"No",'Base File'!$B:$B,'Account Summary'!$C10,'Base File'!$AR:$AR,"Met")+COUNTIFS('Base File'!$G:$G,"Contractual SLA",'Base File'!$H:$H,"No",'Base File'!$B:$B,'Account Summary'!$C10,'Base File'!$AR:$AR,"Not Met")),"-")</f>
        <v>0.875</v>
      </c>
      <c r="N10" s="97">
        <f>IFERROR(COUNTIFS('Base File'!$G:$G,"Contractual SLA",'Base File'!$H:$H,"Yes",'Base File'!$B:$B,'Account Summary'!$C10,'Base File'!$AR:$AR,"Met")/SUM(COUNTIFS('Base File'!$G:$G,"Contractual SLA",'Base File'!$H:$H,"yes",'Base File'!$B:$B,'Account Summary'!$C10,'Base File'!$AR:$AR,"Met")+COUNTIFS('Base File'!$G:$G,"Contractual SLA",'Base File'!$H:$H,"yes",'Base File'!$B:$B,'Account Summary'!$C10,'Base File'!$AR:$AR,"Not Met")),"-")</f>
        <v>1</v>
      </c>
      <c r="O10" s="98" t="s">
        <v>11</v>
      </c>
      <c r="P10" s="98" t="str">
        <f>IFERROR(COUNTIFS('Base File'!$AV:$AV,"Met",'Base File'!$B:$B,'Account Summary'!C10)/(COUNTIFS('Base File'!$AV:$AV,"Met",'Base File'!$B:$B,'Account Summary'!C10)+COUNTIFS('Base File'!$AV:$AV,"Not Met",'Base File'!$B:$B,'Account Summary'!C10)),"NR")</f>
        <v>NR</v>
      </c>
      <c r="Q10" s="98" t="str">
        <f>IFERROR(COUNTIFS('Base File'!$AV:$AV,"Met",'Base File'!$B:$B,'Account Summary'!D10)/(COUNTIFS('Base File'!$AV:$AV,"Met",'Base File'!$B:$B,'Account Summary'!D10)+COUNTIFS('Base File'!$AV:$AV,"Not Met",'Base File'!$B:$B,'Account Summary'!D10)),"NR")</f>
        <v>NR</v>
      </c>
      <c r="R10" s="103" t="str">
        <f>IFERROR(COUNTIFS('Base File'!$AV:$AV,"Met",'Base File'!$B:$B,'Account Summary'!F10)/(COUNTIFS('Base File'!$AV:$AV,"Met",'Base File'!$B:$B,'Account Summary'!F10)+COUNTIFS('Base File'!$AV:$AV,"Not Met",'Base File'!$B:$B,'Account Summary'!F10)),"NR")</f>
        <v>NR</v>
      </c>
      <c r="S10" s="98" t="str">
        <f>IFERROR(COUNTIFS('Base File'!$AV:$AV,"Met",'Base File'!$B:$B,'Account Summary'!G10)/(COUNTIFS('Base File'!$AV:$AV,"Met",'Base File'!$B:$B,'Account Summary'!G10)+COUNTIFS('Base File'!$AV:$AV,"Not Met",'Base File'!$B:$B,'Account Summary'!G10)),"NR")</f>
        <v>NR</v>
      </c>
      <c r="T10" s="99">
        <f>IFERROR(COUNTIFS('Base File'!$AX:$AX,"Met",'Base File'!$B:$B,'Account Summary'!C10)/(COUNTIFS('Base File'!$AX:$AX,"Met",'Base File'!$B:$B,'Account Summary'!C10)+COUNTIFS('Base File'!$AX:$AX,"Not Met",'Base File'!$B:$B,'Account Summary'!C10)),"NR")</f>
        <v>0.8</v>
      </c>
      <c r="U10" s="105">
        <f>IFERROR(COUNTIFS('Base File'!$G:$G,"Contractual SLA",'Base File'!$H:$H,"No",'Base File'!$B:$B,'Account Summary'!$C10,'Base File'!$AX:$AX,"Met")/SUM(COUNTIFS('Base File'!$G:$G,"Contractual SLA",'Base File'!$H:$H,"No",'Base File'!$B:$B,'Account Summary'!$C10,'Base File'!$AX:$AX,"Met")+COUNTIFS('Base File'!$G:$G,"Contractual SLA",'Base File'!$H:$H,"No",'Base File'!$B:$B,'Account Summary'!$C10,'Base File'!$AX:$AX,"Not Met")),"-")</f>
        <v>0.83333333333333337</v>
      </c>
      <c r="V10" s="110">
        <f>IFERROR(COUNTIFS('Base File'!$G:$G,"Contractual SLA",'Base File'!$H:$H,"Yes",'Base File'!$B:$B,'Account Summary'!$C10,'Base File'!$AX:$AX,"Met")/SUM(COUNTIFS('Base File'!$G:$G,"Contractual SLA",'Base File'!$H:$H,"yes",'Base File'!$B:$B,'Account Summary'!$C10,'Base File'!$AX:$AX,"Met")+COUNTIFS('Base File'!$G:$G,"Contractual SLA",'Base File'!$H:$H,"yes",'Base File'!$B:$B,'Account Summary'!$C10,'Base File'!$AX:$AX,"Not Met")),"-")</f>
        <v>0.75</v>
      </c>
      <c r="W10" s="100" t="s">
        <v>11</v>
      </c>
      <c r="X10" s="99">
        <f>IFERROR(COUNTIFS('Base File'!$AZ:$AZ,"Met",'Base File'!$B:$B,'Account Summary'!C10)/(COUNTIFS('Base File'!$AZ:$AZ,"Met",'Base File'!$B:$B,'Account Summary'!C10)+COUNTIFS('Base File'!$AZ:$AZ,"Not Met",'Base File'!$B:$B,'Account Summary'!C10)),"NR")</f>
        <v>0.8</v>
      </c>
      <c r="Y10" s="105">
        <f>IFERROR(COUNTIFS('Base File'!$G:$G,"Contractual SLA",'Base File'!$H:$H,"No",'Base File'!$B:$B,'Account Summary'!$C10,'Base File'!$AZ:$AZ,"Met")/SUM(COUNTIFS('Base File'!$G:$G,"Contractual SLA",'Base File'!$H:$H,"No",'Base File'!$B:$B,'Account Summary'!$C10,'Base File'!$AZ:$AZ,"Met")+COUNTIFS('Base File'!$G:$G,"Contractual SLA",'Base File'!$H:$H,"No",'Base File'!$B:$B,'Account Summary'!$C10,'Base File'!$AZ:$AZ,"Not Met")),"-")</f>
        <v>1</v>
      </c>
      <c r="Z10" s="106">
        <f>IFERROR(COUNTIFS('Base File'!$G:$G,"Contractual SLA",'Base File'!$H:$H,"Yes",'Base File'!$B:$B,'Account Summary'!$C10,'Base File'!$AZ:$AZ,"Met")/SUM(COUNTIFS('Base File'!$G:$G,"Contractual SLA",'Base File'!$H:$H,"yes",'Base File'!$B:$B,'Account Summary'!$C10,'Base File'!$AZ:$AZ,"Met")+COUNTIFS('Base File'!$G:$G,"Contractual SLA",'Base File'!$H:$H,"yes",'Base File'!$B:$B,'Account Summary'!$C10,'Base File'!$AZ:$AZ,"Not Met")),"-")</f>
        <v>0.5</v>
      </c>
      <c r="AA10" s="100" t="str">
        <f>IFERROR(COUNTIFS('Base File'!$G:$G,"Internal KPI",'Base File'!$B:$B,'Account Summary'!$C10,'Base File'!$AZ:$AZ,"Met")/SUM(COUNTIFS('Base File'!$G:$G,"Internal KPI",'Base File'!$B:$B,'Account Summary'!$C10,'Base File'!$AZ:$AZ,"Met")+COUNTIFS('Base File'!$G:$G,"Internal KPI",'Base File'!$B:$B,'Account Summary'!$C10,'Base File'!$AZ:$AZ,"Not Met")),"-")</f>
        <v>-</v>
      </c>
      <c r="AB10" s="107">
        <f>IFERROR(COUNTIFS('Base File'!$BB:$BB,"Met",'Base File'!$B:$B,'Account Summary'!C10)/(COUNTIFS('Base File'!$BB:$BB,"Met",'Base File'!$B:$B,'Account Summary'!C10)+COUNTIFS('Base File'!$BB:$BB,"Not Met",'Base File'!$B:$B,'Account Summary'!C10)),"NR")</f>
        <v>0.7</v>
      </c>
      <c r="AC10" s="105">
        <f>IFERROR(COUNTIFS('Base File'!$G:$G,"Contractual SLA",'Base File'!$H:$H,"No",'Base File'!$B:$B,'Account Summary'!$C10,'Base File'!$BB:$BB,"Met")/SUM(COUNTIFS('Base File'!$G:$G,"Contractual SLA",'Base File'!$H:$H,"No",'Base File'!$B:$B,'Account Summary'!$C10,'Base File'!$BB:$BB,"Met")+COUNTIFS('Base File'!$G:$G,"Contractual SLA",'Base File'!$H:$H,"No",'Base File'!$B:$B,'Account Summary'!$C10,'Base File'!$BB:$BB,"Not Met")),"-")</f>
        <v>0.83333333333333337</v>
      </c>
      <c r="AD10" s="110">
        <f>IFERROR(COUNTIFS('Base File'!$G:$G,"Contractual SLA",'Base File'!$H:$H,"Yes",'Base File'!$B:$B,'Account Summary'!$C10,'Base File'!$BB:$BB,"Met")/SUM(COUNTIFS('Base File'!$G:$G,"Contractual SLA",'Base File'!$H:$H,"yes",'Base File'!$B:$B,'Account Summary'!$C10,'Base File'!$BB:$BB,"Met")+COUNTIFS('Base File'!$G:$G,"Contractual SLA",'Base File'!$H:$H,"yes",'Base File'!$B:$B,'Account Summary'!$C10,'Base File'!$BB:$BB,"Not Met")),"-")</f>
        <v>0.5</v>
      </c>
      <c r="AE10" s="100" t="s">
        <v>11</v>
      </c>
      <c r="AF10" s="99">
        <f>IFERROR(COUNTIFS('Base File'!$BD:$BD,"Met",'Base File'!$B:$B,'Account Summary'!C10)/(COUNTIFS('Base File'!$BD:$BD,"Met",'Base File'!$B:$B,'Account Summary'!C10)+COUNTIFS('Base File'!$BD:$BD,"Not Met",'Base File'!$B:$B,'Account Summary'!C10)),"NR")</f>
        <v>0.8</v>
      </c>
      <c r="AG10" s="99">
        <f>IFERROR(COUNTIFS('Base File'!$G:$G,"Contractual SLA",'Base File'!$H:$H,"No",'Base File'!$B:$B,'Account Summary'!$C10,'Base File'!$BD:$BD,"Met")/SUM(COUNTIFS('Base File'!$G:$G,"Contractual SLA",'Base File'!$H:$H,"No",'Base File'!$B:$B,'Account Summary'!$C10,'Base File'!$BD:$BD,"Met")+COUNTIFS('Base File'!$G:$G,"Contractual SLA",'Base File'!$H:$H,"No",'Base File'!$B:$B,'Account Summary'!$C10,'Base File'!$BD:$BD,"Not Met")),"-")</f>
        <v>1</v>
      </c>
      <c r="AH10" s="110">
        <f>IFERROR(COUNTIFS('Base File'!$G:$G,"Contractual SLA",'Base File'!$H:$H,"Yes",'Base File'!$B:$B,'Account Summary'!$C10,'Base File'!$BD:$BD,"Met")/SUM(COUNTIFS('Base File'!$G:$G,"Contractual SLA",'Base File'!$H:$H,"yes",'Base File'!$B:$B,'Account Summary'!$C10,'Base File'!$BD:$BD,"Met")+COUNTIFS('Base File'!$G:$G,"Contractual SLA",'Base File'!$H:$H,"yes",'Base File'!$B:$B,'Account Summary'!$C10,'Base File'!$BD:$BD,"Not Met")),"-")</f>
        <v>0.5</v>
      </c>
      <c r="AI10" s="100" t="s">
        <v>11</v>
      </c>
      <c r="AJ10" s="99">
        <f>IFERROR(COUNTIFS('Base File'!$BF:$BF,"Met",'Base File'!$B:$B,'Account Summary'!C10)/(COUNTIFS('Base File'!$BF:$BF,"Met",'Base File'!$B:$B,'Account Summary'!C10)+COUNTIFS('Base File'!$BF:$BF,"Not Met",'Base File'!$B:$B,'Account Summary'!C10)),"NR")</f>
        <v>1</v>
      </c>
      <c r="AK10" s="99">
        <f>IFERROR(COUNTIFS('Base File'!$G:$G,"Contractual SLA",'Base File'!$H:$H,"No",'Base File'!$B:$B,'Account Summary'!$C10,'Base File'!$BF:$BF,"Met")/SUM(COUNTIFS('Base File'!$G:$G,"Contractual SLA",'Base File'!$H:$H,"No",'Base File'!$B:$B,'Account Summary'!$C10,'Base File'!$BF:$BF,"Met")+COUNTIFS('Base File'!$G:$G,"Contractual SLA",'Base File'!$H:$H,"No",'Base File'!$B:$B,'Account Summary'!$C10,'Base File'!$BF:$BF,"Not Met")),"-")</f>
        <v>1</v>
      </c>
      <c r="AL10" s="99">
        <f>IFERROR(COUNTIFS('Base File'!$G:$G,"Contractual SLA",'Base File'!$H:$H,"Yes",'Base File'!$B:$B,'Account Summary'!$C10,'Base File'!$BF:$BF,"Met")/SUM(COUNTIFS('Base File'!$G:$G,"Contractual SLA",'Base File'!$H:$H,"yes",'Base File'!$B:$B,'Account Summary'!$C10,'Base File'!$BF:$BF,"Met")+COUNTIFS('Base File'!$G:$G,"Contractual SLA",'Base File'!$H:$H,"yes",'Base File'!$B:$B,'Account Summary'!$C10,'Base File'!$BF:$BF,"Not Met")),"-")</f>
        <v>1</v>
      </c>
      <c r="AM10" s="100" t="s">
        <v>11</v>
      </c>
      <c r="AN10" s="99">
        <f>IFERROR(COUNTIFS('Base File'!$BH:$BH,"Met",'Base File'!$B:$B,'Account Summary'!C10)/(COUNTIFS('Base File'!$BH:$BH,"Met",'Base File'!$B:$B,'Account Summary'!C10)+COUNTIFS('Base File'!$BH:$BH,"Not Met",'Base File'!$B:$B,'Account Summary'!C10)),"NR")</f>
        <v>1</v>
      </c>
      <c r="AO10" s="99">
        <f>IFERROR(COUNTIFS('Base File'!$G:$G,"Contractual SLA",'Base File'!$H:$H,"No",'Base File'!$B:$B,'Account Summary'!$C10,'Base File'!$BH:$BH,"Met")/SUM(COUNTIFS('Base File'!$G:$G,"Contractual SLA",'Base File'!$H:$H,"No",'Base File'!$B:$B,'Account Summary'!$C10,'Base File'!$BH:$BH,"Met")+COUNTIFS('Base File'!$G:$G,"Contractual SLA",'Base File'!$H:$H,"No",'Base File'!$B:$B,'Account Summary'!$C10,'Base File'!$BH:$BH,"Not Met")),"-")</f>
        <v>1</v>
      </c>
      <c r="AP10" s="99">
        <f>IFERROR(COUNTIFS('Base File'!$G:$G,"Contractual SLA",'Base File'!$H:$H,"Yes",'Base File'!$B:$B,'Account Summary'!$C10,'Base File'!$BH:$BH,"Met")/SUM(COUNTIFS('Base File'!$G:$G,"Contractual SLA",'Base File'!$H:$H,"yes",'Base File'!$B:$B,'Account Summary'!$C10,'Base File'!$BH:$BH,"Met")+COUNTIFS('Base File'!$G:$G,"Contractual SLA",'Base File'!$H:$H,"yes",'Base File'!$B:$B,'Account Summary'!$C10,'Base File'!$BH:$BH,"Not Met")),"-")</f>
        <v>1</v>
      </c>
      <c r="AQ10" s="100" t="s">
        <v>11</v>
      </c>
      <c r="AR10" s="99">
        <f>IFERROR(COUNTIFS('Base File'!$BJ:$BJ,"Met",'Base File'!$B:$B,'Account Summary'!C10)/(COUNTIFS('Base File'!$BJ:$BJ,"Met",'Base File'!$B:$B,'Account Summary'!C10)+COUNTIFS('Base File'!$BJ:$BJ,"Not Met",'Base File'!$B:$B,'Account Summary'!C10)),"NR")</f>
        <v>0.8</v>
      </c>
      <c r="AS10" s="105">
        <f>IFERROR(COUNTIFS('Base File'!$G:$G,"Contractual SLA",'Base File'!$H:$H,"No",'Base File'!$B:$B,'Account Summary'!$C10,'Base File'!$BJ:$BJ,"Met")/SUM(COUNTIFS('Base File'!$G:$G,"Contractual SLA",'Base File'!$H:$H,"No",'Base File'!$B:$B,'Account Summary'!$C10,'Base File'!$BJ:$BJ,"Met")+COUNTIFS('Base File'!$G:$G,"Contractual SLA",'Base File'!$H:$H,"No",'Base File'!$B:$B,'Account Summary'!$C10,'Base File'!$BJ:$BJ,"Not Met")),"-")</f>
        <v>0.83333333333333337</v>
      </c>
      <c r="AT10" s="110">
        <f>IFERROR(COUNTIFS('Base File'!$G:$G,"Contractual SLA",'Base File'!$H:$H,"Yes",'Base File'!$B:$B,'Account Summary'!$C10,'Base File'!$BJ:$BJ,"Met")/SUM(COUNTIFS('Base File'!$G:$G,"Contractual SLA",'Base File'!$H:$H,"yes",'Base File'!$B:$B,'Account Summary'!$C10,'Base File'!$BJ:$BJ,"Met")+COUNTIFS('Base File'!$G:$G,"Contractual SLA",'Base File'!$H:$H,"yes",'Base File'!$B:$B,'Account Summary'!$C10,'Base File'!$BJ:$BJ,"Not Met")),"-")</f>
        <v>0.75</v>
      </c>
      <c r="AU10" s="100" t="s">
        <v>11</v>
      </c>
      <c r="AV10" s="100">
        <f>IFERROR(COUNTIFS('Base File'!$BL:$BL,"Met",'Base File'!$B:$B,'Account Summary'!C10)/(COUNTIFS('Base File'!$BL:$BL,"Met",'Base File'!$B:$B,'Account Summary'!C10)+COUNTIFS('Base File'!$BL:$BL,"Not Met",'Base File'!$B:$B,'Account Summary'!C10)),"NR")</f>
        <v>0.66666666666666663</v>
      </c>
      <c r="AW10" s="100">
        <f>IFERROR(COUNTIFS('Base File'!$G:$G,"Contractual SLA",'Base File'!$H:$H,"No",'Base File'!$B:$B,'Account Summary'!$C10,'Base File'!$BL:$BL,"Met")/SUM(COUNTIFS('Base File'!$G:$G,"Contractual SLA",'Base File'!$H:$H,"No",'Base File'!$B:$B,'Account Summary'!$C10,'Base File'!$BL:$BL,"Met")+COUNTIFS('Base File'!$G:$G,"Contractual SLA",'Base File'!$H:$H,"No",'Base File'!$B:$B,'Account Summary'!$C10,'Base File'!$BL:$BL,"Not Met")),"-")</f>
        <v>0.5</v>
      </c>
      <c r="AX10" s="100">
        <f>IFERROR(COUNTIFS('Base File'!$G:$G,"Contractual SLA",'Base File'!$H:$H,"Yes",'Base File'!$B:$B,'Account Summary'!$C10,'Base File'!$BL:$BL,"Met")/SUM(COUNTIFS('Base File'!$G:$G,"Contractual SLA",'Base File'!$H:$H,"yes",'Base File'!$B:$B,'Account Summary'!$C10,'Base File'!$BL:$BL,"Met")+COUNTIFS('Base File'!$G:$G,"Contractual SLA",'Base File'!$H:$H,"yes",'Base File'!$B:$B,'Account Summary'!$C10,'Base File'!$BL:$BL,"Not Met")),"-")</f>
        <v>1</v>
      </c>
      <c r="AY10" s="100" t="s">
        <v>11</v>
      </c>
      <c r="AZ10" s="100">
        <v>1</v>
      </c>
      <c r="BA10" s="100">
        <v>1</v>
      </c>
      <c r="BB10" s="100">
        <v>1</v>
      </c>
      <c r="BC10" s="100" t="s">
        <v>11</v>
      </c>
      <c r="BD10" s="99">
        <f>IFERROR(COUNTIFS('Base File'!$BP:$BP,"Met",'Base File'!$B:$B,'Account Summary'!C10)/(COUNTIFS('Base File'!$BP:$BP,"Met",'Base File'!$B:$B,'Account Summary'!C10)+COUNTIFS('Base File'!$BP:$BP,"Not Met",'Base File'!$B:$B,'Account Summary'!C10)),"NR")</f>
        <v>0.9</v>
      </c>
      <c r="BE10" s="99">
        <f>IFERROR(COUNTIFS('Base File'!$G:$G,"Contractual SLA",'Base File'!$H:$H,"No",'Base File'!$B:$B,'Account Summary'!$C10,'Base File'!$BP:$BP,"Met")/SUM(COUNTIFS('Base File'!$G:$G,"Contractual SLA",'Base File'!$H:$H,"No",'Base File'!$B:$B,'Account Summary'!$C10,'Base File'!$BP:$BP,"Met")+COUNTIFS('Base File'!$G:$G,"Contractual SLA",'Base File'!$H:$H,"No",'Base File'!$B:$B,'Account Summary'!$C10,'Base File'!$BP:$BP,"Not Met")),"-")</f>
        <v>0.83333333333333337</v>
      </c>
      <c r="BF10" s="99">
        <f>IFERROR(COUNTIFS('Base File'!$G:$G,"Contractual SLA",'Base File'!$H:$H,"Yes",'Base File'!$B:$B,'Account Summary'!$C10,'Base File'!$BP:$BP,"Met")/SUM(COUNTIFS('Base File'!$G:$G,"Contractual SLA",'Base File'!$H:$H,"yes",'Base File'!$B:$B,'Account Summary'!$C10,'Base File'!$BP:$BP,"Met")+COUNTIFS('Base File'!$G:$G,"Contractual SLA",'Base File'!$H:$H,"yes",'Base File'!$B:$B,'Account Summary'!$C10,'Base File'!$BP:$BP,"Not Met")),"-")</f>
        <v>1</v>
      </c>
      <c r="BG10" s="100" t="s">
        <v>11</v>
      </c>
      <c r="BH10" s="100" t="str">
        <f>IFERROR(COUNTIFS('Base File'!$BR:$BR,"Met",'Base File'!$B:$B,'Account Summary'!C10)/(COUNTIFS('Base File'!$BR:$BR,"Met",'Base File'!$B:$B,'Account Summary'!C10)+COUNTIFS('Base File'!$BR:$BR,"Not Met",'Base File'!$B:$B,'Account Summary'!C10)),"NR")</f>
        <v>NR</v>
      </c>
      <c r="BI10" s="101" t="s">
        <v>103</v>
      </c>
      <c r="BJ10" s="100" t="s">
        <v>103</v>
      </c>
      <c r="BK10" s="100" t="s">
        <v>11</v>
      </c>
      <c r="BL10" s="100">
        <f>IFERROR(COUNTIFS('Base File'!$BT:$BT,"Met",'Base File'!$B:$B,'Account Summary'!C10)/(COUNTIFS('Base File'!$BT:$BT,"Met",'Base File'!$B:$B,'Account Summary'!C10)+COUNTIFS('Base File'!$BT:$BT,"Not Met",'Base File'!$B:$B,'Account Summary'!C10)),"NR")</f>
        <v>0.8</v>
      </c>
      <c r="BM10" s="100">
        <f>IFERROR(COUNTIFS('Base File'!$G:$G,"Contractual SLA",'Base File'!$H:$H,"No",'Base File'!$B:$B,'Account Summary'!$C10,'Base File'!$BT:$BT,"Met")/SUM(COUNTIFS('Base File'!$G:$G,"Contractual SLA",'Base File'!$H:$H,"No",'Base File'!$B:$B,'Account Summary'!$C10,'Base File'!$BT:$BT,"Met")+COUNTIFS('Base File'!$G:$G,"Contractual SLA",'Base File'!$H:$H,"No",'Base File'!$B:$B,'Account Summary'!$C10,'Base File'!$BT:$BT,"Not Met")),"-")</f>
        <v>0.66666666666666663</v>
      </c>
      <c r="BN10" s="100">
        <f>IFERROR(COUNTIFS('Base File'!$G:$G,"Contractual SLA",'Base File'!$H:$H,"Yes",'Base File'!$B:$B,'Account Summary'!$C10,'Base File'!$BT:$BT,"Met")/SUM(COUNTIFS('Base File'!$G:$G,"Contractual SLA",'Base File'!$H:$H,"yes",'Base File'!$B:$B,'Account Summary'!$C10,'Base File'!$BT:$BT,"Met")+COUNTIFS('Base File'!$G:$G,"Contractual SLA",'Base File'!$H:$H,"yes",'Base File'!$B:$B,'Account Summary'!$C10,'Base File'!$BT:$BT,"Not Met")),"-")</f>
        <v>1</v>
      </c>
      <c r="BO10" s="100" t="s">
        <v>11</v>
      </c>
      <c r="BP10" s="100">
        <f>IFERROR(COUNTIFS('Base File'!$BV:$BV,"Met",'Base File'!$B:$B,'Account Summary'!C10)/(COUNTIFS('Base File'!$BV:$BV,"Met",'Base File'!$B:$B,'Account Summary'!C10)+COUNTIFS('Base File'!$BV:$BV,"Not Met",'Base File'!$B:$B,'Account Summary'!C10)),"NR")</f>
        <v>0.8</v>
      </c>
      <c r="BQ10" s="100">
        <v>0.67</v>
      </c>
      <c r="BR10" s="100">
        <f>IFERROR(COUNTIFS('Base File'!$G:$G,"Contractual SLA",'Base File'!$H:$H,"Yes",'Base File'!$B:$B,'Account Summary'!$C10,'Base File'!$BV:$BV,"Met")/SUM(COUNTIFS('Base File'!$G:$G,"Contractual SLA",'Base File'!$H:$H,"Yes",'Base File'!$B:$B,'Account Summary'!$C10,'Base File'!$BV:$BV,"Met")+COUNTIFS('Base File'!$G:$G,"Contractual SLA",'Base File'!$H:$H,"Yes",'Base File'!$B:$B,'Account Summary'!$C10,'Base File'!$BV:$BV,"Not Met")),"-")</f>
        <v>1</v>
      </c>
      <c r="BS10" s="100" t="s">
        <v>11</v>
      </c>
    </row>
    <row r="11" spans="1:72" s="12" customFormat="1" x14ac:dyDescent="0.25">
      <c r="A11" s="389"/>
      <c r="B11" s="94">
        <v>8</v>
      </c>
      <c r="C11" s="94" t="s">
        <v>14</v>
      </c>
      <c r="D11" s="94" t="s">
        <v>101</v>
      </c>
      <c r="E11" s="95" t="s">
        <v>901</v>
      </c>
      <c r="F11" s="94" t="s">
        <v>900</v>
      </c>
      <c r="G11" s="96"/>
      <c r="H11" s="94"/>
      <c r="I11" s="94" t="s">
        <v>102</v>
      </c>
      <c r="J11" s="89" t="s">
        <v>11</v>
      </c>
      <c r="K11" s="89" t="s">
        <v>11</v>
      </c>
      <c r="L11" s="98" t="str">
        <f>IFERROR(COUNTIFS('Base File'!$AR:$AR,"Met",'Base File'!$B:$B,'Account Summary'!C11)/(COUNTIFS('Base File'!$AR:$AR,"Met",'Base File'!$B:$B,'Account Summary'!C11)+COUNTIFS('Base File'!$AR:$AR,"Not Met",'Base File'!$B:$B,'Account Summary'!C11)),"NR")</f>
        <v>NR</v>
      </c>
      <c r="M11" s="98" t="str">
        <f>IFERROR(COUNTIFS('Base File'!$G:$G,"Contractual SLA",'Base File'!$H:$H,"No",'Base File'!$B:$B,'Account Summary'!$C11,'Base File'!$AR:$AR,"Met")/SUM(COUNTIFS('Base File'!$G:$G,"Contractual SLA",'Base File'!$H:$H,"No",'Base File'!$B:$B,'Account Summary'!$C11,'Base File'!$AR:$AR,"Met")+COUNTIFS('Base File'!$G:$G,"Contractual SLA",'Base File'!$H:$H,"No",'Base File'!$B:$B,'Account Summary'!$C11,'Base File'!$AR:$AR,"Not Met")),"-")</f>
        <v>-</v>
      </c>
      <c r="N11" s="98" t="str">
        <f>IFERROR(COUNTIFS('Base File'!$G:$G,"Contractual SLA",'Base File'!$H:$H,"Yes",'Base File'!$B:$B,'Account Summary'!$C11,'Base File'!$AR:$AR,"Met")/SUM(COUNTIFS('Base File'!$G:$G,"Contractual SLA",'Base File'!$H:$H,"yes",'Base File'!$B:$B,'Account Summary'!$C11,'Base File'!$AR:$AR,"Met")+COUNTIFS('Base File'!$G:$G,"Contractual SLA",'Base File'!$H:$H,"yes",'Base File'!$B:$B,'Account Summary'!$C11,'Base File'!$AR:$AR,"Not Met")),"-")</f>
        <v>-</v>
      </c>
      <c r="O11" s="98" t="s">
        <v>103</v>
      </c>
      <c r="P11" s="98" t="str">
        <f>IFERROR(COUNTIFS('Base File'!$AV:$AV,"Met",'Base File'!$B:$B,'Account Summary'!C11)/(COUNTIFS('Base File'!$AV:$AV,"Met",'Base File'!$B:$B,'Account Summary'!C11)+COUNTIFS('Base File'!$AV:$AV,"Not Met",'Base File'!$B:$B,'Account Summary'!C11)),"NR")</f>
        <v>NR</v>
      </c>
      <c r="Q11" s="98" t="str">
        <f>IFERROR(COUNTIFS('Base File'!$G:$G,"Contractual SLA",'Base File'!$H:$H,"No",'Base File'!$B:$B,'Account Summary'!$C11,'Base File'!$AV:$AV,"Met")/SUM(COUNTIFS('Base File'!$G:$G,"Contractual SLA",'Base File'!$H:$H,"No",'Base File'!$B:$B,'Account Summary'!$C11,'Base File'!$AV:$AV,"Met")+COUNTIFS('Base File'!$G:$G,"Contractual SLA",'Base File'!$H:$H,"No",'Base File'!$B:$B,'Account Summary'!$C11,'Base File'!$AV:$AV,"Not Met")),"-")</f>
        <v>-</v>
      </c>
      <c r="R11" s="103" t="str">
        <f>IFERROR(COUNTIFS('Base File'!$G:$G,"Contractual SLA",'Base File'!$H:$H,"Yes",'Base File'!$B:$B,'Account Summary'!$C11,'Base File'!$AV:$AV,"Met")/SUM(COUNTIFS('Base File'!$G:$G,"Contractual SLA",'Base File'!$H:$H,"yes",'Base File'!$B:$B,'Account Summary'!$C11,'Base File'!$AV:$AV,"Met")+COUNTIFS('Base File'!$G:$G,"Contractual SLA",'Base File'!$H:$H,"yes",'Base File'!$B:$B,'Account Summary'!$C11,'Base File'!$AV:$AV,"Not Met")),"-")</f>
        <v>-</v>
      </c>
      <c r="S11" s="98" t="str">
        <f>IFERROR(COUNTIFS('Base File'!$AV:$AV,"Met",'Base File'!$B:$B,'Account Summary'!G11)/(COUNTIFS('Base File'!$AV:$AV,"Met",'Base File'!$B:$B,'Account Summary'!G11)+COUNTIFS('Base File'!$AV:$AV,"Not Met",'Base File'!$B:$B,'Account Summary'!G11)),"NR")</f>
        <v>NR</v>
      </c>
      <c r="T11" s="100" t="str">
        <f>IFERROR(COUNTIFS('Base File'!$AX:$AX,"Met",'Base File'!$B:$B,'Account Summary'!C11)/(COUNTIFS('Base File'!$AX:$AX,"Met",'Base File'!$B:$B,'Account Summary'!C11)+COUNTIFS('Base File'!$AX:$AX,"Not Met",'Base File'!$B:$B,'Account Summary'!C11)),"NR")</f>
        <v>NR</v>
      </c>
      <c r="U11" s="101" t="str">
        <f>IFERROR(COUNTIFS('Base File'!$G:$G,"Contractual SLA",'Base File'!$H:$H,"No",'Base File'!$B:$B,'Account Summary'!$C11,'Base File'!$AX:$AX,"Met")/SUM(COUNTIFS('Base File'!$G:$G,"Contractual SLA",'Base File'!$H:$H,"No",'Base File'!$B:$B,'Account Summary'!$C11,'Base File'!$AX:$AX,"Met")+COUNTIFS('Base File'!$G:$G,"Contractual SLA",'Base File'!$H:$H,"No",'Base File'!$B:$B,'Account Summary'!$C11,'Base File'!$AX:$AX,"Not Met")),"NA")</f>
        <v>NA</v>
      </c>
      <c r="V11" s="100" t="str">
        <f>IFERROR(COUNTIFS('Base File'!$G:$G,"Contractual SLA",'Base File'!$H:$H,"Yes",'Base File'!$B:$B,'Account Summary'!$C11,'Base File'!$AX:$AX,"Met")/SUM(COUNTIFS('Base File'!$G:$G,"Contractual SLA",'Base File'!$H:$H,"yes",'Base File'!$B:$B,'Account Summary'!$C11,'Base File'!$AX:$AX,"Met")+COUNTIFS('Base File'!$G:$G,"Contractual SLA",'Base File'!$H:$H,"yes",'Base File'!$B:$B,'Account Summary'!$C11,'Base File'!$AX:$AX,"Not Met")),"NA")</f>
        <v>NA</v>
      </c>
      <c r="W11" s="100" t="s">
        <v>103</v>
      </c>
      <c r="X11" s="100" t="str">
        <f>IFERROR(COUNTIFS('Base File'!$AZ:$AZ,"Met",'Base File'!$B:$B,'Account Summary'!C11)/(COUNTIFS('Base File'!$AZ:$AZ,"Met",'Base File'!$B:$B,'Account Summary'!C11)+COUNTIFS('Base File'!$AZ:$AZ,"Not Met",'Base File'!$B:$B,'Account Summary'!C11)),"NR")</f>
        <v>NR</v>
      </c>
      <c r="Y11" s="101" t="str">
        <f>IFERROR(COUNTIFS('Base File'!$G:$G,"Contractual SLA",'Base File'!$H:$H,"No",'Base File'!$B:$B,'Account Summary'!$C11,'Base File'!$AZ:$AZ,"Met")/SUM(COUNTIFS('Base File'!$G:$G,"Contractual SLA",'Base File'!$H:$H,"No",'Base File'!$B:$B,'Account Summary'!$C11,'Base File'!$AZ:$AZ,"Met")+COUNTIFS('Base File'!$G:$G,"Contractual SLA",'Base File'!$H:$H,"No",'Base File'!$B:$B,'Account Summary'!$C11,'Base File'!$AZ:$AZ,"Not Met")),"-")</f>
        <v>-</v>
      </c>
      <c r="Z11" s="100" t="str">
        <f>IFERROR(COUNTIFS('Base File'!$G:$G,"Contractual SLA",'Base File'!$H:$H,"Yes",'Base File'!$B:$B,'Account Summary'!$C11,'Base File'!$AZ:$AZ,"Met")/SUM(COUNTIFS('Base File'!$G:$G,"Contractual SLA",'Base File'!$H:$H,"yes",'Base File'!$B:$B,'Account Summary'!$C11,'Base File'!$AZ:$AZ,"Met")+COUNTIFS('Base File'!$G:$G,"Contractual SLA",'Base File'!$H:$H,"yes",'Base File'!$B:$B,'Account Summary'!$C11,'Base File'!$AZ:$AZ,"Not Met")),"-")</f>
        <v>-</v>
      </c>
      <c r="AA11" s="100" t="s">
        <v>103</v>
      </c>
      <c r="AB11" s="101" t="str">
        <f>IFERROR(COUNTIFS('Base File'!$BB:$BB,"Met",'Base File'!$B:$B,'Account Summary'!C11)/(COUNTIFS('Base File'!$BB:$BB,"Met",'Base File'!$B:$B,'Account Summary'!C11)+COUNTIFS('Base File'!$BB:$BB,"Not Met",'Base File'!$B:$B,'Account Summary'!C11)),"NR")</f>
        <v>NR</v>
      </c>
      <c r="AC11" s="101" t="str">
        <f>IFERROR(COUNTIFS('Base File'!$G:$G,"Contractual SLA",'Base File'!$H:$H,"No",'Base File'!$B:$B,'Account Summary'!$C11,'Base File'!$BB:$BB,"Met")/SUM(COUNTIFS('Base File'!$G:$G,"Contractual SLA",'Base File'!$H:$H,"No",'Base File'!$B:$B,'Account Summary'!$C11,'Base File'!$BB:$BB,"Met")+COUNTIFS('Base File'!$G:$G,"Contractual SLA",'Base File'!$H:$H,"No",'Base File'!$B:$B,'Account Summary'!$C11,'Base File'!$BB:$BB,"Not Met")),"-")</f>
        <v>-</v>
      </c>
      <c r="AD11" s="100" t="str">
        <f>IFERROR(COUNTIFS('Base File'!$G:$G,"Contractual SLA",'Base File'!$H:$H,"Yes",'Base File'!$B:$B,'Account Summary'!$C11,'Base File'!$BB:$BB,"Met")/SUM(COUNTIFS('Base File'!$G:$G,"Contractual SLA",'Base File'!$H:$H,"yes",'Base File'!$B:$B,'Account Summary'!$C11,'Base File'!$BB:$BB,"Met")+COUNTIFS('Base File'!$G:$G,"Contractual SLA",'Base File'!$H:$H,"yes",'Base File'!$B:$B,'Account Summary'!$C11,'Base File'!$BB:$BB,"Not Met")),"-")</f>
        <v>-</v>
      </c>
      <c r="AE11" s="100" t="s">
        <v>103</v>
      </c>
      <c r="AF11" s="100" t="str">
        <f>IFERROR(COUNTIFS('Base File'!$BD:$BD,"Met",'Base File'!$B:$B,'Account Summary'!C11)/(COUNTIFS('Base File'!$BD:$BD,"Met",'Base File'!$B:$B,'Account Summary'!C11)+COUNTIFS('Base File'!$BD:$BD,"Not Met",'Base File'!$B:$B,'Account Summary'!C11)),"NR")</f>
        <v>NR</v>
      </c>
      <c r="AG11" s="100" t="str">
        <f>IFERROR(COUNTIFS('Base File'!$G:$G,"Contractual SLA",'Base File'!$H:$H,"No",'Base File'!$B:$B,'Account Summary'!$C11,'Base File'!$BD:$BD,"Met")/SUM(COUNTIFS('Base File'!$G:$G,"Contractual SLA",'Base File'!$H:$H,"No",'Base File'!$B:$B,'Account Summary'!$C11,'Base File'!$BD:$BD,"Met")+COUNTIFS('Base File'!$G:$G,"Contractual SLA",'Base File'!$H:$H,"No",'Base File'!$B:$B,'Account Summary'!$C11,'Base File'!$BD:$BD,"Not Met")),"-")</f>
        <v>-</v>
      </c>
      <c r="AH11" s="100" t="str">
        <f>IFERROR(COUNTIFS('Base File'!$G:$G,"Contractual SLA",'Base File'!$H:$H,"Yes",'Base File'!$B:$B,'Account Summary'!$C11,'Base File'!$BD:$BD,"Met")/SUM(COUNTIFS('Base File'!$G:$G,"Contractual SLA",'Base File'!$H:$H,"yes",'Base File'!$B:$B,'Account Summary'!$C11,'Base File'!$BD:$BD,"Met")+COUNTIFS('Base File'!$G:$G,"Contractual SLA",'Base File'!$H:$H,"yes",'Base File'!$B:$B,'Account Summary'!$C11,'Base File'!$BD:$BD,"Not Met")),"-")</f>
        <v>-</v>
      </c>
      <c r="AI11" s="100" t="str">
        <f>IFERROR(COUNTIFS('Base File'!$BD:$BD,"Met",'Base File'!$B:$B,'Account Summary'!G11)/(COUNTIFS('Base File'!$BD:$BD,"Met",'Base File'!$B:$B,'Account Summary'!G11)+COUNTIFS('Base File'!$BD:$BD,"Not Met",'Base File'!$B:$B,'Account Summary'!G11)),"NR")</f>
        <v>NR</v>
      </c>
      <c r="AJ11" s="100" t="str">
        <f>IFERROR(COUNTIFS('Base File'!$BV:$BV,"Met",'Base File'!$B:$B,'Account Summary'!#REF!)/(COUNTIFS('Base File'!$BV:$BV,"Met",'Base File'!$B:$B,'Account Summary'!#REF!)+COUNTIFS('Base File'!$BV:$BV,"Not Met",'Base File'!$B:$B,'Account Summary'!#REF!)),"NR")</f>
        <v>NR</v>
      </c>
      <c r="AK11" s="100" t="str">
        <f>IFERROR(COUNTIFS('Base File'!$G:$G,"Contractual SLA",'Base File'!$H:$H,"No",'Base File'!$B:$B,'Account Summary'!$C11,'Base File'!$BV:$BV,"Met")/SUM(COUNTIFS('Base File'!$G:$G,"Contractual SLA",'Base File'!$H:$H,"No",'Base File'!$B:$B,'Account Summary'!$C11,'Base File'!$BV:$BV,"Met")+COUNTIFS('Base File'!$G:$G,"Contractual SLA",'Base File'!$H:$H,"No",'Base File'!$B:$B,'Account Summary'!$C11,'Base File'!$BV:$BV,"Not Met")),"-")</f>
        <v>-</v>
      </c>
      <c r="AL11" s="100" t="str">
        <f>IFERROR(COUNTIFS('Base File'!$G:$G,"Contractual SLA",'Base File'!$H:$H,"Yes",'Base File'!$B:$B,'Account Summary'!$C11,'Base File'!$BV:$BV,"Met")/SUM(COUNTIFS('Base File'!$G:$G,"Contractual SLA",'Base File'!$H:$H,"Yes",'Base File'!$B:$B,'Account Summary'!$C11,'Base File'!$BV:$BV,"Met")+COUNTIFS('Base File'!$G:$G,"Contractual SLA",'Base File'!$H:$H,"Yes",'Base File'!$B:$B,'Account Summary'!$C11,'Base File'!$BV:$BV,"Not Met")),"-")</f>
        <v>-</v>
      </c>
      <c r="AM11" s="100" t="str">
        <f>IFERROR(COUNTIFS('Base File'!$BD:$BD,"Met",'Base File'!$B:$B,'Account Summary'!G11)/(COUNTIFS('Base File'!$BD:$BD,"Met",'Base File'!$B:$B,'Account Summary'!G11)+COUNTIFS('Base File'!$BD:$BD,"Not Met",'Base File'!$B:$B,'Account Summary'!G11)),"NR")</f>
        <v>NR</v>
      </c>
      <c r="AN11" s="100" t="str">
        <f>IFERROR(COUNTIFS('Base File'!$BH:$BH,"Met",'Base File'!$B:$B,'Account Summary'!C11)/(COUNTIFS('Base File'!$BH:$BH,"Met",'Base File'!$B:$B,'Account Summary'!C11)+COUNTIFS('Base File'!$BH:$BH,"Not Met",'Base File'!$B:$B,'Account Summary'!C11)),"NR")</f>
        <v>NR</v>
      </c>
      <c r="AO11" s="100" t="str">
        <f>IFERROR(COUNTIFS('Base File'!$G:$G,"Contractual SLA",'Base File'!$H:$H,"No",'Base File'!$B:$B,'Account Summary'!$C11,'Base File'!$BH:$BH,"Met")/SUM(COUNTIFS('Base File'!$G:$G,"Contractual SLA",'Base File'!$H:$H,"No",'Base File'!$B:$B,'Account Summary'!$C11,'Base File'!$BH:$BH,"Met")+COUNTIFS('Base File'!$G:$G,"Contractual SLA",'Base File'!$H:$H,"No",'Base File'!$B:$B,'Account Summary'!$C11,'Base File'!$BH:$BH,"Not Met")),"-")</f>
        <v>-</v>
      </c>
      <c r="AP11" s="100" t="str">
        <f>IFERROR(COUNTIFS('Base File'!$G:$G,"Contractual SLA",'Base File'!$H:$H,"Yes",'Base File'!$B:$B,'Account Summary'!$C11,'Base File'!$BH:$BH,"Met")/SUM(COUNTIFS('Base File'!$G:$G,"Contractual SLA",'Base File'!$H:$H,"yes",'Base File'!$B:$B,'Account Summary'!$C11,'Base File'!$BH:$BH,"Met")+COUNTIFS('Base File'!$G:$G,"Contractual SLA",'Base File'!$H:$H,"yes",'Base File'!$B:$B,'Account Summary'!$C11,'Base File'!$BH:$BH,"Not Met")),"-")</f>
        <v>-</v>
      </c>
      <c r="AQ11" s="100" t="str">
        <f>IFERROR(COUNTIFS('Base File'!$BH:$BH,"Met",'Base File'!$B:$B,'Account Summary'!G11)/(COUNTIFS('Base File'!$BH:$BH,"Met",'Base File'!$B:$B,'Account Summary'!G11)+COUNTIFS('Base File'!$BH:$BH,"Not Met",'Base File'!$B:$B,'Account Summary'!G11)),"NR")</f>
        <v>NR</v>
      </c>
      <c r="AR11" s="100" t="str">
        <f>IFERROR(COUNTIFS('Base File'!$BJ:$BJ,"Met",'Base File'!$B:$B,'Account Summary'!C11)/(COUNTIFS('Base File'!$BJ:$BJ,"Met",'Base File'!$B:$B,'Account Summary'!C11)+COUNTIFS('Base File'!$BJ:$BJ,"Not Met",'Base File'!$B:$B,'Account Summary'!C11)),"NR")</f>
        <v>NR</v>
      </c>
      <c r="AS11" s="101" t="str">
        <f>IFERROR(COUNTIFS('Base File'!$G:$G,"Contractual SLA",'Base File'!$H:$H,"No",'Base File'!$B:$B,'Account Summary'!$C11,'Base File'!$BJ:$BJ,"Met")/SUM(COUNTIFS('Base File'!$G:$G,"Contractual SLA",'Base File'!$H:$H,"No",'Base File'!$B:$B,'Account Summary'!$C11,'Base File'!$BJ:$BJ,"Met")+COUNTIFS('Base File'!$G:$G,"Contractual SLA",'Base File'!$H:$H,"No",'Base File'!$B:$B,'Account Summary'!$C11,'Base File'!$BJ:$BJ,"Not Met")),"-")</f>
        <v>-</v>
      </c>
      <c r="AT11" s="100" t="str">
        <f>IFERROR(COUNTIFS('Base File'!$G:$G,"Contractual SLA",'Base File'!$H:$H,"Yes",'Base File'!$B:$B,'Account Summary'!$C11,'Base File'!$BJ:$BJ,"Met")/SUM(COUNTIFS('Base File'!$G:$G,"Contractual SLA",'Base File'!$H:$H,"yes",'Base File'!$B:$B,'Account Summary'!$C11,'Base File'!$BJ:$BJ,"Met")+COUNTIFS('Base File'!$G:$G,"Contractual SLA",'Base File'!$H:$H,"yes",'Base File'!$B:$B,'Account Summary'!$C11,'Base File'!$BJ:$BJ,"Not Met")),"-")</f>
        <v>-</v>
      </c>
      <c r="AU11" s="100" t="str">
        <f>IFERROR(COUNTIFS('Base File'!$BH:$BH,"Met",'Base File'!$B:$B,'Account Summary'!K11)/(COUNTIFS('Base File'!$BH:$BH,"Met",'Base File'!$B:$B,'Account Summary'!K11)+COUNTIFS('Base File'!$BH:$BH,"Not Met",'Base File'!$B:$B,'Account Summary'!K11)),"NR")</f>
        <v>NR</v>
      </c>
      <c r="AV11" s="100" t="s">
        <v>11</v>
      </c>
      <c r="AW11" s="100" t="str">
        <f>IFERROR(COUNTIFS('Base File'!$G:$G,"Contractual SLA",'Base File'!$H:$H,"No",'Base File'!$B:$B,'Account Summary'!$C11,'Base File'!$BL:$BL,"Met")/SUM(COUNTIFS('Base File'!$G:$G,"Contractual SLA",'Base File'!$H:$H,"No",'Base File'!$B:$B,'Account Summary'!$C11,'Base File'!$BL:$BL,"Met")+COUNTIFS('Base File'!$G:$G,"Contractual SLA",'Base File'!$H:$H,"No",'Base File'!$B:$B,'Account Summary'!$C11,'Base File'!$BL:$BL,"Not Met")),"-")</f>
        <v>-</v>
      </c>
      <c r="AX11" s="100" t="str">
        <f>IFERROR(COUNTIFS('Base File'!$G:$G,"Contractual SLA",'Base File'!$H:$H,"Yes",'Base File'!$B:$B,'Account Summary'!$C11,'Base File'!$BL:$BL,"Met")/SUM(COUNTIFS('Base File'!$G:$G,"Contractual SLA",'Base File'!$H:$H,"yes",'Base File'!$B:$B,'Account Summary'!$C11,'Base File'!$BL:$BL,"Met")+COUNTIFS('Base File'!$G:$G,"Contractual SLA",'Base File'!$H:$H,"yes",'Base File'!$B:$B,'Account Summary'!$C11,'Base File'!$BL:$BL,"Not Met")),"-")</f>
        <v>-</v>
      </c>
      <c r="AY11" s="100" t="s">
        <v>11</v>
      </c>
      <c r="AZ11" s="100" t="s">
        <v>11</v>
      </c>
      <c r="BA11" s="100" t="s">
        <v>107</v>
      </c>
      <c r="BB11" s="100" t="s">
        <v>107</v>
      </c>
      <c r="BC11" s="100" t="s">
        <v>11</v>
      </c>
      <c r="BD11" s="100" t="s">
        <v>11</v>
      </c>
      <c r="BE11" s="100" t="str">
        <f>IFERROR(COUNTIFS('Base File'!$G:$G,"Contractual SLA",'Base File'!$H:$H,"No",'Base File'!$B:$B,'Account Summary'!$C11,'Base File'!$BP:$BP,"Met")/SUM(COUNTIFS('Base File'!$G:$G,"Contractual SLA",'Base File'!$H:$H,"No",'Base File'!$B:$B,'Account Summary'!$C11,'Base File'!$BP:$BP,"Met")+COUNTIFS('Base File'!$G:$G,"Contractual SLA",'Base File'!$H:$H,"No",'Base File'!$B:$B,'Account Summary'!$C11,'Base File'!$BP:$BP,"Not Met")),"-")</f>
        <v>-</v>
      </c>
      <c r="BF11" s="100" t="str">
        <f>IFERROR(COUNTIFS('Base File'!$G:$G,"Contractual SLA",'Base File'!$H:$H,"Yes",'Base File'!$B:$B,'Account Summary'!$C11,'Base File'!$BP:$BP,"Met")/SUM(COUNTIFS('Base File'!$G:$G,"Contractual SLA",'Base File'!$H:$H,"yes",'Base File'!$B:$B,'Account Summary'!$C11,'Base File'!$BP:$BP,"Met")+COUNTIFS('Base File'!$G:$G,"Contractual SLA",'Base File'!$H:$H,"yes",'Base File'!$B:$B,'Account Summary'!$C11,'Base File'!$BP:$BP,"Not Met")),"-")</f>
        <v>-</v>
      </c>
      <c r="BG11" s="100" t="s">
        <v>11</v>
      </c>
      <c r="BH11" s="100" t="s">
        <v>11</v>
      </c>
      <c r="BI11" s="101" t="str">
        <f>IFERROR(COUNTIFS('Base File'!$G:$G,"Contractual SLA",'Base File'!$H:$H,"No",'Base File'!$B:$B,'Account Summary'!$C11,'Base File'!$BR:$BR,"Met")/SUM(COUNTIFS('Base File'!$G:$G,"Contractual SLA",'Base File'!$H:$H,"No",'Base File'!$B:$B,'Account Summary'!$C11,'Base File'!$BR:$BR,"Met")+COUNTIFS('Base File'!$G:$G,"Contractual SLA",'Base File'!$H:$H,"No",'Base File'!$B:$B,'Account Summary'!$C11,'Base File'!$BR:$BR,"Not Met")),"-")</f>
        <v>-</v>
      </c>
      <c r="BJ11" s="100" t="str">
        <f>IFERROR(COUNTIFS('Base File'!$G:$G,"Contractual SLA",'Base File'!$H:$H,"No",'Base File'!$B:$B,'Account Summary'!$C11,'Base File'!$BR:$BR,"Met")/SUM(COUNTIFS('Base File'!$G:$G,"Contractual SLA",'Base File'!$H:$H,"No",'Base File'!$B:$B,'Account Summary'!$C11,'Base File'!$BR:$BR,"Met")+COUNTIFS('Base File'!$G:$G,"Contractual SLA",'Base File'!$H:$H,"No",'Base File'!$B:$B,'Account Summary'!$C11,'Base File'!$BR:$BR,"Not Met")),"-")</f>
        <v>-</v>
      </c>
      <c r="BK11" s="100" t="s">
        <v>11</v>
      </c>
      <c r="BL11" s="100" t="s">
        <v>11</v>
      </c>
      <c r="BM11" s="100" t="str">
        <f>IFERROR(COUNTIFS('Base File'!$G:$G,"Contractual SLA",'Base File'!$H:$H,"No",'Base File'!$B:$B,'Account Summary'!$C11,'Base File'!$BT:$BT,"Met")/SUM(COUNTIFS('Base File'!$G:$G,"Contractual SLA",'Base File'!$H:$H,"No",'Base File'!$B:$B,'Account Summary'!$C11,'Base File'!$BT:$BT,"Met")+COUNTIFS('Base File'!$G:$G,"Contractual SLA",'Base File'!$H:$H,"No",'Base File'!$B:$B,'Account Summary'!$C11,'Base File'!$BT:$BT,"Not Met")),"-")</f>
        <v>-</v>
      </c>
      <c r="BN11" s="100" t="str">
        <f>IFERROR(COUNTIFS('Base File'!$G:$G,"Contractual SLA",'Base File'!$H:$H,"Yes",'Base File'!$B:$B,'Account Summary'!$C11,'Base File'!$BT:$BT,"Met")/SUM(COUNTIFS('Base File'!$G:$G,"Contractual SLA",'Base File'!$H:$H,"yes",'Base File'!$B:$B,'Account Summary'!$C11,'Base File'!$BT:$BT,"Met")+COUNTIFS('Base File'!$G:$G,"Contractual SLA",'Base File'!$H:$H,"yes",'Base File'!$B:$B,'Account Summary'!$C11,'Base File'!$BT:$BT,"Not Met")),"-")</f>
        <v>-</v>
      </c>
      <c r="BO11" s="100" t="s">
        <v>11</v>
      </c>
      <c r="BP11" s="100" t="s">
        <v>11</v>
      </c>
      <c r="BQ11" s="100" t="str">
        <f>IFERROR(COUNTIFS('Base File'!$G:$G,"Internal KPI",'Base File'!$B:$B,'Account Summary'!$C11,'Base File'!$BV:$BV,"Met")/SUM(COUNTIFS('Base File'!$G:$G,"Internal KPI",'Base File'!$B:$B,'Account Summary'!$C11,'Base File'!$BV:$BV,"Met")+COUNTIFS('Base File'!$G:$G,"Internal KPI",'Base File'!$B:$B,'Account Summary'!$C11,'Base File'!$BV:$BV,"Not Met")),"-")</f>
        <v>-</v>
      </c>
      <c r="BR11" s="100" t="str">
        <f>IFERROR(COUNTIFS('Base File'!$G:$G,"Contractual SLA",'Base File'!$H:$H,"Yes",'Base File'!$B:$B,'Account Summary'!$C11,'Base File'!$BV:$BV,"Met")/SUM(COUNTIFS('Base File'!$G:$G,"Contractual SLA",'Base File'!$H:$H,"Yes",'Base File'!$B:$B,'Account Summary'!$C11,'Base File'!$BV:$BV,"Met")+COUNTIFS('Base File'!$G:$G,"Contractual SLA",'Base File'!$H:$H,"Yes",'Base File'!$B:$B,'Account Summary'!$C11,'Base File'!$BV:$BV,"Not Met")),"-")</f>
        <v>-</v>
      </c>
      <c r="BS11" s="100" t="s">
        <v>11</v>
      </c>
    </row>
    <row r="12" spans="1:72" s="12" customFormat="1" x14ac:dyDescent="0.25">
      <c r="A12" s="389"/>
      <c r="B12" s="94">
        <v>9</v>
      </c>
      <c r="C12" s="94" t="s">
        <v>15</v>
      </c>
      <c r="D12" s="94" t="s">
        <v>101</v>
      </c>
      <c r="E12" s="95" t="s">
        <v>901</v>
      </c>
      <c r="F12" s="94" t="s">
        <v>900</v>
      </c>
      <c r="G12" s="96">
        <v>45124</v>
      </c>
      <c r="H12" s="94"/>
      <c r="I12" s="94" t="s">
        <v>102</v>
      </c>
      <c r="J12" s="373" t="s">
        <v>11</v>
      </c>
      <c r="K12" s="94" t="s">
        <v>11</v>
      </c>
      <c r="L12" s="98" t="s">
        <v>11</v>
      </c>
      <c r="M12" s="111" t="s">
        <v>107</v>
      </c>
      <c r="N12" s="111" t="s">
        <v>107</v>
      </c>
      <c r="O12" s="98" t="s">
        <v>11</v>
      </c>
      <c r="P12" s="98" t="s">
        <v>11</v>
      </c>
      <c r="Q12" s="98" t="str">
        <f>IFERROR(COUNTIFS('Base File'!$G:$G,"Contractual SLA",'Base File'!$H:$H,"No",'Base File'!$B:$B,'Account Summary'!$C12,'Base File'!$AV:$AV,"Met")/SUM(COUNTIFS('Base File'!$G:$G,"Contractual SLA",'Base File'!$H:$H,"No",'Base File'!$B:$B,'Account Summary'!$C12,'Base File'!$AV:$AV,"Met")+COUNTIFS('Base File'!$G:$G,"Contractual SLA",'Base File'!$H:$H,"No",'Base File'!$B:$B,'Account Summary'!$C12,'Base File'!$AV:$AV,"Not Met")),"-")</f>
        <v>-</v>
      </c>
      <c r="R12" s="103" t="str">
        <f>IFERROR(COUNTIFS('Base File'!$G:$G,"Contractual SLA",'Base File'!$H:$H,"Yes",'Base File'!$B:$B,'Account Summary'!$C12,'Base File'!$AV:$AV,"Met")/SUM(COUNTIFS('Base File'!$G:$G,"Contractual SLA",'Base File'!$H:$H,"yes",'Base File'!$B:$B,'Account Summary'!$C12,'Base File'!$AV:$AV,"Met")+COUNTIFS('Base File'!$G:$G,"Contractual SLA",'Base File'!$H:$H,"yes",'Base File'!$B:$B,'Account Summary'!$C12,'Base File'!$AV:$AV,"Not Met")),"-")</f>
        <v>-</v>
      </c>
      <c r="S12" s="98" t="s">
        <v>11</v>
      </c>
      <c r="T12" s="98" t="s">
        <v>11</v>
      </c>
      <c r="U12" s="98" t="str">
        <f>IFERROR(COUNTIFS('Base File'!$G:$G,"Contractual SLA",'Base File'!$H:$H,"No",'Base File'!$B:$B,'Account Summary'!$C12,'Base File'!$AV:$AV,"Met")/SUM(COUNTIFS('Base File'!$G:$G,"Contractual SLA",'Base File'!$H:$H,"No",'Base File'!$B:$B,'Account Summary'!$C12,'Base File'!$AV:$AV,"Met")+COUNTIFS('Base File'!$G:$G,"Contractual SLA",'Base File'!$H:$H,"No",'Base File'!$B:$B,'Account Summary'!$C12,'Base File'!$AV:$AV,"Not Met")),"NA")</f>
        <v>NA</v>
      </c>
      <c r="V12" s="100" t="str">
        <f>IFERROR(COUNTIFS('Base File'!$G:$G,"Contractual SLA",'Base File'!$H:$H,"Yes",'Base File'!$B:$B,'Account Summary'!$C12,'Base File'!$AX:$AX,"Met")/SUM(COUNTIFS('Base File'!$G:$G,"Contractual SLA",'Base File'!$H:$H,"yes",'Base File'!$B:$B,'Account Summary'!$C12,'Base File'!$AX:$AX,"Met")+COUNTIFS('Base File'!$G:$G,"Contractual SLA",'Base File'!$H:$H,"yes",'Base File'!$B:$B,'Account Summary'!$C12,'Base File'!$AX:$AX,"Not Met")),"NA")</f>
        <v>NA</v>
      </c>
      <c r="W12" s="98" t="s">
        <v>11</v>
      </c>
      <c r="X12" s="100" t="s">
        <v>11</v>
      </c>
      <c r="Y12" s="101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Z12" s="100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A12" s="100" t="s">
        <v>11</v>
      </c>
      <c r="AB12" s="101" t="s">
        <v>11</v>
      </c>
      <c r="AC12" s="101" t="str">
        <f>IFERROR(COUNTIFS('Base File'!$G:$G,"Contractual SLA",'Base File'!$H:$H,"No",'Base File'!$B:$B,'Account Summary'!$C12,'Base File'!$BB:$BB,"Met")/SUM(COUNTIFS('Base File'!$G:$G,"Contractual SLA",'Base File'!$H:$H,"No",'Base File'!$B:$B,'Account Summary'!$C12,'Base File'!$BB:$BB,"Met")+COUNTIFS('Base File'!$G:$G,"Contractual SLA",'Base File'!$H:$H,"No",'Base File'!$B:$B,'Account Summary'!$C12,'Base File'!$BB:$BB,"Not Met")),"-")</f>
        <v>-</v>
      </c>
      <c r="AD12" s="100" t="str">
        <f>IFERROR(COUNTIFS('Base File'!$G:$G,"Contractual SLA",'Base File'!$H:$H,"Yes",'Base File'!$B:$B,'Account Summary'!$C12,'Base File'!$BB:$BB,"Met")/SUM(COUNTIFS('Base File'!$G:$G,"Contractual SLA",'Base File'!$H:$H,"yes",'Base File'!$B:$B,'Account Summary'!$C12,'Base File'!$BB:$BB,"Met")+COUNTIFS('Base File'!$G:$G,"Contractual SLA",'Base File'!$H:$H,"yes",'Base File'!$B:$B,'Account Summary'!$C12,'Base File'!$BB:$BB,"Not Met")),"-")</f>
        <v>-</v>
      </c>
      <c r="AE12" s="100" t="s">
        <v>11</v>
      </c>
      <c r="AF12" s="100" t="s">
        <v>11</v>
      </c>
      <c r="AG12" s="101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AH12" s="100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I12" s="100" t="s">
        <v>11</v>
      </c>
      <c r="AJ12" s="100" t="s">
        <v>11</v>
      </c>
      <c r="AK12" s="101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AL12" s="100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M12" s="100" t="s">
        <v>11</v>
      </c>
      <c r="AN12" s="100" t="s">
        <v>11</v>
      </c>
      <c r="AO12" s="100" t="str">
        <f>IFERROR(COUNTIFS('Base File'!$G:$G,"Contractual SLA",'Base File'!$H:$H,"No",'Base File'!$B:$B,'Account Summary'!$C12,'Base File'!$BH:$BH,"Met")/SUM(COUNTIFS('Base File'!$G:$G,"Contractual SLA",'Base File'!$H:$H,"No",'Base File'!$B:$B,'Account Summary'!$C12,'Base File'!$BH:$BH,"Met")+COUNTIFS('Base File'!$G:$G,"Contractual SLA",'Base File'!$H:$H,"No",'Base File'!$B:$B,'Account Summary'!$C12,'Base File'!$BH:$BH,"Not Met")),"-")</f>
        <v>-</v>
      </c>
      <c r="AP12" s="100" t="str">
        <f>IFERROR(COUNTIFS('Base File'!$G:$G,"Contractual SLA",'Base File'!$H:$H,"Yes",'Base File'!$B:$B,'Account Summary'!$C12,'Base File'!$BH:$BH,"Met")/SUM(COUNTIFS('Base File'!$G:$G,"Contractual SLA",'Base File'!$H:$H,"yes",'Base File'!$B:$B,'Account Summary'!$C12,'Base File'!$BH:$BH,"Met")+COUNTIFS('Base File'!$G:$G,"Contractual SLA",'Base File'!$H:$H,"yes",'Base File'!$B:$B,'Account Summary'!$C12,'Base File'!$BH:$BH,"Not Met")),"-")</f>
        <v>-</v>
      </c>
      <c r="AQ12" s="100" t="s">
        <v>11</v>
      </c>
      <c r="AR12" s="100" t="s">
        <v>11</v>
      </c>
      <c r="AS12" s="101" t="str">
        <f>IFERROR(COUNTIFS('Base File'!$G:$G,"Contractual SLA",'Base File'!$H:$H,"No",'Base File'!$B:$B,'Account Summary'!$C12,'Base File'!$BJ:$BJ,"Met")/SUM(COUNTIFS('Base File'!$G:$G,"Contractual SLA",'Base File'!$H:$H,"No",'Base File'!$B:$B,'Account Summary'!$C12,'Base File'!$BJ:$BJ,"Met")+COUNTIFS('Base File'!$G:$G,"Contractual SLA",'Base File'!$H:$H,"No",'Base File'!$B:$B,'Account Summary'!$C12,'Base File'!$BJ:$BJ,"Not Met")),"-")</f>
        <v>-</v>
      </c>
      <c r="AT12" s="100" t="str">
        <f>IFERROR(COUNTIFS('Base File'!$G:$G,"Contractual SLA",'Base File'!$H:$H,"Yes",'Base File'!$B:$B,'Account Summary'!$C12,'Base File'!$BJ:$BJ,"Met")/SUM(COUNTIFS('Base File'!$G:$G,"Contractual SLA",'Base File'!$H:$H,"yes",'Base File'!$B:$B,'Account Summary'!$C12,'Base File'!$BJ:$BJ,"Met")+COUNTIFS('Base File'!$G:$G,"Contractual SLA",'Base File'!$H:$H,"yes",'Base File'!$B:$B,'Account Summary'!$C12,'Base File'!$BJ:$BJ,"Not Met")),"-")</f>
        <v>-</v>
      </c>
      <c r="AU12" s="100" t="s">
        <v>11</v>
      </c>
      <c r="AV12" s="100" t="s">
        <v>11</v>
      </c>
      <c r="AW12" s="100" t="str">
        <f>IFERROR(COUNTIFS('Base File'!$G:$G,"Contractual SLA",'Base File'!$H:$H,"No",'Base File'!$B:$B,'Account Summary'!$C12,'Base File'!$BL:$BL,"Met")/SUM(COUNTIFS('Base File'!$G:$G,"Contractual SLA",'Base File'!$H:$H,"No",'Base File'!$B:$B,'Account Summary'!$C12,'Base File'!$BL:$BL,"Met")+COUNTIFS('Base File'!$G:$G,"Contractual SLA",'Base File'!$H:$H,"No",'Base File'!$B:$B,'Account Summary'!$C12,'Base File'!$BL:$BL,"Not Met")),"-")</f>
        <v>-</v>
      </c>
      <c r="AX12" s="100" t="str">
        <f>IFERROR(COUNTIFS('Base File'!$G:$G,"Contractual SLA",'Base File'!$H:$H,"Yes",'Base File'!$B:$B,'Account Summary'!$C12,'Base File'!$BL:$BL,"Met")/SUM(COUNTIFS('Base File'!$G:$G,"Contractual SLA",'Base File'!$H:$H,"yes",'Base File'!$B:$B,'Account Summary'!$C12,'Base File'!$BL:$BL,"Met")+COUNTIFS('Base File'!$G:$G,"Contractual SLA",'Base File'!$H:$H,"yes",'Base File'!$B:$B,'Account Summary'!$C12,'Base File'!$BL:$BL,"Not Met")),"-")</f>
        <v>-</v>
      </c>
      <c r="AY12" s="100" t="s">
        <v>11</v>
      </c>
      <c r="AZ12" s="100" t="s">
        <v>11</v>
      </c>
      <c r="BA12" s="100" t="s">
        <v>107</v>
      </c>
      <c r="BB12" s="100" t="s">
        <v>107</v>
      </c>
      <c r="BC12" s="100" t="s">
        <v>11</v>
      </c>
      <c r="BD12" s="100" t="s">
        <v>11</v>
      </c>
      <c r="BE12" s="100" t="str">
        <f>IFERROR(COUNTIFS('Base File'!$G:$G,"Contractual SLA",'Base File'!$H:$H,"No",'Base File'!$B:$B,'Account Summary'!$C12,'Base File'!$BP:$BP,"Met")/SUM(COUNTIFS('Base File'!$G:$G,"Contractual SLA",'Base File'!$H:$H,"No",'Base File'!$B:$B,'Account Summary'!$C12,'Base File'!$BP:$BP,"Met")+COUNTIFS('Base File'!$G:$G,"Contractual SLA",'Base File'!$H:$H,"No",'Base File'!$B:$B,'Account Summary'!$C12,'Base File'!$BP:$BP,"Not Met")),"-")</f>
        <v>-</v>
      </c>
      <c r="BF12" s="100" t="str">
        <f>IFERROR(COUNTIFS('Base File'!$G:$G,"Contractual SLA",'Base File'!$H:$H,"Yes",'Base File'!$B:$B,'Account Summary'!$C12,'Base File'!$BP:$BP,"Met")/SUM(COUNTIFS('Base File'!$G:$G,"Contractual SLA",'Base File'!$H:$H,"yes",'Base File'!$B:$B,'Account Summary'!$C12,'Base File'!$BP:$BP,"Met")+COUNTIFS('Base File'!$G:$G,"Contractual SLA",'Base File'!$H:$H,"yes",'Base File'!$B:$B,'Account Summary'!$C12,'Base File'!$BP:$BP,"Not Met")),"-")</f>
        <v>-</v>
      </c>
      <c r="BG12" s="100" t="s">
        <v>11</v>
      </c>
      <c r="BH12" s="100" t="s">
        <v>11</v>
      </c>
      <c r="BI12" s="101" t="str">
        <f>IFERROR(COUNTIFS('Base File'!$G:$G,"Contractual SLA",'Base File'!$H:$H,"No",'Base File'!$B:$B,'Account Summary'!$C12,'Base File'!$BR:$BR,"Met")/SUM(COUNTIFS('Base File'!$G:$G,"Contractual SLA",'Base File'!$H:$H,"No",'Base File'!$B:$B,'Account Summary'!$C12,'Base File'!$BR:$BR,"Met")+COUNTIFS('Base File'!$G:$G,"Contractual SLA",'Base File'!$H:$H,"No",'Base File'!$B:$B,'Account Summary'!$C12,'Base File'!$BR:$BR,"Not Met")),"-")</f>
        <v>-</v>
      </c>
      <c r="BJ12" s="100" t="str">
        <f>IFERROR(COUNTIFS('Base File'!$G:$G,"Contractual SLA",'Base File'!$H:$H,"No",'Base File'!$B:$B,'Account Summary'!$C12,'Base File'!$BR:$BR,"Met")/SUM(COUNTIFS('Base File'!$G:$G,"Contractual SLA",'Base File'!$H:$H,"No",'Base File'!$B:$B,'Account Summary'!$C12,'Base File'!$BR:$BR,"Met")+COUNTIFS('Base File'!$G:$G,"Contractual SLA",'Base File'!$H:$H,"No",'Base File'!$B:$B,'Account Summary'!$C12,'Base File'!$BR:$BR,"Not Met")),"-")</f>
        <v>-</v>
      </c>
      <c r="BK12" s="100" t="s">
        <v>11</v>
      </c>
      <c r="BL12" s="100" t="s">
        <v>11</v>
      </c>
      <c r="BM12" s="100" t="str">
        <f>IFERROR(COUNTIFS('Base File'!$G:$G,"Contractual SLA",'Base File'!$H:$H,"No",'Base File'!$B:$B,'Account Summary'!$C12,'Base File'!$BT:$BT,"Met")/SUM(COUNTIFS('Base File'!$G:$G,"Contractual SLA",'Base File'!$H:$H,"No",'Base File'!$B:$B,'Account Summary'!$C12,'Base File'!$BT:$BT,"Met")+COUNTIFS('Base File'!$G:$G,"Contractual SLA",'Base File'!$H:$H,"No",'Base File'!$B:$B,'Account Summary'!$C12,'Base File'!$BT:$BT,"Not Met")),"-")</f>
        <v>-</v>
      </c>
      <c r="BN12" s="100" t="str">
        <f>IFERROR(COUNTIFS('Base File'!$G:$G,"Contractual SLA",'Base File'!$H:$H,"Yes",'Base File'!$B:$B,'Account Summary'!$C12,'Base File'!$BT:$BT,"Met")/SUM(COUNTIFS('Base File'!$G:$G,"Contractual SLA",'Base File'!$H:$H,"yes",'Base File'!$B:$B,'Account Summary'!$C12,'Base File'!$BT:$BT,"Met")+COUNTIFS('Base File'!$G:$G,"Contractual SLA",'Base File'!$H:$H,"yes",'Base File'!$B:$B,'Account Summary'!$C12,'Base File'!$BT:$BT,"Not Met")),"-")</f>
        <v>-</v>
      </c>
      <c r="BO12" s="100" t="s">
        <v>11</v>
      </c>
      <c r="BP12" s="100" t="s">
        <v>11</v>
      </c>
      <c r="BQ12" s="100" t="str">
        <f>IFERROR(COUNTIFS('Base File'!$G:$G,"Internal KPI",'Base File'!$B:$B,'Account Summary'!$C12,'Base File'!$BV:$BV,"Met")/SUM(COUNTIFS('Base File'!$G:$G,"Internal KPI",'Base File'!$B:$B,'Account Summary'!$C12,'Base File'!$BV:$BV,"Met")+COUNTIFS('Base File'!$G:$G,"Internal KPI",'Base File'!$B:$B,'Account Summary'!$C12,'Base File'!$BV:$BV,"Not Met")),"-")</f>
        <v>-</v>
      </c>
      <c r="BR12" s="100" t="str">
        <f>IFERROR(COUNTIFS('Base File'!$G:$G,"Contractual SLA",'Base File'!$H:$H,"Yes",'Base File'!$B:$B,'Account Summary'!$C12,'Base File'!$BV:$BV,"Met")/SUM(COUNTIFS('Base File'!$G:$G,"Contractual SLA",'Base File'!$H:$H,"Yes",'Base File'!$B:$B,'Account Summary'!$C12,'Base File'!$BV:$BV,"Met")+COUNTIFS('Base File'!$G:$G,"Contractual SLA",'Base File'!$H:$H,"Yes",'Base File'!$B:$B,'Account Summary'!$C12,'Base File'!$BV:$BV,"Not Met")),"-")</f>
        <v>-</v>
      </c>
      <c r="BS12" s="100" t="s">
        <v>11</v>
      </c>
    </row>
    <row r="13" spans="1:72" s="12" customFormat="1" outlineLevel="1" x14ac:dyDescent="0.25">
      <c r="A13" s="389"/>
      <c r="B13" s="94">
        <v>10</v>
      </c>
      <c r="C13" s="94" t="s">
        <v>16</v>
      </c>
      <c r="D13" s="95" t="s">
        <v>104</v>
      </c>
      <c r="E13" s="95" t="s">
        <v>902</v>
      </c>
      <c r="F13" s="94" t="s">
        <v>132</v>
      </c>
      <c r="G13" s="96"/>
      <c r="H13" s="94"/>
      <c r="I13" s="94" t="s">
        <v>105</v>
      </c>
      <c r="J13" s="89" t="s">
        <v>67</v>
      </c>
      <c r="K13" s="444" t="s">
        <v>107</v>
      </c>
      <c r="L13" s="97">
        <f>IFERROR(COUNTIFS('Base File'!$AR:$AR,"Met",'Base File'!$B:$B,'Account Summary'!C13)/(COUNTIFS('Base File'!$AR:$AR,"Met",'Base File'!$B:$B,'Account Summary'!C13)+COUNTIFS('Base File'!$AR:$AR,"Not Met",'Base File'!$B:$B,'Account Summary'!C13)),"NR")</f>
        <v>1</v>
      </c>
      <c r="M13" s="97">
        <f>IFERROR(COUNTIFS('Base File'!$G:$G,"Contractual SLA",'Base File'!$H:$H,"No",'Base File'!$B:$B,'Account Summary'!$C13,'Base File'!$AR:$AR,"Met")/SUM(COUNTIFS('Base File'!$G:$G,"Contractual SLA",'Base File'!$H:$H,"No",'Base File'!$B:$B,'Account Summary'!$C13,'Base File'!$AR:$AR,"Met")+COUNTIFS('Base File'!$G:$G,"Contractual SLA",'Base File'!$H:$H,"No",'Base File'!$B:$B,'Account Summary'!$C13,'Base File'!$AR:$AR,"Not Met")),"-")</f>
        <v>1</v>
      </c>
      <c r="N13" s="98" t="str">
        <f>IFERROR(COUNTIFS('Base File'!$G:$G,"Contractual SLA",'Base File'!$H:$H,"Yes",'Base File'!$B:$B,'Account Summary'!$C13,'Base File'!$AR:$AR,"Met")/SUM(COUNTIFS('Base File'!$G:$G,"Contractual SLA",'Base File'!$H:$H,"yes",'Base File'!$B:$B,'Account Summary'!$C13,'Base File'!$AR:$AR,"Met")+COUNTIFS('Base File'!$G:$G,"Contractual SLA",'Base File'!$H:$H,"yes",'Base File'!$B:$B,'Account Summary'!$C13,'Base File'!$AR:$AR,"Not Met")),"-")</f>
        <v>-</v>
      </c>
      <c r="O13" s="98" t="str">
        <f>IFERROR(COUNTIFS('Base File'!$G:$G,"Internal KPI",'Base File'!$B:$B,'Account Summary'!$C13,'Base File'!$AR:$AR,"Met")/SUM(COUNTIFS('Base File'!$G:$G,"Internal KPI",'Base File'!$B:$B,'Account Summary'!$C13,'Base File'!$AR:$AR,"Met")+COUNTIFS('Base File'!$G:$G,"Internal KPI",'Base File'!$B:$B,'Account Summary'!$C13,'Base File'!$AR:$AR,"Not Met")),"-")</f>
        <v>-</v>
      </c>
      <c r="P13" s="99">
        <f>IFERROR(COUNTIFS('Base File'!$AV:$AV,"Met",'Base File'!$B:$B,'Account Summary'!C13)/(COUNTIFS('Base File'!$AV:$AV,"Met",'Base File'!$B:$B,'Account Summary'!C13)+COUNTIFS('Base File'!$AV:$AV,"Not Met",'Base File'!$B:$B,'Account Summary'!C13)),"NR")</f>
        <v>1</v>
      </c>
      <c r="Q13" s="99">
        <f>IFERROR(COUNTIFS('Base File'!$G:$G,"Contractual SLA",'Base File'!$H:$H,"No",'Base File'!$B:$B,'Account Summary'!$C13,'Base File'!$AV:$AV,"Met")/SUM(COUNTIFS('Base File'!$G:$G,"Contractual SLA",'Base File'!$H:$H,"No",'Base File'!$B:$B,'Account Summary'!$C13,'Base File'!$AV:$AV,"Met")+COUNTIFS('Base File'!$G:$G,"Contractual SLA",'Base File'!$H:$H,"No",'Base File'!$B:$B,'Account Summary'!$C13,'Base File'!$AV:$AV,"Not Met")),"-")</f>
        <v>1</v>
      </c>
      <c r="R13" s="103" t="str">
        <f>IFERROR(COUNTIFS('Base File'!$G:$G,"Contractual SLA",'Base File'!$H:$H,"Yes",'Base File'!$B:$B,'Account Summary'!$C13,'Base File'!$AV:$AV,"Met")/SUM(COUNTIFS('Base File'!$G:$G,"Contractual SLA",'Base File'!$H:$H,"yes",'Base File'!$B:$B,'Account Summary'!$C13,'Base File'!$AV:$AV,"Met")+COUNTIFS('Base File'!$G:$G,"Contractual SLA",'Base File'!$H:$H,"yes",'Base File'!$B:$B,'Account Summary'!$C13,'Base File'!$AV:$AV,"Not Met")),"-")</f>
        <v>-</v>
      </c>
      <c r="S13" s="98" t="str">
        <f>IFERROR(COUNTIFS('Base File'!$G:$G,"Internal KPI",'Base File'!$B:$B,'Account Summary'!$C13,'Base File'!$AV:$AV,"Met")/SUM(COUNTIFS('Base File'!$G:$G,"Internal KPI",'Base File'!$B:$B,'Account Summary'!$C13,'Base File'!$AV:$AV,"Met")+COUNTIFS('Base File'!$G:$G,"Internal KPI",'Base File'!$B:$B,'Account Summary'!$C13,'Base File'!$AV:$AV,"Not Met")),"-")</f>
        <v>-</v>
      </c>
      <c r="T13" s="99">
        <f>IFERROR(COUNTIFS('Base File'!$AX:$AX,"Met",'Base File'!$B:$B,'Account Summary'!C13)/(COUNTIFS('Base File'!$AX:$AX,"Met",'Base File'!$B:$B,'Account Summary'!C13)+COUNTIFS('Base File'!$AX:$AX,"Not Met",'Base File'!$B:$B,'Account Summary'!C13)),"NR")</f>
        <v>1</v>
      </c>
      <c r="U13" s="105">
        <f>IFERROR(COUNTIFS('Base File'!$G:$G,"Contractual SLA",'Base File'!$H:$H,"No",'Base File'!$B:$B,'Account Summary'!$C13,'Base File'!$AX:$AX,"Met")/SUM(COUNTIFS('Base File'!$G:$G,"Contractual SLA",'Base File'!$H:$H,"No",'Base File'!$B:$B,'Account Summary'!$C13,'Base File'!$AX:$AX,"Met")+COUNTIFS('Base File'!$G:$G,"Contractual SLA",'Base File'!$H:$H,"No",'Base File'!$B:$B,'Account Summary'!$C13,'Base File'!$AX:$AX,"Not Met")),"-")</f>
        <v>1</v>
      </c>
      <c r="V13" s="100" t="s">
        <v>11</v>
      </c>
      <c r="W13" s="100" t="s">
        <v>11</v>
      </c>
      <c r="X13" s="99">
        <f>IFERROR(COUNTIFS('Base File'!$AZ:$AZ,"Met",'Base File'!$B:$B,'Account Summary'!C13)/(COUNTIFS('Base File'!$AZ:$AZ,"Met",'Base File'!$B:$B,'Account Summary'!C13)+COUNTIFS('Base File'!$AZ:$AZ,"Not Met",'Base File'!$B:$B,'Account Summary'!C13)),"NR")</f>
        <v>1</v>
      </c>
      <c r="Y13" s="99">
        <f>IFERROR(COUNTIFS('Base File'!$G:$G,"Contractual SLA",'Base File'!$H:$H,"No",'Base File'!$B:$B,'Account Summary'!$C13,'Base File'!$AZ:$AZ,"Met")/SUM(COUNTIFS('Base File'!$G:$G,"Contractual SLA",'Base File'!$H:$H,"No",'Base File'!$B:$B,'Account Summary'!$C13,'Base File'!$AZ:$AZ,"Met")+COUNTIFS('Base File'!$G:$G,"Contractual SLA",'Base File'!$H:$H,"No",'Base File'!$B:$B,'Account Summary'!$C13,'Base File'!$AZ:$AZ,"Not Met")),"-")</f>
        <v>1</v>
      </c>
      <c r="Z13" s="100" t="str">
        <f>IFERROR(COUNTIFS('Base File'!$G:$G,"Contractual SLA",'Base File'!$H:$H,"Yes",'Base File'!$B:$B,'Account Summary'!$C13,'Base File'!$AZ:$AZ,"Met")/SUM(COUNTIFS('Base File'!$G:$G,"Contractual SLA",'Base File'!$H:$H,"yes",'Base File'!$B:$B,'Account Summary'!$C13,'Base File'!$AZ:$AZ,"Met")+COUNTIFS('Base File'!$G:$G,"Contractual SLA",'Base File'!$H:$H,"yes",'Base File'!$B:$B,'Account Summary'!$C13,'Base File'!$AZ:$AZ,"Not Met")),"-")</f>
        <v>-</v>
      </c>
      <c r="AA13" s="100" t="str">
        <f>IFERROR(COUNTIFS('Base File'!$G:$G,"Internal KPI",'Base File'!$B:$B,'Account Summary'!$C13,'Base File'!$AZ:$AZ,"Met")/SUM(COUNTIFS('Base File'!$G:$G,"Internal KPI",'Base File'!$B:$B,'Account Summary'!$C13,'Base File'!$AZ:$AZ,"Met")+COUNTIFS('Base File'!$G:$G,"Internal KPI",'Base File'!$B:$B,'Account Summary'!$C13,'Base File'!$AZ:$AZ,"Not Met")),"-")</f>
        <v>-</v>
      </c>
      <c r="AB13" s="99">
        <f>IFERROR(COUNTIFS('Base File'!$BB:$BB,"Met",'Base File'!$B:$B,'Account Summary'!C13)/(COUNTIFS('Base File'!$BB:$BB,"Met",'Base File'!$B:$B,'Account Summary'!C13)+COUNTIFS('Base File'!$BB:$BB,"Not Met",'Base File'!$B:$B,'Account Summary'!C13)),"NR")</f>
        <v>1</v>
      </c>
      <c r="AC13" s="99">
        <f>IFERROR(COUNTIFS('Base File'!$G:$G,"Contractual SLA",'Base File'!$H:$H,"No",'Base File'!$B:$B,'Account Summary'!$C13,'Base File'!$BB:$BB,"Met")/SUM(COUNTIFS('Base File'!$G:$G,"Contractual SLA",'Base File'!$H:$H,"No",'Base File'!$B:$B,'Account Summary'!$C13,'Base File'!$BB:$BB,"Met")+COUNTIFS('Base File'!$G:$G,"Contractual SLA",'Base File'!$H:$H,"No",'Base File'!$B:$B,'Account Summary'!$C13,'Base File'!$BB:$BB,"Not Met")),"-")</f>
        <v>1</v>
      </c>
      <c r="AD13" s="100" t="str">
        <f>IFERROR(COUNTIFS('Base File'!$G:$G,"Contractual SLA",'Base File'!$H:$H,"Yes",'Base File'!$B:$B,'Account Summary'!$C13,'Base File'!$BB:$BB,"Met")/SUM(COUNTIFS('Base File'!$G:$G,"Contractual SLA",'Base File'!$H:$H,"yes",'Base File'!$B:$B,'Account Summary'!$C13,'Base File'!$BB:$BB,"Met")+COUNTIFS('Base File'!$G:$G,"Contractual SLA",'Base File'!$H:$H,"yes",'Base File'!$B:$B,'Account Summary'!$C13,'Base File'!$BB:$BB,"Not Met")),"-")</f>
        <v>-</v>
      </c>
      <c r="AE13" s="100" t="str">
        <f>IFERROR(COUNTIFS('Base File'!$G:$G,"Internal KPI",'Base File'!$B:$B,'Account Summary'!$C13,'Base File'!$BB:$BB,"Met")/SUM(COUNTIFS('Base File'!$G:$G,"Internal KPI",'Base File'!$B:$B,'Account Summary'!$C13,'Base File'!$BB:$BB,"Met")+COUNTIFS('Base File'!$G:$G,"Internal KPI",'Base File'!$B:$B,'Account Summary'!$C13,'Base File'!$BB:$BB,"Not Met")),"-")</f>
        <v>-</v>
      </c>
      <c r="AF13" s="99">
        <f>IFERROR(COUNTIFS('Base File'!$BD:$BD,"Met",'Base File'!$B:$B,'Account Summary'!C13)/(COUNTIFS('Base File'!$BD:$BD,"Met",'Base File'!$B:$B,'Account Summary'!C13)+COUNTIFS('Base File'!$BD:$BD,"Not Met",'Base File'!$B:$B,'Account Summary'!C13)),"NR")</f>
        <v>1</v>
      </c>
      <c r="AG13" s="99">
        <f>IFERROR(COUNTIFS('Base File'!$G:$G,"Contractual SLA",'Base File'!$H:$H,"No",'Base File'!$B:$B,'Account Summary'!$C13,'Base File'!$BD:$BD,"Met")/SUM(COUNTIFS('Base File'!$G:$G,"Contractual SLA",'Base File'!$H:$H,"No",'Base File'!$B:$B,'Account Summary'!$C13,'Base File'!$BD:$BD,"Met")+COUNTIFS('Base File'!$G:$G,"Contractual SLA",'Base File'!$H:$H,"No",'Base File'!$B:$B,'Account Summary'!$C13,'Base File'!$BD:$BD,"Not Met")),"-")</f>
        <v>1</v>
      </c>
      <c r="AH13" s="100" t="str">
        <f>IFERROR(COUNTIFS('Base File'!$G:$G,"Contractual SLA",'Base File'!$H:$H,"Yes",'Base File'!$B:$B,'Account Summary'!$C13,'Base File'!$BD:$BD,"Met")/SUM(COUNTIFS('Base File'!$G:$G,"Contractual SLA",'Base File'!$H:$H,"yes",'Base File'!$B:$B,'Account Summary'!$C13,'Base File'!$BD:$BD,"Met")+COUNTIFS('Base File'!$G:$G,"Contractual SLA",'Base File'!$H:$H,"yes",'Base File'!$B:$B,'Account Summary'!$C13,'Base File'!$BD:$BD,"Not Met")),"-")</f>
        <v>-</v>
      </c>
      <c r="AI13" s="100" t="str">
        <f>IFERROR(COUNTIFS('Base File'!$G:$G,"Internal KPI",'Base File'!$B:$B,'Account Summary'!$C13,'Base File'!$BD:$BD,"Met")/SUM(COUNTIFS('Base File'!$G:$G,"Internal KPI",'Base File'!$B:$B,'Account Summary'!$C13,'Base File'!$BD:$BD,"Met")+COUNTIFS('Base File'!$G:$G,"Internal KPI",'Base File'!$B:$B,'Account Summary'!$C13,'Base File'!$BD:$BD,"Not Met")),"-")</f>
        <v>-</v>
      </c>
      <c r="AJ13" s="99">
        <f>IFERROR(COUNTIFS('Base File'!$BF:$BF,"Met",'Base File'!$B:$B,'Account Summary'!C13)/(COUNTIFS('Base File'!$BF:$BF,"Met",'Base File'!$B:$B,'Account Summary'!C13)+COUNTIFS('Base File'!$BF:$BF,"Not Met",'Base File'!$B:$B,'Account Summary'!C13)),"NR")</f>
        <v>1</v>
      </c>
      <c r="AK13" s="99">
        <f>IFERROR(COUNTIFS('Base File'!$G:$G,"Contractual SLA",'Base File'!$H:$H,"No",'Base File'!$B:$B,'Account Summary'!$C13,'Base File'!$BF:$BF,"Met")/SUM(COUNTIFS('Base File'!$G:$G,"Contractual SLA",'Base File'!$H:$H,"No",'Base File'!$B:$B,'Account Summary'!$C13,'Base File'!$BF:$BF,"Met")+COUNTIFS('Base File'!$G:$G,"Contractual SLA",'Base File'!$H:$H,"No",'Base File'!$B:$B,'Account Summary'!$C13,'Base File'!$BF:$BF,"Not Met")),"-")</f>
        <v>1</v>
      </c>
      <c r="AL13" s="100" t="str">
        <f>IFERROR(COUNTIFS('Base File'!$G:$G,"Contractual SLA",'Base File'!$H:$H,"Yes",'Base File'!$B:$B,'Account Summary'!$C13,'Base File'!$BF:$BF,"Met")/SUM(COUNTIFS('Base File'!$G:$G,"Contractual SLA",'Base File'!$H:$H,"yes",'Base File'!$B:$B,'Account Summary'!$C13,'Base File'!$BF:$BF,"Met")+COUNTIFS('Base File'!$G:$G,"Contractual SLA",'Base File'!$H:$H,"yes",'Base File'!$B:$B,'Account Summary'!$C13,'Base File'!$BF:$BF,"Not Met")),"-")</f>
        <v>-</v>
      </c>
      <c r="AM13" s="100" t="str">
        <f>IFERROR(COUNTIFS('Base File'!$G:$G,"Internal KPI",'Base File'!$B:$B,'Account Summary'!$C13,'Base File'!$BF:$BF,"Met")/SUM(COUNTIFS('Base File'!$G:$G,"Internal KPI",'Base File'!$B:$B,'Account Summary'!$C13,'Base File'!$BF:$BF,"Met")+COUNTIFS('Base File'!$G:$G,"Internal KPI",'Base File'!$B:$B,'Account Summary'!$C13,'Base File'!$BF:$BF,"Not Met")),"-")</f>
        <v>-</v>
      </c>
      <c r="AN13" s="99">
        <f>IFERROR(COUNTIFS('Base File'!$BH:$BH,"Met",'Base File'!$B:$B,'Account Summary'!C13)/(COUNTIFS('Base File'!$BH:$BH,"Met",'Base File'!$B:$B,'Account Summary'!C13)+COUNTIFS('Base File'!$BH:$BH,"Not Met",'Base File'!$B:$B,'Account Summary'!C13)),"NR")</f>
        <v>1</v>
      </c>
      <c r="AO13" s="99">
        <f>IFERROR(COUNTIFS('Base File'!$G:$G,"Contractual SLA",'Base File'!$H:$H,"No",'Base File'!$B:$B,'Account Summary'!$C13,'Base File'!$BH:$BH,"Met")/SUM(COUNTIFS('Base File'!$G:$G,"Contractual SLA",'Base File'!$H:$H,"No",'Base File'!$B:$B,'Account Summary'!$C13,'Base File'!$BH:$BH,"Met")+COUNTIFS('Base File'!$G:$G,"Contractual SLA",'Base File'!$H:$H,"No",'Base File'!$B:$B,'Account Summary'!$C13,'Base File'!$BH:$BH,"Not Met")),"-")</f>
        <v>1</v>
      </c>
      <c r="AP13" s="100" t="str">
        <f>IFERROR(COUNTIFS('Base File'!$G:$G,"Contractual SLA",'Base File'!$H:$H,"Yes",'Base File'!$B:$B,'Account Summary'!$C13,'Base File'!$BH:$BH,"Met")/SUM(COUNTIFS('Base File'!$G:$G,"Contractual SLA",'Base File'!$H:$H,"yes",'Base File'!$B:$B,'Account Summary'!$C13,'Base File'!$BH:$BH,"Met")+COUNTIFS('Base File'!$G:$G,"Contractual SLA",'Base File'!$H:$H,"yes",'Base File'!$B:$B,'Account Summary'!$C13,'Base File'!$BH:$BH,"Not Met")),"-")</f>
        <v>-</v>
      </c>
      <c r="AQ13" s="100" t="str">
        <f>IFERROR(COUNTIFS('Base File'!$G:$G,"Internal KPI",'Base File'!$B:$B,'Account Summary'!$C13,'Base File'!$BH:$BH,"Met")/SUM(COUNTIFS('Base File'!$G:$G,"Internal KPI",'Base File'!$B:$B,'Account Summary'!$C13,'Base File'!$BH:$BH,"Met")+COUNTIFS('Base File'!$G:$G,"Internal KPI",'Base File'!$B:$B,'Account Summary'!$C13,'Base File'!$BH:$BH,"Not Met")),"-")</f>
        <v>-</v>
      </c>
      <c r="AR13" s="99">
        <f>IFERROR(COUNTIFS('Base File'!$BJ:$BJ,"Met",'Base File'!$B:$B,'Account Summary'!C13)/(COUNTIFS('Base File'!$BJ:$BJ,"Met",'Base File'!$B:$B,'Account Summary'!C13)+COUNTIFS('Base File'!$BJ:$BJ,"Not Met",'Base File'!$B:$B,'Account Summary'!C13)),"NR")</f>
        <v>1</v>
      </c>
      <c r="AS13" s="105">
        <f>IFERROR(COUNTIFS('Base File'!$G:$G,"Contractual SLA",'Base File'!$H:$H,"No",'Base File'!$B:$B,'Account Summary'!$C13,'Base File'!$BJ:$BJ,"Met")/SUM(COUNTIFS('Base File'!$G:$G,"Contractual SLA",'Base File'!$H:$H,"No",'Base File'!$B:$B,'Account Summary'!$C13,'Base File'!$BJ:$BJ,"Met")+COUNTIFS('Base File'!$G:$G,"Contractual SLA",'Base File'!$H:$H,"No",'Base File'!$B:$B,'Account Summary'!$C13,'Base File'!$BJ:$BJ,"Not Met")),"-")</f>
        <v>1</v>
      </c>
      <c r="AT13" s="100" t="str">
        <f>IFERROR(COUNTIFS('Base File'!$G:$G,"Contractual SLA",'Base File'!$H:$H,"Yes",'Base File'!$B:$B,'Account Summary'!$C13,'Base File'!$BJ:$BJ,"Met")/SUM(COUNTIFS('Base File'!$G:$G,"Contractual SLA",'Base File'!$H:$H,"yes",'Base File'!$B:$B,'Account Summary'!$C13,'Base File'!$BJ:$BJ,"Met")+COUNTIFS('Base File'!$G:$G,"Contractual SLA",'Base File'!$H:$H,"yes",'Base File'!$B:$B,'Account Summary'!$C13,'Base File'!$BJ:$BJ,"Not Met")),"-")</f>
        <v>-</v>
      </c>
      <c r="AU13" s="100" t="str">
        <f>IFERROR(COUNTIFS('Base File'!$G:$G,"Internal KPI",'Base File'!$B:$B,'Account Summary'!$C13,'Base File'!$BJ:$BJ,"Met")/SUM(COUNTIFS('Base File'!$G:$G,"Internal KPI",'Base File'!$B:$B,'Account Summary'!$C13,'Base File'!$BJ:$BJ,"Met")+COUNTIFS('Base File'!$G:$G,"Internal KPI",'Base File'!$B:$B,'Account Summary'!$C13,'Base File'!$BJ:$BJ,"Not Met")),"-")</f>
        <v>-</v>
      </c>
      <c r="AV13" s="100">
        <f>IFERROR(COUNTIFS('Base File'!$BL:$BL,"Met",'Base File'!$B:$B,'Account Summary'!C13)/(COUNTIFS('Base File'!$BL:$BL,"Met",'Base File'!$B:$B,'Account Summary'!C13)+COUNTIFS('Base File'!$BL:$BL,"Not Met",'Base File'!$B:$B,'Account Summary'!C13)),"NR")</f>
        <v>1</v>
      </c>
      <c r="AW13" s="100">
        <f>IFERROR(COUNTIFS('Base File'!$G:$G,"Contractual SLA",'Base File'!$H:$H,"No",'Base File'!$B:$B,'Account Summary'!$C13,'Base File'!$BL:$BL,"Met")/SUM(COUNTIFS('Base File'!$G:$G,"Contractual SLA",'Base File'!$H:$H,"No",'Base File'!$B:$B,'Account Summary'!$C13,'Base File'!$BL:$BL,"Met")+COUNTIFS('Base File'!$G:$G,"Contractual SLA",'Base File'!$H:$H,"No",'Base File'!$B:$B,'Account Summary'!$C13,'Base File'!$BL:$BL,"Not Met")),"-")</f>
        <v>1</v>
      </c>
      <c r="AX13" s="100" t="str">
        <f>IFERROR(COUNTIFS('Base File'!$G:$G,"Contractual SLA",'Base File'!$H:$H,"Yes",'Base File'!$B:$B,'Account Summary'!$C13,'Base File'!$BL:$BL,"Met")/SUM(COUNTIFS('Base File'!$G:$G,"Contractual SLA",'Base File'!$H:$H,"yes",'Base File'!$B:$B,'Account Summary'!$C13,'Base File'!$BL:$BL,"Met")+COUNTIFS('Base File'!$G:$G,"Contractual SLA",'Base File'!$H:$H,"yes",'Base File'!$B:$B,'Account Summary'!$C13,'Base File'!$BL:$BL,"Not Met")),"-")</f>
        <v>-</v>
      </c>
      <c r="AY13" s="100" t="str">
        <f>IFERROR(COUNTIFS('Base File'!$G:$G,"Internal KPI",'Base File'!$B:$B,'Account Summary'!$C13,'Base File'!$BL:$BL,"Met")/SUM(COUNTIFS('Base File'!$G:$G,"Internal KPI",'Base File'!$B:$B,'Account Summary'!$C13,'Base File'!$BL:$BL,"Met")+COUNTIFS('Base File'!$G:$G,"Internal KPI",'Base File'!$B:$B,'Account Summary'!$C13,'Base File'!$BL:$BL,"Not Met")),"-")</f>
        <v>-</v>
      </c>
      <c r="AZ13" s="100">
        <v>1</v>
      </c>
      <c r="BA13" s="100">
        <v>1</v>
      </c>
      <c r="BB13" s="100" t="s">
        <v>107</v>
      </c>
      <c r="BC13" s="100" t="s">
        <v>107</v>
      </c>
      <c r="BD13" s="99">
        <f>4/4</f>
        <v>1</v>
      </c>
      <c r="BE13" s="99">
        <f>4/4</f>
        <v>1</v>
      </c>
      <c r="BF13" s="100" t="str">
        <f>IFERROR(COUNTIFS('Base File'!$G:$G,"Contractual SLA",'Base File'!$H:$H,"Yes",'Base File'!$B:$B,'Account Summary'!$C13,'Base File'!$BP:$BP,"Met")/SUM(COUNTIFS('Base File'!$G:$G,"Contractual SLA",'Base File'!$H:$H,"yes",'Base File'!$B:$B,'Account Summary'!$C13,'Base File'!$BP:$BP,"Met")+COUNTIFS('Base File'!$G:$G,"Contractual SLA",'Base File'!$H:$H,"yes",'Base File'!$B:$B,'Account Summary'!$C13,'Base File'!$BP:$BP,"Not Met")),"-")</f>
        <v>-</v>
      </c>
      <c r="BG13" s="100" t="str">
        <f>IFERROR(COUNTIFS('Base File'!$G:$G,"Internal KPI",'Base File'!$B:$B,'Account Summary'!$C13,'Base File'!$BP:$BP,"Met")/SUM(COUNTIFS('Base File'!$G:$G,"Internal KPI",'Base File'!$B:$B,'Account Summary'!$C13,'Base File'!$BP:$BP,"Met")+COUNTIFS('Base File'!$G:$G,"Internal KPI",'Base File'!$B:$B,'Account Summary'!$C13,'Base File'!$BP:$BP,"Not Met")),"-")</f>
        <v>-</v>
      </c>
      <c r="BH13" s="99">
        <f>4/4</f>
        <v>1</v>
      </c>
      <c r="BI13" s="99">
        <f>4/4</f>
        <v>1</v>
      </c>
      <c r="BJ13" s="100" t="str">
        <f>IFERROR(COUNTIFS('Base File'!$G:$G,"Internal KPI",'Base File'!$B:$B,'Account Summary'!$C13,'Base File'!$BR:$BR,"Met")/SUM(COUNTIFS('Base File'!$G:$G,"Internal KPI",'Base File'!$B:$B,'Account Summary'!$C13,'Base File'!$BR:$BR,"Met")+COUNTIFS('Base File'!$G:$G,"Internal KPI",'Base File'!$B:$B,'Account Summary'!$C13,'Base File'!$BR:$BR,"Not Met")),"-")</f>
        <v>-</v>
      </c>
      <c r="BK13" s="100" t="str">
        <f>IFERROR(COUNTIFS('Base File'!$G:$G,"Internal KPI",'Base File'!$B:$B,'Account Summary'!$C13,'Base File'!$BR:$BR,"Met")/SUM(COUNTIFS('Base File'!$G:$G,"Internal KPI",'Base File'!$B:$B,'Account Summary'!$C13,'Base File'!$BR:$BR,"Met")+COUNTIFS('Base File'!$G:$G,"Internal KPI",'Base File'!$B:$B,'Account Summary'!$C13,'Base File'!$BR:$BR,"Not Met")),"-")</f>
        <v>-</v>
      </c>
      <c r="BL13" s="100">
        <f>IFERROR(COUNTIFS('Base File'!$BT:$BT,"Met",'Base File'!$B:$B,'Account Summary'!C13)/(COUNTIFS('Base File'!$BT:$BT,"Met",'Base File'!$B:$B,'Account Summary'!C13)+COUNTIFS('Base File'!$BT:$BT,"Not Met",'Base File'!$B:$B,'Account Summary'!C13)),"NR")</f>
        <v>1</v>
      </c>
      <c r="BM13" s="100">
        <f>IFERROR(COUNTIFS('Base File'!$G:$G,"Contractual SLA",'Base File'!$H:$H,"No",'Base File'!$B:$B,'Account Summary'!$C13,'Base File'!$BT:$BT,"Met")/SUM(COUNTIFS('Base File'!$G:$G,"Contractual SLA",'Base File'!$H:$H,"No",'Base File'!$B:$B,'Account Summary'!$C13,'Base File'!$BT:$BT,"Met")+COUNTIFS('Base File'!$G:$G,"Contractual SLA",'Base File'!$H:$H,"No",'Base File'!$B:$B,'Account Summary'!$C13,'Base File'!$BT:$BT,"Not Met")),"-")</f>
        <v>1</v>
      </c>
      <c r="BN13" s="100" t="str">
        <f>IFERROR(COUNTIFS('Base File'!$G:$G,"Contractual SLA",'Base File'!$H:$H,"Yes",'Base File'!$B:$B,'Account Summary'!$C13,'Base File'!$BT:$BT,"Met")/SUM(COUNTIFS('Base File'!$G:$G,"Contractual SLA",'Base File'!$H:$H,"yes",'Base File'!$B:$B,'Account Summary'!$C13,'Base File'!$BT:$BT,"Met")+COUNTIFS('Base File'!$G:$G,"Contractual SLA",'Base File'!$H:$H,"yes",'Base File'!$B:$B,'Account Summary'!$C13,'Base File'!$BT:$BT,"Not Met")),"-")</f>
        <v>-</v>
      </c>
      <c r="BO13" s="100" t="str">
        <f>IFERROR(COUNTIFS('Base File'!$G:$G,"Internal KPI",'Base File'!$B:$B,'Account Summary'!$C13,'Base File'!$BT:$BT,"Met")/SUM(COUNTIFS('Base File'!$G:$G,"Internal KPI",'Base File'!$B:$B,'Account Summary'!$C13,'Base File'!$BT:$BT,"Met")+COUNTIFS('Base File'!$G:$G,"Internal KPI",'Base File'!$B:$B,'Account Summary'!$C13,'Base File'!$BT:$BT,"Not Met")),"-")</f>
        <v>-</v>
      </c>
      <c r="BP13" s="100">
        <f>IFERROR(COUNTIFS('Base File'!$BV:$BV,"Met",'Base File'!$B:$B,'Account Summary'!C13)/(COUNTIFS('Base File'!$BV:$BV,"Met",'Base File'!$B:$B,'Account Summary'!C13)+COUNTIFS('Base File'!$BV:$BV,"Not Met",'Base File'!$B:$B,'Account Summary'!C13)),"NR")</f>
        <v>1</v>
      </c>
      <c r="BQ13" s="100">
        <v>1</v>
      </c>
      <c r="BR13" s="100" t="str">
        <f>IFERROR(COUNTIFS('Base File'!$G:$G,"Contractual SLA",'Base File'!$H:$H,"Yes",'Base File'!$B:$B,'Account Summary'!$C13,'Base File'!$BV:$BV,"Met")/SUM(COUNTIFS('Base File'!$G:$G,"Contractual SLA",'Base File'!$H:$H,"Yes",'Base File'!$B:$B,'Account Summary'!$C13,'Base File'!$BV:$BV,"Met")+COUNTIFS('Base File'!$G:$G,"Contractual SLA",'Base File'!$H:$H,"Yes",'Base File'!$B:$B,'Account Summary'!$C13,'Base File'!$BV:$BV,"Not Met")),"-")</f>
        <v>-</v>
      </c>
      <c r="BS13" s="102" t="s">
        <v>107</v>
      </c>
    </row>
    <row r="14" spans="1:72" s="12" customFormat="1" x14ac:dyDescent="0.25">
      <c r="A14" s="389"/>
      <c r="B14" s="94">
        <v>11</v>
      </c>
      <c r="C14" s="445" t="s">
        <v>17</v>
      </c>
      <c r="D14" s="95" t="s">
        <v>104</v>
      </c>
      <c r="E14" s="95" t="s">
        <v>902</v>
      </c>
      <c r="F14" s="94" t="s">
        <v>132</v>
      </c>
      <c r="G14" s="96"/>
      <c r="H14" s="94"/>
      <c r="I14" s="94" t="s">
        <v>105</v>
      </c>
      <c r="J14" s="89" t="s">
        <v>61</v>
      </c>
      <c r="K14" s="89" t="s">
        <v>11</v>
      </c>
      <c r="L14" s="97">
        <f>IFERROR(COUNTIFS('Base File'!$AR:$AR,"Met",'Base File'!$B:$B,'Account Summary'!C14)/(COUNTIFS('Base File'!$AR:$AR,"Met",'Base File'!$B:$B,'Account Summary'!C14)+COUNTIFS('Base File'!$AR:$AR,"Not Met",'Base File'!$B:$B,'Account Summary'!C14)),"NR")</f>
        <v>1</v>
      </c>
      <c r="M14" s="97">
        <f>IFERROR(COUNTIFS('Base File'!$G:$G,"Contractual SLA",'Base File'!$H:$H,"No",'Base File'!$B:$B,'Account Summary'!$C14,'Base File'!$AR:$AR,"Met")/SUM(COUNTIFS('Base File'!$G:$G,"Contractual SLA",'Base File'!$H:$H,"No",'Base File'!$B:$B,'Account Summary'!$C14,'Base File'!$AR:$AR,"Met")+COUNTIFS('Base File'!$G:$G,"Contractual SLA",'Base File'!$H:$H,"No",'Base File'!$B:$B,'Account Summary'!$C14,'Base File'!$AR:$AR,"Not Met")),"-")</f>
        <v>1</v>
      </c>
      <c r="N14" s="98" t="str">
        <f>IFERROR(COUNTIFS('Base File'!$G:$G,"Contractual SLA",'Base File'!$H:$H,"Yes",'Base File'!$B:$B,'Account Summary'!$C14,'Base File'!$AR:$AR,"Met")/SUM(COUNTIFS('Base File'!$G:$G,"Contractual SLA",'Base File'!$H:$H,"yes",'Base File'!$B:$B,'Account Summary'!$C14,'Base File'!$AR:$AR,"Met")+COUNTIFS('Base File'!$G:$G,"Contractual SLA",'Base File'!$H:$H,"yes",'Base File'!$B:$B,'Account Summary'!$C14,'Base File'!$AR:$AR,"Not Met")),"-")</f>
        <v>-</v>
      </c>
      <c r="O14" s="98" t="str">
        <f>IFERROR(COUNTIFS('Base File'!$G:$G,"Internal KPI",'Base File'!$B:$B,'Account Summary'!$C14,'Base File'!$AR:$AR,"Met")/SUM(COUNTIFS('Base File'!$G:$G,"Internal KPI",'Base File'!$B:$B,'Account Summary'!$C14,'Base File'!$AR:$AR,"Met")+COUNTIFS('Base File'!$G:$G,"Internal KPI",'Base File'!$B:$B,'Account Summary'!$C14,'Base File'!$AR:$AR,"Not Met")),"-")</f>
        <v>-</v>
      </c>
      <c r="P14" s="99">
        <f>IFERROR(COUNTIFS('Base File'!$AV:$AV,"Met",'Base File'!$B:$B,'Account Summary'!C14)/(COUNTIFS('Base File'!$AV:$AV,"Met",'Base File'!$B:$B,'Account Summary'!C14)+COUNTIFS('Base File'!$AV:$AV,"Not Met",'Base File'!$B:$B,'Account Summary'!C14)),"NR")</f>
        <v>1</v>
      </c>
      <c r="Q14" s="99">
        <f>IFERROR(COUNTIFS('Base File'!$G:$G,"Contractual SLA",'Base File'!$H:$H,"No",'Base File'!$B:$B,'Account Summary'!$C14,'Base File'!$AV:$AV,"Met")/SUM(COUNTIFS('Base File'!$G:$G,"Contractual SLA",'Base File'!$H:$H,"No",'Base File'!$B:$B,'Account Summary'!$C14,'Base File'!$AV:$AV,"Met")+COUNTIFS('Base File'!$G:$G,"Contractual SLA",'Base File'!$H:$H,"No",'Base File'!$B:$B,'Account Summary'!$C14,'Base File'!$AV:$AV,"Not Met")),"-")</f>
        <v>1</v>
      </c>
      <c r="R14" s="103" t="str">
        <f>IFERROR(COUNTIFS('Base File'!$G:$G,"Contractual SLA",'Base File'!$H:$H,"Yes",'Base File'!$B:$B,'Account Summary'!$C14,'Base File'!$AV:$AV,"Met")/SUM(COUNTIFS('Base File'!$G:$G,"Contractual SLA",'Base File'!$H:$H,"yes",'Base File'!$B:$B,'Account Summary'!$C14,'Base File'!$AV:$AV,"Met")+COUNTIFS('Base File'!$G:$G,"Contractual SLA",'Base File'!$H:$H,"yes",'Base File'!$B:$B,'Account Summary'!$C14,'Base File'!$AV:$AV,"Not Met")),"-")</f>
        <v>-</v>
      </c>
      <c r="S14" s="98" t="str">
        <f>IFERROR(COUNTIFS('Base File'!$G:$G,"Internal KPI",'Base File'!$B:$B,'Account Summary'!$C14,'Base File'!$AV:$AV,"Met")/SUM(COUNTIFS('Base File'!$G:$G,"Internal KPI",'Base File'!$B:$B,'Account Summary'!$C14,'Base File'!$AV:$AV,"Met")+COUNTIFS('Base File'!$G:$G,"Internal KPI",'Base File'!$B:$B,'Account Summary'!$C14,'Base File'!$AV:$AV,"Not Met")),"-")</f>
        <v>-</v>
      </c>
      <c r="T14" s="99">
        <f>IFERROR(COUNTIFS('Base File'!$AX:$AX,"Met",'Base File'!$B:$B,'Account Summary'!C14)/(COUNTIFS('Base File'!$AX:$AX,"Met",'Base File'!$B:$B,'Account Summary'!C14)+COUNTIFS('Base File'!$AX:$AX,"Not Met",'Base File'!$B:$B,'Account Summary'!C14)),"NR")</f>
        <v>1</v>
      </c>
      <c r="U14" s="105">
        <f>IFERROR(COUNTIFS('Base File'!$G:$G,"Contractual SLA",'Base File'!$H:$H,"No",'Base File'!$B:$B,'Account Summary'!$C14,'Base File'!$AX:$AX,"Met")/SUM(COUNTIFS('Base File'!$G:$G,"Contractual SLA",'Base File'!$H:$H,"No",'Base File'!$B:$B,'Account Summary'!$C14,'Base File'!$AX:$AX,"Met")+COUNTIFS('Base File'!$G:$G,"Contractual SLA",'Base File'!$H:$H,"No",'Base File'!$B:$B,'Account Summary'!$C14,'Base File'!$AX:$AX,"Not Met")),"-")</f>
        <v>1</v>
      </c>
      <c r="V14" s="100" t="s">
        <v>11</v>
      </c>
      <c r="W14" s="100" t="s">
        <v>11</v>
      </c>
      <c r="X14" s="99">
        <f>IFERROR(COUNTIFS('Base File'!$AZ:$AZ,"Met",'Base File'!$B:$B,'Account Summary'!C14)/(COUNTIFS('Base File'!$AZ:$AZ,"Met",'Base File'!$B:$B,'Account Summary'!C14)+COUNTIFS('Base File'!$AZ:$AZ,"Not Met",'Base File'!$B:$B,'Account Summary'!C14)),"NR")</f>
        <v>1</v>
      </c>
      <c r="Y14" s="99">
        <f>IFERROR(COUNTIFS('Base File'!$G:$G,"Contractual SLA",'Base File'!$H:$H,"No",'Base File'!$B:$B,'Account Summary'!$C14,'Base File'!$AZ:$AZ,"Met")/SUM(COUNTIFS('Base File'!$G:$G,"Contractual SLA",'Base File'!$H:$H,"No",'Base File'!$B:$B,'Account Summary'!$C14,'Base File'!$AZ:$AZ,"Met")+COUNTIFS('Base File'!$G:$G,"Contractual SLA",'Base File'!$H:$H,"No",'Base File'!$B:$B,'Account Summary'!$C14,'Base File'!$AZ:$AZ,"Not Met")),"-")</f>
        <v>1</v>
      </c>
      <c r="Z14" s="100" t="str">
        <f>IFERROR(COUNTIFS('Base File'!$G:$G,"Contractual SLA",'Base File'!$H:$H,"Yes",'Base File'!$B:$B,'Account Summary'!$C14,'Base File'!$AZ:$AZ,"Met")/SUM(COUNTIFS('Base File'!$G:$G,"Contractual SLA",'Base File'!$H:$H,"yes",'Base File'!$B:$B,'Account Summary'!$C14,'Base File'!$AZ:$AZ,"Met")+COUNTIFS('Base File'!$G:$G,"Contractual SLA",'Base File'!$H:$H,"yes",'Base File'!$B:$B,'Account Summary'!$C14,'Base File'!$AZ:$AZ,"Not Met")),"-")</f>
        <v>-</v>
      </c>
      <c r="AA14" s="100" t="str">
        <f>IFERROR(COUNTIFS('Base File'!$G:$G,"Internal KPI",'Base File'!$B:$B,'Account Summary'!$C14,'Base File'!$AZ:$AZ,"Met")/SUM(COUNTIFS('Base File'!$G:$G,"Internal KPI",'Base File'!$B:$B,'Account Summary'!$C14,'Base File'!$AZ:$AZ,"Met")+COUNTIFS('Base File'!$G:$G,"Internal KPI",'Base File'!$B:$B,'Account Summary'!$C14,'Base File'!$AZ:$AZ,"Not Met")),"-")</f>
        <v>-</v>
      </c>
      <c r="AB14" s="99">
        <f>IFERROR(COUNTIFS('Base File'!$BB:$BB,"Met",'Base File'!$B:$B,'Account Summary'!C14)/(COUNTIFS('Base File'!$BB:$BB,"Met",'Base File'!$B:$B,'Account Summary'!C14)+COUNTIFS('Base File'!$BB:$BB,"Not Met",'Base File'!$B:$B,'Account Summary'!C14)),"NR")</f>
        <v>1</v>
      </c>
      <c r="AC14" s="99">
        <f>IFERROR(COUNTIFS('Base File'!$G:$G,"Contractual SLA",'Base File'!$H:$H,"No",'Base File'!$B:$B,'Account Summary'!$C14,'Base File'!$BB:$BB,"Met")/SUM(COUNTIFS('Base File'!$G:$G,"Contractual SLA",'Base File'!$H:$H,"No",'Base File'!$B:$B,'Account Summary'!$C14,'Base File'!$BB:$BB,"Met")+COUNTIFS('Base File'!$G:$G,"Contractual SLA",'Base File'!$H:$H,"No",'Base File'!$B:$B,'Account Summary'!$C14,'Base File'!$BB:$BB,"Not Met")),"-")</f>
        <v>1</v>
      </c>
      <c r="AD14" s="100" t="str">
        <f>IFERROR(COUNTIFS('Base File'!$G:$G,"Contractual SLA",'Base File'!$H:$H,"Yes",'Base File'!$B:$B,'Account Summary'!$C14,'Base File'!$BB:$BB,"Met")/SUM(COUNTIFS('Base File'!$G:$G,"Contractual SLA",'Base File'!$H:$H,"yes",'Base File'!$B:$B,'Account Summary'!$C14,'Base File'!$BB:$BB,"Met")+COUNTIFS('Base File'!$G:$G,"Contractual SLA",'Base File'!$H:$H,"yes",'Base File'!$B:$B,'Account Summary'!$C14,'Base File'!$BB:$BB,"Not Met")),"-")</f>
        <v>-</v>
      </c>
      <c r="AE14" s="100" t="str">
        <f>IFERROR(COUNTIFS('Base File'!$G:$G,"Internal KPI",'Base File'!$B:$B,'Account Summary'!$C14,'Base File'!$BB:$BB,"Met")/SUM(COUNTIFS('Base File'!$G:$G,"Internal KPI",'Base File'!$B:$B,'Account Summary'!$C14,'Base File'!$BB:$BB,"Met")+COUNTIFS('Base File'!$G:$G,"Internal KPI",'Base File'!$B:$B,'Account Summary'!$C14,'Base File'!$BB:$BB,"Not Met")),"-")</f>
        <v>-</v>
      </c>
      <c r="AF14" s="99">
        <f>IFERROR(COUNTIFS('Base File'!$BD:$BD,"Met",'Base File'!$B:$B,'Account Summary'!C14)/(COUNTIFS('Base File'!$BD:$BD,"Met",'Base File'!$B:$B,'Account Summary'!C14)+COUNTIFS('Base File'!$BD:$BD,"Not Met",'Base File'!$B:$B,'Account Summary'!C14)),"NR")</f>
        <v>1</v>
      </c>
      <c r="AG14" s="99">
        <f>IFERROR(COUNTIFS('Base File'!$G:$G,"Contractual SLA",'Base File'!$H:$H,"No",'Base File'!$B:$B,'Account Summary'!$C14,'Base File'!$BD:$BD,"Met")/SUM(COUNTIFS('Base File'!$G:$G,"Contractual SLA",'Base File'!$H:$H,"No",'Base File'!$B:$B,'Account Summary'!$C14,'Base File'!$BD:$BD,"Met")+COUNTIFS('Base File'!$G:$G,"Contractual SLA",'Base File'!$H:$H,"No",'Base File'!$B:$B,'Account Summary'!$C14,'Base File'!$BD:$BD,"Not Met")),"-")</f>
        <v>1</v>
      </c>
      <c r="AH14" s="100" t="str">
        <f>IFERROR(COUNTIFS('Base File'!$G:$G,"Contractual SLA",'Base File'!$H:$H,"Yes",'Base File'!$B:$B,'Account Summary'!$C14,'Base File'!$BD:$BD,"Met")/SUM(COUNTIFS('Base File'!$G:$G,"Contractual SLA",'Base File'!$H:$H,"yes",'Base File'!$B:$B,'Account Summary'!$C14,'Base File'!$BD:$BD,"Met")+COUNTIFS('Base File'!$G:$G,"Contractual SLA",'Base File'!$H:$H,"yes",'Base File'!$B:$B,'Account Summary'!$C14,'Base File'!$BD:$BD,"Not Met")),"-")</f>
        <v>-</v>
      </c>
      <c r="AI14" s="100" t="str">
        <f>IFERROR(COUNTIFS('Base File'!$G:$G,"Internal KPI",'Base File'!$B:$B,'Account Summary'!$C14,'Base File'!$BD:$BD,"Met")/SUM(COUNTIFS('Base File'!$G:$G,"Internal KPI",'Base File'!$B:$B,'Account Summary'!$C14,'Base File'!$BD:$BD,"Met")+COUNTIFS('Base File'!$G:$G,"Internal KPI",'Base File'!$B:$B,'Account Summary'!$C14,'Base File'!$BD:$BD,"Not Met")),"-")</f>
        <v>-</v>
      </c>
      <c r="AJ14" s="99">
        <f>IFERROR(COUNTIFS('Base File'!$BF:$BF,"Met",'Base File'!$B:$B,'Account Summary'!C14)/(COUNTIFS('Base File'!$BF:$BF,"Met",'Base File'!$B:$B,'Account Summary'!C14)+COUNTIFS('Base File'!$BF:$BF,"Not Met",'Base File'!$B:$B,'Account Summary'!C14)),"NR")</f>
        <v>1</v>
      </c>
      <c r="AK14" s="99">
        <f>IFERROR(COUNTIFS('Base File'!$G:$G,"Contractual SLA",'Base File'!$H:$H,"No",'Base File'!$B:$B,'Account Summary'!$C14,'Base File'!$BF:$BF,"Met")/SUM(COUNTIFS('Base File'!$G:$G,"Contractual SLA",'Base File'!$H:$H,"No",'Base File'!$B:$B,'Account Summary'!$C14,'Base File'!$BF:$BF,"Met")+COUNTIFS('Base File'!$G:$G,"Contractual SLA",'Base File'!$H:$H,"No",'Base File'!$B:$B,'Account Summary'!$C14,'Base File'!$BF:$BF,"Not Met")),"-")</f>
        <v>1</v>
      </c>
      <c r="AL14" s="100" t="str">
        <f>IFERROR(COUNTIFS('Base File'!$G:$G,"Contractual SLA",'Base File'!$H:$H,"Yes",'Base File'!$B:$B,'Account Summary'!$C14,'Base File'!$BF:$BF,"Met")/SUM(COUNTIFS('Base File'!$G:$G,"Contractual SLA",'Base File'!$H:$H,"yes",'Base File'!$B:$B,'Account Summary'!$C14,'Base File'!$BF:$BF,"Met")+COUNTIFS('Base File'!$G:$G,"Contractual SLA",'Base File'!$H:$H,"yes",'Base File'!$B:$B,'Account Summary'!$C14,'Base File'!$BF:$BF,"Not Met")),"-")</f>
        <v>-</v>
      </c>
      <c r="AM14" s="100" t="str">
        <f>IFERROR(COUNTIFS('Base File'!$G:$G,"Internal KPI",'Base File'!$B:$B,'Account Summary'!$C14,'Base File'!$BF:$BF,"Met")/SUM(COUNTIFS('Base File'!$G:$G,"Internal KPI",'Base File'!$B:$B,'Account Summary'!$C14,'Base File'!$BF:$BF,"Met")+COUNTIFS('Base File'!$G:$G,"Internal KPI",'Base File'!$B:$B,'Account Summary'!$C14,'Base File'!$BF:$BF,"Not Met")),"-")</f>
        <v>-</v>
      </c>
      <c r="AN14" s="99">
        <f>IFERROR(COUNTIFS('Base File'!$BH:$BH,"Met",'Base File'!$B:$B,'Account Summary'!C14)/(COUNTIFS('Base File'!$BH:$BH,"Met",'Base File'!$B:$B,'Account Summary'!C14)+COUNTIFS('Base File'!$BH:$BH,"Not Met",'Base File'!$B:$B,'Account Summary'!C14)),"NR")</f>
        <v>1</v>
      </c>
      <c r="AO14" s="99">
        <f>IFERROR(COUNTIFS('Base File'!$G:$G,"Contractual SLA",'Base File'!$H:$H,"No",'Base File'!$B:$B,'Account Summary'!$C14,'Base File'!$BH:$BH,"Met")/SUM(COUNTIFS('Base File'!$G:$G,"Contractual SLA",'Base File'!$H:$H,"No",'Base File'!$B:$B,'Account Summary'!$C14,'Base File'!$BH:$BH,"Met")+COUNTIFS('Base File'!$G:$G,"Contractual SLA",'Base File'!$H:$H,"No",'Base File'!$B:$B,'Account Summary'!$C14,'Base File'!$BH:$BH,"Not Met")),"-")</f>
        <v>1</v>
      </c>
      <c r="AP14" s="100" t="str">
        <f>IFERROR(COUNTIFS('Base File'!$G:$G,"Contractual SLA",'Base File'!$H:$H,"Yes",'Base File'!$B:$B,'Account Summary'!$C14,'Base File'!$BH:$BH,"Met")/SUM(COUNTIFS('Base File'!$G:$G,"Contractual SLA",'Base File'!$H:$H,"yes",'Base File'!$B:$B,'Account Summary'!$C14,'Base File'!$BH:$BH,"Met")+COUNTIFS('Base File'!$G:$G,"Contractual SLA",'Base File'!$H:$H,"yes",'Base File'!$B:$B,'Account Summary'!$C14,'Base File'!$BH:$BH,"Not Met")),"-")</f>
        <v>-</v>
      </c>
      <c r="AQ14" s="100" t="str">
        <f>IFERROR(COUNTIFS('Base File'!$G:$G,"Internal KPI",'Base File'!$B:$B,'Account Summary'!$C14,'Base File'!$BH:$BH,"Met")/SUM(COUNTIFS('Base File'!$G:$G,"Internal KPI",'Base File'!$B:$B,'Account Summary'!$C14,'Base File'!$BH:$BH,"Met")+COUNTIFS('Base File'!$G:$G,"Internal KPI",'Base File'!$B:$B,'Account Summary'!$C14,'Base File'!$BH:$BH,"Not Met")),"-")</f>
        <v>-</v>
      </c>
      <c r="AR14" s="99">
        <f>IFERROR(COUNTIFS('Base File'!$BJ:$BJ,"Met",'Base File'!$B:$B,'Account Summary'!C14)/(COUNTIFS('Base File'!$BJ:$BJ,"Met",'Base File'!$B:$B,'Account Summary'!C14)+COUNTIFS('Base File'!$BJ:$BJ,"Not Met",'Base File'!$B:$B,'Account Summary'!C14)),"NR")</f>
        <v>1</v>
      </c>
      <c r="AS14" s="105">
        <f>IFERROR(COUNTIFS('Base File'!$G:$G,"Contractual SLA",'Base File'!$H:$H,"No",'Base File'!$B:$B,'Account Summary'!$C14,'Base File'!$BJ:$BJ,"Met")/SUM(COUNTIFS('Base File'!$G:$G,"Contractual SLA",'Base File'!$H:$H,"No",'Base File'!$B:$B,'Account Summary'!$C14,'Base File'!$BJ:$BJ,"Met")+COUNTIFS('Base File'!$G:$G,"Contractual SLA",'Base File'!$H:$H,"No",'Base File'!$B:$B,'Account Summary'!$C14,'Base File'!$BJ:$BJ,"Not Met")),"-")</f>
        <v>1</v>
      </c>
      <c r="AT14" s="100" t="str">
        <f>IFERROR(COUNTIFS('Base File'!$G:$G,"Contractual SLA",'Base File'!$H:$H,"Yes",'Base File'!$B:$B,'Account Summary'!$C14,'Base File'!$BJ:$BJ,"Met")/SUM(COUNTIFS('Base File'!$G:$G,"Contractual SLA",'Base File'!$H:$H,"yes",'Base File'!$B:$B,'Account Summary'!$C14,'Base File'!$BJ:$BJ,"Met")+COUNTIFS('Base File'!$G:$G,"Contractual SLA",'Base File'!$H:$H,"yes",'Base File'!$B:$B,'Account Summary'!$C14,'Base File'!$BJ:$BJ,"Not Met")),"-")</f>
        <v>-</v>
      </c>
      <c r="AU14" s="100" t="str">
        <f>IFERROR(COUNTIFS('Base File'!$G:$G,"Internal KPI",'Base File'!$B:$B,'Account Summary'!$C14,'Base File'!$BJ:$BJ,"Met")/SUM(COUNTIFS('Base File'!$G:$G,"Internal KPI",'Base File'!$B:$B,'Account Summary'!$C14,'Base File'!$BJ:$BJ,"Met")+COUNTIFS('Base File'!$G:$G,"Internal KPI",'Base File'!$B:$B,'Account Summary'!$C14,'Base File'!$BJ:$BJ,"Not Met")),"-")</f>
        <v>-</v>
      </c>
      <c r="AV14" s="100">
        <f>IFERROR(COUNTIFS('Base File'!$BL:$BL,"Met",'Base File'!$B:$B,'Account Summary'!C14)/(COUNTIFS('Base File'!$BL:$BL,"Met",'Base File'!$B:$B,'Account Summary'!C14)+COUNTIFS('Base File'!$BL:$BL,"Not Met",'Base File'!$B:$B,'Account Summary'!C14)),"NR")</f>
        <v>1</v>
      </c>
      <c r="AW14" s="100">
        <f>IFERROR(COUNTIFS('Base File'!$G:$G,"Contractual SLA",'Base File'!$H:$H,"No",'Base File'!$B:$B,'Account Summary'!$C14,'Base File'!$BL:$BL,"Met")/SUM(COUNTIFS('Base File'!$G:$G,"Contractual SLA",'Base File'!$H:$H,"No",'Base File'!$B:$B,'Account Summary'!$C14,'Base File'!$BL:$BL,"Met")+COUNTIFS('Base File'!$G:$G,"Contractual SLA",'Base File'!$H:$H,"No",'Base File'!$B:$B,'Account Summary'!$C14,'Base File'!$BL:$BL,"Not Met")),"-")</f>
        <v>1</v>
      </c>
      <c r="AX14" s="100" t="str">
        <f>IFERROR(COUNTIFS('Base File'!$G:$G,"Contractual SLA",'Base File'!$H:$H,"Yes",'Base File'!$B:$B,'Account Summary'!$C14,'Base File'!$BL:$BL,"Met")/SUM(COUNTIFS('Base File'!$G:$G,"Contractual SLA",'Base File'!$H:$H,"yes",'Base File'!$B:$B,'Account Summary'!$C14,'Base File'!$BL:$BL,"Met")+COUNTIFS('Base File'!$G:$G,"Contractual SLA",'Base File'!$H:$H,"yes",'Base File'!$B:$B,'Account Summary'!$C14,'Base File'!$BL:$BL,"Not Met")),"-")</f>
        <v>-</v>
      </c>
      <c r="AY14" s="100" t="str">
        <f>IFERROR(COUNTIFS('Base File'!$G:$G,"Internal KPI",'Base File'!$B:$B,'Account Summary'!$C14,'Base File'!$BL:$BL,"Met")/SUM(COUNTIFS('Base File'!$G:$G,"Internal KPI",'Base File'!$B:$B,'Account Summary'!$C14,'Base File'!$BL:$BL,"Met")+COUNTIFS('Base File'!$G:$G,"Internal KPI",'Base File'!$B:$B,'Account Summary'!$C14,'Base File'!$BL:$BL,"Not Met")),"-")</f>
        <v>-</v>
      </c>
      <c r="AZ14" s="100">
        <v>1</v>
      </c>
      <c r="BA14" s="100">
        <v>1</v>
      </c>
      <c r="BB14" s="100" t="s">
        <v>107</v>
      </c>
      <c r="BC14" s="100" t="s">
        <v>107</v>
      </c>
      <c r="BD14" s="99">
        <f>IFERROR(COUNTIFS('Base File'!$BP:$BP,"Met",'Base File'!$B:$B,'Account Summary'!C14)/(COUNTIFS('Base File'!$BP:$BP,"Met",'Base File'!$B:$B,'Account Summary'!C14)+COUNTIFS('Base File'!$BP:$BP,"Not Met",'Base File'!$B:$B,'Account Summary'!C14)),"NR")</f>
        <v>1</v>
      </c>
      <c r="BE14" s="99">
        <f>IFERROR(COUNTIFS('Base File'!$G:$G,"Contractual SLA",'Base File'!$H:$H,"No",'Base File'!$B:$B,'Account Summary'!$C14,'Base File'!$BP:$BP,"Met")/SUM(COUNTIFS('Base File'!$G:$G,"Contractual SLA",'Base File'!$H:$H,"No",'Base File'!$B:$B,'Account Summary'!$C14,'Base File'!$BP:$BP,"Met")+COUNTIFS('Base File'!$G:$G,"Contractual SLA",'Base File'!$H:$H,"No",'Base File'!$B:$B,'Account Summary'!$C14,'Base File'!$BP:$BP,"Not Met")),"-")</f>
        <v>1</v>
      </c>
      <c r="BF14" s="100" t="str">
        <f>IFERROR(COUNTIFS('Base File'!$G:$G,"Contractual SLA",'Base File'!$H:$H,"Yes",'Base File'!$B:$B,'Account Summary'!$C14,'Base File'!$BP:$BP,"Met")/SUM(COUNTIFS('Base File'!$G:$G,"Contractual SLA",'Base File'!$H:$H,"yes",'Base File'!$B:$B,'Account Summary'!$C14,'Base File'!$BP:$BP,"Met")+COUNTIFS('Base File'!$G:$G,"Contractual SLA",'Base File'!$H:$H,"yes",'Base File'!$B:$B,'Account Summary'!$C14,'Base File'!$BP:$BP,"Not Met")),"-")</f>
        <v>-</v>
      </c>
      <c r="BG14" s="100" t="str">
        <f>IFERROR(COUNTIFS('Base File'!$G:$G,"Internal KPI",'Base File'!$B:$B,'Account Summary'!$C14,'Base File'!$BP:$BP,"Met")/SUM(COUNTIFS('Base File'!$G:$G,"Internal KPI",'Base File'!$B:$B,'Account Summary'!$C14,'Base File'!$BP:$BP,"Met")+COUNTIFS('Base File'!$G:$G,"Internal KPI",'Base File'!$B:$B,'Account Summary'!$C14,'Base File'!$BP:$BP,"Not Met")),"-")</f>
        <v>-</v>
      </c>
      <c r="BH14" s="100" t="str">
        <f>IFERROR(COUNTIFS('Base File'!$BR:$BR,"Met",'Base File'!$B:$B,'Account Summary'!C14)/(COUNTIFS('Base File'!$BR:$BR,"Met",'Base File'!$B:$B,'Account Summary'!C14)+COUNTIFS('Base File'!$BR:$BR,"Not Met",'Base File'!$B:$B,'Account Summary'!C14)),"NR")</f>
        <v>NR</v>
      </c>
      <c r="BI14" s="101" t="s">
        <v>103</v>
      </c>
      <c r="BJ14" s="100" t="str">
        <f>IFERROR(COUNTIFS('Base File'!$G:$G,"Contractual SLA",'Base File'!$H:$H,"No",'Base File'!$B:$B,'Account Summary'!$C14,'Base File'!$BR:$BR,"Met")/SUM(COUNTIFS('Base File'!$G:$G,"Contractual SLA",'Base File'!$H:$H,"No",'Base File'!$B:$B,'Account Summary'!$C14,'Base File'!$BR:$BR,"Met")+COUNTIFS('Base File'!$G:$G,"Contractual SLA",'Base File'!$H:$H,"No",'Base File'!$B:$B,'Account Summary'!$C14,'Base File'!$BR:$BR,"Not Met")),"-")</f>
        <v>-</v>
      </c>
      <c r="BK14" s="100" t="str">
        <f>IFERROR(COUNTIFS('Base File'!$G:$G,"Internal KPI",'Base File'!$B:$B,'Account Summary'!$C14,'Base File'!$BR:$BR,"Met")/SUM(COUNTIFS('Base File'!$G:$G,"Internal KPI",'Base File'!$B:$B,'Account Summary'!$C14,'Base File'!$BR:$BR,"Met")+COUNTIFS('Base File'!$G:$G,"Internal KPI",'Base File'!$B:$B,'Account Summary'!$C14,'Base File'!$BR:$BR,"Not Met")),"-")</f>
        <v>-</v>
      </c>
      <c r="BL14" s="100" t="str">
        <f>IFERROR(COUNTIFS('Base File'!$BT:$BT,"Met",'Base File'!$B:$B,'Account Summary'!C14)/(COUNTIFS('Base File'!$BT:$BT,"Met",'Base File'!$B:$B,'Account Summary'!C14)+COUNTIFS('Base File'!$BT:$BT,"Not Met",'Base File'!$B:$B,'Account Summary'!C14)),"NR")</f>
        <v>NR</v>
      </c>
      <c r="BM14" s="100" t="s">
        <v>103</v>
      </c>
      <c r="BN14" s="100" t="str">
        <f>IFERROR(COUNTIFS('Base File'!$G:$G,"Contractual SLA",'Base File'!$H:$H,"Yes",'Base File'!$B:$B,'Account Summary'!$C14,'Base File'!$BT:$BT,"Met")/SUM(COUNTIFS('Base File'!$G:$G,"Contractual SLA",'Base File'!$H:$H,"yes",'Base File'!$B:$B,'Account Summary'!$C14,'Base File'!$BT:$BT,"Met")+COUNTIFS('Base File'!$G:$G,"Contractual SLA",'Base File'!$H:$H,"yes",'Base File'!$B:$B,'Account Summary'!$C14,'Base File'!$BT:$BT,"Not Met")),"-")</f>
        <v>-</v>
      </c>
      <c r="BO14" s="100" t="str">
        <f>IFERROR(COUNTIFS('Base File'!$G:$G,"Internal KPI",'Base File'!$B:$B,'Account Summary'!$C14,'Base File'!$BT:$BT,"Met")/SUM(COUNTIFS('Base File'!$G:$G,"Internal KPI",'Base File'!$B:$B,'Account Summary'!$C14,'Base File'!$BT:$BT,"Met")+COUNTIFS('Base File'!$G:$G,"Internal KPI",'Base File'!$B:$B,'Account Summary'!$C14,'Base File'!$BT:$BT,"Not Met")),"-")</f>
        <v>-</v>
      </c>
      <c r="BP14" s="100" t="str">
        <f>IFERROR(COUNTIFS('Base File'!$BV:$BV,"Met",'Base File'!$B:$B,'Account Summary'!C14)/(COUNTIFS('Base File'!$BV:$BV,"Met",'Base File'!$B:$B,'Account Summary'!C14)+COUNTIFS('Base File'!$BV:$BV,"Not Met",'Base File'!$B:$B,'Account Summary'!C14)),"NR")</f>
        <v>NR</v>
      </c>
      <c r="BQ14" s="100" t="s">
        <v>103</v>
      </c>
      <c r="BR14" s="100" t="str">
        <f>IFERROR(COUNTIFS('Base File'!$G:$G,"Contractual SLA",'Base File'!$H:$H,"Yes",'Base File'!$B:$B,'Account Summary'!$C14,'Base File'!$BV:$BV,"Met")/SUM(COUNTIFS('Base File'!$G:$G,"Contractual SLA",'Base File'!$H:$H,"Yes",'Base File'!$B:$B,'Account Summary'!$C14,'Base File'!$BV:$BV,"Met")+COUNTIFS('Base File'!$G:$G,"Contractual SLA",'Base File'!$H:$H,"Yes",'Base File'!$B:$B,'Account Summary'!$C14,'Base File'!$BV:$BV,"Not Met")),"-")</f>
        <v>-</v>
      </c>
      <c r="BS14" s="100" t="str">
        <f>IFERROR(COUNTIFS('Base File'!$G:$G,"Internal KPI",'Base File'!$B:$B,'Account Summary'!$C16,'Base File'!$BV:$BV,"Met")/SUM(COUNTIFS('Base File'!$G:$G,"Internal KPI",'Base File'!$B:$B,'Account Summary'!$C16,'Base File'!$BV:$BV,"Met")+COUNTIFS('Base File'!$G:$G,"Internal KPI",'Base File'!$B:$B,'Account Summary'!$C16,'Base File'!$BV:$BV,"Not Met")),"-")</f>
        <v>-</v>
      </c>
    </row>
    <row r="15" spans="1:72" s="12" customFormat="1" x14ac:dyDescent="0.25">
      <c r="A15" s="389"/>
      <c r="B15" s="94">
        <v>12</v>
      </c>
      <c r="C15" s="94" t="s">
        <v>18</v>
      </c>
      <c r="D15" s="95" t="s">
        <v>110</v>
      </c>
      <c r="E15" s="95" t="s">
        <v>903</v>
      </c>
      <c r="F15" s="94" t="s">
        <v>899</v>
      </c>
      <c r="G15" s="96"/>
      <c r="H15" s="94"/>
      <c r="I15" s="94" t="s">
        <v>133</v>
      </c>
      <c r="J15" s="89" t="s">
        <v>67</v>
      </c>
      <c r="K15" s="89" t="s">
        <v>65</v>
      </c>
      <c r="L15" s="98" t="str">
        <f>IFERROR(COUNTIFS('Base File'!$AR:$AR,"Met",'Base File'!$B:$B,'Account Summary'!C15)/(COUNTIFS('Base File'!$AR:$AR,"Met",'Base File'!$B:$B,'Account Summary'!C15)+COUNTIFS('Base File'!$AR:$AR,"Not Met",'Base File'!$B:$B,'Account Summary'!C15)),"NR")</f>
        <v>NR</v>
      </c>
      <c r="M15" s="98" t="str">
        <f>IFERROR(COUNTIFS('Base File'!$G:$G,"Contractual SLA",'Base File'!$H:$H,"No",'Base File'!$B:$B,'Account Summary'!$C15,'Base File'!$AR:$AR,"Met")/SUM(COUNTIFS('Base File'!$G:$G,"Contractual SLA",'Base File'!$H:$H,"No",'Base File'!$B:$B,'Account Summary'!$C15,'Base File'!$AR:$AR,"Met")+COUNTIFS('Base File'!$G:$G,"Contractual SLA",'Base File'!$H:$H,"No",'Base File'!$B:$B,'Account Summary'!$C15,'Base File'!$AR:$AR,"Not Met")),"-")</f>
        <v>-</v>
      </c>
      <c r="N15" s="98" t="str">
        <f>IFERROR(COUNTIFS('Base File'!$G:$G,"Contractual SLA",'Base File'!$H:$H,"Yes",'Base File'!$B:$B,'Account Summary'!$C15,'Base File'!$AR:$AR,"Met")/SUM(COUNTIFS('Base File'!$G:$G,"Contractual SLA",'Base File'!$H:$H,"yes",'Base File'!$B:$B,'Account Summary'!$C15,'Base File'!$AR:$AR,"Met")+COUNTIFS('Base File'!$G:$G,"Contractual SLA",'Base File'!$H:$H,"yes",'Base File'!$B:$B,'Account Summary'!$C15,'Base File'!$AR:$AR,"Not Met")),"-")</f>
        <v>-</v>
      </c>
      <c r="O15" s="98" t="s">
        <v>103</v>
      </c>
      <c r="P15" s="110">
        <f>IFERROR(COUNTIFS('Base File'!$AV:$AV,"Met",'Base File'!$B:$B,'Account Summary'!C15)/(COUNTIFS('Base File'!$AV:$AV,"Met",'Base File'!$B:$B,'Account Summary'!C15)+COUNTIFS('Base File'!$AV:$AV,"Not Met",'Base File'!$B:$B,'Account Summary'!C15)),"NR")</f>
        <v>0.42857142857142855</v>
      </c>
      <c r="Q15" s="98" t="str">
        <f>IFERROR(COUNTIFS('Base File'!$G:$G,"Contractual SLA",'Base File'!$H:$H,"No",'Base File'!$B:$B,'Account Summary'!$C15,'Base File'!$AV:$AV,"Met")/SUM(COUNTIFS('Base File'!$G:$G,"Contractual SLA",'Base File'!$H:$H,"No",'Base File'!$B:$B,'Account Summary'!$C15,'Base File'!$AV:$AV,"Met")+COUNTIFS('Base File'!$G:$G,"Contractual SLA",'Base File'!$H:$H,"No",'Base File'!$B:$B,'Account Summary'!$C15,'Base File'!$AV:$AV,"Not Met")),"-")</f>
        <v>-</v>
      </c>
      <c r="R15" s="103" t="str">
        <f>IFERROR(COUNTIFS('Base File'!$G:$G,"Contractual SLA",'Base File'!$H:$H,"Yes",'Base File'!$B:$B,'Account Summary'!$C15,'Base File'!$AV:$AV,"Met")/SUM(COUNTIFS('Base File'!$G:$G,"Contractual SLA",'Base File'!$H:$H,"yes",'Base File'!$B:$B,'Account Summary'!$C15,'Base File'!$AV:$AV,"Met")+COUNTIFS('Base File'!$G:$G,"Contractual SLA",'Base File'!$H:$H,"yes",'Base File'!$B:$B,'Account Summary'!$C15,'Base File'!$AV:$AV,"Not Met")),"-")</f>
        <v>-</v>
      </c>
      <c r="S15" s="110">
        <f>IFERROR(COUNTIFS('Base File'!$G:$G,"Internal KPI",'Base File'!$B:$B,'Account Summary'!$C15,'Base File'!$AV:$AV,"Met")/SUM(COUNTIFS('Base File'!$G:$G,"Internal KPI",'Base File'!$B:$B,'Account Summary'!$C15,'Base File'!$AV:$AV,"Met")+COUNTIFS('Base File'!$G:$G,"Internal KPI",'Base File'!$B:$B,'Account Summary'!$C15,'Base File'!$AV:$AV,"Not Met")),"-")</f>
        <v>0.42857142857142855</v>
      </c>
      <c r="T15" s="106">
        <f>IFERROR(COUNTIFS('Base File'!$AX:$AX,"Met",'Base File'!$B:$B,'Account Summary'!C15)/(COUNTIFS('Base File'!$AX:$AX,"Met",'Base File'!$B:$B,'Account Summary'!C15)+COUNTIFS('Base File'!$AX:$AX,"Not Met",'Base File'!$B:$B,'Account Summary'!C15)),"NR")</f>
        <v>0.5714285714285714</v>
      </c>
      <c r="U15" s="101" t="s">
        <v>11</v>
      </c>
      <c r="V15" s="100" t="s">
        <v>11</v>
      </c>
      <c r="W15" s="106">
        <f>IFERROR(COUNTIFS('Base File'!$G:$G,"Internal KPI",'Base File'!$B:$B,'Account Summary'!$C15,'Base File'!$AX:$AX,"Met")/SUM(COUNTIFS('Base File'!$G:$G,"Internal KPI",'Base File'!$B:$B,'Account Summary'!$C15,'Base File'!$AX:$AX,"Met")+COUNTIFS('Base File'!$G:$G,"Internal KPI",'Base File'!$B:$B,'Account Summary'!$C15,'Base File'!$AX:$AX,"Not Met")),"-")</f>
        <v>0.5714285714285714</v>
      </c>
      <c r="X15" s="110">
        <f>IFERROR(COUNTIFS('Base File'!$AZ:$AZ,"Met",'Base File'!$B:$B,'Account Summary'!C15)/(COUNTIFS('Base File'!$AZ:$AZ,"Met",'Base File'!$B:$B,'Account Summary'!C15)+COUNTIFS('Base File'!$AZ:$AZ,"Not Met",'Base File'!$B:$B,'Account Summary'!C15)),"NR")</f>
        <v>0.42857142857142855</v>
      </c>
      <c r="Y15" s="101" t="str">
        <f>IFERROR(COUNTIFS('Base File'!$G:$G,"Contractual SLA",'Base File'!$H:$H,"No",'Base File'!$B:$B,'Account Summary'!$C15,'Base File'!$AZ:$AZ,"Met")/SUM(COUNTIFS('Base File'!$G:$G,"Contractual SLA",'Base File'!$H:$H,"No",'Base File'!$B:$B,'Account Summary'!$C15,'Base File'!$AZ:$AZ,"Met")+COUNTIFS('Base File'!$G:$G,"Contractual SLA",'Base File'!$H:$H,"No",'Base File'!$B:$B,'Account Summary'!$C15,'Base File'!$AZ:$AZ,"Not Met")),"-")</f>
        <v>-</v>
      </c>
      <c r="Z15" s="100" t="str">
        <f>IFERROR(COUNTIFS('Base File'!$G:$G,"Contractual SLA",'Base File'!$H:$H,"Yes",'Base File'!$B:$B,'Account Summary'!$C15,'Base File'!$AZ:$AZ,"Met")/SUM(COUNTIFS('Base File'!$G:$G,"Contractual SLA",'Base File'!$H:$H,"yes",'Base File'!$B:$B,'Account Summary'!$C15,'Base File'!$AZ:$AZ,"Met")+COUNTIFS('Base File'!$G:$G,"Contractual SLA",'Base File'!$H:$H,"yes",'Base File'!$B:$B,'Account Summary'!$C15,'Base File'!$AZ:$AZ,"Not Met")),"-")</f>
        <v>-</v>
      </c>
      <c r="AA15" s="110">
        <f>IFERROR(COUNTIFS('Base File'!$G:$G,"Internal KPI",'Base File'!$B:$B,'Account Summary'!$C15,'Base File'!$AZ:$AZ,"Met")/SUM(COUNTIFS('Base File'!$G:$G,"Internal KPI",'Base File'!$B:$B,'Account Summary'!$C15,'Base File'!$AZ:$AZ,"Met")+COUNTIFS('Base File'!$G:$G,"Internal KPI",'Base File'!$B:$B,'Account Summary'!$C15,'Base File'!$AZ:$AZ,"Not Met")),"-")</f>
        <v>0.42857142857142855</v>
      </c>
      <c r="AB15" s="107">
        <f>IFERROR(COUNTIFS('Base File'!$BB:$BB,"Met",'Base File'!$B:$B,'Account Summary'!C15)/(COUNTIFS('Base File'!$BB:$BB,"Met",'Base File'!$B:$B,'Account Summary'!C15)+COUNTIFS('Base File'!$BB:$BB,"Not Met",'Base File'!$B:$B,'Account Summary'!C15)),"NR")</f>
        <v>0.7142857142857143</v>
      </c>
      <c r="AC15" s="101" t="str">
        <f>IFERROR(COUNTIFS('Base File'!$G:$G,"Contractual SLA",'Base File'!$H:$H,"No",'Base File'!$B:$B,'Account Summary'!$C15,'Base File'!$BB:$BB,"Met")/SUM(COUNTIFS('Base File'!$G:$G,"Contractual SLA",'Base File'!$H:$H,"No",'Base File'!$B:$B,'Account Summary'!$C15,'Base File'!$BB:$BB,"Met")+COUNTIFS('Base File'!$G:$G,"Contractual SLA",'Base File'!$H:$H,"No",'Base File'!$B:$B,'Account Summary'!$C15,'Base File'!$BB:$BB,"Not Met")),"-")</f>
        <v>-</v>
      </c>
      <c r="AD15" s="100" t="str">
        <f>IFERROR(COUNTIFS('Base File'!$G:$G,"Contractual SLA",'Base File'!$H:$H,"Yes",'Base File'!$B:$B,'Account Summary'!$C15,'Base File'!$BB:$BB,"Met")/SUM(COUNTIFS('Base File'!$G:$G,"Contractual SLA",'Base File'!$H:$H,"yes",'Base File'!$B:$B,'Account Summary'!$C15,'Base File'!$BB:$BB,"Met")+COUNTIFS('Base File'!$G:$G,"Contractual SLA",'Base File'!$H:$H,"yes",'Base File'!$B:$B,'Account Summary'!$C15,'Base File'!$BB:$BB,"Not Met")),"-")</f>
        <v>-</v>
      </c>
      <c r="AE15" s="106">
        <f>IFERROR(COUNTIFS('Base File'!$G:$G,"Internal KPI",'Base File'!$B:$B,'Account Summary'!$C15,'Base File'!$BB:$BB,"Met")/SUM(COUNTIFS('Base File'!$G:$G,"Internal KPI",'Base File'!$B:$B,'Account Summary'!$C15,'Base File'!$BB:$BB,"Met")+COUNTIFS('Base File'!$G:$G,"Internal KPI",'Base File'!$B:$B,'Account Summary'!$C15,'Base File'!$BB:$BB,"Not Met")),"-")</f>
        <v>0.7142857142857143</v>
      </c>
      <c r="AF15" s="106">
        <f>IFERROR(COUNTIFS('Base File'!$BD:$BD,"Met",'Base File'!$B:$B,'Account Summary'!C15)/(COUNTIFS('Base File'!$BD:$BD,"Met",'Base File'!$B:$B,'Account Summary'!C15)+COUNTIFS('Base File'!$BD:$BD,"Not Met",'Base File'!$B:$B,'Account Summary'!C15)),"NR")</f>
        <v>0.5714285714285714</v>
      </c>
      <c r="AG15" s="100" t="str">
        <f>IFERROR(COUNTIFS('Base File'!$G:$G,"Contractual SLA",'Base File'!$H:$H,"No",'Base File'!$B:$B,'Account Summary'!$C15,'Base File'!$BD:$BD,"Met")/SUM(COUNTIFS('Base File'!$G:$G,"Contractual SLA",'Base File'!$H:$H,"No",'Base File'!$B:$B,'Account Summary'!$C15,'Base File'!$BD:$BD,"Met")+COUNTIFS('Base File'!$G:$G,"Contractual SLA",'Base File'!$H:$H,"No",'Base File'!$B:$B,'Account Summary'!$C15,'Base File'!$BD:$BD,"Not Met")),"-")</f>
        <v>-</v>
      </c>
      <c r="AH15" s="100" t="str">
        <f>IFERROR(COUNTIFS('Base File'!$G:$G,"Contractual SLA",'Base File'!$H:$H,"Yes",'Base File'!$B:$B,'Account Summary'!$C15,'Base File'!$BD:$BD,"Met")/SUM(COUNTIFS('Base File'!$G:$G,"Contractual SLA",'Base File'!$H:$H,"yes",'Base File'!$B:$B,'Account Summary'!$C15,'Base File'!$BD:$BD,"Met")+COUNTIFS('Base File'!$G:$G,"Contractual SLA",'Base File'!$H:$H,"yes",'Base File'!$B:$B,'Account Summary'!$C15,'Base File'!$BD:$BD,"Not Met")),"-")</f>
        <v>-</v>
      </c>
      <c r="AI15" s="106">
        <f>IFERROR(COUNTIFS('Base File'!$G:$G,"Internal KPI",'Base File'!$B:$B,'Account Summary'!$C15,'Base File'!$BD:$BD,"Met")/SUM(COUNTIFS('Base File'!$G:$G,"Internal KPI",'Base File'!$B:$B,'Account Summary'!$C15,'Base File'!$BD:$BD,"Met")+COUNTIFS('Base File'!$G:$G,"Internal KPI",'Base File'!$B:$B,'Account Summary'!$C15,'Base File'!$BD:$BD,"Not Met")),"-")</f>
        <v>0.5714285714285714</v>
      </c>
      <c r="AJ15" s="100" t="str">
        <f>IFERROR(COUNTIFS('Base File'!$BF:$BF,"Met",'Base File'!$B:$B,'Account Summary'!C15)/(COUNTIFS('Base File'!$BF:$BF,"Met",'Base File'!$B:$B,'Account Summary'!C15)+COUNTIFS('Base File'!$BF:$BF,"Not Met",'Base File'!$B:$B,'Account Summary'!C15)),"NR")</f>
        <v>NR</v>
      </c>
      <c r="AK15" s="100" t="str">
        <f>IFERROR(COUNTIFS('Base File'!$G:$G,"Contractual SLA",'Base File'!$H:$H,"No",'Base File'!$B:$B,'Account Summary'!$C15,'Base File'!$BF:$BF,"Met")/SUM(COUNTIFS('Base File'!$G:$G,"Contractual SLA",'Base File'!$H:$H,"No",'Base File'!$B:$B,'Account Summary'!$C15,'Base File'!$BF:$BF,"Met")+COUNTIFS('Base File'!$G:$G,"Contractual SLA",'Base File'!$H:$H,"No",'Base File'!$B:$B,'Account Summary'!$C15,'Base File'!$BF:$BF,"Not Met")),"-")</f>
        <v>-</v>
      </c>
      <c r="AL15" s="100" t="str">
        <f>IFERROR(COUNTIFS('Base File'!$G:$G,"Contractual SLA",'Base File'!$H:$H,"Yes",'Base File'!$B:$B,'Account Summary'!$C15,'Base File'!$BF:$BF,"Met")/SUM(COUNTIFS('Base File'!$G:$G,"Contractual SLA",'Base File'!$H:$H,"yes",'Base File'!$B:$B,'Account Summary'!$C15,'Base File'!$BF:$BF,"Met")+COUNTIFS('Base File'!$G:$G,"Contractual SLA",'Base File'!$H:$H,"yes",'Base File'!$B:$B,'Account Summary'!$C15,'Base File'!$BF:$BF,"Not Met")),"-")</f>
        <v>-</v>
      </c>
      <c r="AM15" s="100" t="str">
        <f>IFERROR(COUNTIFS('Base File'!$BF:$BF,"Met",'Base File'!$B:$B,'Account Summary'!G15)/(COUNTIFS('Base File'!$BF:$BF,"Met",'Base File'!$B:$B,'Account Summary'!G15)+COUNTIFS('Base File'!$BF:$BF,"Not Met",'Base File'!$B:$B,'Account Summary'!G15)),"NR")</f>
        <v>NR</v>
      </c>
      <c r="AN15" s="100" t="str">
        <f>IFERROR(COUNTIFS('Base File'!$BH:$BH,"Met",'Base File'!$B:$B,'Account Summary'!C15)/(COUNTIFS('Base File'!$BH:$BH,"Met",'Base File'!$B:$B,'Account Summary'!C15)+COUNTIFS('Base File'!$BH:$BH,"Not Met",'Base File'!$B:$B,'Account Summary'!C15)),"NR")</f>
        <v>NR</v>
      </c>
      <c r="AO15" s="100" t="str">
        <f>IFERROR(COUNTIFS('Base File'!$G:$G,"Contractual SLA",'Base File'!$H:$H,"No",'Base File'!$B:$B,'Account Summary'!$C15,'Base File'!$BH:$BH,"Met")/SUM(COUNTIFS('Base File'!$G:$G,"Contractual SLA",'Base File'!$H:$H,"No",'Base File'!$B:$B,'Account Summary'!$C15,'Base File'!$BH:$BH,"Met")+COUNTIFS('Base File'!$G:$G,"Contractual SLA",'Base File'!$H:$H,"No",'Base File'!$B:$B,'Account Summary'!$C15,'Base File'!$BH:$BH,"Not Met")),"-")</f>
        <v>-</v>
      </c>
      <c r="AP15" s="100" t="str">
        <f>IFERROR(COUNTIFS('Base File'!$G:$G,"Contractual SLA",'Base File'!$H:$H,"Yes",'Base File'!$B:$B,'Account Summary'!$C15,'Base File'!$BH:$BH,"Met")/SUM(COUNTIFS('Base File'!$G:$G,"Contractual SLA",'Base File'!$H:$H,"yes",'Base File'!$B:$B,'Account Summary'!$C15,'Base File'!$BH:$BH,"Met")+COUNTIFS('Base File'!$G:$G,"Contractual SLA",'Base File'!$H:$H,"yes",'Base File'!$B:$B,'Account Summary'!$C15,'Base File'!$BH:$BH,"Not Met")),"-")</f>
        <v>-</v>
      </c>
      <c r="AQ15" s="100" t="str">
        <f>IFERROR(COUNTIFS('Base File'!$BH:$BH,"Met",'Base File'!$B:$B,'Account Summary'!G15)/(COUNTIFS('Base File'!$BH:$BH,"Met",'Base File'!$B:$B,'Account Summary'!G15)+COUNTIFS('Base File'!$BH:$BH,"Not Met",'Base File'!$B:$B,'Account Summary'!G15)),"NR")</f>
        <v>NR</v>
      </c>
      <c r="AR15" s="100" t="str">
        <f>IFERROR(COUNTIFS('Base File'!$BJ:$BJ,"Met",'Base File'!$B:$B,'Account Summary'!C15)/(COUNTIFS('Base File'!$BJ:$BJ,"Met",'Base File'!$B:$B,'Account Summary'!C15)+COUNTIFS('Base File'!$BJ:$BJ,"Not Met",'Base File'!$B:$B,'Account Summary'!C15)),"NR")</f>
        <v>NR</v>
      </c>
      <c r="AS15" s="101" t="str">
        <f>IFERROR(COUNTIFS('Base File'!$G:$G,"Contractual SLA",'Base File'!$H:$H,"No",'Base File'!$B:$B,'Account Summary'!$C15,'Base File'!$BJ:$BJ,"Met")/SUM(COUNTIFS('Base File'!$G:$G,"Contractual SLA",'Base File'!$H:$H,"No",'Base File'!$B:$B,'Account Summary'!$C15,'Base File'!$BJ:$BJ,"Met")+COUNTIFS('Base File'!$G:$G,"Contractual SLA",'Base File'!$H:$H,"No",'Base File'!$B:$B,'Account Summary'!$C15,'Base File'!$BJ:$BJ,"Not Met")),"-")</f>
        <v>-</v>
      </c>
      <c r="AT15" s="100" t="str">
        <f>IFERROR(COUNTIFS('Base File'!$G:$G,"Contractual SLA",'Base File'!$H:$H,"Yes",'Base File'!$B:$B,'Account Summary'!$C15,'Base File'!$BJ:$BJ,"Met")/SUM(COUNTIFS('Base File'!$G:$G,"Contractual SLA",'Base File'!$H:$H,"yes",'Base File'!$B:$B,'Account Summary'!$C15,'Base File'!$BJ:$BJ,"Met")+COUNTIFS('Base File'!$G:$G,"Contractual SLA",'Base File'!$H:$H,"yes",'Base File'!$B:$B,'Account Summary'!$C15,'Base File'!$BJ:$BJ,"Not Met")),"-")</f>
        <v>-</v>
      </c>
      <c r="AU15" s="100" t="str">
        <f>IFERROR(COUNTIFS('Base File'!$BH:$BH,"Met",'Base File'!$B:$B,'Account Summary'!K15)/(COUNTIFS('Base File'!$BH:$BH,"Met",'Base File'!$B:$B,'Account Summary'!K15)+COUNTIFS('Base File'!$BH:$BH,"Not Met",'Base File'!$B:$B,'Account Summary'!K15)),"NR")</f>
        <v>NR</v>
      </c>
      <c r="AV15" s="100">
        <f>IFERROR(COUNTIFS('Base File'!$BL:$BL,"Met",'Base File'!$B:$B,'Account Summary'!C15)/(COUNTIFS('Base File'!$BL:$BL,"Met",'Base File'!$B:$B,'Account Summary'!C15)+COUNTIFS('Base File'!$BL:$BL,"Not Met",'Base File'!$B:$B,'Account Summary'!C15)),"NR")</f>
        <v>0.5714285714285714</v>
      </c>
      <c r="AW15" s="100" t="str">
        <f>IFERROR(COUNTIFS('Base File'!$G:$G,"Contractual SLA",'Base File'!$H:$H,"No",'Base File'!$B:$B,'Account Summary'!$C15,'Base File'!$BL:$BL,"Met")/SUM(COUNTIFS('Base File'!$G:$G,"Contractual SLA",'Base File'!$H:$H,"No",'Base File'!$B:$B,'Account Summary'!$C15,'Base File'!$BL:$BL,"Met")+COUNTIFS('Base File'!$G:$G,"Contractual SLA",'Base File'!$H:$H,"No",'Base File'!$B:$B,'Account Summary'!$C15,'Base File'!$BL:$BL,"Not Met")),"-")</f>
        <v>-</v>
      </c>
      <c r="AX15" s="100" t="str">
        <f>IFERROR(COUNTIFS('Base File'!$G:$G,"Contractual SLA",'Base File'!$H:$H,"Yes",'Base File'!$B:$B,'Account Summary'!$C15,'Base File'!$BL:$BL,"Met")/SUM(COUNTIFS('Base File'!$G:$G,"Contractual SLA",'Base File'!$H:$H,"yes",'Base File'!$B:$B,'Account Summary'!$C15,'Base File'!$BL:$BL,"Met")+COUNTIFS('Base File'!$G:$G,"Contractual SLA",'Base File'!$H:$H,"yes",'Base File'!$B:$B,'Account Summary'!$C15,'Base File'!$BL:$BL,"Not Met")),"-")</f>
        <v>-</v>
      </c>
      <c r="AY15" s="100">
        <f>IFERROR(COUNTIFS('Base File'!$G:$G,"Internal KPI",'Base File'!$B:$B,'Account Summary'!$C15,'Base File'!$BL:$BL,"Met")/SUM(COUNTIFS('Base File'!$G:$G,"Internal KPI",'Base File'!$B:$B,'Account Summary'!$C15,'Base File'!$BL:$BL,"Met")+COUNTIFS('Base File'!$G:$G,"Internal KPI",'Base File'!$B:$B,'Account Summary'!$C15,'Base File'!$BL:$BL,"Not Met")),"-")</f>
        <v>0.5714285714285714</v>
      </c>
      <c r="AZ15" s="106">
        <v>0.5714285714285714</v>
      </c>
      <c r="BA15" s="100" t="s">
        <v>107</v>
      </c>
      <c r="BB15" s="100" t="s">
        <v>107</v>
      </c>
      <c r="BC15" s="106">
        <v>0.5714285714285714</v>
      </c>
      <c r="BD15" s="106">
        <f>IFERROR(COUNTIFS('Base File'!$BP:$BP,"Met",'Base File'!$B:$B,'Account Summary'!C15)/(COUNTIFS('Base File'!$BP:$BP,"Met",'Base File'!$B:$B,'Account Summary'!C15)+COUNTIFS('Base File'!$BP:$BP,"Not Met",'Base File'!$B:$B,'Account Summary'!C15)),"NR")</f>
        <v>0.5714285714285714</v>
      </c>
      <c r="BE15" s="100" t="str">
        <f>IFERROR(COUNTIFS('Base File'!$G:$G,"Contractual SLA",'Base File'!$H:$H,"No",'Base File'!$B:$B,'Account Summary'!$C15,'Base File'!$BP:$BP,"Met")/SUM(COUNTIFS('Base File'!$G:$G,"Contractual SLA",'Base File'!$H:$H,"No",'Base File'!$B:$B,'Account Summary'!$C15,'Base File'!$BP:$BP,"Met")+COUNTIFS('Base File'!$G:$G,"Contractual SLA",'Base File'!$H:$H,"No",'Base File'!$B:$B,'Account Summary'!$C15,'Base File'!$BP:$BP,"Not Met")),"-")</f>
        <v>-</v>
      </c>
      <c r="BF15" s="100" t="str">
        <f>IFERROR(COUNTIFS('Base File'!$G:$G,"Contractual SLA",'Base File'!$H:$H,"Yes",'Base File'!$B:$B,'Account Summary'!$C15,'Base File'!$BP:$BP,"Met")/SUM(COUNTIFS('Base File'!$G:$G,"Contractual SLA",'Base File'!$H:$H,"yes",'Base File'!$B:$B,'Account Summary'!$C15,'Base File'!$BP:$BP,"Met")+COUNTIFS('Base File'!$G:$G,"Contractual SLA",'Base File'!$H:$H,"yes",'Base File'!$B:$B,'Account Summary'!$C15,'Base File'!$BP:$BP,"Not Met")),"-")</f>
        <v>-</v>
      </c>
      <c r="BG15" s="106">
        <f>IFERROR(COUNTIFS('Base File'!$G:$G,"Internal KPI",'Base File'!$B:$B,'Account Summary'!$C15,'Base File'!$BP:$BP,"Met")/SUM(COUNTIFS('Base File'!$G:$G,"Internal KPI",'Base File'!$B:$B,'Account Summary'!$C15,'Base File'!$BP:$BP,"Met")+COUNTIFS('Base File'!$G:$G,"Internal KPI",'Base File'!$B:$B,'Account Summary'!$C15,'Base File'!$BP:$BP,"Not Met")),"-")</f>
        <v>0.5714285714285714</v>
      </c>
      <c r="BH15" s="106">
        <f>IFERROR(COUNTIFS('Base File'!$BR:$BR,"Met",'Base File'!$B:$B,'Account Summary'!C15)/(COUNTIFS('Base File'!$BR:$BR,"Met",'Base File'!$B:$B,'Account Summary'!C15)+COUNTIFS('Base File'!$BR:$BR,"Not Met",'Base File'!$B:$B,'Account Summary'!C15)),"NR")</f>
        <v>0.5714285714285714</v>
      </c>
      <c r="BI15" s="101" t="str">
        <f>IFERROR(COUNTIFS('Base File'!$G:$G,"Contractual SLA",'Base File'!$H:$H,"No",'Base File'!$B:$B,'Account Summary'!$C15,'Base File'!$BR:$BR,"Met")/SUM(COUNTIFS('Base File'!$G:$G,"Contractual SLA",'Base File'!$H:$H,"No",'Base File'!$B:$B,'Account Summary'!$C15,'Base File'!$BR:$BR,"Met")+COUNTIFS('Base File'!$G:$G,"Contractual SLA",'Base File'!$H:$H,"No",'Base File'!$B:$B,'Account Summary'!$C15,'Base File'!$BR:$BR,"Not Met")),"-")</f>
        <v>-</v>
      </c>
      <c r="BJ15" s="100" t="str">
        <f>IFERROR(COUNTIFS('Base File'!$G:$G,"Contractual SLA",'Base File'!$H:$H,"No",'Base File'!$B:$B,'Account Summary'!$C15,'Base File'!$BR:$BR,"Met")/SUM(COUNTIFS('Base File'!$G:$G,"Contractual SLA",'Base File'!$H:$H,"No",'Base File'!$B:$B,'Account Summary'!$C15,'Base File'!$BR:$BR,"Met")+COUNTIFS('Base File'!$G:$G,"Contractual SLA",'Base File'!$H:$H,"No",'Base File'!$B:$B,'Account Summary'!$C15,'Base File'!$BR:$BR,"Not Met")),"-")</f>
        <v>-</v>
      </c>
      <c r="BK15" s="106">
        <f>IFERROR(COUNTIFS('Base File'!$G:$G,"Internal KPI",'Base File'!$B:$B,'Account Summary'!$C15,'Base File'!$BR:$BR,"Met")/SUM(COUNTIFS('Base File'!$G:$G,"Internal KPI",'Base File'!$B:$B,'Account Summary'!$C15,'Base File'!$BR:$BR,"Met")+COUNTIFS('Base File'!$G:$G,"Internal KPI",'Base File'!$B:$B,'Account Summary'!$C15,'Base File'!$BR:$BR,"Not Met")),"-")</f>
        <v>0.5714285714285714</v>
      </c>
      <c r="BL15" s="100">
        <f>IFERROR(COUNTIFS('Base File'!$BT:$BT,"Met",'Base File'!$B:$B,'Account Summary'!C15)/(COUNTIFS('Base File'!$BT:$BT,"Met",'Base File'!$B:$B,'Account Summary'!C15)+COUNTIFS('Base File'!$BT:$BT,"Not Met",'Base File'!$B:$B,'Account Summary'!C15)),"NR")</f>
        <v>0.5714285714285714</v>
      </c>
      <c r="BM15" s="100" t="str">
        <f>IFERROR(COUNTIFS('Base File'!$G:$G,"Contractual SLA",'Base File'!$H:$H,"No",'Base File'!$B:$B,'Account Summary'!$C15,'Base File'!$BT:$BT,"Met")/SUM(COUNTIFS('Base File'!$G:$G,"Contractual SLA",'Base File'!$H:$H,"No",'Base File'!$B:$B,'Account Summary'!$C15,'Base File'!$BT:$BT,"Met")+COUNTIFS('Base File'!$G:$G,"Contractual SLA",'Base File'!$H:$H,"No",'Base File'!$B:$B,'Account Summary'!$C15,'Base File'!$BT:$BT,"Not Met")),"-")</f>
        <v>-</v>
      </c>
      <c r="BN15" s="100" t="str">
        <f>IFERROR(COUNTIFS('Base File'!$G:$G,"Contractual SLA",'Base File'!$H:$H,"Yes",'Base File'!$B:$B,'Account Summary'!$C15,'Base File'!$BT:$BT,"Met")/SUM(COUNTIFS('Base File'!$G:$G,"Contractual SLA",'Base File'!$H:$H,"yes",'Base File'!$B:$B,'Account Summary'!$C15,'Base File'!$BT:$BT,"Met")+COUNTIFS('Base File'!$G:$G,"Contractual SLA",'Base File'!$H:$H,"yes",'Base File'!$B:$B,'Account Summary'!$C15,'Base File'!$BT:$BT,"Not Met")),"-")</f>
        <v>-</v>
      </c>
      <c r="BO15" s="100">
        <f>IFERROR(COUNTIFS('Base File'!$G:$G,"Internal KPI",'Base File'!$B:$B,'Account Summary'!$C15,'Base File'!$BT:$BT,"Met")/SUM(COUNTIFS('Base File'!$G:$G,"Internal KPI",'Base File'!$B:$B,'Account Summary'!$C15,'Base File'!$BT:$BT,"Met")+COUNTIFS('Base File'!$G:$G,"Internal KPI",'Base File'!$B:$B,'Account Summary'!$C15,'Base File'!$BT:$BT,"Not Met")),"-")</f>
        <v>0.5714285714285714</v>
      </c>
      <c r="BP15" s="100">
        <f>IFERROR(COUNTIFS('Base File'!$BV:$BV,"Met",'Base File'!$B:$B,'Account Summary'!C15)/(COUNTIFS('Base File'!$BV:$BV,"Met",'Base File'!$B:$B,'Account Summary'!C15)+COUNTIFS('Base File'!$BV:$BV,"Not Met",'Base File'!$B:$B,'Account Summary'!C15)),"NR")</f>
        <v>0.7142857142857143</v>
      </c>
      <c r="BQ15" s="102" t="s">
        <v>107</v>
      </c>
      <c r="BR15" s="100" t="str">
        <f>IFERROR(COUNTIFS('Base File'!$G:$G,"Contractual SLA",'Base File'!$H:$H,"Yes",'Base File'!$B:$B,'Account Summary'!$C15,'Base File'!$BV:$BV,"Met")/SUM(COUNTIFS('Base File'!$G:$G,"Contractual SLA",'Base File'!$H:$H,"Yes",'Base File'!$B:$B,'Account Summary'!$C15,'Base File'!$BV:$BV,"Met")+COUNTIFS('Base File'!$G:$G,"Contractual SLA",'Base File'!$H:$H,"Yes",'Base File'!$B:$B,'Account Summary'!$C15,'Base File'!$BV:$BV,"Not Met")),"-")</f>
        <v>-</v>
      </c>
      <c r="BS15" s="100">
        <v>0.71</v>
      </c>
    </row>
    <row r="16" spans="1:72" s="12" customFormat="1" x14ac:dyDescent="0.25">
      <c r="A16" s="389"/>
      <c r="B16" s="94">
        <v>13</v>
      </c>
      <c r="C16" s="94" t="s">
        <v>19</v>
      </c>
      <c r="D16" s="95" t="s">
        <v>104</v>
      </c>
      <c r="E16" s="95" t="s">
        <v>902</v>
      </c>
      <c r="F16" s="94" t="s">
        <v>132</v>
      </c>
      <c r="G16" s="96"/>
      <c r="H16" s="94"/>
      <c r="I16" s="94" t="s">
        <v>105</v>
      </c>
      <c r="J16" s="89" t="s">
        <v>955</v>
      </c>
      <c r="K16" s="89" t="s">
        <v>68</v>
      </c>
      <c r="L16" s="97">
        <f>IFERROR(COUNTIFS('Base File'!$AR:$AR,"Met",'Base File'!$B:$B,'Account Summary'!C16)/(COUNTIFS('Base File'!$AR:$AR,"Met",'Base File'!$B:$B,'Account Summary'!C16)+COUNTIFS('Base File'!$AR:$AR,"Not Met",'Base File'!$B:$B,'Account Summary'!C16)),"NR")</f>
        <v>0.75</v>
      </c>
      <c r="M16" s="97">
        <f>IFERROR(COUNTIFS('Base File'!$G:$G,"Contractual SLA",'Base File'!$H:$H,"No",'Base File'!$B:$B,'Account Summary'!$C16,'Base File'!$AR:$AR,"Met")/SUM(COUNTIFS('Base File'!$G:$G,"Contractual SLA",'Base File'!$H:$H,"No",'Base File'!$B:$B,'Account Summary'!$C16,'Base File'!$AR:$AR,"Met")+COUNTIFS('Base File'!$G:$G,"Contractual SLA",'Base File'!$H:$H,"No",'Base File'!$B:$B,'Account Summary'!$C16,'Base File'!$AR:$AR,"Not Met")),"-")</f>
        <v>1</v>
      </c>
      <c r="N16" s="98" t="str">
        <f>IFERROR(COUNTIFS('Base File'!$G:$G,"Contractual SLA",'Base File'!$H:$H,"Yes",'Base File'!$B:$B,'Account Summary'!$C16,'Base File'!$AR:$AR,"Met")/SUM(COUNTIFS('Base File'!$G:$G,"Contractual SLA",'Base File'!$H:$H,"yes",'Base File'!$B:$B,'Account Summary'!$C16,'Base File'!$AR:$AR,"Met")+COUNTIFS('Base File'!$G:$G,"Contractual SLA",'Base File'!$H:$H,"yes",'Base File'!$B:$B,'Account Summary'!$C16,'Base File'!$AR:$AR,"Not Met")),"-")</f>
        <v>-</v>
      </c>
      <c r="O16" s="108">
        <f>IFERROR(COUNTIFS('Base File'!$G:$G,"Internal KPI",'Base File'!$B:$B,'Account Summary'!$C16,'Base File'!$AR:$AR,"Met")/SUM(COUNTIFS('Base File'!$G:$G,"Internal KPI",'Base File'!$B:$B,'Account Summary'!$C16,'Base File'!$AR:$AR,"Met")+COUNTIFS('Base File'!$G:$G,"Internal KPI",'Base File'!$B:$B,'Account Summary'!$C16,'Base File'!$AR:$AR,"Not Met")),"-")</f>
        <v>0</v>
      </c>
      <c r="P16" s="98" t="str">
        <f>IFERROR(COUNTIFS('Base File'!$AV:$AV,"Met",'Base File'!$B:$B,'Account Summary'!C16)/(COUNTIFS('Base File'!$AV:$AV,"Met",'Base File'!$B:$B,'Account Summary'!C16)+COUNTIFS('Base File'!$AV:$AV,"Not Met",'Base File'!$B:$B,'Account Summary'!C16)),"NR")</f>
        <v>NR</v>
      </c>
      <c r="Q16" s="98" t="s">
        <v>103</v>
      </c>
      <c r="R16" s="103" t="str">
        <f>IFERROR(COUNTIFS('Base File'!$G:$G,"Contractual SLA",'Base File'!$H:$H,"Yes",'Base File'!$B:$B,'Account Summary'!$C16,'Base File'!$AV:$AV,"Met")/SUM(COUNTIFS('Base File'!$G:$G,"Contractual SLA",'Base File'!$H:$H,"yes",'Base File'!$B:$B,'Account Summary'!$C16,'Base File'!$AV:$AV,"Met")+COUNTIFS('Base File'!$G:$G,"Contractual SLA",'Base File'!$H:$H,"yes",'Base File'!$B:$B,'Account Summary'!$C16,'Base File'!$AV:$AV,"Not Met")),"-")</f>
        <v>-</v>
      </c>
      <c r="S16" s="98" t="s">
        <v>103</v>
      </c>
      <c r="T16" s="106">
        <f>IFERROR(COUNTIFS('Base File'!$AX:$AX,"Met",'Base File'!$B:$B,'Account Summary'!C16)/(COUNTIFS('Base File'!$AX:$AX,"Met",'Base File'!$B:$B,'Account Summary'!C16)+COUNTIFS('Base File'!$AX:$AX,"Not Met",'Base File'!$B:$B,'Account Summary'!C16)),"NR")</f>
        <v>0.5</v>
      </c>
      <c r="U16" s="107">
        <f>IFERROR(COUNTIFS('Base File'!$G:$G,"Contractual SLA",'Base File'!$H:$H,"No",'Base File'!$B:$B,'Account Summary'!$C16,'Base File'!$AX:$AX,"Met")/SUM(COUNTIFS('Base File'!$G:$G,"Contractual SLA",'Base File'!$H:$H,"No",'Base File'!$B:$B,'Account Summary'!$C16,'Base File'!$AX:$AX,"Met")+COUNTIFS('Base File'!$G:$G,"Contractual SLA",'Base File'!$H:$H,"No",'Base File'!$B:$B,'Account Summary'!$C16,'Base File'!$AX:$AX,"Not Met")),"-")</f>
        <v>0.66666666666666663</v>
      </c>
      <c r="V16" s="100" t="s">
        <v>11</v>
      </c>
      <c r="W16" s="110">
        <f>IFERROR(COUNTIFS('Base File'!$G:$G,"Internal KPI",'Base File'!$B:$B,'Account Summary'!$C16,'Base File'!$AX:$AX,"Met")/SUM(COUNTIFS('Base File'!$G:$G,"Internal KPI",'Base File'!$B:$B,'Account Summary'!$C16,'Base File'!$AX:$AX,"Met")+COUNTIFS('Base File'!$G:$G,"Internal KPI",'Base File'!$B:$B,'Account Summary'!$C16,'Base File'!$AX:$AX,"Not Met")),"-")</f>
        <v>0</v>
      </c>
      <c r="X16" s="99">
        <f>IFERROR(COUNTIFS('Base File'!$AZ:$AZ,"Met",'Base File'!$B:$B,'Account Summary'!C16)/(COUNTIFS('Base File'!$AZ:$AZ,"Met",'Base File'!$B:$B,'Account Summary'!C16)+COUNTIFS('Base File'!$AZ:$AZ,"Not Met",'Base File'!$B:$B,'Account Summary'!C16)),"NR")</f>
        <v>0.75</v>
      </c>
      <c r="Y16" s="105">
        <f>IFERROR(COUNTIFS('Base File'!$G:$G,"Contractual SLA",'Base File'!$H:$H,"No",'Base File'!$B:$B,'Account Summary'!$C16,'Base File'!$AZ:$AZ,"Met")/SUM(COUNTIFS('Base File'!$G:$G,"Contractual SLA",'Base File'!$H:$H,"No",'Base File'!$B:$B,'Account Summary'!$C16,'Base File'!$AZ:$AZ,"Met")+COUNTIFS('Base File'!$G:$G,"Contractual SLA",'Base File'!$H:$H,"No",'Base File'!$B:$B,'Account Summary'!$C16,'Base File'!$AZ:$AZ,"Not Met")),"-")</f>
        <v>1</v>
      </c>
      <c r="Z16" s="100" t="str">
        <f>IFERROR(COUNTIFS('Base File'!$G:$G,"Contractual SLA",'Base File'!$H:$H,"Yes",'Base File'!$B:$B,'Account Summary'!$C16,'Base File'!$AZ:$AZ,"Met")/SUM(COUNTIFS('Base File'!$G:$G,"Contractual SLA",'Base File'!$H:$H,"yes",'Base File'!$B:$B,'Account Summary'!$C16,'Base File'!$AZ:$AZ,"Met")+COUNTIFS('Base File'!$G:$G,"Contractual SLA",'Base File'!$H:$H,"yes",'Base File'!$B:$B,'Account Summary'!$C16,'Base File'!$AZ:$AZ,"Not Met")),"-")</f>
        <v>-</v>
      </c>
      <c r="AA16" s="110">
        <f>IFERROR(COUNTIFS('Base File'!$G:$G,"Internal KPI",'Base File'!$B:$B,'Account Summary'!$C16,'Base File'!$AZ:$AZ,"Met")/SUM(COUNTIFS('Base File'!$G:$G,"Internal KPI",'Base File'!$B:$B,'Account Summary'!$C16,'Base File'!$AZ:$AZ,"Met")+COUNTIFS('Base File'!$G:$G,"Internal KPI",'Base File'!$B:$B,'Account Summary'!$C16,'Base File'!$AZ:$AZ,"Not Met")),"-")</f>
        <v>0</v>
      </c>
      <c r="AB16" s="99">
        <f>IFERROR(COUNTIFS('Base File'!$BB:$BB,"Met",'Base File'!$B:$B,'Account Summary'!C16)/(COUNTIFS('Base File'!$BB:$BB,"Met",'Base File'!$B:$B,'Account Summary'!C16)+COUNTIFS('Base File'!$BB:$BB,"Not Met",'Base File'!$B:$B,'Account Summary'!C16)),"NR")</f>
        <v>0.8</v>
      </c>
      <c r="AC16" s="105">
        <f>IFERROR(COUNTIFS('Base File'!$G:$G,"Contractual SLA",'Base File'!$H:$H,"No",'Base File'!$B:$B,'Account Summary'!$C16,'Base File'!$BB:$BB,"Met")/SUM(COUNTIFS('Base File'!$G:$G,"Contractual SLA",'Base File'!$H:$H,"No",'Base File'!$B:$B,'Account Summary'!$C16,'Base File'!$BB:$BB,"Met")+COUNTIFS('Base File'!$G:$G,"Contractual SLA",'Base File'!$H:$H,"No",'Base File'!$B:$B,'Account Summary'!$C16,'Base File'!$BB:$BB,"Not Met")),"-")</f>
        <v>1</v>
      </c>
      <c r="AD16" s="100" t="str">
        <f>IFERROR(COUNTIFS('Base File'!$G:$G,"Contractual SLA",'Base File'!$H:$H,"Yes",'Base File'!$B:$B,'Account Summary'!$C16,'Base File'!$BB:$BB,"Met")/SUM(COUNTIFS('Base File'!$G:$G,"Contractual SLA",'Base File'!$H:$H,"yes",'Base File'!$B:$B,'Account Summary'!$C16,'Base File'!$BB:$BB,"Met")+COUNTIFS('Base File'!$G:$G,"Contractual SLA",'Base File'!$H:$H,"yes",'Base File'!$B:$B,'Account Summary'!$C16,'Base File'!$BB:$BB,"Not Met")),"-")</f>
        <v>-</v>
      </c>
      <c r="AE16" s="110">
        <f>IFERROR(COUNTIFS('Base File'!$G:$G,"Internal KPI",'Base File'!$B:$B,'Account Summary'!$C16,'Base File'!$BB:$BB,"Met")/SUM(COUNTIFS('Base File'!$G:$G,"Internal KPI",'Base File'!$B:$B,'Account Summary'!$C16,'Base File'!$BB:$BB,"Met")+COUNTIFS('Base File'!$G:$G,"Internal KPI",'Base File'!$B:$B,'Account Summary'!$C16,'Base File'!$BB:$BB,"Not Met")),"-")</f>
        <v>0</v>
      </c>
      <c r="AF16" s="100" t="s">
        <v>11</v>
      </c>
      <c r="AG16" s="100" t="s">
        <v>11</v>
      </c>
      <c r="AH16" s="100" t="str">
        <f>IFERROR(COUNTIFS('Base File'!$G:$G,"Contractual SLA",'Base File'!$H:$H,"Yes",'Base File'!$B:$B,'Account Summary'!$C16,'Base File'!$BD:$BD,"Met")/SUM(COUNTIFS('Base File'!$G:$G,"Contractual SLA",'Base File'!$H:$H,"yes",'Base File'!$B:$B,'Account Summary'!$C16,'Base File'!$BD:$BD,"Met")+COUNTIFS('Base File'!$G:$G,"Contractual SLA",'Base File'!$H:$H,"yes",'Base File'!$B:$B,'Account Summary'!$C16,'Base File'!$BD:$BD,"Not Met")),"-")</f>
        <v>-</v>
      </c>
      <c r="AI16" s="100" t="s">
        <v>11</v>
      </c>
      <c r="AJ16" s="100" t="s">
        <v>11</v>
      </c>
      <c r="AK16" s="100" t="s">
        <v>11</v>
      </c>
      <c r="AL16" s="100" t="str">
        <f>IFERROR(COUNTIFS('Base File'!$G:$G,"Contractual SLA",'Base File'!$H:$H,"Yes",'Base File'!$B:$B,'Account Summary'!$C16,'Base File'!$BF:$BF,"Met")/SUM(COUNTIFS('Base File'!$G:$G,"Contractual SLA",'Base File'!$H:$H,"yes",'Base File'!$B:$B,'Account Summary'!$C16,'Base File'!$BF:$BF,"Met")+COUNTIFS('Base File'!$G:$G,"Contractual SLA",'Base File'!$H:$H,"yes",'Base File'!$B:$B,'Account Summary'!$C16,'Base File'!$BF:$BF,"Not Met")),"-")</f>
        <v>-</v>
      </c>
      <c r="AM16" s="100" t="s">
        <v>11</v>
      </c>
      <c r="AN16" s="100" t="str">
        <f>IFERROR(COUNTIFS('Base File'!$BH:$BH,"Met",'Base File'!$B:$B,'Account Summary'!C16)/(COUNTIFS('Base File'!$BH:$BH,"Met",'Base File'!$B:$B,'Account Summary'!C16)+COUNTIFS('Base File'!$BH:$BH,"Not Met",'Base File'!$B:$B,'Account Summary'!C16)),"NR")</f>
        <v>NR</v>
      </c>
      <c r="AO16" s="100" t="str">
        <f>IFERROR(COUNTIFS('Base File'!$BH:$BH,"Met",'Base File'!$B:$B,'Account Summary'!D16)/(COUNTIFS('Base File'!$BH:$BH,"Met",'Base File'!$B:$B,'Account Summary'!D16)+COUNTIFS('Base File'!$BH:$BH,"Not Met",'Base File'!$B:$B,'Account Summary'!D16)),"NR")</f>
        <v>NR</v>
      </c>
      <c r="AP16" s="100" t="str">
        <f>IFERROR(COUNTIFS('Base File'!$G:$G,"Contractual SLA",'Base File'!$H:$H,"Yes",'Base File'!$B:$B,'Account Summary'!$C16,'Base File'!$BH:$BH,"Met")/SUM(COUNTIFS('Base File'!$G:$G,"Contractual SLA",'Base File'!$H:$H,"yes",'Base File'!$B:$B,'Account Summary'!$C16,'Base File'!$BH:$BH,"Met")+COUNTIFS('Base File'!$G:$G,"Contractual SLA",'Base File'!$H:$H,"yes",'Base File'!$B:$B,'Account Summary'!$C16,'Base File'!$BH:$BH,"Not Met")),"-")</f>
        <v>-</v>
      </c>
      <c r="AQ16" s="100" t="str">
        <f>IFERROR(COUNTIFS('Base File'!$BH:$BH,"Met",'Base File'!$B:$B,'Account Summary'!G16)/(COUNTIFS('Base File'!$BH:$BH,"Met",'Base File'!$B:$B,'Account Summary'!G16)+COUNTIFS('Base File'!$BH:$BH,"Not Met",'Base File'!$B:$B,'Account Summary'!G16)),"NR")</f>
        <v>NR</v>
      </c>
      <c r="AR16" s="100" t="str">
        <f>IFERROR(COUNTIFS('Base File'!$BJ:$BJ,"Met",'Base File'!$B:$B,'Account Summary'!C16)/(COUNTIFS('Base File'!$BJ:$BJ,"Met",'Base File'!$B:$B,'Account Summary'!C16)+COUNTIFS('Base File'!$BJ:$BJ,"Not Met",'Base File'!$B:$B,'Account Summary'!C16)),"NR")</f>
        <v>NR</v>
      </c>
      <c r="AS16" s="100" t="str">
        <f>IFERROR(COUNTIFS('Base File'!$BH:$BH,"Met",'Base File'!$B:$B,'Account Summary'!I16)/(COUNTIFS('Base File'!$BH:$BH,"Met",'Base File'!$B:$B,'Account Summary'!I16)+COUNTIFS('Base File'!$BH:$BH,"Not Met",'Base File'!$B:$B,'Account Summary'!I16)),"NR")</f>
        <v>NR</v>
      </c>
      <c r="AT16" s="100" t="str">
        <f>IFERROR(COUNTIFS('Base File'!$G:$G,"Contractual SLA",'Base File'!$H:$H,"Yes",'Base File'!$B:$B,'Account Summary'!$C16,'Base File'!$BJ:$BJ,"Met")/SUM(COUNTIFS('Base File'!$G:$G,"Contractual SLA",'Base File'!$H:$H,"yes",'Base File'!$B:$B,'Account Summary'!$C16,'Base File'!$BJ:$BJ,"Met")+COUNTIFS('Base File'!$G:$G,"Contractual SLA",'Base File'!$H:$H,"yes",'Base File'!$B:$B,'Account Summary'!$C16,'Base File'!$BJ:$BJ,"Not Met")),"-")</f>
        <v>-</v>
      </c>
      <c r="AU16" s="100" t="str">
        <f>IFERROR(COUNTIFS('Base File'!$BH:$BH,"Met",'Base File'!$B:$B,'Account Summary'!K16)/(COUNTIFS('Base File'!$BH:$BH,"Met",'Base File'!$B:$B,'Account Summary'!K16)+COUNTIFS('Base File'!$BH:$BH,"Not Met",'Base File'!$B:$B,'Account Summary'!K16)),"NR")</f>
        <v>NR</v>
      </c>
      <c r="AV16" s="100" t="str">
        <f>IFERROR(COUNTIFS('Base File'!$BL:$BL,"Met",'Base File'!$B:$B,'Account Summary'!C16)/(COUNTIFS('Base File'!$BL:$BL,"Met",'Base File'!$B:$B,'Account Summary'!C16)+COUNTIFS('Base File'!$BL:$BL,"Not Met",'Base File'!$B:$B,'Account Summary'!C16)),"NR")</f>
        <v>NR</v>
      </c>
      <c r="AW16" s="100" t="str">
        <f>IFERROR(COUNTIFS('Base File'!$BL:$BL,"Met",'Base File'!$B:$B,'Account Summary'!D16)/(COUNTIFS('Base File'!$BL:$BL,"Met",'Base File'!$B:$B,'Account Summary'!D16)+COUNTIFS('Base File'!$BL:$BL,"Not Met",'Base File'!$B:$B,'Account Summary'!D16)),"NR")</f>
        <v>NR</v>
      </c>
      <c r="AX16" s="100" t="str">
        <f>IFERROR(COUNTIFS('Base File'!$G:$G,"Contractual SLA",'Base File'!$H:$H,"Yes",'Base File'!$B:$B,'Account Summary'!$C16,'Base File'!$BL:$BL,"Met")/SUM(COUNTIFS('Base File'!$G:$G,"Contractual SLA",'Base File'!$H:$H,"yes",'Base File'!$B:$B,'Account Summary'!$C16,'Base File'!$BL:$BL,"Met")+COUNTIFS('Base File'!$G:$G,"Contractual SLA",'Base File'!$H:$H,"yes",'Base File'!$B:$B,'Account Summary'!$C16,'Base File'!$BL:$BL,"Not Met")),"-")</f>
        <v>-</v>
      </c>
      <c r="AY16" s="100" t="str">
        <f>IFERROR(COUNTIFS('Base File'!$BL:$BL,"Met",'Base File'!$B:$B,'Account Summary'!G16)/(COUNTIFS('Base File'!$BL:$BL,"Met",'Base File'!$B:$B,'Account Summary'!G16)+COUNTIFS('Base File'!$BL:$BL,"Not Met",'Base File'!$B:$B,'Account Summary'!G16)),"NR")</f>
        <v>NR</v>
      </c>
      <c r="AZ16" s="100">
        <v>0.25</v>
      </c>
      <c r="BA16" s="100">
        <v>0.33333333333333331</v>
      </c>
      <c r="BB16" s="100" t="s">
        <v>107</v>
      </c>
      <c r="BC16" s="100">
        <v>0</v>
      </c>
      <c r="BD16" s="106">
        <f>IFERROR(COUNTIFS('Base File'!$BP:$BP,"Met",'Base File'!$B:$B,'Account Summary'!C16)/(COUNTIFS('Base File'!$BP:$BP,"Met",'Base File'!$B:$B,'Account Summary'!C16)+COUNTIFS('Base File'!$BP:$BP,"Not Met",'Base File'!$B:$B,'Account Summary'!C16)),"NR")</f>
        <v>0.5</v>
      </c>
      <c r="BE16" s="99">
        <f>IFERROR(COUNTIFS('Base File'!$G:$G,"Contractual SLA",'Base File'!$H:$H,"No",'Base File'!$B:$B,'Account Summary'!$C16,'Base File'!$BP:$BP,"Met")/SUM(COUNTIFS('Base File'!$G:$G,"Contractual SLA",'Base File'!$H:$H,"No",'Base File'!$B:$B,'Account Summary'!$C16,'Base File'!$BP:$BP,"Met")+COUNTIFS('Base File'!$G:$G,"Contractual SLA",'Base File'!$H:$H,"No",'Base File'!$B:$B,'Account Summary'!$C16,'Base File'!$BP:$BP,"Not Met")),"-")</f>
        <v>0.75</v>
      </c>
      <c r="BF16" s="100" t="str">
        <f>IFERROR(COUNTIFS('Base File'!$G:$G,"Contractual SLA",'Base File'!$H:$H,"Yes",'Base File'!$B:$B,'Account Summary'!$C16,'Base File'!$BP:$BP,"Met")/SUM(COUNTIFS('Base File'!$G:$G,"Contractual SLA",'Base File'!$H:$H,"yes",'Base File'!$B:$B,'Account Summary'!$C16,'Base File'!$BP:$BP,"Met")+COUNTIFS('Base File'!$G:$G,"Contractual SLA",'Base File'!$H:$H,"yes",'Base File'!$B:$B,'Account Summary'!$C16,'Base File'!$BP:$BP,"Not Met")),"-")</f>
        <v>-</v>
      </c>
      <c r="BG16" s="110">
        <f>IFERROR(COUNTIFS('Base File'!$G:$G,"Internal KPI",'Base File'!$B:$B,'Account Summary'!$C16,'Base File'!$BP:$BP,"Met")/SUM(COUNTIFS('Base File'!$G:$G,"Internal KPI",'Base File'!$B:$B,'Account Summary'!$C16,'Base File'!$BP:$BP,"Met")+COUNTIFS('Base File'!$G:$G,"Internal KPI",'Base File'!$B:$B,'Account Summary'!$C16,'Base File'!$BP:$BP,"Not Met")),"-")</f>
        <v>0</v>
      </c>
      <c r="BH16" s="100" t="str">
        <f>IFERROR(COUNTIFS('Base File'!$BR:$BR,"Met",'Base File'!$B:$B,'Account Summary'!C16)/(COUNTIFS('Base File'!$BR:$BR,"Met",'Base File'!$B:$B,'Account Summary'!C16)+COUNTIFS('Base File'!$BR:$BR,"Not Met",'Base File'!$B:$B,'Account Summary'!C16)),"NR")</f>
        <v>NR</v>
      </c>
      <c r="BI16" s="101" t="s">
        <v>103</v>
      </c>
      <c r="BJ16" s="100" t="str">
        <f>IFERROR(COUNTIFS('Base File'!$G:$G,"Contractual SLA",'Base File'!$H:$H,"No",'Base File'!$B:$B,'Account Summary'!$C16,'Base File'!$BR:$BR,"Met")/SUM(COUNTIFS('Base File'!$G:$G,"Contractual SLA",'Base File'!$H:$H,"No",'Base File'!$B:$B,'Account Summary'!$C16,'Base File'!$BR:$BR,"Met")+COUNTIFS('Base File'!$G:$G,"Contractual SLA",'Base File'!$H:$H,"No",'Base File'!$B:$B,'Account Summary'!$C16,'Base File'!$BR:$BR,"Not Met")),"-")</f>
        <v>-</v>
      </c>
      <c r="BK16" s="100" t="s">
        <v>103</v>
      </c>
      <c r="BL16" s="100">
        <f>IFERROR(COUNTIFS('Base File'!$BT:$BT,"Met",'Base File'!$B:$B,'Account Summary'!C16)/(COUNTIFS('Base File'!$BT:$BT,"Met",'Base File'!$B:$B,'Account Summary'!C16)+COUNTIFS('Base File'!$BT:$BT,"Not Met",'Base File'!$B:$B,'Account Summary'!C16)),"NR")</f>
        <v>0.125</v>
      </c>
      <c r="BM16" s="100">
        <f>IFERROR(COUNTIFS('Base File'!$G:$G,"Contractual SLA",'Base File'!$H:$H,"No",'Base File'!$B:$B,'Account Summary'!$C16,'Base File'!$BT:$BT,"Met")/SUM(COUNTIFS('Base File'!$G:$G,"Contractual SLA",'Base File'!$H:$H,"No",'Base File'!$B:$B,'Account Summary'!$C16,'Base File'!$BT:$BT,"Met")+COUNTIFS('Base File'!$G:$G,"Contractual SLA",'Base File'!$H:$H,"No",'Base File'!$B:$B,'Account Summary'!$C16,'Base File'!$BT:$BT,"Not Met")),"-")</f>
        <v>0.16666666666666666</v>
      </c>
      <c r="BN16" s="100" t="str">
        <f>IFERROR(COUNTIFS('Base File'!$G:$G,"Contractual SLA",'Base File'!$H:$H,"Yes",'Base File'!$B:$B,'Account Summary'!$C16,'Base File'!$BT:$BT,"Met")/SUM(COUNTIFS('Base File'!$G:$G,"Contractual SLA",'Base File'!$H:$H,"yes",'Base File'!$B:$B,'Account Summary'!$C16,'Base File'!$BT:$BT,"Met")+COUNTIFS('Base File'!$G:$G,"Contractual SLA",'Base File'!$H:$H,"yes",'Base File'!$B:$B,'Account Summary'!$C16,'Base File'!$BT:$BT,"Not Met")),"-")</f>
        <v>-</v>
      </c>
      <c r="BO16" s="100">
        <f>IFERROR(COUNTIFS('Base File'!$G:$G,"Internal KPI",'Base File'!$B:$B,'Account Summary'!$C16,'Base File'!$BT:$BT,"Met")/SUM(COUNTIFS('Base File'!$G:$G,"Internal KPI",'Base File'!$B:$B,'Account Summary'!$C16,'Base File'!$BT:$BT,"Met")+COUNTIFS('Base File'!$G:$G,"Internal KPI",'Base File'!$B:$B,'Account Summary'!$C16,'Base File'!$BT:$BT,"Not Met")),"-")</f>
        <v>0</v>
      </c>
      <c r="BP16" s="100" t="str">
        <f>IFERROR(COUNTIFS('Base File'!$BV:$BV,"Met",'Base File'!$B:$B,'Account Summary'!C16)/(COUNTIFS('Base File'!$BV:$BV,"Met",'Base File'!$B:$B,'Account Summary'!C16)+COUNTIFS('Base File'!$BV:$BV,"Not Met",'Base File'!$B:$B,'Account Summary'!C16)),"NR")</f>
        <v>NR</v>
      </c>
      <c r="BQ16" s="100" t="s">
        <v>103</v>
      </c>
      <c r="BR16" s="100" t="str">
        <f>IFERROR(COUNTIFS('Base File'!$G:$G,"Contractual SLA",'Base File'!$H:$H,"Yes",'Base File'!$B:$B,'Account Summary'!$C16,'Base File'!$BV:$BV,"Met")/SUM(COUNTIFS('Base File'!$G:$G,"Contractual SLA",'Base File'!$H:$H,"Yes",'Base File'!$B:$B,'Account Summary'!$C16,'Base File'!$BV:$BV,"Met")+COUNTIFS('Base File'!$G:$G,"Contractual SLA",'Base File'!$H:$H,"Yes",'Base File'!$B:$B,'Account Summary'!$C16,'Base File'!$BV:$BV,"Not Met")),"-")</f>
        <v>-</v>
      </c>
      <c r="BS16" s="100" t="s">
        <v>103</v>
      </c>
    </row>
    <row r="17" spans="1:71" s="12" customFormat="1" x14ac:dyDescent="0.25">
      <c r="A17" s="389"/>
      <c r="B17" s="94">
        <v>14</v>
      </c>
      <c r="C17" s="94" t="s">
        <v>20</v>
      </c>
      <c r="D17" s="95" t="s">
        <v>104</v>
      </c>
      <c r="E17" s="95" t="s">
        <v>902</v>
      </c>
      <c r="F17" s="94" t="s">
        <v>132</v>
      </c>
      <c r="G17" s="96"/>
      <c r="H17" s="94"/>
      <c r="I17" s="94" t="s">
        <v>105</v>
      </c>
      <c r="J17" s="89" t="s">
        <v>61</v>
      </c>
      <c r="K17" s="89" t="s">
        <v>11</v>
      </c>
      <c r="L17" s="108">
        <f>IFERROR(COUNTIFS('Base File'!$AR:$AR,"Met",'Base File'!$B:$B,'Account Summary'!C17)/(COUNTIFS('Base File'!$AR:$AR,"Met",'Base File'!$B:$B,'Account Summary'!C17)+COUNTIFS('Base File'!$AR:$AR,"Not Met",'Base File'!$B:$B,'Account Summary'!C17)),"NR")</f>
        <v>0.42857142857142855</v>
      </c>
      <c r="M17" s="98" t="str">
        <f>IFERROR(COUNTIFS('Base File'!$G:$G,"Contractual SLA",'Base File'!$H:$H,"No",'Base File'!$B:$B,'Account Summary'!$C17,'Base File'!$AR:$AR,"Met")/SUM(COUNTIFS('Base File'!$G:$G,"Contractual SLA",'Base File'!$H:$H,"No",'Base File'!$B:$B,'Account Summary'!$C17,'Base File'!$AR:$AR,"Met")+COUNTIFS('Base File'!$G:$G,"Contractual SLA",'Base File'!$H:$H,"No",'Base File'!$B:$B,'Account Summary'!$C17,'Base File'!$AR:$AR,"Not Met")),"-")</f>
        <v>-</v>
      </c>
      <c r="N17" s="98" t="str">
        <f>IFERROR(COUNTIFS('Base File'!$G:$G,"Contractual SLA",'Base File'!$H:$H,"Yes",'Base File'!$B:$B,'Account Summary'!$C17,'Base File'!$AR:$AR,"Met")/SUM(COUNTIFS('Base File'!$G:$G,"Contractual SLA",'Base File'!$H:$H,"yes",'Base File'!$B:$B,'Account Summary'!$C17,'Base File'!$AR:$AR,"Met")+COUNTIFS('Base File'!$G:$G,"Contractual SLA",'Base File'!$H:$H,"yes",'Base File'!$B:$B,'Account Summary'!$C17,'Base File'!$AR:$AR,"Not Met")),"-")</f>
        <v>-</v>
      </c>
      <c r="O17" s="108">
        <f>IFERROR(COUNTIFS('Base File'!$G:$G,"Internal KPI",'Base File'!$B:$B,'Account Summary'!$C17,'Base File'!$AR:$AR,"Met")/SUM(COUNTIFS('Base File'!$G:$G,"Internal KPI",'Base File'!$B:$B,'Account Summary'!$C17,'Base File'!$AR:$AR,"Met")+COUNTIFS('Base File'!$G:$G,"Internal KPI",'Base File'!$B:$B,'Account Summary'!$C17,'Base File'!$AR:$AR,"Not Met")),"-")</f>
        <v>0.42857142857142855</v>
      </c>
      <c r="P17" s="110">
        <f>IFERROR(COUNTIFS('Base File'!$AV:$AV,"Met",'Base File'!$B:$B,'Account Summary'!C17)/(COUNTIFS('Base File'!$AV:$AV,"Met",'Base File'!$B:$B,'Account Summary'!C17)+COUNTIFS('Base File'!$AV:$AV,"Not Met",'Base File'!$B:$B,'Account Summary'!C17)),"NR")</f>
        <v>0.16666666666666666</v>
      </c>
      <c r="Q17" s="98" t="str">
        <f>IFERROR(COUNTIFS('Base File'!$G:$G,"Contractual SLA",'Base File'!$H:$H,"No",'Base File'!$B:$B,'Account Summary'!$C17,'Base File'!$AV:$AV,"Met")/SUM(COUNTIFS('Base File'!$G:$G,"Contractual SLA",'Base File'!$H:$H,"No",'Base File'!$B:$B,'Account Summary'!$C17,'Base File'!$AV:$AV,"Met")+COUNTIFS('Base File'!$G:$G,"Contractual SLA",'Base File'!$H:$H,"No",'Base File'!$B:$B,'Account Summary'!$C17,'Base File'!$AV:$AV,"Not Met")),"-")</f>
        <v>-</v>
      </c>
      <c r="R17" s="103" t="str">
        <f>IFERROR(COUNTIFS('Base File'!$G:$G,"Contractual SLA",'Base File'!$H:$H,"Yes",'Base File'!$B:$B,'Account Summary'!$C17,'Base File'!$AV:$AV,"Met")/SUM(COUNTIFS('Base File'!$G:$G,"Contractual SLA",'Base File'!$H:$H,"yes",'Base File'!$B:$B,'Account Summary'!$C17,'Base File'!$AV:$AV,"Met")+COUNTIFS('Base File'!$G:$G,"Contractual SLA",'Base File'!$H:$H,"yes",'Base File'!$B:$B,'Account Summary'!$C17,'Base File'!$AV:$AV,"Not Met")),"-")</f>
        <v>-</v>
      </c>
      <c r="S17" s="110">
        <f>IFERROR(COUNTIFS('Base File'!$G:$G,"Internal KPI",'Base File'!$B:$B,'Account Summary'!$C17,'Base File'!$AV:$AV,"Met")/SUM(COUNTIFS('Base File'!$G:$G,"Internal KPI",'Base File'!$B:$B,'Account Summary'!$C17,'Base File'!$AV:$AV,"Met")+COUNTIFS('Base File'!$G:$G,"Internal KPI",'Base File'!$B:$B,'Account Summary'!$C17,'Base File'!$AV:$AV,"Not Met")),"-")</f>
        <v>0.16666666666666666</v>
      </c>
      <c r="T17" s="110">
        <f>IFERROR(COUNTIFS('Base File'!$AX:$AX,"Met",'Base File'!$B:$B,'Account Summary'!C17)/(COUNTIFS('Base File'!$AX:$AX,"Met",'Base File'!$B:$B,'Account Summary'!C17)+COUNTIFS('Base File'!$AX:$AX,"Not Met",'Base File'!$B:$B,'Account Summary'!C17)),"NR")</f>
        <v>0.2857142857142857</v>
      </c>
      <c r="U17" s="101" t="s">
        <v>11</v>
      </c>
      <c r="V17" s="100" t="s">
        <v>11</v>
      </c>
      <c r="W17" s="110">
        <f>IFERROR(COUNTIFS('Base File'!$G:$G,"Internal KPI",'Base File'!$B:$B,'Account Summary'!$C17,'Base File'!$AX:$AX,"Met")/SUM(COUNTIFS('Base File'!$G:$G,"Internal KPI",'Base File'!$B:$B,'Account Summary'!$C17,'Base File'!$AX:$AX,"Met")+COUNTIFS('Base File'!$G:$G,"Internal KPI",'Base File'!$B:$B,'Account Summary'!$C17,'Base File'!$AX:$AX,"Not Met")),"-")</f>
        <v>0.2857142857142857</v>
      </c>
      <c r="X17" s="110">
        <f>IFERROR(COUNTIFS('Base File'!$AZ:$AZ,"Met",'Base File'!$B:$B,'Account Summary'!C17)/(COUNTIFS('Base File'!$AZ:$AZ,"Met",'Base File'!$B:$B,'Account Summary'!C17)+COUNTIFS('Base File'!$AZ:$AZ,"Not Met",'Base File'!$B:$B,'Account Summary'!C17)),"NR")</f>
        <v>0.375</v>
      </c>
      <c r="Y17" s="101" t="str">
        <f>IFERROR(COUNTIFS('Base File'!$G:$G,"Contractual SLA",'Base File'!$H:$H,"No",'Base File'!$B:$B,'Account Summary'!$C17,'Base File'!$AZ:$AZ,"Met")/SUM(COUNTIFS('Base File'!$G:$G,"Contractual SLA",'Base File'!$H:$H,"No",'Base File'!$B:$B,'Account Summary'!$C17,'Base File'!$AZ:$AZ,"Met")+COUNTIFS('Base File'!$G:$G,"Contractual SLA",'Base File'!$H:$H,"No",'Base File'!$B:$B,'Account Summary'!$C17,'Base File'!$AZ:$AZ,"Not Met")),"-")</f>
        <v>-</v>
      </c>
      <c r="Z17" s="100" t="str">
        <f>IFERROR(COUNTIFS('Base File'!$G:$G,"Contractual SLA",'Base File'!$H:$H,"Yes",'Base File'!$B:$B,'Account Summary'!$C17,'Base File'!$AZ:$AZ,"Met")/SUM(COUNTIFS('Base File'!$G:$G,"Contractual SLA",'Base File'!$H:$H,"yes",'Base File'!$B:$B,'Account Summary'!$C17,'Base File'!$AZ:$AZ,"Met")+COUNTIFS('Base File'!$G:$G,"Contractual SLA",'Base File'!$H:$H,"yes",'Base File'!$B:$B,'Account Summary'!$C17,'Base File'!$AZ:$AZ,"Not Met")),"-")</f>
        <v>-</v>
      </c>
      <c r="AA17" s="110">
        <f>IFERROR(COUNTIFS('Base File'!$G:$G,"Internal KPI",'Base File'!$B:$B,'Account Summary'!$C17,'Base File'!$AZ:$AZ,"Met")/SUM(COUNTIFS('Base File'!$G:$G,"Internal KPI",'Base File'!$B:$B,'Account Summary'!$C17,'Base File'!$AZ:$AZ,"Met")+COUNTIFS('Base File'!$G:$G,"Internal KPI",'Base File'!$B:$B,'Account Summary'!$C17,'Base File'!$AZ:$AZ,"Not Met")),"-")</f>
        <v>0.375</v>
      </c>
      <c r="AB17" s="108">
        <f>IFERROR(COUNTIFS('Base File'!$BB:$BB,"Met",'Base File'!$B:$B,'Account Summary'!C17)/(COUNTIFS('Base File'!$BB:$BB,"Met",'Base File'!$B:$B,'Account Summary'!C17)+COUNTIFS('Base File'!$BB:$BB,"Not Met",'Base File'!$B:$B,'Account Summary'!C17)),"NR")</f>
        <v>0.375</v>
      </c>
      <c r="AC17" s="101" t="str">
        <f>IFERROR(COUNTIFS('Base File'!$G:$G,"Contractual SLA",'Base File'!$H:$H,"No",'Base File'!$B:$B,'Account Summary'!$C17,'Base File'!$BB:$BB,"Met")/SUM(COUNTIFS('Base File'!$G:$G,"Contractual SLA",'Base File'!$H:$H,"No",'Base File'!$B:$B,'Account Summary'!$C17,'Base File'!$BB:$BB,"Met")+COUNTIFS('Base File'!$G:$G,"Contractual SLA",'Base File'!$H:$H,"No",'Base File'!$B:$B,'Account Summary'!$C17,'Base File'!$BB:$BB,"Not Met")),"-")</f>
        <v>-</v>
      </c>
      <c r="AD17" s="100" t="str">
        <f>IFERROR(COUNTIFS('Base File'!$G:$G,"Contractual SLA",'Base File'!$H:$H,"Yes",'Base File'!$B:$B,'Account Summary'!$C17,'Base File'!$BB:$BB,"Met")/SUM(COUNTIFS('Base File'!$G:$G,"Contractual SLA",'Base File'!$H:$H,"yes",'Base File'!$B:$B,'Account Summary'!$C17,'Base File'!$BB:$BB,"Met")+COUNTIFS('Base File'!$G:$G,"Contractual SLA",'Base File'!$H:$H,"yes",'Base File'!$B:$B,'Account Summary'!$C17,'Base File'!$BB:$BB,"Not Met")),"-")</f>
        <v>-</v>
      </c>
      <c r="AE17" s="110">
        <f>IFERROR(COUNTIFS('Base File'!$G:$G,"Internal KPI",'Base File'!$B:$B,'Account Summary'!$C17,'Base File'!$BB:$BB,"Met")/SUM(COUNTIFS('Base File'!$G:$G,"Internal KPI",'Base File'!$B:$B,'Account Summary'!$C17,'Base File'!$BB:$BB,"Met")+COUNTIFS('Base File'!$G:$G,"Internal KPI",'Base File'!$B:$B,'Account Summary'!$C17,'Base File'!$BB:$BB,"Not Met")),"-")</f>
        <v>0.375</v>
      </c>
      <c r="AF17" s="110">
        <f>IFERROR(COUNTIFS('Base File'!$BD:$BD,"Met",'Base File'!$B:$B,'Account Summary'!C17)/(COUNTIFS('Base File'!$BD:$BD,"Met",'Base File'!$B:$B,'Account Summary'!C17)+COUNTIFS('Base File'!$BD:$BD,"Not Met",'Base File'!$B:$B,'Account Summary'!C17)),"NR")</f>
        <v>0</v>
      </c>
      <c r="AG17" s="100" t="str">
        <f>IFERROR(COUNTIFS('Base File'!$G:$G,"Contractual SLA",'Base File'!$H:$H,"No",'Base File'!$B:$B,'Account Summary'!$C17,'Base File'!$BD:$BD,"Met")/SUM(COUNTIFS('Base File'!$G:$G,"Contractual SLA",'Base File'!$H:$H,"No",'Base File'!$B:$B,'Account Summary'!$C17,'Base File'!$BD:$BD,"Met")+COUNTIFS('Base File'!$G:$G,"Contractual SLA",'Base File'!$H:$H,"No",'Base File'!$B:$B,'Account Summary'!$C17,'Base File'!$BD:$BD,"Not Met")),"-")</f>
        <v>-</v>
      </c>
      <c r="AH17" s="100" t="str">
        <f>IFERROR(COUNTIFS('Base File'!$G:$G,"Contractual SLA",'Base File'!$H:$H,"Yes",'Base File'!$B:$B,'Account Summary'!$C17,'Base File'!$BD:$BD,"Met")/SUM(COUNTIFS('Base File'!$G:$G,"Contractual SLA",'Base File'!$H:$H,"yes",'Base File'!$B:$B,'Account Summary'!$C17,'Base File'!$BD:$BD,"Met")+COUNTIFS('Base File'!$G:$G,"Contractual SLA",'Base File'!$H:$H,"yes",'Base File'!$B:$B,'Account Summary'!$C17,'Base File'!$BD:$BD,"Not Met")),"-")</f>
        <v>-</v>
      </c>
      <c r="AI17" s="110">
        <f>IFERROR(COUNTIFS('Base File'!$G:$G,"Internal KPI",'Base File'!$B:$B,'Account Summary'!$C17,'Base File'!$BD:$BD,"Met")/SUM(COUNTIFS('Base File'!$G:$G,"Internal KPI",'Base File'!$B:$B,'Account Summary'!$C17,'Base File'!$BD:$BD,"Met")+COUNTIFS('Base File'!$G:$G,"Internal KPI",'Base File'!$B:$B,'Account Summary'!$C17,'Base File'!$BD:$BD,"Not Met")),"-")</f>
        <v>0</v>
      </c>
      <c r="AJ17" s="110">
        <f>IFERROR(COUNTIFS('Base File'!$BF:$BF,"Met",'Base File'!$B:$B,'Account Summary'!C17)/(COUNTIFS('Base File'!$BF:$BF,"Met",'Base File'!$B:$B,'Account Summary'!C17)+COUNTIFS('Base File'!$BF:$BF,"Not Met",'Base File'!$B:$B,'Account Summary'!C17)),"NR")</f>
        <v>0.375</v>
      </c>
      <c r="AK17" s="100" t="str">
        <f>IFERROR(COUNTIFS('Base File'!$G:$G,"Contractual SLA",'Base File'!$H:$H,"No",'Base File'!$B:$B,'Account Summary'!$C17,'Base File'!$BF:$BF,"Met")/SUM(COUNTIFS('Base File'!$G:$G,"Contractual SLA",'Base File'!$H:$H,"No",'Base File'!$B:$B,'Account Summary'!$C17,'Base File'!$BF:$BF,"Met")+COUNTIFS('Base File'!$G:$G,"Contractual SLA",'Base File'!$H:$H,"No",'Base File'!$B:$B,'Account Summary'!$C17,'Base File'!$BF:$BF,"Not Met")),"-")</f>
        <v>-</v>
      </c>
      <c r="AL17" s="100" t="str">
        <f>IFERROR(COUNTIFS('Base File'!$G:$G,"Contractual SLA",'Base File'!$H:$H,"Yes",'Base File'!$B:$B,'Account Summary'!$C17,'Base File'!$BF:$BF,"Met")/SUM(COUNTIFS('Base File'!$G:$G,"Contractual SLA",'Base File'!$H:$H,"yes",'Base File'!$B:$B,'Account Summary'!$C17,'Base File'!$BF:$BF,"Met")+COUNTIFS('Base File'!$G:$G,"Contractual SLA",'Base File'!$H:$H,"yes",'Base File'!$B:$B,'Account Summary'!$C17,'Base File'!$BF:$BF,"Not Met")),"-")</f>
        <v>-</v>
      </c>
      <c r="AM17" s="110">
        <f>IFERROR(COUNTIFS('Base File'!$G:$G,"Internal KPI",'Base File'!$B:$B,'Account Summary'!$C17,'Base File'!$BF:$BF,"Met")/SUM(COUNTIFS('Base File'!$G:$G,"Internal KPI",'Base File'!$B:$B,'Account Summary'!$C17,'Base File'!$BF:$BF,"Met")+COUNTIFS('Base File'!$G:$G,"Internal KPI",'Base File'!$B:$B,'Account Summary'!$C17,'Base File'!$BF:$BF,"Not Met")),"-")</f>
        <v>0.375</v>
      </c>
      <c r="AN17" s="100" t="str">
        <f>IFERROR(COUNTIFS('Base File'!$BH:$BH,"Met",'Base File'!$B:$B,'Account Summary'!C17)/(COUNTIFS('Base File'!$BH:$BH,"Met",'Base File'!$B:$B,'Account Summary'!C17)+COUNTIFS('Base File'!$BH:$BH,"Not Met",'Base File'!$B:$B,'Account Summary'!C17)),"NR")</f>
        <v>NR</v>
      </c>
      <c r="AO17" s="100" t="str">
        <f>IFERROR(COUNTIFS('Base File'!$G:$G,"Contractual SLA",'Base File'!$H:$H,"No",'Base File'!$B:$B,'Account Summary'!$C17,'Base File'!$BH:$BH,"Met")/SUM(COUNTIFS('Base File'!$G:$G,"Contractual SLA",'Base File'!$H:$H,"No",'Base File'!$B:$B,'Account Summary'!$C17,'Base File'!$BH:$BH,"Met")+COUNTIFS('Base File'!$G:$G,"Contractual SLA",'Base File'!$H:$H,"No",'Base File'!$B:$B,'Account Summary'!$C17,'Base File'!$BH:$BH,"Not Met")),"-")</f>
        <v>-</v>
      </c>
      <c r="AP17" s="100" t="str">
        <f>IFERROR(COUNTIFS('Base File'!$G:$G,"Contractual SLA",'Base File'!$H:$H,"Yes",'Base File'!$B:$B,'Account Summary'!$C17,'Base File'!$BH:$BH,"Met")/SUM(COUNTIFS('Base File'!$G:$G,"Contractual SLA",'Base File'!$H:$H,"yes",'Base File'!$B:$B,'Account Summary'!$C17,'Base File'!$BH:$BH,"Met")+COUNTIFS('Base File'!$G:$G,"Contractual SLA",'Base File'!$H:$H,"yes",'Base File'!$B:$B,'Account Summary'!$C17,'Base File'!$BH:$BH,"Not Met")),"-")</f>
        <v>-</v>
      </c>
      <c r="AQ17" s="100" t="str">
        <f>IFERROR(COUNTIFS('Base File'!$BH:$BH,"Met",'Base File'!$B:$B,'Account Summary'!G17)/(COUNTIFS('Base File'!$BH:$BH,"Met",'Base File'!$B:$B,'Account Summary'!G17)+COUNTIFS('Base File'!$BH:$BH,"Not Met",'Base File'!$B:$B,'Account Summary'!G17)),"NR")</f>
        <v>NR</v>
      </c>
      <c r="AR17" s="100" t="str">
        <f>IFERROR(COUNTIFS('Base File'!$BJ:$BJ,"Met",'Base File'!$B:$B,'Account Summary'!C17)/(COUNTIFS('Base File'!$BJ:$BJ,"Met",'Base File'!$B:$B,'Account Summary'!C17)+COUNTIFS('Base File'!$BJ:$BJ,"Not Met",'Base File'!$B:$B,'Account Summary'!C17)),"NR")</f>
        <v>NR</v>
      </c>
      <c r="AS17" s="101" t="str">
        <f>IFERROR(COUNTIFS('Base File'!$G:$G,"Contractual SLA",'Base File'!$H:$H,"No",'Base File'!$B:$B,'Account Summary'!$C17,'Base File'!$BJ:$BJ,"Met")/SUM(COUNTIFS('Base File'!$G:$G,"Contractual SLA",'Base File'!$H:$H,"No",'Base File'!$B:$B,'Account Summary'!$C17,'Base File'!$BJ:$BJ,"Met")+COUNTIFS('Base File'!$G:$G,"Contractual SLA",'Base File'!$H:$H,"No",'Base File'!$B:$B,'Account Summary'!$C17,'Base File'!$BJ:$BJ,"Not Met")),"-")</f>
        <v>-</v>
      </c>
      <c r="AT17" s="100" t="str">
        <f>IFERROR(COUNTIFS('Base File'!$G:$G,"Contractual SLA",'Base File'!$H:$H,"Yes",'Base File'!$B:$B,'Account Summary'!$C17,'Base File'!$BJ:$BJ,"Met")/SUM(COUNTIFS('Base File'!$G:$G,"Contractual SLA",'Base File'!$H:$H,"yes",'Base File'!$B:$B,'Account Summary'!$C17,'Base File'!$BJ:$BJ,"Met")+COUNTIFS('Base File'!$G:$G,"Contractual SLA",'Base File'!$H:$H,"yes",'Base File'!$B:$B,'Account Summary'!$C17,'Base File'!$BJ:$BJ,"Not Met")),"-")</f>
        <v>-</v>
      </c>
      <c r="AU17" s="100" t="str">
        <f>IFERROR(COUNTIFS('Base File'!$BH:$BH,"Met",'Base File'!$B:$B,'Account Summary'!K17)/(COUNTIFS('Base File'!$BH:$BH,"Met",'Base File'!$B:$B,'Account Summary'!K17)+COUNTIFS('Base File'!$BH:$BH,"Not Met",'Base File'!$B:$B,'Account Summary'!K17)),"NR")</f>
        <v>NR</v>
      </c>
      <c r="AV17" s="100" t="str">
        <f>IFERROR(COUNTIFS('Base File'!$BL:$BL,"Met",'Base File'!$B:$B,'Account Summary'!C17)/(COUNTIFS('Base File'!$BL:$BL,"Met",'Base File'!$B:$B,'Account Summary'!C17)+COUNTIFS('Base File'!$BL:$BL,"Not Met",'Base File'!$B:$B,'Account Summary'!C17)),"NR")</f>
        <v>NR</v>
      </c>
      <c r="AW17" s="100" t="str">
        <f>IFERROR(COUNTIFS('Base File'!$G:$G,"Contractual SLA",'Base File'!$H:$H,"No",'Base File'!$B:$B,'Account Summary'!$C17,'Base File'!$BL:$BL,"Met")/SUM(COUNTIFS('Base File'!$G:$G,"Contractual SLA",'Base File'!$H:$H,"No",'Base File'!$B:$B,'Account Summary'!$C17,'Base File'!$BL:$BL,"Met")+COUNTIFS('Base File'!$G:$G,"Contractual SLA",'Base File'!$H:$H,"No",'Base File'!$B:$B,'Account Summary'!$C17,'Base File'!$BL:$BL,"Not Met")),"-")</f>
        <v>-</v>
      </c>
      <c r="AX17" s="100" t="str">
        <f>IFERROR(COUNTIFS('Base File'!$G:$G,"Contractual SLA",'Base File'!$H:$H,"Yes",'Base File'!$B:$B,'Account Summary'!$C17,'Base File'!$BL:$BL,"Met")/SUM(COUNTIFS('Base File'!$G:$G,"Contractual SLA",'Base File'!$H:$H,"yes",'Base File'!$B:$B,'Account Summary'!$C17,'Base File'!$BL:$BL,"Met")+COUNTIFS('Base File'!$G:$G,"Contractual SLA",'Base File'!$H:$H,"yes",'Base File'!$B:$B,'Account Summary'!$C17,'Base File'!$BL:$BL,"Not Met")),"-")</f>
        <v>-</v>
      </c>
      <c r="AY17" s="100" t="str">
        <f>IFERROR(COUNTIFS('Base File'!$BL:$BL,"Met",'Base File'!$B:$B,'Account Summary'!G17)/(COUNTIFS('Base File'!$BL:$BL,"Met",'Base File'!$B:$B,'Account Summary'!G17)+COUNTIFS('Base File'!$BL:$BL,"Not Met",'Base File'!$B:$B,'Account Summary'!G17)),"NR")</f>
        <v>NR</v>
      </c>
      <c r="AZ17" s="100" t="s">
        <v>103</v>
      </c>
      <c r="BA17" s="100" t="s">
        <v>107</v>
      </c>
      <c r="BB17" s="100" t="s">
        <v>107</v>
      </c>
      <c r="BC17" s="100" t="s">
        <v>103</v>
      </c>
      <c r="BD17" s="100" t="str">
        <f>IFERROR(COUNTIFS('Base File'!$BP:$BP,"Met",'Base File'!$B:$B,'Account Summary'!C17)/(COUNTIFS('Base File'!$BP:$BP,"Met",'Base File'!$B:$B,'Account Summary'!C17)+COUNTIFS('Base File'!$BP:$BP,"Not Met",'Base File'!$B:$B,'Account Summary'!C17)),"NR")</f>
        <v>NR</v>
      </c>
      <c r="BE17" s="100" t="str">
        <f>IFERROR(COUNTIFS('Base File'!$G:$G,"Contractual SLA",'Base File'!$H:$H,"No",'Base File'!$B:$B,'Account Summary'!$C17,'Base File'!$BP:$BP,"Met")/SUM(COUNTIFS('Base File'!$G:$G,"Contractual SLA",'Base File'!$H:$H,"No",'Base File'!$B:$B,'Account Summary'!$C17,'Base File'!$BP:$BP,"Met")+COUNTIFS('Base File'!$G:$G,"Contractual SLA",'Base File'!$H:$H,"No",'Base File'!$B:$B,'Account Summary'!$C17,'Base File'!$BP:$BP,"Not Met")),"-")</f>
        <v>-</v>
      </c>
      <c r="BF17" s="100" t="str">
        <f>IFERROR(COUNTIFS('Base File'!$G:$G,"Contractual SLA",'Base File'!$H:$H,"Yes",'Base File'!$B:$B,'Account Summary'!$C17,'Base File'!$BP:$BP,"Met")/SUM(COUNTIFS('Base File'!$G:$G,"Contractual SLA",'Base File'!$H:$H,"yes",'Base File'!$B:$B,'Account Summary'!$C17,'Base File'!$BP:$BP,"Met")+COUNTIFS('Base File'!$G:$G,"Contractual SLA",'Base File'!$H:$H,"yes",'Base File'!$B:$B,'Account Summary'!$C17,'Base File'!$BP:$BP,"Not Met")),"-")</f>
        <v>-</v>
      </c>
      <c r="BG17" s="100" t="s">
        <v>103</v>
      </c>
      <c r="BH17" s="100" t="str">
        <f>IFERROR(COUNTIFS('Base File'!$BR:$BR,"Met",'Base File'!$B:$B,'Account Summary'!C17)/(COUNTIFS('Base File'!$BR:$BR,"Met",'Base File'!$B:$B,'Account Summary'!C17)+COUNTIFS('Base File'!$BR:$BR,"Not Met",'Base File'!$B:$B,'Account Summary'!C17)),"NR")</f>
        <v>NR</v>
      </c>
      <c r="BI17" s="101" t="str">
        <f>IFERROR(COUNTIFS('Base File'!$G:$G,"Contractual SLA",'Base File'!$H:$H,"No",'Base File'!$B:$B,'Account Summary'!$C17,'Base File'!$BR:$BR,"Met")/SUM(COUNTIFS('Base File'!$G:$G,"Contractual SLA",'Base File'!$H:$H,"No",'Base File'!$B:$B,'Account Summary'!$C17,'Base File'!$BR:$BR,"Met")+COUNTIFS('Base File'!$G:$G,"Contractual SLA",'Base File'!$H:$H,"No",'Base File'!$B:$B,'Account Summary'!$C17,'Base File'!$BR:$BR,"Not Met")),"-")</f>
        <v>-</v>
      </c>
      <c r="BJ17" s="100" t="str">
        <f>IFERROR(COUNTIFS('Base File'!$G:$G,"Contractual SLA",'Base File'!$H:$H,"No",'Base File'!$B:$B,'Account Summary'!$C17,'Base File'!$BR:$BR,"Met")/SUM(COUNTIFS('Base File'!$G:$G,"Contractual SLA",'Base File'!$H:$H,"No",'Base File'!$B:$B,'Account Summary'!$C17,'Base File'!$BR:$BR,"Met")+COUNTIFS('Base File'!$G:$G,"Contractual SLA",'Base File'!$H:$H,"No",'Base File'!$B:$B,'Account Summary'!$C17,'Base File'!$BR:$BR,"Not Met")),"-")</f>
        <v>-</v>
      </c>
      <c r="BK17" s="100" t="s">
        <v>103</v>
      </c>
      <c r="BL17" s="100" t="str">
        <f>IFERROR(COUNTIFS('Base File'!$BT:$BT,"Met",'Base File'!$B:$B,'Account Summary'!C17)/(COUNTIFS('Base File'!$BT:$BT,"Met",'Base File'!$B:$B,'Account Summary'!C17)+COUNTIFS('Base File'!$BT:$BT,"Not Met",'Base File'!$B:$B,'Account Summary'!C17)),"NR")</f>
        <v>NR</v>
      </c>
      <c r="BM17" s="100" t="str">
        <f>IFERROR(COUNTIFS('Base File'!$G:$G,"Contractual SLA",'Base File'!$H:$H,"No",'Base File'!$B:$B,'Account Summary'!$C17,'Base File'!$BT:$BT,"Met")/SUM(COUNTIFS('Base File'!$G:$G,"Contractual SLA",'Base File'!$H:$H,"No",'Base File'!$B:$B,'Account Summary'!$C17,'Base File'!$BT:$BT,"Met")+COUNTIFS('Base File'!$G:$G,"Contractual SLA",'Base File'!$H:$H,"No",'Base File'!$B:$B,'Account Summary'!$C17,'Base File'!$BT:$BT,"Not Met")),"-")</f>
        <v>-</v>
      </c>
      <c r="BN17" s="100" t="str">
        <f>IFERROR(COUNTIFS('Base File'!$G:$G,"Contractual SLA",'Base File'!$H:$H,"Yes",'Base File'!$B:$B,'Account Summary'!$C17,'Base File'!$BT:$BT,"Met")/SUM(COUNTIFS('Base File'!$G:$G,"Contractual SLA",'Base File'!$H:$H,"yes",'Base File'!$B:$B,'Account Summary'!$C17,'Base File'!$BT:$BT,"Met")+COUNTIFS('Base File'!$G:$G,"Contractual SLA",'Base File'!$H:$H,"yes",'Base File'!$B:$B,'Account Summary'!$C17,'Base File'!$BT:$BT,"Not Met")),"-")</f>
        <v>-</v>
      </c>
      <c r="BO17" s="100" t="s">
        <v>103</v>
      </c>
      <c r="BP17" s="100" t="str">
        <f>IFERROR(COUNTIFS('Base File'!$BV:$BV,"Met",'Base File'!$B:$B,'Account Summary'!C17)/(COUNTIFS('Base File'!$BV:$BV,"Met",'Base File'!$B:$B,'Account Summary'!C17)+COUNTIFS('Base File'!$BV:$BV,"Not Met",'Base File'!$B:$B,'Account Summary'!C17)),"NR")</f>
        <v>NR</v>
      </c>
      <c r="BQ17" s="100" t="str">
        <f>IFERROR(COUNTIFS('Base File'!$G:$G,"Internal KPI",'Base File'!$B:$B,'Account Summary'!$C17,'Base File'!$BV:$BV,"Met")/SUM(COUNTIFS('Base File'!$G:$G,"Internal KPI",'Base File'!$B:$B,'Account Summary'!$C17,'Base File'!$BV:$BV,"Met")+COUNTIFS('Base File'!$G:$G,"Internal KPI",'Base File'!$B:$B,'Account Summary'!$C17,'Base File'!$BV:$BV,"Not Met")),"-")</f>
        <v>-</v>
      </c>
      <c r="BR17" s="100" t="str">
        <f>IFERROR(COUNTIFS('Base File'!$G:$G,"Contractual SLA",'Base File'!$H:$H,"Yes",'Base File'!$B:$B,'Account Summary'!$C17,'Base File'!$BV:$BV,"Met")/SUM(COUNTIFS('Base File'!$G:$G,"Contractual SLA",'Base File'!$H:$H,"Yes",'Base File'!$B:$B,'Account Summary'!$C17,'Base File'!$BV:$BV,"Met")+COUNTIFS('Base File'!$G:$G,"Contractual SLA",'Base File'!$H:$H,"Yes",'Base File'!$B:$B,'Account Summary'!$C17,'Base File'!$BV:$BV,"Not Met")),"-")</f>
        <v>-</v>
      </c>
      <c r="BS17" s="100" t="s">
        <v>103</v>
      </c>
    </row>
    <row r="18" spans="1:71" s="12" customFormat="1" x14ac:dyDescent="0.25">
      <c r="A18" s="389"/>
      <c r="B18" s="94">
        <v>15</v>
      </c>
      <c r="C18" s="94" t="s">
        <v>21</v>
      </c>
      <c r="D18" s="95" t="s">
        <v>110</v>
      </c>
      <c r="E18" s="95" t="s">
        <v>903</v>
      </c>
      <c r="F18" s="94" t="s">
        <v>899</v>
      </c>
      <c r="G18" s="96"/>
      <c r="H18" s="94"/>
      <c r="I18" s="94" t="s">
        <v>134</v>
      </c>
      <c r="J18" s="89" t="s">
        <v>61</v>
      </c>
      <c r="K18" s="89" t="s">
        <v>11</v>
      </c>
      <c r="L18" s="97">
        <f>IFERROR(COUNTIFS('Base File'!$AR:$AR,"Met",'Base File'!$B:$B,'Account Summary'!C18)/(COUNTIFS('Base File'!$AR:$AR,"Met",'Base File'!$B:$B,'Account Summary'!C18)+COUNTIFS('Base File'!$AR:$AR,"Not Met",'Base File'!$B:$B,'Account Summary'!C18)),"NR")</f>
        <v>0.8</v>
      </c>
      <c r="M18" s="107">
        <f>IFERROR(COUNTIFS('Base File'!$G:$G,"Contractual SLA",'Base File'!$H:$H,"No",'Base File'!$B:$B,'Account Summary'!$C18,'Base File'!$AR:$AR,"Met")/SUM(COUNTIFS('Base File'!$G:$G,"Contractual SLA",'Base File'!$H:$H,"No",'Base File'!$B:$B,'Account Summary'!$C18,'Base File'!$AR:$AR,"Met")+COUNTIFS('Base File'!$G:$G,"Contractual SLA",'Base File'!$H:$H,"No",'Base File'!$B:$B,'Account Summary'!$C18,'Base File'!$AR:$AR,"Not Met")),"-")</f>
        <v>0.66666666666666663</v>
      </c>
      <c r="N18" s="98" t="str">
        <f>IFERROR(COUNTIFS('Base File'!$G:$G,"Contractual SLA",'Base File'!$H:$H,"Yes",'Base File'!$B:$B,'Account Summary'!$C18,'Base File'!$AR:$AR,"Met")/SUM(COUNTIFS('Base File'!$G:$G,"Contractual SLA",'Base File'!$H:$H,"yes",'Base File'!$B:$B,'Account Summary'!$C18,'Base File'!$AR:$AR,"Met")+COUNTIFS('Base File'!$G:$G,"Contractual SLA",'Base File'!$H:$H,"yes",'Base File'!$B:$B,'Account Summary'!$C18,'Base File'!$AR:$AR,"Not Met")),"-")</f>
        <v>-</v>
      </c>
      <c r="O18" s="97">
        <f>IFERROR(COUNTIFS('Base File'!$G:$G,"Internal KPI",'Base File'!$B:$B,'Account Summary'!$C18,'Base File'!$AR:$AR,"Met")/SUM(COUNTIFS('Base File'!$G:$G,"Internal KPI",'Base File'!$B:$B,'Account Summary'!$C18,'Base File'!$AR:$AR,"Met")+COUNTIFS('Base File'!$G:$G,"Internal KPI",'Base File'!$B:$B,'Account Summary'!$C18,'Base File'!$AR:$AR,"Not Met")),"-")</f>
        <v>1</v>
      </c>
      <c r="P18" s="99">
        <f>IFERROR(COUNTIFS('Base File'!$AV:$AV,"Met",'Base File'!$B:$B,'Account Summary'!C18)/(COUNTIFS('Base File'!$AV:$AV,"Met",'Base File'!$B:$B,'Account Summary'!C18)+COUNTIFS('Base File'!$AV:$AV,"Not Met",'Base File'!$B:$B,'Account Summary'!C18)),"NR")</f>
        <v>0.8571428571428571</v>
      </c>
      <c r="Q18" s="99">
        <f>IFERROR(COUNTIFS('Base File'!$G:$G,"Contractual SLA",'Base File'!$H:$H,"No",'Base File'!$B:$B,'Account Summary'!$C18,'Base File'!$AV:$AV,"Met")/SUM(COUNTIFS('Base File'!$G:$G,"Contractual SLA",'Base File'!$H:$H,"No",'Base File'!$B:$B,'Account Summary'!$C18,'Base File'!$AV:$AV,"Met")+COUNTIFS('Base File'!$G:$G,"Contractual SLA",'Base File'!$H:$H,"No",'Base File'!$B:$B,'Account Summary'!$C18,'Base File'!$AV:$AV,"Not Met")),"-")</f>
        <v>0.75</v>
      </c>
      <c r="R18" s="103" t="str">
        <f>IFERROR(COUNTIFS('Base File'!$G:$G,"Contractual SLA",'Base File'!$H:$H,"Yes",'Base File'!$B:$B,'Account Summary'!$C18,'Base File'!$AV:$AV,"Met")/SUM(COUNTIFS('Base File'!$G:$G,"Contractual SLA",'Base File'!$H:$H,"yes",'Base File'!$B:$B,'Account Summary'!$C18,'Base File'!$AV:$AV,"Met")+COUNTIFS('Base File'!$G:$G,"Contractual SLA",'Base File'!$H:$H,"yes",'Base File'!$B:$B,'Account Summary'!$C18,'Base File'!$AV:$AV,"Not Met")),"-")</f>
        <v>-</v>
      </c>
      <c r="S18" s="99">
        <f>IFERROR(COUNTIFS('Base File'!$G:$G,"Internal KPI",'Base File'!$B:$B,'Account Summary'!$C18,'Base File'!$AV:$AV,"Met")/SUM(COUNTIFS('Base File'!$G:$G,"Internal KPI",'Base File'!$B:$B,'Account Summary'!$C18,'Base File'!$AV:$AV,"Met")+COUNTIFS('Base File'!$G:$G,"Internal KPI",'Base File'!$B:$B,'Account Summary'!$C18,'Base File'!$AV:$AV,"Not Met")),"-")</f>
        <v>1</v>
      </c>
      <c r="T18" s="99">
        <f>IFERROR(COUNTIFS('Base File'!$AX:$AX,"Met",'Base File'!$B:$B,'Account Summary'!C18)/(COUNTIFS('Base File'!$AX:$AX,"Met",'Base File'!$B:$B,'Account Summary'!C18)+COUNTIFS('Base File'!$AX:$AX,"Not Met",'Base File'!$B:$B,'Account Summary'!C18)),"NR")</f>
        <v>0.75</v>
      </c>
      <c r="U18" s="105">
        <f>IFERROR(COUNTIFS('Base File'!$G:$G,"Contractual SLA",'Base File'!$H:$H,"No",'Base File'!$B:$B,'Account Summary'!$C18,'Base File'!$AX:$AX,"Met")/SUM(COUNTIFS('Base File'!$G:$G,"Contractual SLA",'Base File'!$H:$H,"No",'Base File'!$B:$B,'Account Summary'!$C18,'Base File'!$AX:$AX,"Met")+COUNTIFS('Base File'!$G:$G,"Contractual SLA",'Base File'!$H:$H,"No",'Base File'!$B:$B,'Account Summary'!$C18,'Base File'!$AX:$AX,"Not Met")),"-")</f>
        <v>0.75</v>
      </c>
      <c r="V18" s="100" t="s">
        <v>11</v>
      </c>
      <c r="W18" s="99">
        <f>IFERROR(COUNTIFS('Base File'!$G:$G,"Internal KPI",'Base File'!$B:$B,'Account Summary'!$C18,'Base File'!$AX:$AX,"Met")/SUM(COUNTIFS('Base File'!$G:$G,"Internal KPI",'Base File'!$B:$B,'Account Summary'!$C18,'Base File'!$AX:$AX,"Met")+COUNTIFS('Base File'!$G:$G,"Internal KPI",'Base File'!$B:$B,'Account Summary'!$C18,'Base File'!$AX:$AX,"Not Met")),"-")</f>
        <v>0.75</v>
      </c>
      <c r="X18" s="99">
        <f>IFERROR(COUNTIFS('Base File'!$AZ:$AZ,"Met",'Base File'!$B:$B,'Account Summary'!C18)/(COUNTIFS('Base File'!$AZ:$AZ,"Met",'Base File'!$B:$B,'Account Summary'!C18)+COUNTIFS('Base File'!$AZ:$AZ,"Not Met",'Base File'!$B:$B,'Account Summary'!C18)),"NR")</f>
        <v>0.75</v>
      </c>
      <c r="Y18" s="99">
        <f>IFERROR(COUNTIFS('Base File'!$G:$G,"Contractual SLA",'Base File'!$H:$H,"No",'Base File'!$B:$B,'Account Summary'!$C18,'Base File'!$AZ:$AZ,"Met")/SUM(COUNTIFS('Base File'!$G:$G,"Contractual SLA",'Base File'!$H:$H,"No",'Base File'!$B:$B,'Account Summary'!$C18,'Base File'!$AZ:$AZ,"Met")+COUNTIFS('Base File'!$G:$G,"Contractual SLA",'Base File'!$H:$H,"No",'Base File'!$B:$B,'Account Summary'!$C18,'Base File'!$AZ:$AZ,"Not Met")),"-")</f>
        <v>0.75</v>
      </c>
      <c r="Z18" s="100" t="str">
        <f>IFERROR(COUNTIFS('Base File'!$G:$G,"Contractual SLA",'Base File'!$H:$H,"Yes",'Base File'!$B:$B,'Account Summary'!$C18,'Base File'!$AZ:$AZ,"Met")/SUM(COUNTIFS('Base File'!$G:$G,"Contractual SLA",'Base File'!$H:$H,"yes",'Base File'!$B:$B,'Account Summary'!$C18,'Base File'!$AZ:$AZ,"Met")+COUNTIFS('Base File'!$G:$G,"Contractual SLA",'Base File'!$H:$H,"yes",'Base File'!$B:$B,'Account Summary'!$C18,'Base File'!$AZ:$AZ,"Not Met")),"-")</f>
        <v>-</v>
      </c>
      <c r="AA18" s="99">
        <f>IFERROR(COUNTIFS('Base File'!$G:$G,"Internal KPI",'Base File'!$B:$B,'Account Summary'!$C18,'Base File'!$AZ:$AZ,"Met")/SUM(COUNTIFS('Base File'!$G:$G,"Internal KPI",'Base File'!$B:$B,'Account Summary'!$C18,'Base File'!$AZ:$AZ,"Met")+COUNTIFS('Base File'!$G:$G,"Internal KPI",'Base File'!$B:$B,'Account Summary'!$C18,'Base File'!$AZ:$AZ,"Not Met")),"-")</f>
        <v>0.75</v>
      </c>
      <c r="AB18" s="99">
        <f>IFERROR(COUNTIFS('Base File'!$BB:$BB,"Met",'Base File'!$B:$B,'Account Summary'!C18)/(COUNTIFS('Base File'!$BB:$BB,"Met",'Base File'!$B:$B,'Account Summary'!C18)+COUNTIFS('Base File'!$BB:$BB,"Not Met",'Base File'!$B:$B,'Account Summary'!C18)),"NR")</f>
        <v>0.75</v>
      </c>
      <c r="AC18" s="99">
        <f>IFERROR(COUNTIFS('Base File'!$G:$G,"Contractual SLA",'Base File'!$H:$H,"No",'Base File'!$B:$B,'Account Summary'!$C18,'Base File'!$BB:$BB,"Met")/SUM(COUNTIFS('Base File'!$G:$G,"Contractual SLA",'Base File'!$H:$H,"No",'Base File'!$B:$B,'Account Summary'!$C18,'Base File'!$BB:$BB,"Met")+COUNTIFS('Base File'!$G:$G,"Contractual SLA",'Base File'!$H:$H,"No",'Base File'!$B:$B,'Account Summary'!$C18,'Base File'!$BB:$BB,"Not Met")),"-")</f>
        <v>0.75</v>
      </c>
      <c r="AD18" s="100" t="str">
        <f>IFERROR(COUNTIFS('Base File'!$G:$G,"Contractual SLA",'Base File'!$H:$H,"Yes",'Base File'!$B:$B,'Account Summary'!$C18,'Base File'!$BB:$BB,"Met")/SUM(COUNTIFS('Base File'!$G:$G,"Contractual SLA",'Base File'!$H:$H,"yes",'Base File'!$B:$B,'Account Summary'!$C18,'Base File'!$BB:$BB,"Met")+COUNTIFS('Base File'!$G:$G,"Contractual SLA",'Base File'!$H:$H,"yes",'Base File'!$B:$B,'Account Summary'!$C18,'Base File'!$BB:$BB,"Not Met")),"-")</f>
        <v>-</v>
      </c>
      <c r="AE18" s="99">
        <f>IFERROR(COUNTIFS('Base File'!$G:$G,"Internal KPI",'Base File'!$B:$B,'Account Summary'!$C18,'Base File'!$BB:$BB,"Met")/SUM(COUNTIFS('Base File'!$G:$G,"Internal KPI",'Base File'!$B:$B,'Account Summary'!$C18,'Base File'!$BB:$BB,"Met")+COUNTIFS('Base File'!$G:$G,"Internal KPI",'Base File'!$B:$B,'Account Summary'!$C18,'Base File'!$BB:$BB,"Not Met")),"-")</f>
        <v>0.75</v>
      </c>
      <c r="AF18" s="106">
        <f>IFERROR(COUNTIFS('Base File'!$BD:$BD,"Met",'Base File'!$B:$B,'Account Summary'!C18)/(COUNTIFS('Base File'!$BD:$BD,"Met",'Base File'!$B:$B,'Account Summary'!C18)+COUNTIFS('Base File'!$BD:$BD,"Not Met",'Base File'!$B:$B,'Account Summary'!C18)),"NR")</f>
        <v>0.625</v>
      </c>
      <c r="AG18" s="99">
        <f>IFERROR(COUNTIFS('Base File'!$G:$G,"Contractual SLA",'Base File'!$H:$H,"No",'Base File'!$B:$B,'Account Summary'!$C18,'Base File'!$BD:$BD,"Met")/SUM(COUNTIFS('Base File'!$G:$G,"Contractual SLA",'Base File'!$H:$H,"No",'Base File'!$B:$B,'Account Summary'!$C18,'Base File'!$BD:$BD,"Met")+COUNTIFS('Base File'!$G:$G,"Contractual SLA",'Base File'!$H:$H,"No",'Base File'!$B:$B,'Account Summary'!$C18,'Base File'!$BD:$BD,"Not Met")),"-")</f>
        <v>0.75</v>
      </c>
      <c r="AH18" s="100" t="str">
        <f>IFERROR(COUNTIFS('Base File'!$G:$G,"Contractual SLA",'Base File'!$H:$H,"Yes",'Base File'!$B:$B,'Account Summary'!$C18,'Base File'!$BD:$BD,"Met")/SUM(COUNTIFS('Base File'!$G:$G,"Contractual SLA",'Base File'!$H:$H,"yes",'Base File'!$B:$B,'Account Summary'!$C18,'Base File'!$BD:$BD,"Met")+COUNTIFS('Base File'!$G:$G,"Contractual SLA",'Base File'!$H:$H,"yes",'Base File'!$B:$B,'Account Summary'!$C18,'Base File'!$BD:$BD,"Not Met")),"-")</f>
        <v>-</v>
      </c>
      <c r="AI18" s="106">
        <f>IFERROR(COUNTIFS('Base File'!$G:$G,"Internal KPI",'Base File'!$B:$B,'Account Summary'!$C18,'Base File'!$BD:$BD,"Met")/SUM(COUNTIFS('Base File'!$G:$G,"Internal KPI",'Base File'!$B:$B,'Account Summary'!$C18,'Base File'!$BD:$BD,"Met")+COUNTIFS('Base File'!$G:$G,"Internal KPI",'Base File'!$B:$B,'Account Summary'!$C18,'Base File'!$BD:$BD,"Not Met")),"-")</f>
        <v>0.5</v>
      </c>
      <c r="AJ18" s="99">
        <f>IFERROR(COUNTIFS('Base File'!$BF:$BF,"Met",'Base File'!$B:$B,'Account Summary'!C18)/(COUNTIFS('Base File'!$BF:$BF,"Met",'Base File'!$B:$B,'Account Summary'!C18)+COUNTIFS('Base File'!$BF:$BF,"Not Met",'Base File'!$B:$B,'Account Summary'!C18)),"NR")</f>
        <v>0.75</v>
      </c>
      <c r="AK18" s="99">
        <f>IFERROR(COUNTIFS('Base File'!$G:$G,"Contractual SLA",'Base File'!$H:$H,"No",'Base File'!$B:$B,'Account Summary'!$C18,'Base File'!$BF:$BF,"Met")/SUM(COUNTIFS('Base File'!$G:$G,"Contractual SLA",'Base File'!$H:$H,"No",'Base File'!$B:$B,'Account Summary'!$C18,'Base File'!$BF:$BF,"Met")+COUNTIFS('Base File'!$G:$G,"Contractual SLA",'Base File'!$H:$H,"No",'Base File'!$B:$B,'Account Summary'!$C18,'Base File'!$BF:$BF,"Not Met")),"-")</f>
        <v>1</v>
      </c>
      <c r="AL18" s="100" t="str">
        <f>IFERROR(COUNTIFS('Base File'!$G:$G,"Contractual SLA",'Base File'!$H:$H,"Yes",'Base File'!$B:$B,'Account Summary'!$C18,'Base File'!$BF:$BF,"Met")/SUM(COUNTIFS('Base File'!$G:$G,"Contractual SLA",'Base File'!$H:$H,"yes",'Base File'!$B:$B,'Account Summary'!$C18,'Base File'!$BF:$BF,"Met")+COUNTIFS('Base File'!$G:$G,"Contractual SLA",'Base File'!$H:$H,"yes",'Base File'!$B:$B,'Account Summary'!$C18,'Base File'!$BF:$BF,"Not Met")),"-")</f>
        <v>-</v>
      </c>
      <c r="AM18" s="106">
        <f>IFERROR(COUNTIFS('Base File'!$G:$G,"Internal KPI",'Base File'!$B:$B,'Account Summary'!$C18,'Base File'!$BF:$BF,"Met")/SUM(COUNTIFS('Base File'!$G:$G,"Internal KPI",'Base File'!$B:$B,'Account Summary'!$C18,'Base File'!$BF:$BF,"Met")+COUNTIFS('Base File'!$G:$G,"Internal KPI",'Base File'!$B:$B,'Account Summary'!$C18,'Base File'!$BF:$BF,"Not Met")),"-")</f>
        <v>0.5</v>
      </c>
      <c r="AN18" s="99">
        <f>IFERROR(COUNTIFS('Base File'!$BH:$BH,"Met",'Base File'!$B:$B,'Account Summary'!C18)/(COUNTIFS('Base File'!$BH:$BH,"Met",'Base File'!$B:$B,'Account Summary'!C18)+COUNTIFS('Base File'!$BH:$BH,"Not Met",'Base File'!$B:$B,'Account Summary'!C18)),"NR")</f>
        <v>0.875</v>
      </c>
      <c r="AO18" s="99">
        <f>IFERROR(COUNTIFS('Base File'!$G:$G,"Contractual SLA",'Base File'!$H:$H,"No",'Base File'!$B:$B,'Account Summary'!$C18,'Base File'!$BH:$BH,"Met")/SUM(COUNTIFS('Base File'!$G:$G,"Contractual SLA",'Base File'!$H:$H,"No",'Base File'!$B:$B,'Account Summary'!$C18,'Base File'!$BH:$BH,"Met")+COUNTIFS('Base File'!$G:$G,"Contractual SLA",'Base File'!$H:$H,"No",'Base File'!$B:$B,'Account Summary'!$C18,'Base File'!$BH:$BH,"Not Met")),"-")</f>
        <v>1</v>
      </c>
      <c r="AP18" s="100" t="str">
        <f>IFERROR(COUNTIFS('Base File'!$G:$G,"Contractual SLA",'Base File'!$H:$H,"Yes",'Base File'!$B:$B,'Account Summary'!$C18,'Base File'!$BH:$BH,"Met")/SUM(COUNTIFS('Base File'!$G:$G,"Contractual SLA",'Base File'!$H:$H,"yes",'Base File'!$B:$B,'Account Summary'!$C18,'Base File'!$BH:$BH,"Met")+COUNTIFS('Base File'!$G:$G,"Contractual SLA",'Base File'!$H:$H,"yes",'Base File'!$B:$B,'Account Summary'!$C18,'Base File'!$BH:$BH,"Not Met")),"-")</f>
        <v>-</v>
      </c>
      <c r="AQ18" s="99">
        <f>IFERROR(COUNTIFS('Base File'!$G:$G,"Internal KPI",'Base File'!$B:$B,'Account Summary'!$C18,'Base File'!$BH:$BH,"Met")/SUM(COUNTIFS('Base File'!$G:$G,"Internal KPI",'Base File'!$B:$B,'Account Summary'!$C18,'Base File'!$BH:$BH,"Met")+COUNTIFS('Base File'!$G:$G,"Internal KPI",'Base File'!$B:$B,'Account Summary'!$C18,'Base File'!$BH:$BH,"Not Met")),"-")</f>
        <v>0.75</v>
      </c>
      <c r="AR18" s="99">
        <f>IFERROR(COUNTIFS('Base File'!$BJ:$BJ,"Met",'Base File'!$B:$B,'Account Summary'!C18)/(COUNTIFS('Base File'!$BJ:$BJ,"Met",'Base File'!$B:$B,'Account Summary'!C18)+COUNTIFS('Base File'!$BJ:$BJ,"Not Met",'Base File'!$B:$B,'Account Summary'!C18)),"NR")</f>
        <v>0.875</v>
      </c>
      <c r="AS18" s="105">
        <f>IFERROR(COUNTIFS('Base File'!$G:$G,"Contractual SLA",'Base File'!$H:$H,"No",'Base File'!$B:$B,'Account Summary'!$C18,'Base File'!$BJ:$BJ,"Met")/SUM(COUNTIFS('Base File'!$G:$G,"Contractual SLA",'Base File'!$H:$H,"No",'Base File'!$B:$B,'Account Summary'!$C18,'Base File'!$BJ:$BJ,"Met")+COUNTIFS('Base File'!$G:$G,"Contractual SLA",'Base File'!$H:$H,"No",'Base File'!$B:$B,'Account Summary'!$C18,'Base File'!$BJ:$BJ,"Not Met")),"-")</f>
        <v>1</v>
      </c>
      <c r="AT18" s="100" t="str">
        <f>IFERROR(COUNTIFS('Base File'!$G:$G,"Contractual SLA",'Base File'!$H:$H,"Yes",'Base File'!$B:$B,'Account Summary'!$C18,'Base File'!$BJ:$BJ,"Met")/SUM(COUNTIFS('Base File'!$G:$G,"Contractual SLA",'Base File'!$H:$H,"yes",'Base File'!$B:$B,'Account Summary'!$C18,'Base File'!$BJ:$BJ,"Met")+COUNTIFS('Base File'!$G:$G,"Contractual SLA",'Base File'!$H:$H,"yes",'Base File'!$B:$B,'Account Summary'!$C18,'Base File'!$BJ:$BJ,"Not Met")),"-")</f>
        <v>-</v>
      </c>
      <c r="AU18" s="99">
        <f>IFERROR(COUNTIFS('Base File'!$G:$G,"Internal KPI",'Base File'!$B:$B,'Account Summary'!$C18,'Base File'!$BJ:$BJ,"Met")/SUM(COUNTIFS('Base File'!$G:$G,"Internal KPI",'Base File'!$B:$B,'Account Summary'!$C18,'Base File'!$BJ:$BJ,"Met")+COUNTIFS('Base File'!$G:$G,"Internal KPI",'Base File'!$B:$B,'Account Summary'!$C18,'Base File'!$BJ:$BJ,"Not Met")),"-")</f>
        <v>0.75</v>
      </c>
      <c r="AV18" s="100" t="str">
        <f>IFERROR(COUNTIFS('Base File'!$BL:$BL,"Met",'Base File'!$B:$B,'Account Summary'!C18)/(COUNTIFS('Base File'!$BL:$BL,"Met",'Base File'!$B:$B,'Account Summary'!C18)+COUNTIFS('Base File'!$BL:$BL,"Not Met",'Base File'!$B:$B,'Account Summary'!C18)),"NR")</f>
        <v>NR</v>
      </c>
      <c r="AW18" s="100" t="str">
        <f>IFERROR(COUNTIFS('Base File'!$BL:$BL,"Met",'Base File'!$B:$B,'Account Summary'!D18)/(COUNTIFS('Base File'!$BL:$BL,"Met",'Base File'!$B:$B,'Account Summary'!D18)+COUNTIFS('Base File'!$BL:$BL,"Not Met",'Base File'!$B:$B,'Account Summary'!D18)),"NR")</f>
        <v>NR</v>
      </c>
      <c r="AX18" s="100" t="str">
        <f>IFERROR(COUNTIFS('Base File'!$G:$G,"Contractual SLA",'Base File'!$H:$H,"Yes",'Base File'!$B:$B,'Account Summary'!$C18,'Base File'!$BL:$BL,"Met")/SUM(COUNTIFS('Base File'!$G:$G,"Contractual SLA",'Base File'!$H:$H,"yes",'Base File'!$B:$B,'Account Summary'!$C18,'Base File'!$BL:$BL,"Met")+COUNTIFS('Base File'!$G:$G,"Contractual SLA",'Base File'!$H:$H,"yes",'Base File'!$B:$B,'Account Summary'!$C18,'Base File'!$BL:$BL,"Not Met")),"-")</f>
        <v>-</v>
      </c>
      <c r="AY18" s="100" t="str">
        <f>IFERROR(COUNTIFS('Base File'!$BL:$BL,"Met",'Base File'!$B:$B,'Account Summary'!G18)/(COUNTIFS('Base File'!$BL:$BL,"Met",'Base File'!$B:$B,'Account Summary'!G18)+COUNTIFS('Base File'!$BL:$BL,"Not Met",'Base File'!$B:$B,'Account Summary'!G18)),"NR")</f>
        <v>NR</v>
      </c>
      <c r="AZ18" s="100" t="s">
        <v>11</v>
      </c>
      <c r="BA18" s="100" t="s">
        <v>11</v>
      </c>
      <c r="BB18" s="100" t="s">
        <v>107</v>
      </c>
      <c r="BC18" s="100" t="s">
        <v>11</v>
      </c>
      <c r="BD18" s="100" t="str">
        <f>IFERROR(COUNTIFS('Base File'!$BP:$BP,"Met",'Base File'!$B:$B,'Account Summary'!C18)/(COUNTIFS('Base File'!$BP:$BP,"Met",'Base File'!$B:$B,'Account Summary'!C18)+COUNTIFS('Base File'!$BP:$BP,"Not Met",'Base File'!$B:$B,'Account Summary'!C18)),"NR")</f>
        <v>NR</v>
      </c>
      <c r="BE18" s="100" t="s">
        <v>103</v>
      </c>
      <c r="BF18" s="100" t="str">
        <f>IFERROR(COUNTIFS('Base File'!$G:$G,"Contractual SLA",'Base File'!$H:$H,"Yes",'Base File'!$B:$B,'Account Summary'!$C18,'Base File'!$BP:$BP,"Met")/SUM(COUNTIFS('Base File'!$G:$G,"Contractual SLA",'Base File'!$H:$H,"yes",'Base File'!$B:$B,'Account Summary'!$C18,'Base File'!$BP:$BP,"Met")+COUNTIFS('Base File'!$G:$G,"Contractual SLA",'Base File'!$H:$H,"yes",'Base File'!$B:$B,'Account Summary'!$C18,'Base File'!$BP:$BP,"Not Met")),"-")</f>
        <v>-</v>
      </c>
      <c r="BG18" s="100" t="s">
        <v>103</v>
      </c>
      <c r="BH18" s="100" t="str">
        <f>IFERROR(COUNTIFS('Base File'!$BR:$BR,"Met",'Base File'!$B:$B,'Account Summary'!C18)/(COUNTIFS('Base File'!$BR:$BR,"Met",'Base File'!$B:$B,'Account Summary'!C18)+COUNTIFS('Base File'!$BR:$BR,"Not Met",'Base File'!$B:$B,'Account Summary'!C18)),"NR")</f>
        <v>NR</v>
      </c>
      <c r="BI18" s="101" t="s">
        <v>103</v>
      </c>
      <c r="BJ18" s="100" t="str">
        <f>IFERROR(COUNTIFS('Base File'!$G:$G,"Contractual SLA",'Base File'!$H:$H,"No",'Base File'!$B:$B,'Account Summary'!$C18,'Base File'!$BR:$BR,"Met")/SUM(COUNTIFS('Base File'!$G:$G,"Contractual SLA",'Base File'!$H:$H,"No",'Base File'!$B:$B,'Account Summary'!$C18,'Base File'!$BR:$BR,"Met")+COUNTIFS('Base File'!$G:$G,"Contractual SLA",'Base File'!$H:$H,"No",'Base File'!$B:$B,'Account Summary'!$C18,'Base File'!$BR:$BR,"Not Met")),"-")</f>
        <v>-</v>
      </c>
      <c r="BK18" s="100" t="s">
        <v>103</v>
      </c>
      <c r="BL18" s="100" t="str">
        <f>IFERROR(COUNTIFS('Base File'!$BT:$BT,"Met",'Base File'!$B:$B,'Account Summary'!C18)/(COUNTIFS('Base File'!$BT:$BT,"Met",'Base File'!$B:$B,'Account Summary'!C18)+COUNTIFS('Base File'!$BT:$BT,"Not Met",'Base File'!$B:$B,'Account Summary'!C18)),"NR")</f>
        <v>NR</v>
      </c>
      <c r="BM18" s="100" t="s">
        <v>103</v>
      </c>
      <c r="BN18" s="100" t="str">
        <f>IFERROR(COUNTIFS('Base File'!$G:$G,"Contractual SLA",'Base File'!$H:$H,"Yes",'Base File'!$B:$B,'Account Summary'!$C18,'Base File'!$BT:$BT,"Met")/SUM(COUNTIFS('Base File'!$G:$G,"Contractual SLA",'Base File'!$H:$H,"yes",'Base File'!$B:$B,'Account Summary'!$C18,'Base File'!$BT:$BT,"Met")+COUNTIFS('Base File'!$G:$G,"Contractual SLA",'Base File'!$H:$H,"yes",'Base File'!$B:$B,'Account Summary'!$C18,'Base File'!$BT:$BT,"Not Met")),"-")</f>
        <v>-</v>
      </c>
      <c r="BO18" s="100" t="s">
        <v>103</v>
      </c>
      <c r="BP18" s="100">
        <f>IFERROR(COUNTIFS('Base File'!$BV:$BV,"Met",'Base File'!$B:$B,'Account Summary'!C18)/(COUNTIFS('Base File'!$BV:$BV,"Met",'Base File'!$B:$B,'Account Summary'!C18)+COUNTIFS('Base File'!$BV:$BV,"Not Met",'Base File'!$B:$B,'Account Summary'!C18)),"NR")</f>
        <v>0.75</v>
      </c>
      <c r="BQ18" s="100">
        <f>IFERROR(COUNTIFS('Base File'!$G:$G,"Internal KPI",'Base File'!$B:$B,'Account Summary'!$C18,'Base File'!$BV:$BV,"Met")/SUM(COUNTIFS('Base File'!$G:$G,"Internal KPI",'Base File'!$B:$B,'Account Summary'!$C18,'Base File'!$BV:$BV,"Met")+COUNTIFS('Base File'!$G:$G,"Internal KPI",'Base File'!$B:$B,'Account Summary'!$C18,'Base File'!$BV:$BV,"Not Met")),"-")</f>
        <v>0.75</v>
      </c>
      <c r="BR18" s="100" t="str">
        <f>IFERROR(COUNTIFS('Base File'!$G:$G,"Contractual SLA",'Base File'!$H:$H,"Yes",'Base File'!$B:$B,'Account Summary'!$C18,'Base File'!$BV:$BV,"Met")/SUM(COUNTIFS('Base File'!$G:$G,"Contractual SLA",'Base File'!$H:$H,"Yes",'Base File'!$B:$B,'Account Summary'!$C18,'Base File'!$BV:$BV,"Met")+COUNTIFS('Base File'!$G:$G,"Contractual SLA",'Base File'!$H:$H,"Yes",'Base File'!$B:$B,'Account Summary'!$C18,'Base File'!$BV:$BV,"Not Met")),"-")</f>
        <v>-</v>
      </c>
      <c r="BS18" s="100">
        <f>IFERROR(COUNTIFS('Base File'!$G:$G,"Internal KPI",'Base File'!$B:$B,'Account Summary'!$C20,'Base File'!$BV:$BV,"Met")/SUM(COUNTIFS('Base File'!$G:$G,"Internal KPI",'Base File'!$B:$B,'Account Summary'!$C20,'Base File'!$BV:$BV,"Met")+COUNTIFS('Base File'!$G:$G,"Internal KPI",'Base File'!$B:$B,'Account Summary'!$C20,'Base File'!$BV:$BV,"Not Met")),"-")</f>
        <v>0.75</v>
      </c>
    </row>
    <row r="19" spans="1:71" s="12" customFormat="1" x14ac:dyDescent="0.25">
      <c r="A19" s="389"/>
      <c r="B19" s="94">
        <v>16</v>
      </c>
      <c r="C19" s="94" t="s">
        <v>22</v>
      </c>
      <c r="D19" s="95" t="s">
        <v>135</v>
      </c>
      <c r="E19" s="95" t="s">
        <v>901</v>
      </c>
      <c r="F19" s="94" t="s">
        <v>900</v>
      </c>
      <c r="G19" s="96"/>
      <c r="H19" s="94"/>
      <c r="I19" s="94" t="s">
        <v>102</v>
      </c>
      <c r="J19" s="89" t="s">
        <v>67</v>
      </c>
      <c r="K19" s="39" t="s">
        <v>68</v>
      </c>
      <c r="L19" s="97">
        <f>IFERROR(COUNTIFS('Base File'!$AR:$AR,"Met",'Base File'!$B:$B,'Account Summary'!C19)/(COUNTIFS('Base File'!$AR:$AR,"Met",'Base File'!$B:$B,'Account Summary'!C19)+COUNTIFS('Base File'!$AR:$AR,"Not Met",'Base File'!$B:$B,'Account Summary'!C19)),"NR")</f>
        <v>0.8571428571428571</v>
      </c>
      <c r="M19" s="97">
        <f>IFERROR(COUNTIFS('Base File'!$G:$G,"Contractual SLA",'Base File'!$H:$H,"No",'Base File'!$B:$B,'Account Summary'!$C19,'Base File'!$AR:$AR,"Met")/SUM(COUNTIFS('Base File'!$G:$G,"Contractual SLA",'Base File'!$H:$H,"No",'Base File'!$B:$B,'Account Summary'!$C19,'Base File'!$AR:$AR,"Met")+COUNTIFS('Base File'!$G:$G,"Contractual SLA",'Base File'!$H:$H,"No",'Base File'!$B:$B,'Account Summary'!$C19,'Base File'!$AR:$AR,"Not Met")),"-")</f>
        <v>1</v>
      </c>
      <c r="N19" s="98" t="str">
        <f>IFERROR(COUNTIFS('Base File'!$G:$G,"Contractual SLA",'Base File'!$H:$H,"Yes",'Base File'!$B:$B,'Account Summary'!$C19,'Base File'!$AR:$AR,"Met")/SUM(COUNTIFS('Base File'!$G:$G,"Contractual SLA",'Base File'!$H:$H,"yes",'Base File'!$B:$B,'Account Summary'!$C19,'Base File'!$AR:$AR,"Met")+COUNTIFS('Base File'!$G:$G,"Contractual SLA",'Base File'!$H:$H,"yes",'Base File'!$B:$B,'Account Summary'!$C19,'Base File'!$AR:$AR,"Not Met")),"-")</f>
        <v>-</v>
      </c>
      <c r="O19" s="97">
        <f>IFERROR(COUNTIFS('Base File'!$G:$G,"Internal KPI",'Base File'!$B:$B,'Account Summary'!$C19,'Base File'!$AR:$AR,"Met")/SUM(COUNTIFS('Base File'!$G:$G,"Internal KPI",'Base File'!$B:$B,'Account Summary'!$C19,'Base File'!$AR:$AR,"Met")+COUNTIFS('Base File'!$G:$G,"Internal KPI",'Base File'!$B:$B,'Account Summary'!$C19,'Base File'!$AR:$AR,"Not Met")),"-")</f>
        <v>0.83333333333333337</v>
      </c>
      <c r="P19" s="99">
        <f>IFERROR(COUNTIFS('Base File'!$AV:$AV,"Met",'Base File'!$B:$B,'Account Summary'!C19)/(COUNTIFS('Base File'!$AV:$AV,"Met",'Base File'!$B:$B,'Account Summary'!C19)+COUNTIFS('Base File'!$AV:$AV,"Not Met",'Base File'!$B:$B,'Account Summary'!C19)),"NR")</f>
        <v>0.8571428571428571</v>
      </c>
      <c r="Q19" s="110">
        <f>IFERROR(COUNTIFS('Base File'!$G:$G,"Contractual SLA",'Base File'!$H:$H,"No",'Base File'!$B:$B,'Account Summary'!$C19,'Base File'!$AV:$AV,"Met")/SUM(COUNTIFS('Base File'!$G:$G,"Contractual SLA",'Base File'!$H:$H,"No",'Base File'!$B:$B,'Account Summary'!$C19,'Base File'!$AV:$AV,"Met")+COUNTIFS('Base File'!$G:$G,"Contractual SLA",'Base File'!$H:$H,"No",'Base File'!$B:$B,'Account Summary'!$C19,'Base File'!$AV:$AV,"Not Met")),"-")</f>
        <v>0</v>
      </c>
      <c r="R19" s="103" t="str">
        <f>IFERROR(COUNTIFS('Base File'!$G:$G,"Contractual SLA",'Base File'!$H:$H,"Yes",'Base File'!$B:$B,'Account Summary'!$C19,'Base File'!$AV:$AV,"Met")/SUM(COUNTIFS('Base File'!$G:$G,"Contractual SLA",'Base File'!$H:$H,"yes",'Base File'!$B:$B,'Account Summary'!$C19,'Base File'!$AV:$AV,"Met")+COUNTIFS('Base File'!$G:$G,"Contractual SLA",'Base File'!$H:$H,"yes",'Base File'!$B:$B,'Account Summary'!$C19,'Base File'!$AV:$AV,"Not Met")),"-")</f>
        <v>-</v>
      </c>
      <c r="S19" s="99">
        <f>IFERROR(COUNTIFS('Base File'!$G:$G,"Internal KPI",'Base File'!$B:$B,'Account Summary'!$C19,'Base File'!$AV:$AV,"Met")/SUM(COUNTIFS('Base File'!$G:$G,"Internal KPI",'Base File'!$B:$B,'Account Summary'!$C19,'Base File'!$AV:$AV,"Met")+COUNTIFS('Base File'!$G:$G,"Internal KPI",'Base File'!$B:$B,'Account Summary'!$C19,'Base File'!$AV:$AV,"Not Met")),"-")</f>
        <v>1</v>
      </c>
      <c r="T19" s="99">
        <f>IFERROR(COUNTIFS('Base File'!$AX:$AX,"Met",'Base File'!$B:$B,'Account Summary'!C19)/(COUNTIFS('Base File'!$AX:$AX,"Met",'Base File'!$B:$B,'Account Summary'!C19)+COUNTIFS('Base File'!$AX:$AX,"Not Met",'Base File'!$B:$B,'Account Summary'!C19)),"NR")</f>
        <v>1</v>
      </c>
      <c r="U19" s="105">
        <f>IFERROR(COUNTIFS('Base File'!$G:$G,"Contractual SLA",'Base File'!$H:$H,"No",'Base File'!$B:$B,'Account Summary'!$C19,'Base File'!$AX:$AX,"Met")/SUM(COUNTIFS('Base File'!$G:$G,"Contractual SLA",'Base File'!$H:$H,"No",'Base File'!$B:$B,'Account Summary'!$C19,'Base File'!$AX:$AX,"Met")+COUNTIFS('Base File'!$G:$G,"Contractual SLA",'Base File'!$H:$H,"No",'Base File'!$B:$B,'Account Summary'!$C19,'Base File'!$AX:$AX,"Not Met")),"-")</f>
        <v>1</v>
      </c>
      <c r="V19" s="100" t="s">
        <v>11</v>
      </c>
      <c r="W19" s="99">
        <f>IFERROR(COUNTIFS('Base File'!$G:$G,"Internal KPI",'Base File'!$B:$B,'Account Summary'!$C19,'Base File'!$AX:$AX,"Met")/SUM(COUNTIFS('Base File'!$G:$G,"Internal KPI",'Base File'!$B:$B,'Account Summary'!$C19,'Base File'!$AX:$AX,"Met")+COUNTIFS('Base File'!$G:$G,"Internal KPI",'Base File'!$B:$B,'Account Summary'!$C19,'Base File'!$AX:$AX,"Not Met")),"-")</f>
        <v>1</v>
      </c>
      <c r="X19" s="99">
        <f>IFERROR(COUNTIFS('Base File'!$AZ:$AZ,"Met",'Base File'!$B:$B,'Account Summary'!C19)/(COUNTIFS('Base File'!$AZ:$AZ,"Met",'Base File'!$B:$B,'Account Summary'!C19)+COUNTIFS('Base File'!$AZ:$AZ,"Not Met",'Base File'!$B:$B,'Account Summary'!C19)),"NR")</f>
        <v>1</v>
      </c>
      <c r="Y19" s="105">
        <f>IFERROR(COUNTIFS('Base File'!$G:$G,"Contractual SLA",'Base File'!$H:$H,"No",'Base File'!$B:$B,'Account Summary'!$C19,'Base File'!$AZ:$AZ,"Met")/SUM(COUNTIFS('Base File'!$G:$G,"Contractual SLA",'Base File'!$H:$H,"No",'Base File'!$B:$B,'Account Summary'!$C19,'Base File'!$AZ:$AZ,"Met")+COUNTIFS('Base File'!$G:$G,"Contractual SLA",'Base File'!$H:$H,"No",'Base File'!$B:$B,'Account Summary'!$C19,'Base File'!$AZ:$AZ,"Not Met")),"-")</f>
        <v>1</v>
      </c>
      <c r="Z19" s="100" t="str">
        <f>IFERROR(COUNTIFS('Base File'!$G:$G,"Contractual SLA",'Base File'!$H:$H,"Yes",'Base File'!$B:$B,'Account Summary'!$C19,'Base File'!$AZ:$AZ,"Met")/SUM(COUNTIFS('Base File'!$G:$G,"Contractual SLA",'Base File'!$H:$H,"yes",'Base File'!$B:$B,'Account Summary'!$C19,'Base File'!$AZ:$AZ,"Met")+COUNTIFS('Base File'!$G:$G,"Contractual SLA",'Base File'!$H:$H,"yes",'Base File'!$B:$B,'Account Summary'!$C19,'Base File'!$AZ:$AZ,"Not Met")),"-")</f>
        <v>-</v>
      </c>
      <c r="AA19" s="99">
        <f>IFERROR(COUNTIFS('Base File'!$G:$G,"Internal KPI",'Base File'!$B:$B,'Account Summary'!$C19,'Base File'!$AZ:$AZ,"Met")/SUM(COUNTIFS('Base File'!$G:$G,"Internal KPI",'Base File'!$B:$B,'Account Summary'!$C19,'Base File'!$AZ:$AZ,"Met")+COUNTIFS('Base File'!$G:$G,"Internal KPI",'Base File'!$B:$B,'Account Summary'!$C19,'Base File'!$AZ:$AZ,"Not Met")),"-")</f>
        <v>1</v>
      </c>
      <c r="AB19" s="99">
        <f>IFERROR(COUNTIFS('Base File'!$BB:$BB,"Met",'Base File'!$B:$B,'Account Summary'!C19)/(COUNTIFS('Base File'!$BB:$BB,"Met",'Base File'!$B:$B,'Account Summary'!C19)+COUNTIFS('Base File'!$BB:$BB,"Not Met",'Base File'!$B:$B,'Account Summary'!C19)),"NR")</f>
        <v>1</v>
      </c>
      <c r="AC19" s="105">
        <f>IFERROR(COUNTIFS('Base File'!$G:$G,"Contractual SLA",'Base File'!$H:$H,"No",'Base File'!$B:$B,'Account Summary'!$C19,'Base File'!$BB:$BB,"Met")/SUM(COUNTIFS('Base File'!$G:$G,"Contractual SLA",'Base File'!$H:$H,"No",'Base File'!$B:$B,'Account Summary'!$C19,'Base File'!$BB:$BB,"Met")+COUNTIFS('Base File'!$G:$G,"Contractual SLA",'Base File'!$H:$H,"No",'Base File'!$B:$B,'Account Summary'!$C19,'Base File'!$BB:$BB,"Not Met")),"-")</f>
        <v>1</v>
      </c>
      <c r="AD19" s="100" t="str">
        <f>IFERROR(COUNTIFS('Base File'!$G:$G,"Contractual SLA",'Base File'!$H:$H,"Yes",'Base File'!$B:$B,'Account Summary'!$C19,'Base File'!$BB:$BB,"Met")/SUM(COUNTIFS('Base File'!$G:$G,"Contractual SLA",'Base File'!$H:$H,"yes",'Base File'!$B:$B,'Account Summary'!$C19,'Base File'!$BB:$BB,"Met")+COUNTIFS('Base File'!$G:$G,"Contractual SLA",'Base File'!$H:$H,"yes",'Base File'!$B:$B,'Account Summary'!$C19,'Base File'!$BB:$BB,"Not Met")),"-")</f>
        <v>-</v>
      </c>
      <c r="AE19" s="99">
        <f>IFERROR(COUNTIFS('Base File'!$G:$G,"Internal KPI",'Base File'!$B:$B,'Account Summary'!$C19,'Base File'!$BB:$BB,"Met")/SUM(COUNTIFS('Base File'!$G:$G,"Internal KPI",'Base File'!$B:$B,'Account Summary'!$C19,'Base File'!$BB:$BB,"Met")+COUNTIFS('Base File'!$G:$G,"Internal KPI",'Base File'!$B:$B,'Account Summary'!$C19,'Base File'!$BB:$BB,"Not Met")),"-")</f>
        <v>1</v>
      </c>
      <c r="AF19" s="99">
        <f>IFERROR(COUNTIFS('Base File'!$BD:$BD,"Met",'Base File'!$B:$B,'Account Summary'!C19)/(COUNTIFS('Base File'!$BD:$BD,"Met",'Base File'!$B:$B,'Account Summary'!C19)+COUNTIFS('Base File'!$BD:$BD,"Not Met",'Base File'!$B:$B,'Account Summary'!C19)),"NR")</f>
        <v>1</v>
      </c>
      <c r="AG19" s="100" t="s">
        <v>11</v>
      </c>
      <c r="AH19" s="100" t="str">
        <f>IFERROR(COUNTIFS('Base File'!$G:$G,"Contractual SLA",'Base File'!$H:$H,"Yes",'Base File'!$B:$B,'Account Summary'!$C19,'Base File'!$BD:$BD,"Met")/SUM(COUNTIFS('Base File'!$G:$G,"Contractual SLA",'Base File'!$H:$H,"yes",'Base File'!$B:$B,'Account Summary'!$C19,'Base File'!$BD:$BD,"Met")+COUNTIFS('Base File'!$G:$G,"Contractual SLA",'Base File'!$H:$H,"yes",'Base File'!$B:$B,'Account Summary'!$C19,'Base File'!$BD:$BD,"Not Met")),"-")</f>
        <v>-</v>
      </c>
      <c r="AI19" s="99">
        <f>IFERROR(COUNTIFS('Base File'!$G:$G,"Internal KPI",'Base File'!$B:$B,'Account Summary'!$C19,'Base File'!$BD:$BD,"Met")/SUM(COUNTIFS('Base File'!$G:$G,"Internal KPI",'Base File'!$B:$B,'Account Summary'!$C19,'Base File'!$BD:$BD,"Met")+COUNTIFS('Base File'!$G:$G,"Internal KPI",'Base File'!$B:$B,'Account Summary'!$C19,'Base File'!$BD:$BD,"Not Met")),"-")</f>
        <v>1</v>
      </c>
      <c r="AJ19" s="99">
        <f>IFERROR(COUNTIFS('Base File'!$BF:$BF,"Met",'Base File'!$B:$B,'Account Summary'!C19)/(COUNTIFS('Base File'!$BF:$BF,"Met",'Base File'!$B:$B,'Account Summary'!C19)+COUNTIFS('Base File'!$BF:$BF,"Not Met",'Base File'!$B:$B,'Account Summary'!C19)),"NR")</f>
        <v>1</v>
      </c>
      <c r="AK19" s="100" t="s">
        <v>11</v>
      </c>
      <c r="AL19" s="100" t="str">
        <f>IFERROR(COUNTIFS('Base File'!$G:$G,"Contractual SLA",'Base File'!$H:$H,"Yes",'Base File'!$B:$B,'Account Summary'!$C19,'Base File'!$BF:$BF,"Met")/SUM(COUNTIFS('Base File'!$G:$G,"Contractual SLA",'Base File'!$H:$H,"yes",'Base File'!$B:$B,'Account Summary'!$C19,'Base File'!$BF:$BF,"Met")+COUNTIFS('Base File'!$G:$G,"Contractual SLA",'Base File'!$H:$H,"yes",'Base File'!$B:$B,'Account Summary'!$C19,'Base File'!$BF:$BF,"Not Met")),"-")</f>
        <v>-</v>
      </c>
      <c r="AM19" s="99">
        <f>IFERROR(COUNTIFS('Base File'!$G:$G,"Internal KPI",'Base File'!$B:$B,'Account Summary'!$C19,'Base File'!$BF:$BF,"Met")/SUM(COUNTIFS('Base File'!$G:$G,"Internal KPI",'Base File'!$B:$B,'Account Summary'!$C19,'Base File'!$BF:$BF,"Met")+COUNTIFS('Base File'!$G:$G,"Internal KPI",'Base File'!$B:$B,'Account Summary'!$C19,'Base File'!$BF:$BF,"Not Met")),"-")</f>
        <v>1</v>
      </c>
      <c r="AN19" s="99">
        <f>IFERROR(COUNTIFS('Base File'!$BH:$BH,"Met",'Base File'!$B:$B,'Account Summary'!C19)/(COUNTIFS('Base File'!$BH:$BH,"Met",'Base File'!$B:$B,'Account Summary'!C19)+COUNTIFS('Base File'!$BH:$BH,"Not Met",'Base File'!$B:$B,'Account Summary'!C19)),"NR")</f>
        <v>0.8571428571428571</v>
      </c>
      <c r="AO19" s="100" t="s">
        <v>11</v>
      </c>
      <c r="AP19" s="100" t="str">
        <f>IFERROR(COUNTIFS('Base File'!$G:$G,"Contractual SLA",'Base File'!$H:$H,"Yes",'Base File'!$B:$B,'Account Summary'!$C19,'Base File'!$BH:$BH,"Met")/SUM(COUNTIFS('Base File'!$G:$G,"Contractual SLA",'Base File'!$H:$H,"yes",'Base File'!$B:$B,'Account Summary'!$C19,'Base File'!$BH:$BH,"Met")+COUNTIFS('Base File'!$G:$G,"Contractual SLA",'Base File'!$H:$H,"yes",'Base File'!$B:$B,'Account Summary'!$C19,'Base File'!$BH:$BH,"Not Met")),"-")</f>
        <v>-</v>
      </c>
      <c r="AQ19" s="99">
        <f>IFERROR(COUNTIFS('Base File'!$G:$G,"Internal KPI",'Base File'!$B:$B,'Account Summary'!$C19,'Base File'!$BH:$BH,"Met")/SUM(COUNTIFS('Base File'!$G:$G,"Internal KPI",'Base File'!$B:$B,'Account Summary'!$C19,'Base File'!$BH:$BH,"Met")+COUNTIFS('Base File'!$G:$G,"Internal KPI",'Base File'!$B:$B,'Account Summary'!$C19,'Base File'!$BH:$BH,"Not Met")),"-")</f>
        <v>0.8571428571428571</v>
      </c>
      <c r="AR19" s="99">
        <f>IFERROR(COUNTIFS('Base File'!$BJ:$BJ,"Met",'Base File'!$B:$B,'Account Summary'!C19)/(COUNTIFS('Base File'!$BJ:$BJ,"Met",'Base File'!$B:$B,'Account Summary'!C19)+COUNTIFS('Base File'!$BJ:$BJ,"Not Met",'Base File'!$B:$B,'Account Summary'!C19)),"NR")</f>
        <v>0.8571428571428571</v>
      </c>
      <c r="AS19" s="101" t="s">
        <v>11</v>
      </c>
      <c r="AT19" s="100" t="str">
        <f>IFERROR(COUNTIFS('Base File'!$G:$G,"Contractual SLA",'Base File'!$H:$H,"Yes",'Base File'!$B:$B,'Account Summary'!$C19,'Base File'!$BJ:$BJ,"Met")/SUM(COUNTIFS('Base File'!$G:$G,"Contractual SLA",'Base File'!$H:$H,"yes",'Base File'!$B:$B,'Account Summary'!$C19,'Base File'!$BJ:$BJ,"Met")+COUNTIFS('Base File'!$G:$G,"Contractual SLA",'Base File'!$H:$H,"yes",'Base File'!$B:$B,'Account Summary'!$C19,'Base File'!$BJ:$BJ,"Not Met")),"-")</f>
        <v>-</v>
      </c>
      <c r="AU19" s="99">
        <f>IFERROR(COUNTIFS('Base File'!$G:$G,"Internal KPI",'Base File'!$B:$B,'Account Summary'!$C19,'Base File'!$BJ:$BJ,"Met")/SUM(COUNTIFS('Base File'!$G:$G,"Internal KPI",'Base File'!$B:$B,'Account Summary'!$C19,'Base File'!$BJ:$BJ,"Met")+COUNTIFS('Base File'!$G:$G,"Internal KPI",'Base File'!$B:$B,'Account Summary'!$C19,'Base File'!$BJ:$BJ,"Not Met")),"-")</f>
        <v>0.8571428571428571</v>
      </c>
      <c r="AV19" s="100">
        <f>IFERROR(COUNTIFS('Base File'!$BL:$BL,"Met",'Base File'!$B:$B,'Account Summary'!C19)/(COUNTIFS('Base File'!$BL:$BL,"Met",'Base File'!$B:$B,'Account Summary'!C19)+COUNTIFS('Base File'!$BL:$BL,"Not Met",'Base File'!$B:$B,'Account Summary'!C19)),"NR")</f>
        <v>0.8571428571428571</v>
      </c>
      <c r="AW19" s="100" t="str">
        <f>IFERROR(COUNTIFS('Base File'!$G:$G,"Contractual SLA",'Base File'!$H:$H,"No",'Base File'!$B:$B,'Account Summary'!$C19,'Base File'!$BL:$BL,"Met")/SUM(COUNTIFS('Base File'!$G:$G,"Contractual SLA",'Base File'!$H:$H,"No",'Base File'!$B:$B,'Account Summary'!$C19,'Base File'!$BL:$BL,"Met")+COUNTIFS('Base File'!$G:$G,"Contractual SLA",'Base File'!$H:$H,"No",'Base File'!$B:$B,'Account Summary'!$C19,'Base File'!$BL:$BL,"Not Met")),"-")</f>
        <v>-</v>
      </c>
      <c r="AX19" s="100" t="str">
        <f>IFERROR(COUNTIFS('Base File'!$G:$G,"Contractual SLA",'Base File'!$H:$H,"Yes",'Base File'!$B:$B,'Account Summary'!$C19,'Base File'!$BL:$BL,"Met")/SUM(COUNTIFS('Base File'!$G:$G,"Contractual SLA",'Base File'!$H:$H,"yes",'Base File'!$B:$B,'Account Summary'!$C19,'Base File'!$BL:$BL,"Met")+COUNTIFS('Base File'!$G:$G,"Contractual SLA",'Base File'!$H:$H,"yes",'Base File'!$B:$B,'Account Summary'!$C19,'Base File'!$BL:$BL,"Not Met")),"-")</f>
        <v>-</v>
      </c>
      <c r="AY19" s="100">
        <f>IFERROR(COUNTIFS('Base File'!$G:$G,"Internal KPI",'Base File'!$B:$B,'Account Summary'!$C19,'Base File'!$BL:$BL,"Met")/SUM(COUNTIFS('Base File'!$G:$G,"Internal KPI",'Base File'!$B:$B,'Account Summary'!$C19,'Base File'!$BL:$BL,"Met")+COUNTIFS('Base File'!$G:$G,"Internal KPI",'Base File'!$B:$B,'Account Summary'!$C19,'Base File'!$BL:$BL,"Not Met")),"-")</f>
        <v>0.8571428571428571</v>
      </c>
      <c r="AZ19" s="100">
        <v>1</v>
      </c>
      <c r="BA19" s="100" t="s">
        <v>11</v>
      </c>
      <c r="BB19" s="100" t="s">
        <v>107</v>
      </c>
      <c r="BC19" s="100">
        <v>1</v>
      </c>
      <c r="BD19" s="99">
        <f>IFERROR(COUNTIFS('Base File'!$BP:$BP,"Met",'Base File'!$B:$B,'Account Summary'!C19)/(COUNTIFS('Base File'!$BP:$BP,"Met",'Base File'!$B:$B,'Account Summary'!C19)+COUNTIFS('Base File'!$BP:$BP,"Not Met",'Base File'!$B:$B,'Account Summary'!C19)),"NR")</f>
        <v>0.8571428571428571</v>
      </c>
      <c r="BE19" s="100" t="str">
        <f>IFERROR(COUNTIFS('Base File'!$G:$G,"Contractual SLA",'Base File'!$H:$H,"No",'Base File'!$B:$B,'Account Summary'!$C19,'Base File'!$BP:$BP,"Met")/SUM(COUNTIFS('Base File'!$G:$G,"Contractual SLA",'Base File'!$H:$H,"No",'Base File'!$B:$B,'Account Summary'!$C19,'Base File'!$BP:$BP,"Met")+COUNTIFS('Base File'!$G:$G,"Contractual SLA",'Base File'!$H:$H,"No",'Base File'!$B:$B,'Account Summary'!$C19,'Base File'!$BP:$BP,"Not Met")),"-")</f>
        <v>-</v>
      </c>
      <c r="BF19" s="100" t="s">
        <v>11</v>
      </c>
      <c r="BG19" s="99">
        <f>IFERROR(COUNTIFS('Base File'!$G:$G,"Internal KPI",'Base File'!$B:$B,'Account Summary'!$C19,'Base File'!$BP:$BP,"Met")/SUM(COUNTIFS('Base File'!$G:$G,"Internal KPI",'Base File'!$B:$B,'Account Summary'!$C19,'Base File'!$BP:$BP,"Met")+COUNTIFS('Base File'!$G:$G,"Internal KPI",'Base File'!$B:$B,'Account Summary'!$C19,'Base File'!$BP:$BP,"Not Met")),"-")</f>
        <v>0.8571428571428571</v>
      </c>
      <c r="BH19" s="99">
        <f>IFERROR(COUNTIFS('Base File'!$BR:$BR,"Met",'Base File'!$B:$B,'Account Summary'!C19)/(COUNTIFS('Base File'!$BR:$BR,"Met",'Base File'!$B:$B,'Account Summary'!C19)+COUNTIFS('Base File'!$BR:$BR,"Not Met",'Base File'!$B:$B,'Account Summary'!C19)),"NR")</f>
        <v>0.8571428571428571</v>
      </c>
      <c r="BI19" s="101" t="str">
        <f>IFERROR(COUNTIFS('Base File'!$G:$G,"Contractual SLA",'Base File'!$H:$H,"No",'Base File'!$B:$B,'Account Summary'!$C19,'Base File'!$BR:$BR,"Met")/SUM(COUNTIFS('Base File'!$G:$G,"Contractual SLA",'Base File'!$H:$H,"No",'Base File'!$B:$B,'Account Summary'!$C19,'Base File'!$BR:$BR,"Met")+COUNTIFS('Base File'!$G:$G,"Contractual SLA",'Base File'!$H:$H,"No",'Base File'!$B:$B,'Account Summary'!$C19,'Base File'!$BR:$BR,"Not Met")),"-")</f>
        <v>-</v>
      </c>
      <c r="BJ19" s="100" t="s">
        <v>11</v>
      </c>
      <c r="BK19" s="99">
        <f>IFERROR(COUNTIFS('Base File'!$G:$G,"Internal KPI",'Base File'!$B:$B,'Account Summary'!$C19,'Base File'!$BR:$BR,"Met")/SUM(COUNTIFS('Base File'!$G:$G,"Internal KPI",'Base File'!$B:$B,'Account Summary'!$C19,'Base File'!$BR:$BR,"Met")+COUNTIFS('Base File'!$G:$G,"Internal KPI",'Base File'!$B:$B,'Account Summary'!$C19,'Base File'!$BR:$BR,"Not Met")),"-")</f>
        <v>0.8571428571428571</v>
      </c>
      <c r="BL19" s="100">
        <f>IFERROR(COUNTIFS('Base File'!$BT:$BT,"Met",'Base File'!$B:$B,'Account Summary'!C19)/(COUNTIFS('Base File'!$BT:$BT,"Met",'Base File'!$B:$B,'Account Summary'!C19)+COUNTIFS('Base File'!$BT:$BT,"Not Met",'Base File'!$B:$B,'Account Summary'!C19)),"NR")</f>
        <v>0.8571428571428571</v>
      </c>
      <c r="BM19" s="100" t="s">
        <v>11</v>
      </c>
      <c r="BN19" s="100" t="str">
        <f>IFERROR(COUNTIFS('Base File'!$G:$G,"Contractual SLA",'Base File'!$H:$H,"Yes",'Base File'!$B:$B,'Account Summary'!$C19,'Base File'!$BT:$BT,"Met")/SUM(COUNTIFS('Base File'!$G:$G,"Contractual SLA",'Base File'!$H:$H,"yes",'Base File'!$B:$B,'Account Summary'!$C19,'Base File'!$BT:$BT,"Met")+COUNTIFS('Base File'!$G:$G,"Contractual SLA",'Base File'!$H:$H,"yes",'Base File'!$B:$B,'Account Summary'!$C19,'Base File'!$BT:$BT,"Not Met")),"-")</f>
        <v>-</v>
      </c>
      <c r="BO19" s="100">
        <f>IFERROR(COUNTIFS('Base File'!$G:$G,"Internal KPI",'Base File'!$B:$B,'Account Summary'!$C19,'Base File'!$BT:$BT,"Met")/SUM(COUNTIFS('Base File'!$G:$G,"Internal KPI",'Base File'!$B:$B,'Account Summary'!$C19,'Base File'!$BT:$BT,"Met")+COUNTIFS('Base File'!$G:$G,"Internal KPI",'Base File'!$B:$B,'Account Summary'!$C19,'Base File'!$BT:$BT,"Not Met")),"-")</f>
        <v>0.8571428571428571</v>
      </c>
      <c r="BP19" s="100">
        <f>IFERROR(COUNTIFS('Base File'!$BV:$BV,"Met",'Base File'!$B:$B,'Account Summary'!C19)/(COUNTIFS('Base File'!$BV:$BV,"Met",'Base File'!$B:$B,'Account Summary'!C19)+COUNTIFS('Base File'!$BV:$BV,"Not Met",'Base File'!$B:$B,'Account Summary'!C19)),"NR")</f>
        <v>1</v>
      </c>
      <c r="BQ19" s="102" t="s">
        <v>107</v>
      </c>
      <c r="BR19" s="100" t="str">
        <f>IFERROR(COUNTIFS('Base File'!$G:$G,"Contractual SLA",'Base File'!$H:$H,"Yes",'Base File'!$B:$B,'Account Summary'!$C19,'Base File'!$BV:$BV,"Met")/SUM(COUNTIFS('Base File'!$G:$G,"Contractual SLA",'Base File'!$H:$H,"Yes",'Base File'!$B:$B,'Account Summary'!$C19,'Base File'!$BV:$BV,"Met")+COUNTIFS('Base File'!$G:$G,"Contractual SLA",'Base File'!$H:$H,"Yes",'Base File'!$B:$B,'Account Summary'!$C19,'Base File'!$BV:$BV,"Not Met")),"-")</f>
        <v>-</v>
      </c>
      <c r="BS19" s="100">
        <v>1</v>
      </c>
    </row>
    <row r="20" spans="1:71" s="12" customFormat="1" x14ac:dyDescent="0.25">
      <c r="A20" s="389"/>
      <c r="B20" s="94">
        <v>17</v>
      </c>
      <c r="C20" s="94" t="s">
        <v>25</v>
      </c>
      <c r="D20" s="95" t="s">
        <v>106</v>
      </c>
      <c r="E20" s="95" t="s">
        <v>106</v>
      </c>
      <c r="F20" s="94" t="s">
        <v>894</v>
      </c>
      <c r="G20" s="96"/>
      <c r="H20" s="94"/>
      <c r="I20" s="94" t="s">
        <v>920</v>
      </c>
      <c r="J20" s="89" t="s">
        <v>67</v>
      </c>
      <c r="K20" s="89" t="s">
        <v>68</v>
      </c>
      <c r="L20" s="107">
        <f>IFERROR(COUNTIFS('Base File'!$AR:$AR,"Met",'Base File'!$B:$B,'Account Summary'!C20)/(COUNTIFS('Base File'!$AR:$AR,"Met",'Base File'!$B:$B,'Account Summary'!C20)+COUNTIFS('Base File'!$AR:$AR,"Not Met",'Base File'!$B:$B,'Account Summary'!C20)),"NR")</f>
        <v>0.7142857142857143</v>
      </c>
      <c r="M20" s="98" t="str">
        <f>IFERROR(COUNTIFS('Base File'!$G:$G,"Contractual SLA",'Base File'!$H:$H,"No",'Base File'!$B:$B,'Account Summary'!$C20,'Base File'!$AR:$AR,"Met")/SUM(COUNTIFS('Base File'!$G:$G,"Contractual SLA",'Base File'!$H:$H,"No",'Base File'!$B:$B,'Account Summary'!$C20,'Base File'!$AR:$AR,"Met")+COUNTIFS('Base File'!$G:$G,"Contractual SLA",'Base File'!$H:$H,"No",'Base File'!$B:$B,'Account Summary'!$C20,'Base File'!$AR:$AR,"Not Met")),"-")</f>
        <v>-</v>
      </c>
      <c r="N20" s="108">
        <f>IFERROR(COUNTIFS('Base File'!$G:$G,"Contractual SLA",'Base File'!$H:$H,"Yes",'Base File'!$B:$B,'Account Summary'!$C20,'Base File'!$AR:$AR,"Met")/SUM(COUNTIFS('Base File'!$G:$G,"Contractual SLA",'Base File'!$H:$H,"yes",'Base File'!$B:$B,'Account Summary'!$C20,'Base File'!$AR:$AR,"Met")+COUNTIFS('Base File'!$G:$G,"Contractual SLA",'Base File'!$H:$H,"yes",'Base File'!$B:$B,'Account Summary'!$C20,'Base File'!$AR:$AR,"Not Met")),"-")</f>
        <v>0.75</v>
      </c>
      <c r="O20" s="107">
        <f>IFERROR(COUNTIFS('Base File'!$G:$G,"Internal KPI",'Base File'!$B:$B,'Account Summary'!$C20,'Base File'!$AR:$AR,"Met")/SUM(COUNTIFS('Base File'!$G:$G,"Internal KPI",'Base File'!$B:$B,'Account Summary'!$C20,'Base File'!$AR:$AR,"Met")+COUNTIFS('Base File'!$G:$G,"Internal KPI",'Base File'!$B:$B,'Account Summary'!$C20,'Base File'!$AR:$AR,"Not Met")),"-")</f>
        <v>0.66666666666666663</v>
      </c>
      <c r="P20" s="98" t="str">
        <f>IFERROR(COUNTIFS('Base File'!$AV:$AV,"Met",'Base File'!$B:$B,'Account Summary'!C20)/(COUNTIFS('Base File'!$AV:$AV,"Met",'Base File'!$B:$B,'Account Summary'!C20)+COUNTIFS('Base File'!$AV:$AV,"Not Met",'Base File'!$B:$B,'Account Summary'!C20)),"NR")</f>
        <v>NR</v>
      </c>
      <c r="Q20" s="98" t="str">
        <f>IFERROR(COUNTIFS('Base File'!$G:$G,"Contractual SLA",'Base File'!$H:$H,"No",'Base File'!$B:$B,'Account Summary'!$C20,'Base File'!$AV:$AV,"Met")/SUM(COUNTIFS('Base File'!$G:$G,"Contractual SLA",'Base File'!$H:$H,"No",'Base File'!$B:$B,'Account Summary'!$C20,'Base File'!$AV:$AV,"Met")+COUNTIFS('Base File'!$G:$G,"Contractual SLA",'Base File'!$H:$H,"No",'Base File'!$B:$B,'Account Summary'!$C20,'Base File'!$AV:$AV,"Not Met")),"-")</f>
        <v>-</v>
      </c>
      <c r="R20" s="103" t="str">
        <f>IFERROR(COUNTIFS('Base File'!$AV:$AV,"Met",'Base File'!$B:$B,'Account Summary'!F20)/(COUNTIFS('Base File'!$AV:$AV,"Met",'Base File'!$B:$B,'Account Summary'!F20)+COUNTIFS('Base File'!$AV:$AV,"Not Met",'Base File'!$B:$B,'Account Summary'!F20)),"NR")</f>
        <v>NR</v>
      </c>
      <c r="S20" s="98" t="str">
        <f>IFERROR(COUNTIFS('Base File'!$AV:$AV,"Met",'Base File'!$B:$B,'Account Summary'!G20)/(COUNTIFS('Base File'!$AV:$AV,"Met",'Base File'!$B:$B,'Account Summary'!G20)+COUNTIFS('Base File'!$AV:$AV,"Not Met",'Base File'!$B:$B,'Account Summary'!G20)),"NR")</f>
        <v>NR</v>
      </c>
      <c r="T20" s="106">
        <f>IFERROR(COUNTIFS('Base File'!$AX:$AX,"Met",'Base File'!$B:$B,'Account Summary'!C20)/(COUNTIFS('Base File'!$AX:$AX,"Met",'Base File'!$B:$B,'Account Summary'!C20)+COUNTIFS('Base File'!$AX:$AX,"Not Met",'Base File'!$B:$B,'Account Summary'!C20)),"NR")</f>
        <v>0.75</v>
      </c>
      <c r="U20" s="101" t="s">
        <v>11</v>
      </c>
      <c r="V20" s="110">
        <f>IFERROR(COUNTIFS('Base File'!$G:$G,"Contractual SLA",'Base File'!$H:$H,"Yes",'Base File'!$B:$B,'Account Summary'!$C20,'Base File'!$AX:$AX,"Met")/SUM(COUNTIFS('Base File'!$G:$G,"Contractual SLA",'Base File'!$H:$H,"yes",'Base File'!$B:$B,'Account Summary'!$C20,'Base File'!$AX:$AX,"Met")+COUNTIFS('Base File'!$G:$G,"Contractual SLA",'Base File'!$H:$H,"yes",'Base File'!$B:$B,'Account Summary'!$C20,'Base File'!$AX:$AX,"Not Met")),"-")</f>
        <v>0.5</v>
      </c>
      <c r="W20" s="99">
        <f>IFERROR(COUNTIFS('Base File'!$G:$G,"Internal KPI",'Base File'!$B:$B,'Account Summary'!$C20,'Base File'!$AX:$AX,"Met")/SUM(COUNTIFS('Base File'!$G:$G,"Internal KPI",'Base File'!$B:$B,'Account Summary'!$C20,'Base File'!$AX:$AX,"Met")+COUNTIFS('Base File'!$G:$G,"Internal KPI",'Base File'!$B:$B,'Account Summary'!$C20,'Base File'!$AX:$AX,"Not Met")),"-")</f>
        <v>1</v>
      </c>
      <c r="X20" s="99">
        <f>IFERROR(COUNTIFS('Base File'!$AZ:$AZ,"Met",'Base File'!$B:$B,'Account Summary'!C20)/(COUNTIFS('Base File'!$AZ:$AZ,"Met",'Base File'!$B:$B,'Account Summary'!C20)+COUNTIFS('Base File'!$AZ:$AZ,"Not Met",'Base File'!$B:$B,'Account Summary'!C20)),"NR")</f>
        <v>1</v>
      </c>
      <c r="Y20" s="101" t="str">
        <f>IFERROR(COUNTIFS('Base File'!$G:$G,"Contractual SLA",'Base File'!$H:$H,"No",'Base File'!$B:$B,'Account Summary'!$C20,'Base File'!$AZ:$AZ,"Met")/SUM(COUNTIFS('Base File'!$G:$G,"Contractual SLA",'Base File'!$H:$H,"No",'Base File'!$B:$B,'Account Summary'!$C20,'Base File'!$AZ:$AZ,"Met")+COUNTIFS('Base File'!$G:$G,"Contractual SLA",'Base File'!$H:$H,"No",'Base File'!$B:$B,'Account Summary'!$C20,'Base File'!$AZ:$AZ,"Not Met")),"-")</f>
        <v>-</v>
      </c>
      <c r="Z20" s="99">
        <f>IFERROR(COUNTIFS('Base File'!$G:$G,"Contractual SLA",'Base File'!$H:$H,"Yes",'Base File'!$B:$B,'Account Summary'!$C20,'Base File'!$AZ:$AZ,"Met")/SUM(COUNTIFS('Base File'!$G:$G,"Contractual SLA",'Base File'!$H:$H,"yes",'Base File'!$B:$B,'Account Summary'!$C20,'Base File'!$AZ:$AZ,"Met")+COUNTIFS('Base File'!$G:$G,"Contractual SLA",'Base File'!$H:$H,"yes",'Base File'!$B:$B,'Account Summary'!$C20,'Base File'!$AZ:$AZ,"Not Met")),"-")</f>
        <v>1</v>
      </c>
      <c r="AA20" s="99">
        <f>IFERROR(COUNTIFS('Base File'!$G:$G,"Internal KPI",'Base File'!$B:$B,'Account Summary'!$C20,'Base File'!$AZ:$AZ,"Met")/SUM(COUNTIFS('Base File'!$G:$G,"Internal KPI",'Base File'!$B:$B,'Account Summary'!$C20,'Base File'!$AZ:$AZ,"Met")+COUNTIFS('Base File'!$G:$G,"Internal KPI",'Base File'!$B:$B,'Account Summary'!$C20,'Base File'!$AZ:$AZ,"Not Met")),"-")</f>
        <v>1</v>
      </c>
      <c r="AB20" s="107">
        <f>IFERROR(COUNTIFS('Base File'!$BB:$BB,"Met",'Base File'!$B:$B,'Account Summary'!C20)/(COUNTIFS('Base File'!$BB:$BB,"Met",'Base File'!$B:$B,'Account Summary'!C20)+COUNTIFS('Base File'!$BB:$BB,"Not Met",'Base File'!$B:$B,'Account Summary'!C20)),"NR")</f>
        <v>0.7142857142857143</v>
      </c>
      <c r="AC20" s="101" t="str">
        <f>IFERROR(COUNTIFS('Base File'!$G:$G,"Contractual SLA",'Base File'!$H:$H,"No",'Base File'!$B:$B,'Account Summary'!$C20,'Base File'!$BB:$BB,"Met")/SUM(COUNTIFS('Base File'!$G:$G,"Contractual SLA",'Base File'!$H:$H,"No",'Base File'!$B:$B,'Account Summary'!$C20,'Base File'!$BB:$BB,"Met")+COUNTIFS('Base File'!$G:$G,"Contractual SLA",'Base File'!$H:$H,"No",'Base File'!$B:$B,'Account Summary'!$C20,'Base File'!$BB:$BB,"Not Met")),"-")</f>
        <v>-</v>
      </c>
      <c r="AD20" s="110">
        <f>IFERROR(COUNTIFS('Base File'!$G:$G,"Contractual SLA",'Base File'!$H:$H,"Yes",'Base File'!$B:$B,'Account Summary'!$C20,'Base File'!$BB:$BB,"Met")/SUM(COUNTIFS('Base File'!$G:$G,"Contractual SLA",'Base File'!$H:$H,"yes",'Base File'!$B:$B,'Account Summary'!$C20,'Base File'!$BB:$BB,"Met")+COUNTIFS('Base File'!$G:$G,"Contractual SLA",'Base File'!$H:$H,"yes",'Base File'!$B:$B,'Account Summary'!$C20,'Base File'!$BB:$BB,"Not Met")),"-")</f>
        <v>0.5</v>
      </c>
      <c r="AE20" s="99">
        <f>IFERROR(COUNTIFS('Base File'!$G:$G,"Internal KPI",'Base File'!$B:$B,'Account Summary'!$C20,'Base File'!$BB:$BB,"Met")/SUM(COUNTIFS('Base File'!$G:$G,"Internal KPI",'Base File'!$B:$B,'Account Summary'!$C20,'Base File'!$BB:$BB,"Met")+COUNTIFS('Base File'!$G:$G,"Internal KPI",'Base File'!$B:$B,'Account Summary'!$C20,'Base File'!$BB:$BB,"Not Met")),"-")</f>
        <v>1</v>
      </c>
      <c r="AF20" s="106">
        <f>IFERROR(COUNTIFS('Base File'!$BD:$BD,"Met",'Base File'!$B:$B,'Account Summary'!C20)/(COUNTIFS('Base File'!$BD:$BD,"Met",'Base File'!$B:$B,'Account Summary'!C20)+COUNTIFS('Base File'!$BD:$BD,"Not Met",'Base File'!$B:$B,'Account Summary'!C20)),"NR")</f>
        <v>0.7142857142857143</v>
      </c>
      <c r="AG20" s="100" t="str">
        <f>IFERROR(COUNTIFS('Base File'!$G:$G,"Contractual SLA",'Base File'!$H:$H,"No",'Base File'!$B:$B,'Account Summary'!$C20,'Base File'!$BD:$BD,"Met")/SUM(COUNTIFS('Base File'!$G:$G,"Contractual SLA",'Base File'!$H:$H,"No",'Base File'!$B:$B,'Account Summary'!$C20,'Base File'!$BD:$BD,"Met")+COUNTIFS('Base File'!$G:$G,"Contractual SLA",'Base File'!$H:$H,"No",'Base File'!$B:$B,'Account Summary'!$C20,'Base File'!$BD:$BD,"Not Met")),"-")</f>
        <v>-</v>
      </c>
      <c r="AH20" s="110">
        <f>IFERROR(COUNTIFS('Base File'!$G:$G,"Contractual SLA",'Base File'!$H:$H,"Yes",'Base File'!$B:$B,'Account Summary'!$C20,'Base File'!$BD:$BD,"Met")/SUM(COUNTIFS('Base File'!$G:$G,"Contractual SLA",'Base File'!$H:$H,"yes",'Base File'!$B:$B,'Account Summary'!$C20,'Base File'!$BD:$BD,"Met")+COUNTIFS('Base File'!$G:$G,"Contractual SLA",'Base File'!$H:$H,"yes",'Base File'!$B:$B,'Account Summary'!$C20,'Base File'!$BD:$BD,"Not Met")),"-")</f>
        <v>0.75</v>
      </c>
      <c r="AI20" s="106">
        <f>IFERROR(COUNTIFS('Base File'!$G:$G,"Internal KPI",'Base File'!$B:$B,'Account Summary'!$C20,'Base File'!$BD:$BD,"Met")/SUM(COUNTIFS('Base File'!$G:$G,"Internal KPI",'Base File'!$B:$B,'Account Summary'!$C20,'Base File'!$BD:$BD,"Met")+COUNTIFS('Base File'!$G:$G,"Internal KPI",'Base File'!$B:$B,'Account Summary'!$C20,'Base File'!$BD:$BD,"Not Met")),"-")</f>
        <v>0.66666666666666663</v>
      </c>
      <c r="AJ20" s="100" t="str">
        <f>IFERROR(COUNTIFS('Base File'!$BF:$BF,"Met",'Base File'!$B:$B,'Account Summary'!C20)/(COUNTIFS('Base File'!$BF:$BF,"Met",'Base File'!$B:$B,'Account Summary'!C20)+COUNTIFS('Base File'!$BF:$BF,"Not Met",'Base File'!$B:$B,'Account Summary'!C20)),"NR")</f>
        <v>NR</v>
      </c>
      <c r="AK20" s="100" t="str">
        <f>IFERROR(COUNTIFS('Base File'!$G:$G,"Contractual SLA",'Base File'!$H:$H,"No",'Base File'!$B:$B,'Account Summary'!$C20,'Base File'!$BF:$BF,"Met")/SUM(COUNTIFS('Base File'!$G:$G,"Contractual SLA",'Base File'!$H:$H,"No",'Base File'!$B:$B,'Account Summary'!$C20,'Base File'!$BF:$BF,"Met")+COUNTIFS('Base File'!$G:$G,"Contractual SLA",'Base File'!$H:$H,"No",'Base File'!$B:$B,'Account Summary'!$C20,'Base File'!$BF:$BF,"Not Met")),"-")</f>
        <v>-</v>
      </c>
      <c r="AL20" s="100" t="s">
        <v>103</v>
      </c>
      <c r="AM20" s="100" t="str">
        <f>IFERROR(COUNTIFS('Base File'!$BF:$BF,"Met",'Base File'!$B:$B,'Account Summary'!G20)/(COUNTIFS('Base File'!$BF:$BF,"Met",'Base File'!$B:$B,'Account Summary'!G20)+COUNTIFS('Base File'!$BF:$BF,"Not Met",'Base File'!$B:$B,'Account Summary'!G20)),"NR")</f>
        <v>NR</v>
      </c>
      <c r="AN20" s="100" t="str">
        <f>IFERROR(COUNTIFS('Base File'!$BH:$BH,"Met",'Base File'!$B:$B,'Account Summary'!C20)/(COUNTIFS('Base File'!$BH:$BH,"Met",'Base File'!$B:$B,'Account Summary'!C20)+COUNTIFS('Base File'!$BH:$BH,"Not Met",'Base File'!$B:$B,'Account Summary'!C20)),"NR")</f>
        <v>NR</v>
      </c>
      <c r="AO20" s="100" t="str">
        <f>IFERROR(COUNTIFS('Base File'!$G:$G,"Contractual SLA",'Base File'!$H:$H,"No",'Base File'!$B:$B,'Account Summary'!$C20,'Base File'!$BH:$BH,"Met")/SUM(COUNTIFS('Base File'!$G:$G,"Contractual SLA",'Base File'!$H:$H,"No",'Base File'!$B:$B,'Account Summary'!$C20,'Base File'!$BH:$BH,"Met")+COUNTIFS('Base File'!$G:$G,"Contractual SLA",'Base File'!$H:$H,"No",'Base File'!$B:$B,'Account Summary'!$C20,'Base File'!$BH:$BH,"Not Met")),"-")</f>
        <v>-</v>
      </c>
      <c r="AP20" s="100" t="s">
        <v>103</v>
      </c>
      <c r="AQ20" s="100" t="s">
        <v>103</v>
      </c>
      <c r="AR20" s="100" t="str">
        <f>IFERROR(COUNTIFS('Base File'!$BH:$BH,"Met",'Base File'!$B:$B,'Account Summary'!H20)/(COUNTIFS('Base File'!$BH:$BH,"Met",'Base File'!$B:$B,'Account Summary'!H20)+COUNTIFS('Base File'!$BH:$BH,"Not Met",'Base File'!$B:$B,'Account Summary'!H20)),"NR")</f>
        <v>NR</v>
      </c>
      <c r="AS20" s="100" t="str">
        <f>IFERROR(COUNTIFS('Base File'!$G:$G,"Contractual SLA",'Base File'!$H:$H,"No",'Base File'!$B:$B,'Account Summary'!$C20,'Base File'!$BH:$BH,"Met")/SUM(COUNTIFS('Base File'!$G:$G,"Contractual SLA",'Base File'!$H:$H,"No",'Base File'!$B:$B,'Account Summary'!$C20,'Base File'!$BH:$BH,"Met")+COUNTIFS('Base File'!$G:$G,"Contractual SLA",'Base File'!$H:$H,"No",'Base File'!$B:$B,'Account Summary'!$C20,'Base File'!$BH:$BH,"Not Met")),"-")</f>
        <v>-</v>
      </c>
      <c r="AT20" s="100" t="s">
        <v>103</v>
      </c>
      <c r="AU20" s="100" t="s">
        <v>103</v>
      </c>
      <c r="AV20" s="100">
        <f>IFERROR(COUNTIFS('Base File'!$BL:$BL,"Met",'Base File'!$B:$B,'Account Summary'!C20)/(COUNTIFS('Base File'!$BL:$BL,"Met",'Base File'!$B:$B,'Account Summary'!C20)+COUNTIFS('Base File'!$BL:$BL,"Not Met",'Base File'!$B:$B,'Account Summary'!C20)),"NR")</f>
        <v>0.41666666666666669</v>
      </c>
      <c r="AW20" s="100" t="str">
        <f>IFERROR(COUNTIFS('Base File'!$G:$G,"Contractual SLA",'Base File'!$H:$H,"No",'Base File'!$B:$B,'Account Summary'!$C20,'Base File'!$BL:$BL,"Met")/SUM(COUNTIFS('Base File'!$G:$G,"Contractual SLA",'Base File'!$H:$H,"No",'Base File'!$B:$B,'Account Summary'!$C20,'Base File'!$BL:$BL,"Met")+COUNTIFS('Base File'!$G:$G,"Contractual SLA",'Base File'!$H:$H,"No",'Base File'!$B:$B,'Account Summary'!$C20,'Base File'!$BL:$BL,"Not Met")),"-")</f>
        <v>-</v>
      </c>
      <c r="AX20" s="100">
        <f>IFERROR(COUNTIFS('Base File'!$G:$G,"Contractual SLA",'Base File'!$H:$H,"Yes",'Base File'!$B:$B,'Account Summary'!$C20,'Base File'!$BL:$BL,"Met")/SUM(COUNTIFS('Base File'!$G:$G,"Contractual SLA",'Base File'!$H:$H,"yes",'Base File'!$B:$B,'Account Summary'!$C20,'Base File'!$BL:$BL,"Met")+COUNTIFS('Base File'!$G:$G,"Contractual SLA",'Base File'!$H:$H,"yes",'Base File'!$B:$B,'Account Summary'!$C20,'Base File'!$BL:$BL,"Not Met")),"-")</f>
        <v>0</v>
      </c>
      <c r="AY20" s="100">
        <f>IFERROR(COUNTIFS('Base File'!$G:$G,"Internal KPI",'Base File'!$B:$B,'Account Summary'!$C20,'Base File'!$BL:$BL,"Met")/SUM(COUNTIFS('Base File'!$G:$G,"Internal KPI",'Base File'!$B:$B,'Account Summary'!$C20,'Base File'!$BL:$BL,"Met")+COUNTIFS('Base File'!$G:$G,"Internal KPI",'Base File'!$B:$B,'Account Summary'!$C20,'Base File'!$BL:$BL,"Not Met")),"-")</f>
        <v>0.7142857142857143</v>
      </c>
      <c r="AZ20" s="106">
        <v>0.66666666666666663</v>
      </c>
      <c r="BA20" s="100" t="s">
        <v>107</v>
      </c>
      <c r="BB20" s="100">
        <v>0.4</v>
      </c>
      <c r="BC20" s="100">
        <v>1</v>
      </c>
      <c r="BD20" s="99">
        <f>IFERROR(COUNTIFS('Base File'!$BP:$BP,"Met",'Base File'!$B:$B,'Account Summary'!C20)/(COUNTIFS('Base File'!$BP:$BP,"Met",'Base File'!$B:$B,'Account Summary'!C20)+COUNTIFS('Base File'!$BP:$BP,"Not Met",'Base File'!$B:$B,'Account Summary'!C20)),"NR")</f>
        <v>0.88888888888888884</v>
      </c>
      <c r="BE20" s="100" t="str">
        <f>IFERROR(COUNTIFS('Base File'!$G:$G,"Contractual SLA",'Base File'!$H:$H,"No",'Base File'!$B:$B,'Account Summary'!$C20,'Base File'!$BP:$BP,"Met")/SUM(COUNTIFS('Base File'!$G:$G,"Contractual SLA",'Base File'!$H:$H,"No",'Base File'!$B:$B,'Account Summary'!$C20,'Base File'!$BP:$BP,"Met")+COUNTIFS('Base File'!$G:$G,"Contractual SLA",'Base File'!$H:$H,"No",'Base File'!$B:$B,'Account Summary'!$C20,'Base File'!$BP:$BP,"Not Met")),"-")</f>
        <v>-</v>
      </c>
      <c r="BF20" s="110">
        <f>IFERROR(COUNTIFS('Base File'!$G:$G,"Contractual SLA",'Base File'!$H:$H,"Yes",'Base File'!$B:$B,'Account Summary'!$C20,'Base File'!$BP:$BP,"Met")/SUM(COUNTIFS('Base File'!$G:$G,"Contractual SLA",'Base File'!$H:$H,"yes",'Base File'!$B:$B,'Account Summary'!$C20,'Base File'!$BP:$BP,"Met")+COUNTIFS('Base File'!$G:$G,"Contractual SLA",'Base File'!$H:$H,"yes",'Base File'!$B:$B,'Account Summary'!$C20,'Base File'!$BP:$BP,"Not Met")),"-")</f>
        <v>0.8</v>
      </c>
      <c r="BG20" s="99">
        <f>IFERROR(COUNTIFS('Base File'!$G:$G,"Internal KPI",'Base File'!$B:$B,'Account Summary'!$C20,'Base File'!$BP:$BP,"Met")/SUM(COUNTIFS('Base File'!$G:$G,"Internal KPI",'Base File'!$B:$B,'Account Summary'!$C20,'Base File'!$BP:$BP,"Met")+COUNTIFS('Base File'!$G:$G,"Internal KPI",'Base File'!$B:$B,'Account Summary'!$C20,'Base File'!$BP:$BP,"Not Met")),"-")</f>
        <v>1</v>
      </c>
      <c r="BH20" s="99">
        <f>IFERROR(COUNTIFS('Base File'!$BR:$BR,"Met",'Base File'!$B:$B,'Account Summary'!C20)/(COUNTIFS('Base File'!$BR:$BR,"Met",'Base File'!$B:$B,'Account Summary'!C20)+COUNTIFS('Base File'!$BR:$BR,"Not Met",'Base File'!$B:$B,'Account Summary'!C20)),"NR")</f>
        <v>0.77777777777777779</v>
      </c>
      <c r="BI20" s="101" t="str">
        <f>IFERROR(COUNTIFS('Base File'!$G:$G,"Contractual SLA",'Base File'!$H:$H,"No",'Base File'!$B:$B,'Account Summary'!$C20,'Base File'!$BR:$BR,"Met")/SUM(COUNTIFS('Base File'!$G:$G,"Contractual SLA",'Base File'!$H:$H,"No",'Base File'!$B:$B,'Account Summary'!$C20,'Base File'!$BR:$BR,"Met")+COUNTIFS('Base File'!$G:$G,"Contractual SLA",'Base File'!$H:$H,"No",'Base File'!$B:$B,'Account Summary'!$C20,'Base File'!$BR:$BR,"Not Met")),"-")</f>
        <v>-</v>
      </c>
      <c r="BJ20" s="110">
        <v>0.6</v>
      </c>
      <c r="BK20" s="99">
        <f>IFERROR(COUNTIFS('Base File'!$G:$G,"Internal KPI",'Base File'!$B:$B,'Account Summary'!$C20,'Base File'!$BR:$BR,"Met")/SUM(COUNTIFS('Base File'!$G:$G,"Internal KPI",'Base File'!$B:$B,'Account Summary'!$C20,'Base File'!$BR:$BR,"Met")+COUNTIFS('Base File'!$G:$G,"Internal KPI",'Base File'!$B:$B,'Account Summary'!$C20,'Base File'!$BR:$BR,"Not Met")),"-")</f>
        <v>1</v>
      </c>
      <c r="BL20" s="100">
        <f>IFERROR(COUNTIFS('Base File'!$BT:$BT,"Met",'Base File'!$B:$B,'Account Summary'!C20)/(COUNTIFS('Base File'!$BT:$BT,"Met",'Base File'!$B:$B,'Account Summary'!C20)+COUNTIFS('Base File'!$BT:$BT,"Not Met",'Base File'!$B:$B,'Account Summary'!C20)),"NR")</f>
        <v>0.7142857142857143</v>
      </c>
      <c r="BM20" s="100" t="str">
        <f>IFERROR(COUNTIFS('Base File'!$G:$G,"Contractual SLA",'Base File'!$H:$H,"No",'Base File'!$B:$B,'Account Summary'!$C20,'Base File'!$BT:$BT,"Met")/SUM(COUNTIFS('Base File'!$G:$G,"Contractual SLA",'Base File'!$H:$H,"No",'Base File'!$B:$B,'Account Summary'!$C20,'Base File'!$BT:$BT,"Met")+COUNTIFS('Base File'!$G:$G,"Contractual SLA",'Base File'!$H:$H,"No",'Base File'!$B:$B,'Account Summary'!$C20,'Base File'!$BT:$BT,"Not Met")),"-")</f>
        <v>-</v>
      </c>
      <c r="BN20" s="100">
        <f>IFERROR(COUNTIFS('Base File'!$G:$G,"Contractual SLA",'Base File'!$H:$H,"Yes",'Base File'!$B:$B,'Account Summary'!$C20,'Base File'!$BT:$BT,"Met")/SUM(COUNTIFS('Base File'!$G:$G,"Contractual SLA",'Base File'!$H:$H,"yes",'Base File'!$B:$B,'Account Summary'!$C20,'Base File'!$BT:$BT,"Met")+COUNTIFS('Base File'!$G:$G,"Contractual SLA",'Base File'!$H:$H,"yes",'Base File'!$B:$B,'Account Summary'!$C20,'Base File'!$BT:$BT,"Not Met")),"-")</f>
        <v>0.66666666666666663</v>
      </c>
      <c r="BO20" s="100">
        <f>IFERROR(COUNTIFS('Base File'!$G:$G,"Internal KPI",'Base File'!$B:$B,'Account Summary'!$C20,'Base File'!$BT:$BT,"Met")/SUM(COUNTIFS('Base File'!$G:$G,"Internal KPI",'Base File'!$B:$B,'Account Summary'!$C20,'Base File'!$BT:$BT,"Met")+COUNTIFS('Base File'!$G:$G,"Internal KPI",'Base File'!$B:$B,'Account Summary'!$C20,'Base File'!$BT:$BT,"Not Met")),"-")</f>
        <v>0.75</v>
      </c>
      <c r="BP20" s="100">
        <f>IFERROR(COUNTIFS('Base File'!$BV:$BV,"Met",'Base File'!$B:$B,'Account Summary'!C20)/(COUNTIFS('Base File'!$BV:$BV,"Met",'Base File'!$B:$B,'Account Summary'!C20)+COUNTIFS('Base File'!$BV:$BV,"Not Met",'Base File'!$B:$B,'Account Summary'!C20)),"NR")</f>
        <v>0.66666666666666663</v>
      </c>
      <c r="BQ20" s="102" t="s">
        <v>107</v>
      </c>
      <c r="BR20" s="100">
        <f>IFERROR(COUNTIFS('Base File'!$G:$G,"Contractual SLA",'Base File'!$H:$H,"Yes",'Base File'!$B:$B,'Account Summary'!$C20,'Base File'!$BV:$BV,"Met")/SUM(COUNTIFS('Base File'!$G:$G,"Contractual SLA",'Base File'!$H:$H,"Yes",'Base File'!$B:$B,'Account Summary'!$C20,'Base File'!$BV:$BV,"Met")+COUNTIFS('Base File'!$G:$G,"Contractual SLA",'Base File'!$H:$H,"Yes",'Base File'!$B:$B,'Account Summary'!$C20,'Base File'!$BV:$BV,"Not Met")),"-")</f>
        <v>0.6</v>
      </c>
      <c r="BS20" s="100">
        <f>IFERROR(COUNTIFS('Base File'!$G:$G,"Internal KPI",'Base File'!$B:$B,'Account Summary'!$C22,'Base File'!$BV:$BV,"Met")/SUM(COUNTIFS('Base File'!$G:$G,"Internal KPI",'Base File'!$B:$B,'Account Summary'!$C22,'Base File'!$BV:$BV,"Met")+COUNTIFS('Base File'!$G:$G,"Internal KPI",'Base File'!$B:$B,'Account Summary'!$C22,'Base File'!$BV:$BV,"Not Met")),"-")</f>
        <v>0.75</v>
      </c>
    </row>
    <row r="21" spans="1:71" s="12" customFormat="1" x14ac:dyDescent="0.25">
      <c r="A21" s="389"/>
      <c r="B21" s="94">
        <v>18</v>
      </c>
      <c r="C21" s="94" t="s">
        <v>918</v>
      </c>
      <c r="D21" s="95" t="s">
        <v>106</v>
      </c>
      <c r="E21" s="95" t="s">
        <v>106</v>
      </c>
      <c r="F21" s="94" t="s">
        <v>894</v>
      </c>
      <c r="G21" s="96"/>
      <c r="H21" s="94"/>
      <c r="I21" s="94" t="s">
        <v>920</v>
      </c>
      <c r="J21" s="89" t="s">
        <v>67</v>
      </c>
      <c r="K21" s="89" t="s">
        <v>68</v>
      </c>
      <c r="L21" s="97" t="str">
        <f>IFERROR(COUNTIFS('Base File'!$AR:$AR,"Met",'Base File'!$B:$B,'Account Summary'!C21)/(COUNTIFS('Base File'!$AR:$AR,"Met",'Base File'!$B:$B,'Account Summary'!C21)+COUNTIFS('Base File'!$AR:$AR,"Not Met",'Base File'!$B:$B,'Account Summary'!C21)),"NR")</f>
        <v>NR</v>
      </c>
      <c r="M21" s="98" t="str">
        <f>IFERROR(COUNTIFS('Base File'!$G:$G,"Contractual SLA",'Base File'!$H:$H,"No",'Base File'!$B:$B,'Account Summary'!$C21,'Base File'!$AR:$AR,"Met")/SUM(COUNTIFS('Base File'!$G:$G,"Contractual SLA",'Base File'!$H:$H,"No",'Base File'!$B:$B,'Account Summary'!$C21,'Base File'!$AR:$AR,"Met")+COUNTIFS('Base File'!$G:$G,"Contractual SLA",'Base File'!$H:$H,"No",'Base File'!$B:$B,'Account Summary'!$C21,'Base File'!$AR:$AR,"Not Met")),"-")</f>
        <v>-</v>
      </c>
      <c r="N21" s="108" t="str">
        <f>IFERROR(COUNTIFS('Base File'!$G:$G,"Contractual SLA",'Base File'!$H:$H,"Yes",'Base File'!$B:$B,'Account Summary'!$C21,'Base File'!$AR:$AR,"Met")/SUM(COUNTIFS('Base File'!$G:$G,"Contractual SLA",'Base File'!$H:$H,"yes",'Base File'!$B:$B,'Account Summary'!$C21,'Base File'!$AR:$AR,"Met")+COUNTIFS('Base File'!$G:$G,"Contractual SLA",'Base File'!$H:$H,"yes",'Base File'!$B:$B,'Account Summary'!$C21,'Base File'!$AR:$AR,"Not Met")),"-")</f>
        <v>-</v>
      </c>
      <c r="O21" s="97" t="str">
        <f>IFERROR(COUNTIFS('Base File'!$G:$G,"Internal KPI",'Base File'!$B:$B,'Account Summary'!$C21,'Base File'!$AR:$AR,"Met")/SUM(COUNTIFS('Base File'!$G:$G,"Internal KPI",'Base File'!$B:$B,'Account Summary'!$C21,'Base File'!$AR:$AR,"Met")+COUNTIFS('Base File'!$G:$G,"Internal KPI",'Base File'!$B:$B,'Account Summary'!$C21,'Base File'!$AR:$AR,"Not Met")),"-")</f>
        <v>-</v>
      </c>
      <c r="P21" s="99" t="str">
        <f>IFERROR(COUNTIFS('Base File'!$AV:$AV,"Met",'Base File'!$B:$B,'Account Summary'!C21)/(COUNTIFS('Base File'!$AV:$AV,"Met",'Base File'!$B:$B,'Account Summary'!C21)+COUNTIFS('Base File'!$AV:$AV,"Not Met",'Base File'!$B:$B,'Account Summary'!C21)),"NR")</f>
        <v>NR</v>
      </c>
      <c r="Q21" s="98" t="str">
        <f>IFERROR(COUNTIFS('Base File'!$G:$G,"Contractual SLA",'Base File'!$H:$H,"No",'Base File'!$B:$B,'Account Summary'!$C21,'Base File'!$AV:$AV,"Met")/SUM(COUNTIFS('Base File'!$G:$G,"Contractual SLA",'Base File'!$H:$H,"No",'Base File'!$B:$B,'Account Summary'!$C21,'Base File'!$AV:$AV,"Met")+COUNTIFS('Base File'!$G:$G,"Contractual SLA",'Base File'!$H:$H,"No",'Base File'!$B:$B,'Account Summary'!$C21,'Base File'!$AV:$AV,"Not Met")),"-")</f>
        <v>-</v>
      </c>
      <c r="R21" s="110" t="str">
        <f>IFERROR(COUNTIFS('Base File'!$G:$G,"Contractual SLA",'Base File'!$H:$H,"Yes",'Base File'!$B:$B,'Account Summary'!$C21,'Base File'!$AV:$AV,"Met")/SUM(COUNTIFS('Base File'!$G:$G,"Contractual SLA",'Base File'!$H:$H,"yes",'Base File'!$B:$B,'Account Summary'!$C21,'Base File'!$AV:$AV,"Met")+COUNTIFS('Base File'!$G:$G,"Contractual SLA",'Base File'!$H:$H,"yes",'Base File'!$B:$B,'Account Summary'!$C21,'Base File'!$AV:$AV,"Not Met")),"-")</f>
        <v>-</v>
      </c>
      <c r="S21" s="99" t="str">
        <f>IFERROR(COUNTIFS('Base File'!$G:$G,"Internal KPI",'Base File'!$B:$B,'Account Summary'!$C21,'Base File'!$AV:$AV,"Met")/SUM(COUNTIFS('Base File'!$G:$G,"Internal KPI",'Base File'!$B:$B,'Account Summary'!$C21,'Base File'!$AV:$AV,"Met")+COUNTIFS('Base File'!$G:$G,"Internal KPI",'Base File'!$B:$B,'Account Summary'!$C21,'Base File'!$AV:$AV,"Not Met")),"-")</f>
        <v>-</v>
      </c>
      <c r="T21" s="106" t="str">
        <f>IFERROR(COUNTIFS('Base File'!$AX:$AX,"Met",'Base File'!$B:$B,'Account Summary'!C21)/(COUNTIFS('Base File'!$AX:$AX,"Met",'Base File'!$B:$B,'Account Summary'!C21)+COUNTIFS('Base File'!$AX:$AX,"Not Met",'Base File'!$B:$B,'Account Summary'!C21)),"NR")</f>
        <v>NR</v>
      </c>
      <c r="U21" s="101" t="s">
        <v>11</v>
      </c>
      <c r="V21" s="110" t="str">
        <f>IFERROR(COUNTIFS('Base File'!$G:$G,"Contractual SLA",'Base File'!$H:$H,"Yes",'Base File'!$B:$B,'Account Summary'!$C21,'Base File'!$AX:$AX,"Met")/SUM(COUNTIFS('Base File'!$G:$G,"Contractual SLA",'Base File'!$H:$H,"yes",'Base File'!$B:$B,'Account Summary'!$C21,'Base File'!$AX:$AX,"Met")+COUNTIFS('Base File'!$G:$G,"Contractual SLA",'Base File'!$H:$H,"yes",'Base File'!$B:$B,'Account Summary'!$C21,'Base File'!$AX:$AX,"Not Met")),"-")</f>
        <v>-</v>
      </c>
      <c r="W21" s="99" t="str">
        <f>IFERROR(COUNTIFS('Base File'!$G:$G,"Internal KPI",'Base File'!$B:$B,'Account Summary'!$C21,'Base File'!$AX:$AX,"Met")/SUM(COUNTIFS('Base File'!$G:$G,"Internal KPI",'Base File'!$B:$B,'Account Summary'!$C21,'Base File'!$AX:$AX,"Met")+COUNTIFS('Base File'!$G:$G,"Internal KPI",'Base File'!$B:$B,'Account Summary'!$C21,'Base File'!$AX:$AX,"Not Met")),"-")</f>
        <v>-</v>
      </c>
      <c r="X21" s="99" t="str">
        <f>IFERROR(COUNTIFS('Base File'!$AZ:$AZ,"Met",'Base File'!$B:$B,'Account Summary'!C21)/(COUNTIFS('Base File'!$AZ:$AZ,"Met",'Base File'!$B:$B,'Account Summary'!C21)+COUNTIFS('Base File'!$AZ:$AZ,"Not Met",'Base File'!$B:$B,'Account Summary'!C21)),"NR")</f>
        <v>NR</v>
      </c>
      <c r="Y21" s="101" t="str">
        <f>IFERROR(COUNTIFS('Base File'!$G:$G,"Contractual SLA",'Base File'!$H:$H,"No",'Base File'!$B:$B,'Account Summary'!$C21,'Base File'!$AZ:$AZ,"Met")/SUM(COUNTIFS('Base File'!$G:$G,"Contractual SLA",'Base File'!$H:$H,"No",'Base File'!$B:$B,'Account Summary'!$C21,'Base File'!$AZ:$AZ,"Met")+COUNTIFS('Base File'!$G:$G,"Contractual SLA",'Base File'!$H:$H,"No",'Base File'!$B:$B,'Account Summary'!$C21,'Base File'!$AZ:$AZ,"Not Met")),"-")</f>
        <v>-</v>
      </c>
      <c r="Z21" s="99" t="str">
        <f>IFERROR(COUNTIFS('Base File'!$G:$G,"Contractual SLA",'Base File'!$H:$H,"Yes",'Base File'!$B:$B,'Account Summary'!$C21,'Base File'!$AZ:$AZ,"Met")/SUM(COUNTIFS('Base File'!$G:$G,"Contractual SLA",'Base File'!$H:$H,"yes",'Base File'!$B:$B,'Account Summary'!$C21,'Base File'!$AZ:$AZ,"Met")+COUNTIFS('Base File'!$G:$G,"Contractual SLA",'Base File'!$H:$H,"yes",'Base File'!$B:$B,'Account Summary'!$C21,'Base File'!$AZ:$AZ,"Not Met")),"-")</f>
        <v>-</v>
      </c>
      <c r="AA21" s="99" t="str">
        <f>IFERROR(COUNTIFS('Base File'!$G:$G,"Internal KPI",'Base File'!$B:$B,'Account Summary'!$C21,'Base File'!$AZ:$AZ,"Met")/SUM(COUNTIFS('Base File'!$G:$G,"Internal KPI",'Base File'!$B:$B,'Account Summary'!$C21,'Base File'!$AZ:$AZ,"Met")+COUNTIFS('Base File'!$G:$G,"Internal KPI",'Base File'!$B:$B,'Account Summary'!$C21,'Base File'!$AZ:$AZ,"Not Met")),"-")</f>
        <v>-</v>
      </c>
      <c r="AB21" s="99" t="str">
        <f>IFERROR(COUNTIFS('Base File'!$BB:$BB,"Met",'Base File'!$B:$B,'Account Summary'!C21)/(COUNTIFS('Base File'!$BB:$BB,"Met",'Base File'!$B:$B,'Account Summary'!C21)+COUNTIFS('Base File'!$BB:$BB,"Not Met",'Base File'!$B:$B,'Account Summary'!C21)),"NR")</f>
        <v>NR</v>
      </c>
      <c r="AC21" s="101" t="str">
        <f>IFERROR(COUNTIFS('Base File'!$G:$G,"Contractual SLA",'Base File'!$H:$H,"No",'Base File'!$B:$B,'Account Summary'!$C21,'Base File'!$BB:$BB,"Met")/SUM(COUNTIFS('Base File'!$G:$G,"Contractual SLA",'Base File'!$H:$H,"No",'Base File'!$B:$B,'Account Summary'!$C21,'Base File'!$BB:$BB,"Met")+COUNTIFS('Base File'!$G:$G,"Contractual SLA",'Base File'!$H:$H,"No",'Base File'!$B:$B,'Account Summary'!$C21,'Base File'!$BB:$BB,"Not Met")),"-")</f>
        <v>-</v>
      </c>
      <c r="AD21" s="110" t="str">
        <f>IFERROR(COUNTIFS('Base File'!$G:$G,"Contractual SLA",'Base File'!$H:$H,"Yes",'Base File'!$B:$B,'Account Summary'!$C21,'Base File'!$BB:$BB,"Met")/SUM(COUNTIFS('Base File'!$G:$G,"Contractual SLA",'Base File'!$H:$H,"yes",'Base File'!$B:$B,'Account Summary'!$C21,'Base File'!$BB:$BB,"Met")+COUNTIFS('Base File'!$G:$G,"Contractual SLA",'Base File'!$H:$H,"yes",'Base File'!$B:$B,'Account Summary'!$C21,'Base File'!$BB:$BB,"Not Met")),"-")</f>
        <v>-</v>
      </c>
      <c r="AE21" s="99" t="str">
        <f>IFERROR(COUNTIFS('Base File'!$G:$G,"Internal KPI",'Base File'!$B:$B,'Account Summary'!$C21,'Base File'!$BB:$BB,"Met")/SUM(COUNTIFS('Base File'!$G:$G,"Internal KPI",'Base File'!$B:$B,'Account Summary'!$C21,'Base File'!$BB:$BB,"Met")+COUNTIFS('Base File'!$G:$G,"Internal KPI",'Base File'!$B:$B,'Account Summary'!$C21,'Base File'!$BB:$BB,"Not Met")),"-")</f>
        <v>-</v>
      </c>
      <c r="AF21" s="99" t="str">
        <f>IFERROR(COUNTIFS('Base File'!$BD:$BD,"Met",'Base File'!$B:$B,'Account Summary'!C21)/(COUNTIFS('Base File'!$BD:$BD,"Met",'Base File'!$B:$B,'Account Summary'!C21)+COUNTIFS('Base File'!$BD:$BD,"Not Met",'Base File'!$B:$B,'Account Summary'!C21)),"NR")</f>
        <v>NR</v>
      </c>
      <c r="AG21" s="100" t="str">
        <f>IFERROR(COUNTIFS('Base File'!$G:$G,"Contractual SLA",'Base File'!$H:$H,"No",'Base File'!$B:$B,'Account Summary'!$C21,'Base File'!$BD:$BD,"Met")/SUM(COUNTIFS('Base File'!$G:$G,"Contractual SLA",'Base File'!$H:$H,"No",'Base File'!$B:$B,'Account Summary'!$C21,'Base File'!$BD:$BD,"Met")+COUNTIFS('Base File'!$G:$G,"Contractual SLA",'Base File'!$H:$H,"No",'Base File'!$B:$B,'Account Summary'!$C21,'Base File'!$BD:$BD,"Not Met")),"-")</f>
        <v>-</v>
      </c>
      <c r="AH21" s="110" t="str">
        <f>IFERROR(COUNTIFS('Base File'!$G:$G,"Contractual SLA",'Base File'!$H:$H,"Yes",'Base File'!$B:$B,'Account Summary'!$C21,'Base File'!$BD:$BD,"Met")/SUM(COUNTIFS('Base File'!$G:$G,"Contractual SLA",'Base File'!$H:$H,"yes",'Base File'!$B:$B,'Account Summary'!$C21,'Base File'!$BD:$BD,"Met")+COUNTIFS('Base File'!$G:$G,"Contractual SLA",'Base File'!$H:$H,"yes",'Base File'!$B:$B,'Account Summary'!$C21,'Base File'!$BD:$BD,"Not Met")),"-")</f>
        <v>-</v>
      </c>
      <c r="AI21" s="99" t="str">
        <f>IFERROR(COUNTIFS('Base File'!$G:$G,"Internal KPI",'Base File'!$B:$B,'Account Summary'!$C21,'Base File'!$BD:$BD,"Met")/SUM(COUNTIFS('Base File'!$G:$G,"Internal KPI",'Base File'!$B:$B,'Account Summary'!$C21,'Base File'!$BD:$BD,"Met")+COUNTIFS('Base File'!$G:$G,"Internal KPI",'Base File'!$B:$B,'Account Summary'!$C21,'Base File'!$BD:$BD,"Not Met")),"-")</f>
        <v>-</v>
      </c>
      <c r="AJ21" s="106" t="str">
        <f>IFERROR(COUNTIFS('Base File'!$BF:$BF,"Met",'Base File'!$B:$B,'Account Summary'!C21)/(COUNTIFS('Base File'!$BF:$BF,"Met",'Base File'!$B:$B,'Account Summary'!C21)+COUNTIFS('Base File'!$BF:$BF,"Not Met",'Base File'!$B:$B,'Account Summary'!C21)),"NR")</f>
        <v>NR</v>
      </c>
      <c r="AK21" s="100" t="str">
        <f>IFERROR(COUNTIFS('Base File'!$G:$G,"Contractual SLA",'Base File'!$H:$H,"No",'Base File'!$B:$B,'Account Summary'!$C21,'Base File'!$BF:$BF,"Met")/SUM(COUNTIFS('Base File'!$G:$G,"Contractual SLA",'Base File'!$H:$H,"No",'Base File'!$B:$B,'Account Summary'!$C21,'Base File'!$BF:$BF,"Met")+COUNTIFS('Base File'!$G:$G,"Contractual SLA",'Base File'!$H:$H,"No",'Base File'!$B:$B,'Account Summary'!$C21,'Base File'!$BF:$BF,"Not Met")),"-")</f>
        <v>-</v>
      </c>
      <c r="AL21" s="110" t="str">
        <f>IFERROR(COUNTIFS('Base File'!$G:$G,"Contractual SLA",'Base File'!$H:$H,"Yes",'Base File'!$B:$B,'Account Summary'!$C21,'Base File'!$BF:$BF,"Met")/SUM(COUNTIFS('Base File'!$G:$G,"Contractual SLA",'Base File'!$H:$H,"yes",'Base File'!$B:$B,'Account Summary'!$C21,'Base File'!$BF:$BF,"Met")+COUNTIFS('Base File'!$G:$G,"Contractual SLA",'Base File'!$H:$H,"yes",'Base File'!$B:$B,'Account Summary'!$C21,'Base File'!$BF:$BF,"Not Met")),"-")</f>
        <v>-</v>
      </c>
      <c r="AM21" s="99" t="str">
        <f>IFERROR(COUNTIFS('Base File'!$G:$G,"Internal KPI",'Base File'!$B:$B,'Account Summary'!$C21,'Base File'!$BF:$BF,"Met")/SUM(COUNTIFS('Base File'!$G:$G,"Internal KPI",'Base File'!$B:$B,'Account Summary'!$C21,'Base File'!$BF:$BF,"Met")+COUNTIFS('Base File'!$G:$G,"Internal KPI",'Base File'!$B:$B,'Account Summary'!$C21,'Base File'!$BF:$BF,"Not Met")),"-")</f>
        <v>-</v>
      </c>
      <c r="AN21" s="106" t="str">
        <f>IFERROR(COUNTIFS('Base File'!$BH:$BH,"Met",'Base File'!$B:$B,'Account Summary'!C21)/(COUNTIFS('Base File'!$BH:$BH,"Met",'Base File'!$B:$B,'Account Summary'!C21)+COUNTIFS('Base File'!$BH:$BH,"Not Met",'Base File'!$B:$B,'Account Summary'!C21)),"NR")</f>
        <v>NR</v>
      </c>
      <c r="AO21" s="100" t="str">
        <f>IFERROR(COUNTIFS('Base File'!$G:$G,"Contractual SLA",'Base File'!$H:$H,"No",'Base File'!$B:$B,'Account Summary'!$C21,'Base File'!$BH:$BH,"Met")/SUM(COUNTIFS('Base File'!$G:$G,"Contractual SLA",'Base File'!$H:$H,"No",'Base File'!$B:$B,'Account Summary'!$C21,'Base File'!$BH:$BH,"Met")+COUNTIFS('Base File'!$G:$G,"Contractual SLA",'Base File'!$H:$H,"No",'Base File'!$B:$B,'Account Summary'!$C21,'Base File'!$BH:$BH,"Not Met")),"-")</f>
        <v>-</v>
      </c>
      <c r="AP21" s="110" t="str">
        <f>IFERROR(COUNTIFS('Base File'!$G:$G,"Contractual SLA",'Base File'!$H:$H,"Yes",'Base File'!$B:$B,'Account Summary'!$C21,'Base File'!$BH:$BH,"Met")/SUM(COUNTIFS('Base File'!$G:$G,"Contractual SLA",'Base File'!$H:$H,"yes",'Base File'!$B:$B,'Account Summary'!$C21,'Base File'!$BH:$BH,"Met")+COUNTIFS('Base File'!$G:$G,"Contractual SLA",'Base File'!$H:$H,"yes",'Base File'!$B:$B,'Account Summary'!$C21,'Base File'!$BH:$BH,"Not Met")),"-")</f>
        <v>-</v>
      </c>
      <c r="AQ21" s="99" t="str">
        <f>IFERROR(COUNTIFS('Base File'!$G:$G,"Internal KPI",'Base File'!$B:$B,'Account Summary'!$C21,'Base File'!$BH:$BH,"Met")/SUM(COUNTIFS('Base File'!$G:$G,"Internal KPI",'Base File'!$B:$B,'Account Summary'!$C21,'Base File'!$BH:$BH,"Met")+COUNTIFS('Base File'!$G:$G,"Internal KPI",'Base File'!$B:$B,'Account Summary'!$C21,'Base File'!$BH:$BH,"Not Met")),"-")</f>
        <v>-</v>
      </c>
      <c r="AR21" s="106" t="str">
        <f>IFERROR(COUNTIFS('Base File'!$BJ:$BJ,"Met",'Base File'!$B:$B,'Account Summary'!C21)/(COUNTIFS('Base File'!$BJ:$BJ,"Met",'Base File'!$B:$B,'Account Summary'!C21)+COUNTIFS('Base File'!$BJ:$BJ,"Not Met",'Base File'!$B:$B,'Account Summary'!C21)),"NR")</f>
        <v>NR</v>
      </c>
      <c r="AS21" s="101" t="str">
        <f>IFERROR(COUNTIFS('Base File'!$G:$G,"Contractual SLA",'Base File'!$H:$H,"No",'Base File'!$B:$B,'Account Summary'!$C21,'Base File'!$BJ:$BJ,"Met")/SUM(COUNTIFS('Base File'!$G:$G,"Contractual SLA",'Base File'!$H:$H,"No",'Base File'!$B:$B,'Account Summary'!$C21,'Base File'!$BJ:$BJ,"Met")+COUNTIFS('Base File'!$G:$G,"Contractual SLA",'Base File'!$H:$H,"No",'Base File'!$B:$B,'Account Summary'!$C21,'Base File'!$BJ:$BJ,"Not Met")),"-")</f>
        <v>-</v>
      </c>
      <c r="AT21" s="110" t="str">
        <f>IFERROR(COUNTIFS('Base File'!$G:$G,"Contractual SLA",'Base File'!$H:$H,"Yes",'Base File'!$B:$B,'Account Summary'!$C21,'Base File'!$BJ:$BJ,"Met")/SUM(COUNTIFS('Base File'!$G:$G,"Contractual SLA",'Base File'!$H:$H,"yes",'Base File'!$B:$B,'Account Summary'!$C21,'Base File'!$BJ:$BJ,"Met")+COUNTIFS('Base File'!$G:$G,"Contractual SLA",'Base File'!$H:$H,"yes",'Base File'!$B:$B,'Account Summary'!$C21,'Base File'!$BJ:$BJ,"Not Met")),"-")</f>
        <v>-</v>
      </c>
      <c r="AU21" s="99" t="str">
        <f>IFERROR(COUNTIFS('Base File'!$G:$G,"Internal KPI",'Base File'!$B:$B,'Account Summary'!$C21,'Base File'!$BJ:$BJ,"Met")/SUM(COUNTIFS('Base File'!$G:$G,"Internal KPI",'Base File'!$B:$B,'Account Summary'!$C21,'Base File'!$BJ:$BJ,"Met")+COUNTIFS('Base File'!$G:$G,"Internal KPI",'Base File'!$B:$B,'Account Summary'!$C21,'Base File'!$BJ:$BJ,"Not Met")),"-")</f>
        <v>-</v>
      </c>
      <c r="AV21" s="100">
        <f>21/28</f>
        <v>0.75</v>
      </c>
      <c r="AW21" s="100" t="str">
        <f>IFERROR(COUNTIFS('Base File'!$G:$G,"Contractual SLA",'Base File'!$H:$H,"No",'Base File'!$B:$B,'Account Summary'!$C21,'Base File'!$BL:$BL,"Met")/SUM(COUNTIFS('Base File'!$G:$G,"Contractual SLA",'Base File'!$H:$H,"No",'Base File'!$B:$B,'Account Summary'!$C21,'Base File'!$BL:$BL,"Met")+COUNTIFS('Base File'!$G:$G,"Contractual SLA",'Base File'!$H:$H,"No",'Base File'!$B:$B,'Account Summary'!$C21,'Base File'!$BL:$BL,"Not Met")),"-")</f>
        <v>-</v>
      </c>
      <c r="AX21" s="100">
        <f>15/20</f>
        <v>0.75</v>
      </c>
      <c r="AY21" s="100">
        <f>6/8</f>
        <v>0.75</v>
      </c>
      <c r="AZ21" s="100">
        <f>IFERROR(COUNTIFS('Base File'!$BN:$BN,"Met",'Base File'!$B:$B,'Account Summary'!C21)/(COUNTIFS('Base File'!$BN:$BN,"Met",'Base File'!$B:$B,'Account Summary'!C21)+COUNTIFS('Base File'!$BN:$BN,"Not Met",'Base File'!$B:$B,'Account Summary'!C21)),"NR")</f>
        <v>0.7857142857142857</v>
      </c>
      <c r="BA21" s="100" t="str">
        <f>IFERROR(COUNTIFS('Base File'!$G:$G,"Contractual SLA",'Base File'!$H:$H,"No",'Base File'!$B:$B,'Account Summary'!$C21,'Base File'!$BN:$BN,"Met")/SUM(COUNTIFS('Base File'!$G:$G,"Contractual SLA",'Base File'!$H:$H,"No",'Base File'!$B:$B,'Account Summary'!$C21,'Base File'!$BN:$BN,"Met")+COUNTIFS('Base File'!$G:$G,"Contractual SLA",'Base File'!$H:$H,"No",'Base File'!$B:$B,'Account Summary'!$C21,'Base File'!$BN:$BN,"Not Met")),"-")</f>
        <v>-</v>
      </c>
      <c r="BB21" s="100">
        <f>IFERROR(COUNTIFS('Base File'!$G:$G,"Contractual SLA",'Base File'!$H:$H,"Yes",'Base File'!$B:$B,'Account Summary'!$C21,'Base File'!$BN:$BN,"Met")/SUM(COUNTIFS('Base File'!$G:$G,"Contractual SLA",'Base File'!$H:$H,"yes",'Base File'!$B:$B,'Account Summary'!$C21,'Base File'!$BN:$BN,"Met")+COUNTIFS('Base File'!$G:$G,"Contractual SLA",'Base File'!$H:$H,"yes",'Base File'!$B:$B,'Account Summary'!$C21,'Base File'!$BN:$BN,"Not Met")),"-")</f>
        <v>0.8</v>
      </c>
      <c r="BC21" s="100">
        <f>IFERROR(COUNTIFS('Base File'!$G:$G,"Internal KPI",'Base File'!$B:$B,'Account Summary'!$C21,'Base File'!$BN:$BN,"Met")/SUM(COUNTIFS('Base File'!$G:$G,"Internal KPI",'Base File'!$B:$B,'Account Summary'!$C21,'Base File'!$BN:$BN,"Met")+COUNTIFS('Base File'!$G:$G,"Internal KPI",'Base File'!$B:$B,'Account Summary'!$C21,'Base File'!$BN:$BN,"Not Met")),"-")</f>
        <v>0.75</v>
      </c>
      <c r="BD21" s="106">
        <f>IFERROR(COUNTIFS('Base File'!$BP:$BP,"Met",'Base File'!$B:$B,'Account Summary'!C21)/(COUNTIFS('Base File'!$BP:$BP,"Met",'Base File'!$B:$B,'Account Summary'!C21)+COUNTIFS('Base File'!$BP:$BP,"Not Met",'Base File'!$B:$B,'Account Summary'!C21)),"NR")</f>
        <v>0.7142857142857143</v>
      </c>
      <c r="BE21" s="100" t="str">
        <f>IFERROR(COUNTIFS('Base File'!$G:$G,"Contractual SLA",'Base File'!$H:$H,"No",'Base File'!$B:$B,'Account Summary'!$C21,'Base File'!$BP:$BP,"Met")/SUM(COUNTIFS('Base File'!$G:$G,"Contractual SLA",'Base File'!$H:$H,"No",'Base File'!$B:$B,'Account Summary'!$C21,'Base File'!$BP:$BP,"Met")+COUNTIFS('Base File'!$G:$G,"Contractual SLA",'Base File'!$H:$H,"No",'Base File'!$B:$B,'Account Summary'!$C21,'Base File'!$BP:$BP,"Not Met")),"-")</f>
        <v>-</v>
      </c>
      <c r="BF21" s="110">
        <f>IFERROR(COUNTIFS('Base File'!$G:$G,"Contractual SLA",'Base File'!$H:$H,"Yes",'Base File'!$B:$B,'Account Summary'!$C21,'Base File'!$BP:$BP,"Met")/SUM(COUNTIFS('Base File'!$G:$G,"Contractual SLA",'Base File'!$H:$H,"yes",'Base File'!$B:$B,'Account Summary'!$C21,'Base File'!$BP:$BP,"Met")+COUNTIFS('Base File'!$G:$G,"Contractual SLA",'Base File'!$H:$H,"yes",'Base File'!$B:$B,'Account Summary'!$C21,'Base File'!$BP:$BP,"Not Met")),"-")</f>
        <v>0.7</v>
      </c>
      <c r="BG21" s="99">
        <f>IFERROR(COUNTIFS('Base File'!$G:$G,"Internal KPI",'Base File'!$B:$B,'Account Summary'!$C21,'Base File'!$BP:$BP,"Met")/SUM(COUNTIFS('Base File'!$G:$G,"Internal KPI",'Base File'!$B:$B,'Account Summary'!$C21,'Base File'!$BP:$BP,"Met")+COUNTIFS('Base File'!$G:$G,"Internal KPI",'Base File'!$B:$B,'Account Summary'!$C21,'Base File'!$BP:$BP,"Not Met")),"-")</f>
        <v>0.75</v>
      </c>
      <c r="BH21" s="99">
        <f>IFERROR(COUNTIFS('Base File'!$BR:$BR,"Met",'Base File'!$B:$B,'Account Summary'!C21)/(COUNTIFS('Base File'!$BR:$BR,"Met",'Base File'!$B:$B,'Account Summary'!C21)+COUNTIFS('Base File'!$BR:$BR,"Not Met",'Base File'!$B:$B,'Account Summary'!C21)),"NR")</f>
        <v>0.8571428571428571</v>
      </c>
      <c r="BI21" s="101" t="str">
        <f>IFERROR(COUNTIFS('Base File'!$G:$G,"Contractual SLA",'Base File'!$H:$H,"No",'Base File'!$B:$B,'Account Summary'!$C21,'Base File'!$BR:$BR,"Met")/SUM(COUNTIFS('Base File'!$G:$G,"Contractual SLA",'Base File'!$H:$H,"No",'Base File'!$B:$B,'Account Summary'!$C21,'Base File'!$BR:$BR,"Met")+COUNTIFS('Base File'!$G:$G,"Contractual SLA",'Base File'!$H:$H,"No",'Base File'!$B:$B,'Account Summary'!$C21,'Base File'!$BR:$BR,"Not Met")),"-")</f>
        <v>-</v>
      </c>
      <c r="BJ21" s="110">
        <v>0.9</v>
      </c>
      <c r="BK21" s="99">
        <f>IFERROR(COUNTIFS('Base File'!$G:$G,"Internal KPI",'Base File'!$B:$B,'Account Summary'!$C21,'Base File'!$BR:$BR,"Met")/SUM(COUNTIFS('Base File'!$G:$G,"Internal KPI",'Base File'!$B:$B,'Account Summary'!$C21,'Base File'!$BR:$BR,"Met")+COUNTIFS('Base File'!$G:$G,"Internal KPI",'Base File'!$B:$B,'Account Summary'!$C21,'Base File'!$BR:$BR,"Not Met")),"-")</f>
        <v>0.75</v>
      </c>
      <c r="BL21" s="100">
        <f>IFERROR(COUNTIFS('Base File'!$BT:$BT,"Met",'Base File'!$B:$B,'Account Summary'!C21)/(COUNTIFS('Base File'!$BT:$BT,"Met",'Base File'!$B:$B,'Account Summary'!C21)+COUNTIFS('Base File'!$BT:$BT,"Not Met",'Base File'!$B:$B,'Account Summary'!C21)),"NR")</f>
        <v>0.7857142857142857</v>
      </c>
      <c r="BM21" s="100" t="str">
        <f>IFERROR(COUNTIFS('Base File'!$G:$G,"Contractual SLA",'Base File'!$H:$H,"No",'Base File'!$B:$B,'Account Summary'!$C21,'Base File'!$BT:$BT,"Met")/SUM(COUNTIFS('Base File'!$G:$G,"Contractual SLA",'Base File'!$H:$H,"No",'Base File'!$B:$B,'Account Summary'!$C21,'Base File'!$BT:$BT,"Met")+COUNTIFS('Base File'!$G:$G,"Contractual SLA",'Base File'!$H:$H,"No",'Base File'!$B:$B,'Account Summary'!$C21,'Base File'!$BT:$BT,"Not Met")),"-")</f>
        <v>-</v>
      </c>
      <c r="BN21" s="100">
        <f>IFERROR(COUNTIFS('Base File'!$G:$G,"Contractual SLA",'Base File'!$H:$H,"Yes",'Base File'!$B:$B,'Account Summary'!$C21,'Base File'!$BT:$BT,"Met")/SUM(COUNTIFS('Base File'!$G:$G,"Contractual SLA",'Base File'!$H:$H,"yes",'Base File'!$B:$B,'Account Summary'!$C21,'Base File'!$BT:$BT,"Met")+COUNTIFS('Base File'!$G:$G,"Contractual SLA",'Base File'!$H:$H,"yes",'Base File'!$B:$B,'Account Summary'!$C21,'Base File'!$BT:$BT,"Not Met")),"-")</f>
        <v>0.8</v>
      </c>
      <c r="BO21" s="100">
        <f>IFERROR(COUNTIFS('Base File'!$G:$G,"Internal KPI",'Base File'!$B:$B,'Account Summary'!$C21,'Base File'!$BT:$BT,"Met")/SUM(COUNTIFS('Base File'!$G:$G,"Internal KPI",'Base File'!$B:$B,'Account Summary'!$C21,'Base File'!$BT:$BT,"Met")+COUNTIFS('Base File'!$G:$G,"Internal KPI",'Base File'!$B:$B,'Account Summary'!$C21,'Base File'!$BT:$BT,"Not Met")),"-")</f>
        <v>0.75</v>
      </c>
      <c r="BP21" s="100">
        <f>IFERROR(COUNTIFS('Base File'!$BV:$BV,"Met",'Base File'!$B:$B,'Account Summary'!C21)/(COUNTIFS('Base File'!$BV:$BV,"Met",'Base File'!$B:$B,'Account Summary'!C21)+COUNTIFS('Base File'!$BV:$BV,"Not Met",'Base File'!$B:$B,'Account Summary'!C21)),"NR")</f>
        <v>0.8571428571428571</v>
      </c>
      <c r="BQ21" s="102" t="s">
        <v>107</v>
      </c>
      <c r="BR21" s="100">
        <f>IFERROR(COUNTIFS('Base File'!$G:$G,"Contractual SLA",'Base File'!$H:$H,"Yes",'Base File'!$B:$B,'Account Summary'!$C21,'Base File'!$BV:$BV,"Met")/SUM(COUNTIFS('Base File'!$G:$G,"Contractual SLA",'Base File'!$H:$H,"Yes",'Base File'!$B:$B,'Account Summary'!$C21,'Base File'!$BV:$BV,"Met")+COUNTIFS('Base File'!$G:$G,"Contractual SLA",'Base File'!$H:$H,"Yes",'Base File'!$B:$B,'Account Summary'!$C21,'Base File'!$BV:$BV,"Not Met")),"-")</f>
        <v>0.9</v>
      </c>
      <c r="BS21" s="100">
        <f>IFERROR(COUNTIFS('Base File'!$G:$G,"Internal KPI",'Base File'!$B:$B,'Account Summary'!$C23,'Base File'!$BV:$BV,"Met")/SUM(COUNTIFS('Base File'!$G:$G,"Internal KPI",'Base File'!$B:$B,'Account Summary'!$C23,'Base File'!$BV:$BV,"Met")+COUNTIFS('Base File'!$G:$G,"Internal KPI",'Base File'!$B:$B,'Account Summary'!$C23,'Base File'!$BV:$BV,"Not Met")),"-")</f>
        <v>0.75</v>
      </c>
    </row>
    <row r="22" spans="1:71" s="12" customFormat="1" x14ac:dyDescent="0.25">
      <c r="A22" s="389"/>
      <c r="B22" s="94">
        <v>19</v>
      </c>
      <c r="C22" s="94" t="s">
        <v>852</v>
      </c>
      <c r="D22" s="363" t="s">
        <v>106</v>
      </c>
      <c r="E22" s="95" t="s">
        <v>106</v>
      </c>
      <c r="F22" s="94" t="s">
        <v>894</v>
      </c>
      <c r="G22" s="96"/>
      <c r="H22" s="94"/>
      <c r="I22" s="94" t="s">
        <v>920</v>
      </c>
      <c r="J22" s="89" t="s">
        <v>67</v>
      </c>
      <c r="K22" s="89" t="s">
        <v>68</v>
      </c>
      <c r="L22" s="97"/>
      <c r="M22" s="98"/>
      <c r="N22" s="108"/>
      <c r="O22" s="97"/>
      <c r="P22" s="99"/>
      <c r="Q22" s="98"/>
      <c r="R22" s="110"/>
      <c r="S22" s="99"/>
      <c r="T22" s="106"/>
      <c r="U22" s="101"/>
      <c r="V22" s="110"/>
      <c r="W22" s="99"/>
      <c r="X22" s="99"/>
      <c r="Y22" s="101"/>
      <c r="Z22" s="99"/>
      <c r="AA22" s="99"/>
      <c r="AB22" s="99"/>
      <c r="AC22" s="101"/>
      <c r="AD22" s="110"/>
      <c r="AE22" s="99"/>
      <c r="AF22" s="99"/>
      <c r="AG22" s="100"/>
      <c r="AH22" s="110"/>
      <c r="AI22" s="99"/>
      <c r="AJ22" s="106"/>
      <c r="AK22" s="100"/>
      <c r="AL22" s="110"/>
      <c r="AM22" s="99"/>
      <c r="AN22" s="106"/>
      <c r="AO22" s="100"/>
      <c r="AP22" s="110"/>
      <c r="AQ22" s="99"/>
      <c r="AR22" s="106"/>
      <c r="AS22" s="101"/>
      <c r="AT22" s="110"/>
      <c r="AU22" s="99"/>
      <c r="AV22" s="100">
        <f>IFERROR(COUNTIFS('Base File'!$BL:$BL,"Met",'Base File'!$B:$B,'Account Summary'!C22)/(COUNTIFS('Base File'!$BL:$BL,"Met",'Base File'!$B:$B,'Account Summary'!C22)+COUNTIFS('Base File'!$BL:$BL,"Not Met",'Base File'!$B:$B,'Account Summary'!C22)),"NR")</f>
        <v>0.6428571428571429</v>
      </c>
      <c r="AW22" s="100" t="str">
        <f>IFERROR(COUNTIFS('Base File'!$G:$G,"Contractual SLA",'Base File'!$H:$H,"No",'Base File'!$B:$B,'Account Summary'!$C22,'Base File'!$BL:$BL,"Met")/SUM(COUNTIFS('Base File'!$G:$G,"Contractual SLA",'Base File'!$H:$H,"No",'Base File'!$B:$B,'Account Summary'!$C22,'Base File'!$BL:$BL,"Met")+COUNTIFS('Base File'!$G:$G,"Contractual SLA",'Base File'!$H:$H,"No",'Base File'!$B:$B,'Account Summary'!$C22,'Base File'!$BL:$BL,"Not Met")),"-")</f>
        <v>-</v>
      </c>
      <c r="AX22" s="100">
        <f>IFERROR(COUNTIFS('Base File'!$G:$G,"Contractual SLA",'Base File'!$H:$H,"Yes",'Base File'!$B:$B,'Account Summary'!$C22,'Base File'!$BL:$BL,"Met")/SUM(COUNTIFS('Base File'!$G:$G,"Contractual SLA",'Base File'!$H:$H,"yes",'Base File'!$B:$B,'Account Summary'!$C22,'Base File'!$BL:$BL,"Met")+COUNTIFS('Base File'!$G:$G,"Contractual SLA",'Base File'!$H:$H,"yes",'Base File'!$B:$B,'Account Summary'!$C22,'Base File'!$BL:$BL,"Not Met")),"-")</f>
        <v>0.6</v>
      </c>
      <c r="AY22" s="100">
        <f>IFERROR(COUNTIFS('Base File'!$G:$G,"Internal KPI",'Base File'!$B:$B,'Account Summary'!$C22,'Base File'!$BL:$BL,"Met")/SUM(COUNTIFS('Base File'!$G:$G,"Internal KPI",'Base File'!$B:$B,'Account Summary'!$C22,'Base File'!$BL:$BL,"Met")+COUNTIFS('Base File'!$G:$G,"Internal KPI",'Base File'!$B:$B,'Account Summary'!$C22,'Base File'!$BL:$BL,"Not Met")),"-")</f>
        <v>0.75</v>
      </c>
      <c r="AZ22" s="106">
        <f>IFERROR(COUNTIFS('Base File'!$BN:$BN,"Met",'Base File'!$B:$B,'Account Summary'!C22)/(COUNTIFS('Base File'!$BN:$BN,"Met",'Base File'!$B:$B,'Account Summary'!C22)+COUNTIFS('Base File'!$BN:$BN,"Not Met",'Base File'!$B:$B,'Account Summary'!C22)),"NR")</f>
        <v>0.6428571428571429</v>
      </c>
      <c r="BA22" s="100" t="str">
        <f>IFERROR(COUNTIFS('Base File'!$G:$G,"Contractual SLA",'Base File'!$H:$H,"No",'Base File'!$B:$B,'Account Summary'!$C22,'Base File'!$BN:$BN,"Met")/SUM(COUNTIFS('Base File'!$G:$G,"Contractual SLA",'Base File'!$H:$H,"No",'Base File'!$B:$B,'Account Summary'!$C22,'Base File'!$BN:$BN,"Met")+COUNTIFS('Base File'!$G:$G,"Contractual SLA",'Base File'!$H:$H,"No",'Base File'!$B:$B,'Account Summary'!$C22,'Base File'!$BN:$BN,"Not Met")),"-")</f>
        <v>-</v>
      </c>
      <c r="BB22" s="100">
        <f>IFERROR(COUNTIFS('Base File'!$G:$G,"Contractual SLA",'Base File'!$H:$H,"Yes",'Base File'!$B:$B,'Account Summary'!$C22,'Base File'!$BN:$BN,"Met")/SUM(COUNTIFS('Base File'!$G:$G,"Contractual SLA",'Base File'!$H:$H,"yes",'Base File'!$B:$B,'Account Summary'!$C22,'Base File'!$BN:$BN,"Met")+COUNTIFS('Base File'!$G:$G,"Contractual SLA",'Base File'!$H:$H,"yes",'Base File'!$B:$B,'Account Summary'!$C22,'Base File'!$BN:$BN,"Not Met")),"-")</f>
        <v>0.6</v>
      </c>
      <c r="BC22" s="100">
        <f>IFERROR(COUNTIFS('Base File'!$G:$G,"Internal KPI",'Base File'!$B:$B,'Account Summary'!$C22,'Base File'!$BN:$BN,"Met")/SUM(COUNTIFS('Base File'!$G:$G,"Internal KPI",'Base File'!$B:$B,'Account Summary'!$C22,'Base File'!$BN:$BN,"Met")+COUNTIFS('Base File'!$G:$G,"Internal KPI",'Base File'!$B:$B,'Account Summary'!$C22,'Base File'!$BN:$BN,"Not Met")),"-")</f>
        <v>0.75</v>
      </c>
      <c r="BD22" s="99">
        <f>IFERROR(COUNTIFS('Base File'!$BP:$BP,"Met",'Base File'!$B:$B,'Account Summary'!C22)/(COUNTIFS('Base File'!$BP:$BP,"Met",'Base File'!$B:$B,'Account Summary'!C22)+COUNTIFS('Base File'!$BP:$BP,"Not Met",'Base File'!$B:$B,'Account Summary'!C22)),"NR")</f>
        <v>0.7857142857142857</v>
      </c>
      <c r="BE22" s="100" t="str">
        <f>IFERROR(COUNTIFS('Base File'!$G:$G,"Contractual SLA",'Base File'!$H:$H,"No",'Base File'!$B:$B,'Account Summary'!$C22,'Base File'!$BP:$BP,"Met")/SUM(COUNTIFS('Base File'!$G:$G,"Contractual SLA",'Base File'!$H:$H,"No",'Base File'!$B:$B,'Account Summary'!$C22,'Base File'!$BP:$BP,"Met")+COUNTIFS('Base File'!$G:$G,"Contractual SLA",'Base File'!$H:$H,"No",'Base File'!$B:$B,'Account Summary'!$C22,'Base File'!$BP:$BP,"Not Met")),"-")</f>
        <v>-</v>
      </c>
      <c r="BF22" s="110">
        <f>IFERROR(COUNTIFS('Base File'!$G:$G,"Contractual SLA",'Base File'!$H:$H,"Yes",'Base File'!$B:$B,'Account Summary'!$C22,'Base File'!$BP:$BP,"Met")/SUM(COUNTIFS('Base File'!$G:$G,"Contractual SLA",'Base File'!$H:$H,"yes",'Base File'!$B:$B,'Account Summary'!$C22,'Base File'!$BP:$BP,"Met")+COUNTIFS('Base File'!$G:$G,"Contractual SLA",'Base File'!$H:$H,"yes",'Base File'!$B:$B,'Account Summary'!$C22,'Base File'!$BP:$BP,"Not Met")),"-")</f>
        <v>0.8</v>
      </c>
      <c r="BG22" s="99">
        <f>IFERROR(COUNTIFS('Base File'!$G:$G,"Internal KPI",'Base File'!$B:$B,'Account Summary'!$C22,'Base File'!$BP:$BP,"Met")/SUM(COUNTIFS('Base File'!$G:$G,"Internal KPI",'Base File'!$B:$B,'Account Summary'!$C22,'Base File'!$BP:$BP,"Met")+COUNTIFS('Base File'!$G:$G,"Internal KPI",'Base File'!$B:$B,'Account Summary'!$C22,'Base File'!$BP:$BP,"Not Met")),"-")</f>
        <v>0.75</v>
      </c>
      <c r="BH22" s="106">
        <f>IFERROR(COUNTIFS('Base File'!$BR:$BR,"Met",'Base File'!$B:$B,'Account Summary'!C22)/(COUNTIFS('Base File'!$BR:$BR,"Met",'Base File'!$B:$B,'Account Summary'!C22)+COUNTIFS('Base File'!$BR:$BR,"Not Met",'Base File'!$B:$B,'Account Summary'!C22)),"NR")</f>
        <v>0.7142857142857143</v>
      </c>
      <c r="BI22" s="101" t="str">
        <f>IFERROR(COUNTIFS('Base File'!$G:$G,"Contractual SLA",'Base File'!$H:$H,"No",'Base File'!$B:$B,'Account Summary'!$C22,'Base File'!$BR:$BR,"Met")/SUM(COUNTIFS('Base File'!$G:$G,"Contractual SLA",'Base File'!$H:$H,"No",'Base File'!$B:$B,'Account Summary'!$C22,'Base File'!$BR:$BR,"Met")+COUNTIFS('Base File'!$G:$G,"Contractual SLA",'Base File'!$H:$H,"No",'Base File'!$B:$B,'Account Summary'!$C22,'Base File'!$BR:$BR,"Not Met")),"-")</f>
        <v>-</v>
      </c>
      <c r="BJ22" s="110">
        <v>0.7</v>
      </c>
      <c r="BK22" s="99">
        <f>IFERROR(COUNTIFS('Base File'!$G:$G,"Internal KPI",'Base File'!$B:$B,'Account Summary'!$C22,'Base File'!$BR:$BR,"Met")/SUM(COUNTIFS('Base File'!$G:$G,"Internal KPI",'Base File'!$B:$B,'Account Summary'!$C22,'Base File'!$BR:$BR,"Met")+COUNTIFS('Base File'!$G:$G,"Internal KPI",'Base File'!$B:$B,'Account Summary'!$C22,'Base File'!$BR:$BR,"Not Met")),"-")</f>
        <v>0.75</v>
      </c>
      <c r="BL22" s="100">
        <f>IFERROR(COUNTIFS('Base File'!$BT:$BT,"Met",'Base File'!$B:$B,'Account Summary'!C22)/(COUNTIFS('Base File'!$BT:$BT,"Met",'Base File'!$B:$B,'Account Summary'!C22)+COUNTIFS('Base File'!$BT:$BT,"Not Met",'Base File'!$B:$B,'Account Summary'!C22)),"NR")</f>
        <v>0.7857142857142857</v>
      </c>
      <c r="BM22" s="100" t="str">
        <f>IFERROR(COUNTIFS('Base File'!$G:$G,"Contractual SLA",'Base File'!$H:$H,"No",'Base File'!$B:$B,'Account Summary'!$C22,'Base File'!$BT:$BT,"Met")/SUM(COUNTIFS('Base File'!$G:$G,"Contractual SLA",'Base File'!$H:$H,"No",'Base File'!$B:$B,'Account Summary'!$C22,'Base File'!$BT:$BT,"Met")+COUNTIFS('Base File'!$G:$G,"Contractual SLA",'Base File'!$H:$H,"No",'Base File'!$B:$B,'Account Summary'!$C22,'Base File'!$BT:$BT,"Not Met")),"-")</f>
        <v>-</v>
      </c>
      <c r="BN22" s="100">
        <f>IFERROR(COUNTIFS('Base File'!$G:$G,"Contractual SLA",'Base File'!$H:$H,"Yes",'Base File'!$B:$B,'Account Summary'!$C22,'Base File'!$BT:$BT,"Met")/SUM(COUNTIFS('Base File'!$G:$G,"Contractual SLA",'Base File'!$H:$H,"yes",'Base File'!$B:$B,'Account Summary'!$C22,'Base File'!$BT:$BT,"Met")+COUNTIFS('Base File'!$G:$G,"Contractual SLA",'Base File'!$H:$H,"yes",'Base File'!$B:$B,'Account Summary'!$C22,'Base File'!$BT:$BT,"Not Met")),"-")</f>
        <v>0.8</v>
      </c>
      <c r="BO22" s="100">
        <f>IFERROR(COUNTIFS('Base File'!$G:$G,"Internal KPI",'Base File'!$B:$B,'Account Summary'!$C22,'Base File'!$BT:$BT,"Met")/SUM(COUNTIFS('Base File'!$G:$G,"Internal KPI",'Base File'!$B:$B,'Account Summary'!$C22,'Base File'!$BT:$BT,"Met")+COUNTIFS('Base File'!$G:$G,"Internal KPI",'Base File'!$B:$B,'Account Summary'!$C22,'Base File'!$BT:$BT,"Not Met")),"-")</f>
        <v>0.75</v>
      </c>
      <c r="BP22" s="100">
        <f>IFERROR(COUNTIFS('Base File'!$BV:$BV,"Met",'Base File'!$B:$B,'Account Summary'!C22)/(COUNTIFS('Base File'!$BV:$BV,"Met",'Base File'!$B:$B,'Account Summary'!C22)+COUNTIFS('Base File'!$BV:$BV,"Not Met",'Base File'!$B:$B,'Account Summary'!C22)),"NR")</f>
        <v>0.7142857142857143</v>
      </c>
      <c r="BQ22" s="102" t="s">
        <v>107</v>
      </c>
      <c r="BR22" s="100">
        <f>IFERROR(COUNTIFS('Base File'!$G:$G,"Contractual SLA",'Base File'!$H:$H,"Yes",'Base File'!$B:$B,'Account Summary'!$C22,'Base File'!$BV:$BV,"Met")/SUM(COUNTIFS('Base File'!$G:$G,"Contractual SLA",'Base File'!$H:$H,"Yes",'Base File'!$B:$B,'Account Summary'!$C22,'Base File'!$BV:$BV,"Met")+COUNTIFS('Base File'!$G:$G,"Contractual SLA",'Base File'!$H:$H,"Yes",'Base File'!$B:$B,'Account Summary'!$C22,'Base File'!$BV:$BV,"Not Met")),"-")</f>
        <v>0.7</v>
      </c>
      <c r="BS22" s="100">
        <v>0.75</v>
      </c>
    </row>
    <row r="23" spans="1:71" s="12" customFormat="1" x14ac:dyDescent="0.25">
      <c r="A23" s="389"/>
      <c r="B23" s="94">
        <v>20</v>
      </c>
      <c r="C23" s="94" t="s">
        <v>27</v>
      </c>
      <c r="D23" s="95" t="s">
        <v>106</v>
      </c>
      <c r="E23" s="95" t="s">
        <v>106</v>
      </c>
      <c r="F23" s="94" t="s">
        <v>894</v>
      </c>
      <c r="G23" s="96"/>
      <c r="H23" s="94"/>
      <c r="I23" s="94" t="s">
        <v>116</v>
      </c>
      <c r="J23" s="89" t="s">
        <v>955</v>
      </c>
      <c r="K23" s="39" t="s">
        <v>65</v>
      </c>
      <c r="L23" s="107">
        <f>IFERROR(COUNTIFS('Base File'!$AR:$AR,"Met",'Base File'!$B:$B,'Account Summary'!C23)/(COUNTIFS('Base File'!$AR:$AR,"Met",'Base File'!$B:$B,'Account Summary'!C23)+COUNTIFS('Base File'!$AR:$AR,"Not Met",'Base File'!$B:$B,'Account Summary'!C23)),"NR")</f>
        <v>0.5714285714285714</v>
      </c>
      <c r="M23" s="98" t="str">
        <f>IFERROR(COUNTIFS('Base File'!$G:$G,"Contractual SLA",'Base File'!$H:$H,"No",'Base File'!$B:$B,'Account Summary'!$C23,'Base File'!$AR:$AR,"Met")/SUM(COUNTIFS('Base File'!$G:$G,"Contractual SLA",'Base File'!$H:$H,"No",'Base File'!$B:$B,'Account Summary'!$C23,'Base File'!$AR:$AR,"Met")+COUNTIFS('Base File'!$G:$G,"Contractual SLA",'Base File'!$H:$H,"No",'Base File'!$B:$B,'Account Summary'!$C23,'Base File'!$AR:$AR,"Not Met")),"-")</f>
        <v>-</v>
      </c>
      <c r="N23" s="98" t="str">
        <f>IFERROR(COUNTIFS('Base File'!$G:$G,"Contractual SLA",'Base File'!$H:$H,"Yes",'Base File'!$B:$B,'Account Summary'!$C23,'Base File'!$AR:$AR,"Met")/SUM(COUNTIFS('Base File'!$G:$G,"Contractual SLA",'Base File'!$H:$H,"yes",'Base File'!$B:$B,'Account Summary'!$C23,'Base File'!$AR:$AR,"Met")+COUNTIFS('Base File'!$G:$G,"Contractual SLA",'Base File'!$H:$H,"yes",'Base File'!$B:$B,'Account Summary'!$C23,'Base File'!$AR:$AR,"Not Met")),"-")</f>
        <v>-</v>
      </c>
      <c r="O23" s="107">
        <f>IFERROR(COUNTIFS('Base File'!$G:$G,"Internal KPI",'Base File'!$B:$B,'Account Summary'!$C23,'Base File'!$AR:$AR,"Met")/SUM(COUNTIFS('Base File'!$G:$G,"Internal KPI",'Base File'!$B:$B,'Account Summary'!$C23,'Base File'!$AR:$AR,"Met")+COUNTIFS('Base File'!$G:$G,"Internal KPI",'Base File'!$B:$B,'Account Summary'!$C23,'Base File'!$AR:$AR,"Not Met")),"-")</f>
        <v>0.5714285714285714</v>
      </c>
      <c r="P23" s="109">
        <f>IFERROR(COUNTIFS('Base File'!$AV:$AV,"Met",'Base File'!$B:$B,'Account Summary'!C23)/(COUNTIFS('Base File'!$AV:$AV,"Met",'Base File'!$B:$B,'Account Summary'!C23)+COUNTIFS('Base File'!$AV:$AV,"Not Met",'Base File'!$B:$B,'Account Summary'!C23)),"NR")</f>
        <v>0.7142857142857143</v>
      </c>
      <c r="Q23" s="98" t="str">
        <f>IFERROR(COUNTIFS('Base File'!$G:$G,"Contractual SLA",'Base File'!$H:$H,"No",'Base File'!$B:$B,'Account Summary'!$C23,'Base File'!$AV:$AV,"Met")/SUM(COUNTIFS('Base File'!$G:$G,"Contractual SLA",'Base File'!$H:$H,"No",'Base File'!$B:$B,'Account Summary'!$C23,'Base File'!$AV:$AV,"Met")+COUNTIFS('Base File'!$G:$G,"Contractual SLA",'Base File'!$H:$H,"No",'Base File'!$B:$B,'Account Summary'!$C23,'Base File'!$AV:$AV,"Not Met")),"-")</f>
        <v>-</v>
      </c>
      <c r="R23" s="103" t="str">
        <f>IFERROR(COUNTIFS('Base File'!$G:$G,"Contractual SLA",'Base File'!$H:$H,"Yes",'Base File'!$B:$B,'Account Summary'!$C23,'Base File'!$AV:$AV,"Met")/SUM(COUNTIFS('Base File'!$G:$G,"Contractual SLA",'Base File'!$H:$H,"yes",'Base File'!$B:$B,'Account Summary'!$C23,'Base File'!$AV:$AV,"Met")+COUNTIFS('Base File'!$G:$G,"Contractual SLA",'Base File'!$H:$H,"yes",'Base File'!$B:$B,'Account Summary'!$C23,'Base File'!$AV:$AV,"Not Met")),"-")</f>
        <v>-</v>
      </c>
      <c r="S23" s="109">
        <f>IFERROR(COUNTIFS('Base File'!$G:$G,"Internal KPI",'Base File'!$B:$B,'Account Summary'!$C23,'Base File'!$AV:$AV,"Met")/SUM(COUNTIFS('Base File'!$G:$G,"Internal KPI",'Base File'!$B:$B,'Account Summary'!$C23,'Base File'!$AV:$AV,"Met")+COUNTIFS('Base File'!$G:$G,"Internal KPI",'Base File'!$B:$B,'Account Summary'!$C23,'Base File'!$AV:$AV,"Not Met")),"-")</f>
        <v>0.7142857142857143</v>
      </c>
      <c r="T23" s="106">
        <f>IFERROR(COUNTIFS('Base File'!$AX:$AX,"Met",'Base File'!$B:$B,'Account Summary'!C23)/(COUNTIFS('Base File'!$AX:$AX,"Met",'Base File'!$B:$B,'Account Summary'!C23)+COUNTIFS('Base File'!$AX:$AX,"Not Met",'Base File'!$B:$B,'Account Summary'!C23)),"NR")</f>
        <v>0.7142857142857143</v>
      </c>
      <c r="U23" s="101" t="s">
        <v>11</v>
      </c>
      <c r="V23" s="100" t="s">
        <v>11</v>
      </c>
      <c r="W23" s="106">
        <f>IFERROR(COUNTIFS('Base File'!$G:$G,"Internal KPI",'Base File'!$B:$B,'Account Summary'!$C23,'Base File'!$AX:$AX,"Met")/SUM(COUNTIFS('Base File'!$G:$G,"Internal KPI",'Base File'!$B:$B,'Account Summary'!$C23,'Base File'!$AX:$AX,"Met")+COUNTIFS('Base File'!$G:$G,"Internal KPI",'Base File'!$B:$B,'Account Summary'!$C23,'Base File'!$AX:$AX,"Not Met")),"-")</f>
        <v>0.7142857142857143</v>
      </c>
      <c r="X23" s="106">
        <f>IFERROR(COUNTIFS('Base File'!$AZ:$AZ,"Met",'Base File'!$B:$B,'Account Summary'!C23)/(COUNTIFS('Base File'!$AZ:$AZ,"Met",'Base File'!$B:$B,'Account Summary'!C23)+COUNTIFS('Base File'!$AZ:$AZ,"Not Met",'Base File'!$B:$B,'Account Summary'!C23)),"NR")</f>
        <v>0.7142857142857143</v>
      </c>
      <c r="Y23" s="101" t="str">
        <f>IFERROR(COUNTIFS('Base File'!$G:$G,"Contractual SLA",'Base File'!$H:$H,"No",'Base File'!$B:$B,'Account Summary'!$C23,'Base File'!$AZ:$AZ,"Met")/SUM(COUNTIFS('Base File'!$G:$G,"Contractual SLA",'Base File'!$H:$H,"No",'Base File'!$B:$B,'Account Summary'!$C23,'Base File'!$AZ:$AZ,"Met")+COUNTIFS('Base File'!$G:$G,"Contractual SLA",'Base File'!$H:$H,"No",'Base File'!$B:$B,'Account Summary'!$C23,'Base File'!$AZ:$AZ,"Not Met")),"-")</f>
        <v>-</v>
      </c>
      <c r="Z23" s="100" t="str">
        <f>IFERROR(COUNTIFS('Base File'!$G:$G,"Contractual SLA",'Base File'!$H:$H,"Yes",'Base File'!$B:$B,'Account Summary'!$C23,'Base File'!$AZ:$AZ,"Met")/SUM(COUNTIFS('Base File'!$G:$G,"Contractual SLA",'Base File'!$H:$H,"yes",'Base File'!$B:$B,'Account Summary'!$C23,'Base File'!$AZ:$AZ,"Met")+COUNTIFS('Base File'!$G:$G,"Contractual SLA",'Base File'!$H:$H,"yes",'Base File'!$B:$B,'Account Summary'!$C23,'Base File'!$AZ:$AZ,"Not Met")),"-")</f>
        <v>-</v>
      </c>
      <c r="AA23" s="106">
        <f>IFERROR(COUNTIFS('Base File'!$G:$G,"Internal KPI",'Base File'!$B:$B,'Account Summary'!$C23,'Base File'!$AZ:$AZ,"Met")/SUM(COUNTIFS('Base File'!$G:$G,"Internal KPI",'Base File'!$B:$B,'Account Summary'!$C23,'Base File'!$AZ:$AZ,"Met")+COUNTIFS('Base File'!$G:$G,"Internal KPI",'Base File'!$B:$B,'Account Summary'!$C23,'Base File'!$AZ:$AZ,"Not Met")),"-")</f>
        <v>0.7142857142857143</v>
      </c>
      <c r="AB23" s="106">
        <f>IFERROR(COUNTIFS('Base File'!$BB:$BB,"Met",'Base File'!$B:$B,'Account Summary'!C23)/(COUNTIFS('Base File'!$BB:$BB,"Met",'Base File'!$B:$B,'Account Summary'!C23)+COUNTIFS('Base File'!$BB:$BB,"Not Met",'Base File'!$B:$B,'Account Summary'!C23)),"NR")</f>
        <v>0.5714285714285714</v>
      </c>
      <c r="AC23" s="101" t="str">
        <f>IFERROR(COUNTIFS('Base File'!$G:$G,"Contractual SLA",'Base File'!$H:$H,"No",'Base File'!$B:$B,'Account Summary'!$C23,'Base File'!$BB:$BB,"Met")/SUM(COUNTIFS('Base File'!$G:$G,"Contractual SLA",'Base File'!$H:$H,"No",'Base File'!$B:$B,'Account Summary'!$C23,'Base File'!$BB:$BB,"Met")+COUNTIFS('Base File'!$G:$G,"Contractual SLA",'Base File'!$H:$H,"No",'Base File'!$B:$B,'Account Summary'!$C23,'Base File'!$BB:$BB,"Not Met")),"-")</f>
        <v>-</v>
      </c>
      <c r="AD23" s="100" t="str">
        <f>IFERROR(COUNTIFS('Base File'!$G:$G,"Contractual SLA",'Base File'!$H:$H,"Yes",'Base File'!$B:$B,'Account Summary'!$C23,'Base File'!$BB:$BB,"Met")/SUM(COUNTIFS('Base File'!$G:$G,"Contractual SLA",'Base File'!$H:$H,"yes",'Base File'!$B:$B,'Account Summary'!$C23,'Base File'!$BB:$BB,"Met")+COUNTIFS('Base File'!$G:$G,"Contractual SLA",'Base File'!$H:$H,"yes",'Base File'!$B:$B,'Account Summary'!$C23,'Base File'!$BB:$BB,"Not Met")),"-")</f>
        <v>-</v>
      </c>
      <c r="AE23" s="106">
        <f>IFERROR(COUNTIFS('Base File'!$G:$G,"Internal KPI",'Base File'!$B:$B,'Account Summary'!$C23,'Base File'!$BB:$BB,"Met")/SUM(COUNTIFS('Base File'!$G:$G,"Internal KPI",'Base File'!$B:$B,'Account Summary'!$C23,'Base File'!$BB:$BB,"Met")+COUNTIFS('Base File'!$G:$G,"Internal KPI",'Base File'!$B:$B,'Account Summary'!$C23,'Base File'!$BB:$BB,"Not Met")),"-")</f>
        <v>0.5714285714285714</v>
      </c>
      <c r="AF23" s="99">
        <f>IFERROR(COUNTIFS('Base File'!$BD:$BD,"Met",'Base File'!$B:$B,'Account Summary'!C23)/(COUNTIFS('Base File'!$BD:$BD,"Met",'Base File'!$B:$B,'Account Summary'!C23)+COUNTIFS('Base File'!$BD:$BD,"Not Met",'Base File'!$B:$B,'Account Summary'!C23)),"NR")</f>
        <v>0.8571428571428571</v>
      </c>
      <c r="AG23" s="100" t="str">
        <f>IFERROR(COUNTIFS('Base File'!$G:$G,"Contractual SLA",'Base File'!$H:$H,"No",'Base File'!$B:$B,'Account Summary'!$C23,'Base File'!$BD:$BD,"Met")/SUM(COUNTIFS('Base File'!$G:$G,"Contractual SLA",'Base File'!$H:$H,"No",'Base File'!$B:$B,'Account Summary'!$C23,'Base File'!$BD:$BD,"Met")+COUNTIFS('Base File'!$G:$G,"Contractual SLA",'Base File'!$H:$H,"No",'Base File'!$B:$B,'Account Summary'!$C23,'Base File'!$BD:$BD,"Not Met")),"-")</f>
        <v>-</v>
      </c>
      <c r="AH23" s="100" t="str">
        <f>IFERROR(COUNTIFS('Base File'!$G:$G,"Contractual SLA",'Base File'!$H:$H,"Yes",'Base File'!$B:$B,'Account Summary'!$C23,'Base File'!$BD:$BD,"Met")/SUM(COUNTIFS('Base File'!$G:$G,"Contractual SLA",'Base File'!$H:$H,"yes",'Base File'!$B:$B,'Account Summary'!$C23,'Base File'!$BD:$BD,"Met")+COUNTIFS('Base File'!$G:$G,"Contractual SLA",'Base File'!$H:$H,"yes",'Base File'!$B:$B,'Account Summary'!$C23,'Base File'!$BD:$BD,"Not Met")),"-")</f>
        <v>-</v>
      </c>
      <c r="AI23" s="99">
        <f>IFERROR(COUNTIFS('Base File'!$G:$G,"Internal KPI",'Base File'!$B:$B,'Account Summary'!$C23,'Base File'!$BD:$BD,"Met")/SUM(COUNTIFS('Base File'!$G:$G,"Internal KPI",'Base File'!$B:$B,'Account Summary'!$C23,'Base File'!$BD:$BD,"Met")+COUNTIFS('Base File'!$G:$G,"Internal KPI",'Base File'!$B:$B,'Account Summary'!$C23,'Base File'!$BD:$BD,"Not Met")),"-")</f>
        <v>0.8571428571428571</v>
      </c>
      <c r="AJ23" s="99">
        <f>IFERROR(COUNTIFS('Base File'!$BF:$BF,"Met",'Base File'!$B:$B,'Account Summary'!C23)/(COUNTIFS('Base File'!$BF:$BF,"Met",'Base File'!$B:$B,'Account Summary'!C23)+COUNTIFS('Base File'!$BF:$BF,"Not Met",'Base File'!$B:$B,'Account Summary'!C23)),"NR")</f>
        <v>0.8571428571428571</v>
      </c>
      <c r="AK23" s="100" t="str">
        <f>IFERROR(COUNTIFS('Base File'!$G:$G,"Contractual SLA",'Base File'!$H:$H,"No",'Base File'!$B:$B,'Account Summary'!$C23,'Base File'!$BF:$BF,"Met")/SUM(COUNTIFS('Base File'!$G:$G,"Contractual SLA",'Base File'!$H:$H,"No",'Base File'!$B:$B,'Account Summary'!$C23,'Base File'!$BF:$BF,"Met")+COUNTIFS('Base File'!$G:$G,"Contractual SLA",'Base File'!$H:$H,"No",'Base File'!$B:$B,'Account Summary'!$C23,'Base File'!$BF:$BF,"Not Met")),"-")</f>
        <v>-</v>
      </c>
      <c r="AL23" s="100" t="str">
        <f>IFERROR(COUNTIFS('Base File'!$G:$G,"Contractual SLA",'Base File'!$H:$H,"Yes",'Base File'!$B:$B,'Account Summary'!$C23,'Base File'!$BF:$BF,"Met")/SUM(COUNTIFS('Base File'!$G:$G,"Contractual SLA",'Base File'!$H:$H,"yes",'Base File'!$B:$B,'Account Summary'!$C23,'Base File'!$BF:$BF,"Met")+COUNTIFS('Base File'!$G:$G,"Contractual SLA",'Base File'!$H:$H,"yes",'Base File'!$B:$B,'Account Summary'!$C23,'Base File'!$BF:$BF,"Not Met")),"-")</f>
        <v>-</v>
      </c>
      <c r="AM23" s="99">
        <f>IFERROR(COUNTIFS('Base File'!$G:$G,"Internal KPI",'Base File'!$B:$B,'Account Summary'!$C23,'Base File'!$BF:$BF,"Met")/SUM(COUNTIFS('Base File'!$G:$G,"Internal KPI",'Base File'!$B:$B,'Account Summary'!$C23,'Base File'!$BF:$BF,"Met")+COUNTIFS('Base File'!$G:$G,"Internal KPI",'Base File'!$B:$B,'Account Summary'!$C23,'Base File'!$BF:$BF,"Not Met")),"-")</f>
        <v>0.8571428571428571</v>
      </c>
      <c r="AN23" s="106">
        <f>IFERROR(COUNTIFS('Base File'!$BH:$BH,"Met",'Base File'!$B:$B,'Account Summary'!C23)/(COUNTIFS('Base File'!$BH:$BH,"Met",'Base File'!$B:$B,'Account Summary'!C23)+COUNTIFS('Base File'!$BH:$BH,"Not Met",'Base File'!$B:$B,'Account Summary'!C23)),"NR")</f>
        <v>0.7142857142857143</v>
      </c>
      <c r="AO23" s="100" t="str">
        <f>IFERROR(COUNTIFS('Base File'!$G:$G,"Contractual SLA",'Base File'!$H:$H,"No",'Base File'!$B:$B,'Account Summary'!$C23,'Base File'!$BH:$BH,"Met")/SUM(COUNTIFS('Base File'!$G:$G,"Contractual SLA",'Base File'!$H:$H,"No",'Base File'!$B:$B,'Account Summary'!$C23,'Base File'!$BH:$BH,"Met")+COUNTIFS('Base File'!$G:$G,"Contractual SLA",'Base File'!$H:$H,"No",'Base File'!$B:$B,'Account Summary'!$C23,'Base File'!$BH:$BH,"Not Met")),"-")</f>
        <v>-</v>
      </c>
      <c r="AP23" s="100" t="str">
        <f>IFERROR(COUNTIFS('Base File'!$G:$G,"Contractual SLA",'Base File'!$H:$H,"Yes",'Base File'!$B:$B,'Account Summary'!$C23,'Base File'!$BH:$BH,"Met")/SUM(COUNTIFS('Base File'!$G:$G,"Contractual SLA",'Base File'!$H:$H,"yes",'Base File'!$B:$B,'Account Summary'!$C23,'Base File'!$BH:$BH,"Met")+COUNTIFS('Base File'!$G:$G,"Contractual SLA",'Base File'!$H:$H,"yes",'Base File'!$B:$B,'Account Summary'!$C23,'Base File'!$BH:$BH,"Not Met")),"-")</f>
        <v>-</v>
      </c>
      <c r="AQ23" s="106">
        <f>IFERROR(COUNTIFS('Base File'!$G:$G,"Internal KPI",'Base File'!$B:$B,'Account Summary'!$C23,'Base File'!$BH:$BH,"Met")/SUM(COUNTIFS('Base File'!$G:$G,"Internal KPI",'Base File'!$B:$B,'Account Summary'!$C23,'Base File'!$BH:$BH,"Met")+COUNTIFS('Base File'!$G:$G,"Internal KPI",'Base File'!$B:$B,'Account Summary'!$C23,'Base File'!$BH:$BH,"Not Met")),"-")</f>
        <v>0.7142857142857143</v>
      </c>
      <c r="AR23" s="99">
        <f>IFERROR(COUNTIFS('Base File'!$BJ:$BJ,"Met",'Base File'!$B:$B,'Account Summary'!C23)/(COUNTIFS('Base File'!$BJ:$BJ,"Met",'Base File'!$B:$B,'Account Summary'!C23)+COUNTIFS('Base File'!$BJ:$BJ,"Not Met",'Base File'!$B:$B,'Account Summary'!C23)),"NR")</f>
        <v>0.8571428571428571</v>
      </c>
      <c r="AS23" s="101" t="str">
        <f>IFERROR(COUNTIFS('Base File'!$G:$G,"Contractual SLA",'Base File'!$H:$H,"No",'Base File'!$B:$B,'Account Summary'!$C23,'Base File'!$BJ:$BJ,"Met")/SUM(COUNTIFS('Base File'!$G:$G,"Contractual SLA",'Base File'!$H:$H,"No",'Base File'!$B:$B,'Account Summary'!$C23,'Base File'!$BJ:$BJ,"Met")+COUNTIFS('Base File'!$G:$G,"Contractual SLA",'Base File'!$H:$H,"No",'Base File'!$B:$B,'Account Summary'!$C23,'Base File'!$BJ:$BJ,"Not Met")),"-")</f>
        <v>-</v>
      </c>
      <c r="AT23" s="100" t="str">
        <f>IFERROR(COUNTIFS('Base File'!$G:$G,"Contractual SLA",'Base File'!$H:$H,"Yes",'Base File'!$B:$B,'Account Summary'!$C23,'Base File'!$BJ:$BJ,"Met")/SUM(COUNTIFS('Base File'!$G:$G,"Contractual SLA",'Base File'!$H:$H,"yes",'Base File'!$B:$B,'Account Summary'!$C23,'Base File'!$BJ:$BJ,"Met")+COUNTIFS('Base File'!$G:$G,"Contractual SLA",'Base File'!$H:$H,"yes",'Base File'!$B:$B,'Account Summary'!$C23,'Base File'!$BJ:$BJ,"Not Met")),"-")</f>
        <v>-</v>
      </c>
      <c r="AU23" s="99">
        <f>IFERROR(COUNTIFS('Base File'!$G:$G,"Internal KPI",'Base File'!$B:$B,'Account Summary'!$C23,'Base File'!$BJ:$BJ,"Met")/SUM(COUNTIFS('Base File'!$G:$G,"Internal KPI",'Base File'!$B:$B,'Account Summary'!$C23,'Base File'!$BJ:$BJ,"Met")+COUNTIFS('Base File'!$G:$G,"Internal KPI",'Base File'!$B:$B,'Account Summary'!$C23,'Base File'!$BJ:$BJ,"Not Met")),"-")</f>
        <v>0.8571428571428571</v>
      </c>
      <c r="AV23" s="100">
        <f>IFERROR(COUNTIFS('Base File'!$BL:$BL,"Met",'Base File'!$B:$B,'Account Summary'!C23)/(COUNTIFS('Base File'!$BL:$BL,"Met",'Base File'!$B:$B,'Account Summary'!C23)+COUNTIFS('Base File'!$BL:$BL,"Not Met",'Base File'!$B:$B,'Account Summary'!C23)),"NR")</f>
        <v>0.625</v>
      </c>
      <c r="AW23" s="100" t="str">
        <f>IFERROR(COUNTIFS('Base File'!$G:$G,"Contractual SLA",'Base File'!$H:$H,"No",'Base File'!$B:$B,'Account Summary'!$C23,'Base File'!$BL:$BL,"Met")/SUM(COUNTIFS('Base File'!$G:$G,"Contractual SLA",'Base File'!$H:$H,"No",'Base File'!$B:$B,'Account Summary'!$C23,'Base File'!$BL:$BL,"Met")+COUNTIFS('Base File'!$G:$G,"Contractual SLA",'Base File'!$H:$H,"No",'Base File'!$B:$B,'Account Summary'!$C23,'Base File'!$BL:$BL,"Not Met")),"-")</f>
        <v>-</v>
      </c>
      <c r="AX23" s="100" t="str">
        <f>IFERROR(COUNTIFS('Base File'!$G:$G,"Contractual SLA",'Base File'!$H:$H,"Yes",'Base File'!$B:$B,'Account Summary'!$C23,'Base File'!$BL:$BL,"Met")/SUM(COUNTIFS('Base File'!$G:$G,"Contractual SLA",'Base File'!$H:$H,"yes",'Base File'!$B:$B,'Account Summary'!$C23,'Base File'!$BL:$BL,"Met")+COUNTIFS('Base File'!$G:$G,"Contractual SLA",'Base File'!$H:$H,"yes",'Base File'!$B:$B,'Account Summary'!$C23,'Base File'!$BL:$BL,"Not Met")),"-")</f>
        <v>-</v>
      </c>
      <c r="AY23" s="100">
        <f>IFERROR(COUNTIFS('Base File'!$G:$G,"Internal KPI",'Base File'!$B:$B,'Account Summary'!$C23,'Base File'!$BL:$BL,"Met")/SUM(COUNTIFS('Base File'!$G:$G,"Internal KPI",'Base File'!$B:$B,'Account Summary'!$C23,'Base File'!$BL:$BL,"Met")+COUNTIFS('Base File'!$G:$G,"Internal KPI",'Base File'!$B:$B,'Account Summary'!$C23,'Base File'!$BL:$BL,"Not Met")),"-")</f>
        <v>0.625</v>
      </c>
      <c r="AZ23" s="106">
        <v>0.5714285714285714</v>
      </c>
      <c r="BA23" s="100" t="s">
        <v>107</v>
      </c>
      <c r="BB23" s="100" t="s">
        <v>107</v>
      </c>
      <c r="BC23" s="106">
        <v>0.5714285714285714</v>
      </c>
      <c r="BD23" s="106">
        <f>IFERROR(COUNTIFS('Base File'!$BP:$BP,"Met",'Base File'!$B:$B,'Account Summary'!C23)/(COUNTIFS('Base File'!$BP:$BP,"Met",'Base File'!$B:$B,'Account Summary'!C23)+COUNTIFS('Base File'!$BP:$BP,"Not Met",'Base File'!$B:$B,'Account Summary'!C23)),"NR")</f>
        <v>0.5714285714285714</v>
      </c>
      <c r="BE23" s="100" t="str">
        <f>IFERROR(COUNTIFS('Base File'!$G:$G,"Contractual SLA",'Base File'!$H:$H,"No",'Base File'!$B:$B,'Account Summary'!$C23,'Base File'!$BP:$BP,"Met")/SUM(COUNTIFS('Base File'!$G:$G,"Contractual SLA",'Base File'!$H:$H,"No",'Base File'!$B:$B,'Account Summary'!$C23,'Base File'!$BP:$BP,"Met")+COUNTIFS('Base File'!$G:$G,"Contractual SLA",'Base File'!$H:$H,"No",'Base File'!$B:$B,'Account Summary'!$C23,'Base File'!$BP:$BP,"Not Met")),"-")</f>
        <v>-</v>
      </c>
      <c r="BF23" s="100" t="str">
        <f>IFERROR(COUNTIFS('Base File'!$G:$G,"Contractual SLA",'Base File'!$H:$H,"Yes",'Base File'!$B:$B,'Account Summary'!$C23,'Base File'!$BP:$BP,"Met")/SUM(COUNTIFS('Base File'!$G:$G,"Contractual SLA",'Base File'!$H:$H,"yes",'Base File'!$B:$B,'Account Summary'!$C23,'Base File'!$BP:$BP,"Met")+COUNTIFS('Base File'!$G:$G,"Contractual SLA",'Base File'!$H:$H,"yes",'Base File'!$B:$B,'Account Summary'!$C23,'Base File'!$BP:$BP,"Not Met")),"-")</f>
        <v>-</v>
      </c>
      <c r="BG23" s="106">
        <f>IFERROR(COUNTIFS('Base File'!$G:$G,"Internal KPI",'Base File'!$B:$B,'Account Summary'!$C23,'Base File'!$BP:$BP,"Met")/SUM(COUNTIFS('Base File'!$G:$G,"Internal KPI",'Base File'!$B:$B,'Account Summary'!$C23,'Base File'!$BP:$BP,"Met")+COUNTIFS('Base File'!$G:$G,"Internal KPI",'Base File'!$B:$B,'Account Summary'!$C23,'Base File'!$BP:$BP,"Not Met")),"-")</f>
        <v>0.5714285714285714</v>
      </c>
      <c r="BH23" s="106">
        <f>IFERROR(COUNTIFS('Base File'!$BR:$BR,"Met",'Base File'!$B:$B,'Account Summary'!C23)/(COUNTIFS('Base File'!$BR:$BR,"Met",'Base File'!$B:$B,'Account Summary'!C23)+COUNTIFS('Base File'!$BR:$BR,"Not Met",'Base File'!$B:$B,'Account Summary'!C23)),"NR")</f>
        <v>0.5714285714285714</v>
      </c>
      <c r="BI23" s="101" t="str">
        <f>IFERROR(COUNTIFS('Base File'!$G:$G,"Contractual SLA",'Base File'!$H:$H,"No",'Base File'!$B:$B,'Account Summary'!$C23,'Base File'!$BR:$BR,"Met")/SUM(COUNTIFS('Base File'!$G:$G,"Contractual SLA",'Base File'!$H:$H,"No",'Base File'!$B:$B,'Account Summary'!$C23,'Base File'!$BR:$BR,"Met")+COUNTIFS('Base File'!$G:$G,"Contractual SLA",'Base File'!$H:$H,"No",'Base File'!$B:$B,'Account Summary'!$C23,'Base File'!$BR:$BR,"Not Met")),"-")</f>
        <v>-</v>
      </c>
      <c r="BJ23" s="100" t="str">
        <f>IFERROR(COUNTIFS('Base File'!$G:$G,"Contractual SLA",'Base File'!$H:$H,"No",'Base File'!$B:$B,'Account Summary'!$C23,'Base File'!$BR:$BR,"Met")/SUM(COUNTIFS('Base File'!$G:$G,"Contractual SLA",'Base File'!$H:$H,"No",'Base File'!$B:$B,'Account Summary'!$C23,'Base File'!$BR:$BR,"Met")+COUNTIFS('Base File'!$G:$G,"Contractual SLA",'Base File'!$H:$H,"No",'Base File'!$B:$B,'Account Summary'!$C23,'Base File'!$BR:$BR,"Not Met")),"-")</f>
        <v>-</v>
      </c>
      <c r="BK23" s="106">
        <f>IFERROR(COUNTIFS('Base File'!$G:$G,"Internal KPI",'Base File'!$B:$B,'Account Summary'!$C23,'Base File'!$BR:$BR,"Met")/SUM(COUNTIFS('Base File'!$G:$G,"Internal KPI",'Base File'!$B:$B,'Account Summary'!$C23,'Base File'!$BR:$BR,"Met")+COUNTIFS('Base File'!$G:$G,"Internal KPI",'Base File'!$B:$B,'Account Summary'!$C23,'Base File'!$BR:$BR,"Not Met")),"-")</f>
        <v>0.5714285714285714</v>
      </c>
      <c r="BL23" s="100">
        <f>IFERROR(COUNTIFS('Base File'!$BT:$BT,"Met",'Base File'!$B:$B,'Account Summary'!C23)/(COUNTIFS('Base File'!$BT:$BT,"Met",'Base File'!$B:$B,'Account Summary'!C23)+COUNTIFS('Base File'!$BT:$BT,"Not Met",'Base File'!$B:$B,'Account Summary'!C23)),"NR")</f>
        <v>0.5714285714285714</v>
      </c>
      <c r="BM23" s="100" t="str">
        <f>IFERROR(COUNTIFS('Base File'!$G:$G,"Contractual SLA",'Base File'!$H:$H,"No",'Base File'!$B:$B,'Account Summary'!$C23,'Base File'!$BT:$BT,"Met")/SUM(COUNTIFS('Base File'!$G:$G,"Contractual SLA",'Base File'!$H:$H,"No",'Base File'!$B:$B,'Account Summary'!$C23,'Base File'!$BT:$BT,"Met")+COUNTIFS('Base File'!$G:$G,"Contractual SLA",'Base File'!$H:$H,"No",'Base File'!$B:$B,'Account Summary'!$C23,'Base File'!$BT:$BT,"Not Met")),"-")</f>
        <v>-</v>
      </c>
      <c r="BN23" s="100" t="str">
        <f>IFERROR(COUNTIFS('Base File'!$G:$G,"Contractual SLA",'Base File'!$H:$H,"Yes",'Base File'!$B:$B,'Account Summary'!$C23,'Base File'!$BT:$BT,"Met")/SUM(COUNTIFS('Base File'!$G:$G,"Contractual SLA",'Base File'!$H:$H,"yes",'Base File'!$B:$B,'Account Summary'!$C23,'Base File'!$BT:$BT,"Met")+COUNTIFS('Base File'!$G:$G,"Contractual SLA",'Base File'!$H:$H,"yes",'Base File'!$B:$B,'Account Summary'!$C23,'Base File'!$BT:$BT,"Not Met")),"-")</f>
        <v>-</v>
      </c>
      <c r="BO23" s="100">
        <f>IFERROR(COUNTIFS('Base File'!$G:$G,"Internal KPI",'Base File'!$B:$B,'Account Summary'!$C23,'Base File'!$BT:$BT,"Met")/SUM(COUNTIFS('Base File'!$G:$G,"Internal KPI",'Base File'!$B:$B,'Account Summary'!$C23,'Base File'!$BT:$BT,"Met")+COUNTIFS('Base File'!$G:$G,"Internal KPI",'Base File'!$B:$B,'Account Summary'!$C23,'Base File'!$BT:$BT,"Not Met")),"-")</f>
        <v>0.5714285714285714</v>
      </c>
      <c r="BP23" s="100">
        <v>0.71</v>
      </c>
      <c r="BQ23" s="102" t="s">
        <v>107</v>
      </c>
      <c r="BR23" s="100" t="str">
        <f>IFERROR(COUNTIFS('Base File'!$G:$G,"Contractual SLA",'Base File'!$H:$H,"Yes",'Base File'!$B:$B,'Account Summary'!$C23,'Base File'!$BV:$BV,"Met")/SUM(COUNTIFS('Base File'!$G:$G,"Contractual SLA",'Base File'!$H:$H,"Yes",'Base File'!$B:$B,'Account Summary'!$C23,'Base File'!$BV:$BV,"Met")+COUNTIFS('Base File'!$G:$G,"Contractual SLA",'Base File'!$H:$H,"Yes",'Base File'!$B:$B,'Account Summary'!$C23,'Base File'!$BV:$BV,"Not Met")),"-")</f>
        <v>-</v>
      </c>
      <c r="BS23" s="100">
        <v>0.71</v>
      </c>
    </row>
    <row r="24" spans="1:71" s="12" customFormat="1" x14ac:dyDescent="0.25">
      <c r="A24" s="389"/>
      <c r="B24" s="94">
        <v>21</v>
      </c>
      <c r="C24" s="94" t="s">
        <v>30</v>
      </c>
      <c r="D24" s="95" t="s">
        <v>108</v>
      </c>
      <c r="E24" s="95" t="s">
        <v>904</v>
      </c>
      <c r="F24" s="94" t="s">
        <v>900</v>
      </c>
      <c r="G24" s="96"/>
      <c r="H24" s="94"/>
      <c r="I24" s="94" t="s">
        <v>109</v>
      </c>
      <c r="J24" s="89" t="s">
        <v>61</v>
      </c>
      <c r="K24" s="89" t="s">
        <v>11</v>
      </c>
      <c r="L24" s="108">
        <f>IFERROR(COUNTIFS('Base File'!$AR:$AR,"Met",'Base File'!$B:$B,'Account Summary'!C24)/(COUNTIFS('Base File'!$AR:$AR,"Met",'Base File'!$B:$B,'Account Summary'!C24)+COUNTIFS('Base File'!$AR:$AR,"Not Met",'Base File'!$B:$B,'Account Summary'!C24)),"NR")</f>
        <v>0.5</v>
      </c>
      <c r="M24" s="98" t="str">
        <f>IFERROR(COUNTIFS('Base File'!$G:$G,"Contractual SLA",'Base File'!$H:$H,"No",'Base File'!$B:$B,'Account Summary'!$C24,'Base File'!$AR:$AR,"Met")/SUM(COUNTIFS('Base File'!$G:$G,"Contractual SLA",'Base File'!$H:$H,"No",'Base File'!$B:$B,'Account Summary'!$C24,'Base File'!$AR:$AR,"Met")+COUNTIFS('Base File'!$G:$G,"Contractual SLA",'Base File'!$H:$H,"No",'Base File'!$B:$B,'Account Summary'!$C24,'Base File'!$AR:$AR,"Not Met")),"-")</f>
        <v>-</v>
      </c>
      <c r="N24" s="108">
        <f>IFERROR(COUNTIFS('Base File'!$G:$G,"Contractual SLA",'Base File'!$H:$H,"Yes",'Base File'!$B:$B,'Account Summary'!$C24,'Base File'!$AR:$AR,"Met")/SUM(COUNTIFS('Base File'!$G:$G,"Contractual SLA",'Base File'!$H:$H,"yes",'Base File'!$B:$B,'Account Summary'!$C24,'Base File'!$AR:$AR,"Met")+COUNTIFS('Base File'!$G:$G,"Contractual SLA",'Base File'!$H:$H,"yes",'Base File'!$B:$B,'Account Summary'!$C24,'Base File'!$AR:$AR,"Not Met")),"-")</f>
        <v>0.5</v>
      </c>
      <c r="O24" s="108">
        <f>IFERROR(COUNTIFS('Base File'!$G:$G,"Internal KPI",'Base File'!$B:$B,'Account Summary'!$C24,'Base File'!$AR:$AR,"Met")/SUM(COUNTIFS('Base File'!$G:$G,"Internal KPI",'Base File'!$B:$B,'Account Summary'!$C24,'Base File'!$AR:$AR,"Met")+COUNTIFS('Base File'!$G:$G,"Internal KPI",'Base File'!$B:$B,'Account Summary'!$C24,'Base File'!$AR:$AR,"Not Met")),"-")</f>
        <v>0.5</v>
      </c>
      <c r="P24" s="109">
        <f>IFERROR(COUNTIFS('Base File'!$AV:$AV,"Met",'Base File'!$B:$B,'Account Summary'!C24)/(COUNTIFS('Base File'!$AV:$AV,"Met",'Base File'!$B:$B,'Account Summary'!C24)+COUNTIFS('Base File'!$AV:$AV,"Not Met",'Base File'!$B:$B,'Account Summary'!C24)),"NR")</f>
        <v>0.5</v>
      </c>
      <c r="Q24" s="98" t="str">
        <f>IFERROR(COUNTIFS('Base File'!$G:$G,"Contractual SLA",'Base File'!$H:$H,"No",'Base File'!$B:$B,'Account Summary'!$C24,'Base File'!$AV:$AV,"Met")/SUM(COUNTIFS('Base File'!$G:$G,"Contractual SLA",'Base File'!$H:$H,"No",'Base File'!$B:$B,'Account Summary'!$C24,'Base File'!$AV:$AV,"Met")+COUNTIFS('Base File'!$G:$G,"Contractual SLA",'Base File'!$H:$H,"No",'Base File'!$B:$B,'Account Summary'!$C24,'Base File'!$AV:$AV,"Not Met")),"-")</f>
        <v>-</v>
      </c>
      <c r="R24" s="110">
        <f>IFERROR(COUNTIFS('Base File'!$G:$G,"Contractual SLA",'Base File'!$H:$H,"Yes",'Base File'!$B:$B,'Account Summary'!$C24,'Base File'!$AV:$AV,"Met")/SUM(COUNTIFS('Base File'!$G:$G,"Contractual SLA",'Base File'!$H:$H,"yes",'Base File'!$B:$B,'Account Summary'!$C24,'Base File'!$AV:$AV,"Met")+COUNTIFS('Base File'!$G:$G,"Contractual SLA",'Base File'!$H:$H,"yes",'Base File'!$B:$B,'Account Summary'!$C24,'Base File'!$AV:$AV,"Not Met")),"-")</f>
        <v>0.5</v>
      </c>
      <c r="S24" s="109">
        <f>IFERROR(COUNTIFS('Base File'!$G:$G,"Internal KPI",'Base File'!$B:$B,'Account Summary'!$C24,'Base File'!$AV:$AV,"Met")/SUM(COUNTIFS('Base File'!$G:$G,"Internal KPI",'Base File'!$B:$B,'Account Summary'!$C24,'Base File'!$AV:$AV,"Met")+COUNTIFS('Base File'!$G:$G,"Internal KPI",'Base File'!$B:$B,'Account Summary'!$C24,'Base File'!$AV:$AV,"Not Met")),"-")</f>
        <v>0.5</v>
      </c>
      <c r="T24" s="106">
        <f>IFERROR(COUNTIFS('Base File'!$AX:$AX,"Met",'Base File'!$B:$B,'Account Summary'!C24)/(COUNTIFS('Base File'!$AX:$AX,"Met",'Base File'!$B:$B,'Account Summary'!C24)+COUNTIFS('Base File'!$AX:$AX,"Not Met",'Base File'!$B:$B,'Account Summary'!C24)),"NR")</f>
        <v>0.625</v>
      </c>
      <c r="U24" s="101" t="s">
        <v>11</v>
      </c>
      <c r="V24" s="99">
        <f>IFERROR(COUNTIFS('Base File'!$G:$G,"Contractual SLA",'Base File'!$H:$H,"Yes",'Base File'!$B:$B,'Account Summary'!$C24,'Base File'!$AX:$AX,"Met")/SUM(COUNTIFS('Base File'!$G:$G,"Contractual SLA",'Base File'!$H:$H,"yes",'Base File'!$B:$B,'Account Summary'!$C24,'Base File'!$AX:$AX,"Met")+COUNTIFS('Base File'!$G:$G,"Contractual SLA",'Base File'!$H:$H,"yes",'Base File'!$B:$B,'Account Summary'!$C24,'Base File'!$AX:$AX,"Not Met")),"-")</f>
        <v>1</v>
      </c>
      <c r="W24" s="106">
        <f>IFERROR(COUNTIFS('Base File'!$G:$G,"Internal KPI",'Base File'!$B:$B,'Account Summary'!$C24,'Base File'!$AX:$AX,"Met")/SUM(COUNTIFS('Base File'!$G:$G,"Internal KPI",'Base File'!$B:$B,'Account Summary'!$C24,'Base File'!$AX:$AX,"Met")+COUNTIFS('Base File'!$G:$G,"Internal KPI",'Base File'!$B:$B,'Account Summary'!$C24,'Base File'!$AX:$AX,"Not Met")),"-")</f>
        <v>0.5</v>
      </c>
      <c r="X24" s="110">
        <f>IFERROR(COUNTIFS('Base File'!$AZ:$AZ,"Met",'Base File'!$B:$B,'Account Summary'!C24)/(COUNTIFS('Base File'!$AZ:$AZ,"Met",'Base File'!$B:$B,'Account Summary'!C24)+COUNTIFS('Base File'!$AZ:$AZ,"Not Met",'Base File'!$B:$B,'Account Summary'!C24)),"NR")</f>
        <v>0.375</v>
      </c>
      <c r="Y24" s="101" t="str">
        <f>IFERROR(COUNTIFS('Base File'!$G:$G,"Contractual SLA",'Base File'!$H:$H,"No",'Base File'!$B:$B,'Account Summary'!$C24,'Base File'!$AZ:$AZ,"Met")/SUM(COUNTIFS('Base File'!$G:$G,"Contractual SLA",'Base File'!$H:$H,"No",'Base File'!$B:$B,'Account Summary'!$C24,'Base File'!$AZ:$AZ,"Met")+COUNTIFS('Base File'!$G:$G,"Contractual SLA",'Base File'!$H:$H,"No",'Base File'!$B:$B,'Account Summary'!$C24,'Base File'!$AZ:$AZ,"Not Met")),"-")</f>
        <v>-</v>
      </c>
      <c r="Z24" s="106">
        <f>IFERROR(COUNTIFS('Base File'!$G:$G,"Contractual SLA",'Base File'!$H:$H,"Yes",'Base File'!$B:$B,'Account Summary'!$C24,'Base File'!$AZ:$AZ,"Met")/SUM(COUNTIFS('Base File'!$G:$G,"Contractual SLA",'Base File'!$H:$H,"yes",'Base File'!$B:$B,'Account Summary'!$C24,'Base File'!$AZ:$AZ,"Met")+COUNTIFS('Base File'!$G:$G,"Contractual SLA",'Base File'!$H:$H,"yes",'Base File'!$B:$B,'Account Summary'!$C24,'Base File'!$AZ:$AZ,"Not Met")),"-")</f>
        <v>0.5</v>
      </c>
      <c r="AA24" s="110">
        <f>IFERROR(COUNTIFS('Base File'!$G:$G,"Internal KPI",'Base File'!$B:$B,'Account Summary'!$C24,'Base File'!$AZ:$AZ,"Met")/SUM(COUNTIFS('Base File'!$G:$G,"Internal KPI",'Base File'!$B:$B,'Account Summary'!$C24,'Base File'!$AZ:$AZ,"Met")+COUNTIFS('Base File'!$G:$G,"Internal KPI",'Base File'!$B:$B,'Account Summary'!$C24,'Base File'!$AZ:$AZ,"Not Met")),"-")</f>
        <v>0.33333333333333331</v>
      </c>
      <c r="AB24" s="108">
        <f>IFERROR(COUNTIFS('Base File'!$BB:$BB,"Met",'Base File'!$B:$B,'Account Summary'!C24)/(COUNTIFS('Base File'!$BB:$BB,"Met",'Base File'!$B:$B,'Account Summary'!C24)+COUNTIFS('Base File'!$BB:$BB,"Not Met",'Base File'!$B:$B,'Account Summary'!C24)),"NR")</f>
        <v>0.375</v>
      </c>
      <c r="AC24" s="101" t="str">
        <f>IFERROR(COUNTIFS('Base File'!$G:$G,"Contractual SLA",'Base File'!$H:$H,"No",'Base File'!$B:$B,'Account Summary'!$C24,'Base File'!$BB:$BB,"Met")/SUM(COUNTIFS('Base File'!$G:$G,"Contractual SLA",'Base File'!$H:$H,"No",'Base File'!$B:$B,'Account Summary'!$C24,'Base File'!$BB:$BB,"Met")+COUNTIFS('Base File'!$G:$G,"Contractual SLA",'Base File'!$H:$H,"No",'Base File'!$B:$B,'Account Summary'!$C24,'Base File'!$BB:$BB,"Not Met")),"-")</f>
        <v>-</v>
      </c>
      <c r="AD24" s="110">
        <f>IFERROR(COUNTIFS('Base File'!$G:$G,"Contractual SLA",'Base File'!$H:$H,"Yes",'Base File'!$B:$B,'Account Summary'!$C24,'Base File'!$BB:$BB,"Met")/SUM(COUNTIFS('Base File'!$G:$G,"Contractual SLA",'Base File'!$H:$H,"yes",'Base File'!$B:$B,'Account Summary'!$C24,'Base File'!$BB:$BB,"Met")+COUNTIFS('Base File'!$G:$G,"Contractual SLA",'Base File'!$H:$H,"yes",'Base File'!$B:$B,'Account Summary'!$C24,'Base File'!$BB:$BB,"Not Met")),"-")</f>
        <v>0.5</v>
      </c>
      <c r="AE24" s="110">
        <f>IFERROR(COUNTIFS('Base File'!$G:$G,"Internal KPI",'Base File'!$B:$B,'Account Summary'!$C24,'Base File'!$BB:$BB,"Met")/SUM(COUNTIFS('Base File'!$G:$G,"Internal KPI",'Base File'!$B:$B,'Account Summary'!$C24,'Base File'!$BB:$BB,"Met")+COUNTIFS('Base File'!$G:$G,"Internal KPI",'Base File'!$B:$B,'Account Summary'!$C24,'Base File'!$BB:$BB,"Not Met")),"-")</f>
        <v>0.33333333333333331</v>
      </c>
      <c r="AF24" s="106">
        <f>IFERROR(COUNTIFS('Base File'!$BD:$BD,"Met",'Base File'!$B:$B,'Account Summary'!C24)/(COUNTIFS('Base File'!$BD:$BD,"Met",'Base File'!$B:$B,'Account Summary'!C24)+COUNTIFS('Base File'!$BD:$BD,"Not Met",'Base File'!$B:$B,'Account Summary'!C24)),"NR")</f>
        <v>0.5</v>
      </c>
      <c r="AG24" s="100" t="str">
        <f>IFERROR(COUNTIFS('Base File'!$G:$G,"Contractual SLA",'Base File'!$H:$H,"No",'Base File'!$B:$B,'Account Summary'!$C24,'Base File'!$BD:$BD,"Met")/SUM(COUNTIFS('Base File'!$G:$G,"Contractual SLA",'Base File'!$H:$H,"No",'Base File'!$B:$B,'Account Summary'!$C24,'Base File'!$BD:$BD,"Met")+COUNTIFS('Base File'!$G:$G,"Contractual SLA",'Base File'!$H:$H,"No",'Base File'!$B:$B,'Account Summary'!$C24,'Base File'!$BD:$BD,"Not Met")),"-")</f>
        <v>-</v>
      </c>
      <c r="AH24" s="110">
        <f>IFERROR(COUNTIFS('Base File'!$G:$G,"Contractual SLA",'Base File'!$H:$H,"Yes",'Base File'!$B:$B,'Account Summary'!$C24,'Base File'!$BD:$BD,"Met")/SUM(COUNTIFS('Base File'!$G:$G,"Contractual SLA",'Base File'!$H:$H,"yes",'Base File'!$B:$B,'Account Summary'!$C24,'Base File'!$BD:$BD,"Met")+COUNTIFS('Base File'!$G:$G,"Contractual SLA",'Base File'!$H:$H,"yes",'Base File'!$B:$B,'Account Summary'!$C24,'Base File'!$BD:$BD,"Not Met")),"-")</f>
        <v>0.5</v>
      </c>
      <c r="AI24" s="106">
        <f>IFERROR(COUNTIFS('Base File'!$G:$G,"Internal KPI",'Base File'!$B:$B,'Account Summary'!$C24,'Base File'!$BD:$BD,"Met")/SUM(COUNTIFS('Base File'!$G:$G,"Internal KPI",'Base File'!$B:$B,'Account Summary'!$C24,'Base File'!$BD:$BD,"Met")+COUNTIFS('Base File'!$G:$G,"Internal KPI",'Base File'!$B:$B,'Account Summary'!$C24,'Base File'!$BD:$BD,"Not Met")),"-")</f>
        <v>0.5</v>
      </c>
      <c r="AJ24" s="106">
        <f>IFERROR(COUNTIFS('Base File'!$BF:$BF,"Met",'Base File'!$B:$B,'Account Summary'!C24)/(COUNTIFS('Base File'!$BF:$BF,"Met",'Base File'!$B:$B,'Account Summary'!C24)+COUNTIFS('Base File'!$BF:$BF,"Not Met",'Base File'!$B:$B,'Account Summary'!C24)),"NR")</f>
        <v>0.7142857142857143</v>
      </c>
      <c r="AK24" s="100" t="str">
        <f>IFERROR(COUNTIFS('Base File'!$G:$G,"Contractual SLA",'Base File'!$H:$H,"No",'Base File'!$B:$B,'Account Summary'!$C24,'Base File'!$BF:$BF,"Met")/SUM(COUNTIFS('Base File'!$G:$G,"Contractual SLA",'Base File'!$H:$H,"No",'Base File'!$B:$B,'Account Summary'!$C24,'Base File'!$BF:$BF,"Met")+COUNTIFS('Base File'!$G:$G,"Contractual SLA",'Base File'!$H:$H,"No",'Base File'!$B:$B,'Account Summary'!$C24,'Base File'!$BF:$BF,"Not Met")),"-")</f>
        <v>-</v>
      </c>
      <c r="AL24" s="99">
        <f>IFERROR(COUNTIFS('Base File'!$G:$G,"Contractual SLA",'Base File'!$H:$H,"Yes",'Base File'!$B:$B,'Account Summary'!$C24,'Base File'!$BF:$BF,"Met")/SUM(COUNTIFS('Base File'!$G:$G,"Contractual SLA",'Base File'!$H:$H,"yes",'Base File'!$B:$B,'Account Summary'!$C24,'Base File'!$BF:$BF,"Met")+COUNTIFS('Base File'!$G:$G,"Contractual SLA",'Base File'!$H:$H,"yes",'Base File'!$B:$B,'Account Summary'!$C24,'Base File'!$BF:$BF,"Not Met")),"-")</f>
        <v>1</v>
      </c>
      <c r="AM24" s="106">
        <f>IFERROR(COUNTIFS('Base File'!$G:$G,"Internal KPI",'Base File'!$B:$B,'Account Summary'!$C24,'Base File'!$BF:$BF,"Met")/SUM(COUNTIFS('Base File'!$G:$G,"Internal KPI",'Base File'!$B:$B,'Account Summary'!$C24,'Base File'!$BF:$BF,"Met")+COUNTIFS('Base File'!$G:$G,"Internal KPI",'Base File'!$B:$B,'Account Summary'!$C24,'Base File'!$BF:$BF,"Not Met")),"-")</f>
        <v>0.6</v>
      </c>
      <c r="AN24" s="110">
        <f>IFERROR(COUNTIFS('Base File'!$BH:$BH,"Met",'Base File'!$B:$B,'Account Summary'!C24)/(COUNTIFS('Base File'!$BH:$BH,"Met",'Base File'!$B:$B,'Account Summary'!C24)+COUNTIFS('Base File'!$BH:$BH,"Not Met",'Base File'!$B:$B,'Account Summary'!C24)),"NR")</f>
        <v>0.375</v>
      </c>
      <c r="AO24" s="100" t="str">
        <f>IFERROR(COUNTIFS('Base File'!$G:$G,"Contractual SLA",'Base File'!$H:$H,"No",'Base File'!$B:$B,'Account Summary'!$C24,'Base File'!$BH:$BH,"Met")/SUM(COUNTIFS('Base File'!$G:$G,"Contractual SLA",'Base File'!$H:$H,"No",'Base File'!$B:$B,'Account Summary'!$C24,'Base File'!$BH:$BH,"Met")+COUNTIFS('Base File'!$G:$G,"Contractual SLA",'Base File'!$H:$H,"No",'Base File'!$B:$B,'Account Summary'!$C24,'Base File'!$BH:$BH,"Not Met")),"-")</f>
        <v>-</v>
      </c>
      <c r="AP24" s="110">
        <f>IFERROR(COUNTIFS('Base File'!$G:$G,"Contractual SLA",'Base File'!$H:$H,"Yes",'Base File'!$B:$B,'Account Summary'!$C24,'Base File'!$BH:$BH,"Met")/SUM(COUNTIFS('Base File'!$G:$G,"Contractual SLA",'Base File'!$H:$H,"yes",'Base File'!$B:$B,'Account Summary'!$C24,'Base File'!$BH:$BH,"Met")+COUNTIFS('Base File'!$G:$G,"Contractual SLA",'Base File'!$H:$H,"yes",'Base File'!$B:$B,'Account Summary'!$C24,'Base File'!$BH:$BH,"Not Met")),"-")</f>
        <v>0</v>
      </c>
      <c r="AQ24" s="106">
        <f>IFERROR(COUNTIFS('Base File'!$G:$G,"Internal KPI",'Base File'!$B:$B,'Account Summary'!$C24,'Base File'!$BH:$BH,"Met")/SUM(COUNTIFS('Base File'!$G:$G,"Internal KPI",'Base File'!$B:$B,'Account Summary'!$C24,'Base File'!$BH:$BH,"Met")+COUNTIFS('Base File'!$G:$G,"Internal KPI",'Base File'!$B:$B,'Account Summary'!$C24,'Base File'!$BH:$BH,"Not Met")),"-")</f>
        <v>0.5</v>
      </c>
      <c r="AR24" s="100" t="str">
        <f>IFERROR(COUNTIFS('Base File'!$BJ:$BJ,"Met",'Base File'!$B:$B,'Account Summary'!C24)/(COUNTIFS('Base File'!$BJ:$BJ,"Met",'Base File'!$B:$B,'Account Summary'!C24)+COUNTIFS('Base File'!$BJ:$BJ,"Not Met",'Base File'!$B:$B,'Account Summary'!C24)),"NR")</f>
        <v>NR</v>
      </c>
      <c r="AS24" s="101" t="str">
        <f>IFERROR(COUNTIFS('Base File'!$G:$G,"Contractual SLA",'Base File'!$H:$H,"No",'Base File'!$B:$B,'Account Summary'!$C24,'Base File'!$BJ:$BJ,"Met")/SUM(COUNTIFS('Base File'!$G:$G,"Contractual SLA",'Base File'!$H:$H,"No",'Base File'!$B:$B,'Account Summary'!$C24,'Base File'!$BJ:$BJ,"Met")+COUNTIFS('Base File'!$G:$G,"Contractual SLA",'Base File'!$H:$H,"No",'Base File'!$B:$B,'Account Summary'!$C24,'Base File'!$BJ:$BJ,"Not Met")),"-")</f>
        <v>-</v>
      </c>
      <c r="AT24" s="100" t="s">
        <v>103</v>
      </c>
      <c r="AU24" s="100" t="s">
        <v>103</v>
      </c>
      <c r="AV24" s="100">
        <f>IFERROR(COUNTIFS('Base File'!$BL:$BL,"Met",'Base File'!$B:$B,'Account Summary'!C24)/(COUNTIFS('Base File'!$BL:$BL,"Met",'Base File'!$B:$B,'Account Summary'!C24)+COUNTIFS('Base File'!$BL:$BL,"Not Met",'Base File'!$B:$B,'Account Summary'!C24)),"NR")</f>
        <v>0.5</v>
      </c>
      <c r="AW24" s="100" t="str">
        <f>IFERROR(COUNTIFS('Base File'!$G:$G,"Contractual SLA",'Base File'!$H:$H,"No",'Base File'!$B:$B,'Account Summary'!$C24,'Base File'!$BL:$BL,"Met")/SUM(COUNTIFS('Base File'!$G:$G,"Contractual SLA",'Base File'!$H:$H,"No",'Base File'!$B:$B,'Account Summary'!$C24,'Base File'!$BL:$BL,"Met")+COUNTIFS('Base File'!$G:$G,"Contractual SLA",'Base File'!$H:$H,"No",'Base File'!$B:$B,'Account Summary'!$C24,'Base File'!$BL:$BL,"Not Met")),"-")</f>
        <v>-</v>
      </c>
      <c r="AX24" s="100">
        <f>IFERROR(COUNTIFS('Base File'!$G:$G,"Contractual SLA",'Base File'!$H:$H,"Yes",'Base File'!$B:$B,'Account Summary'!$C24,'Base File'!$BL:$BL,"Met")/SUM(COUNTIFS('Base File'!$G:$G,"Contractual SLA",'Base File'!$H:$H,"yes",'Base File'!$B:$B,'Account Summary'!$C24,'Base File'!$BL:$BL,"Met")+COUNTIFS('Base File'!$G:$G,"Contractual SLA",'Base File'!$H:$H,"yes",'Base File'!$B:$B,'Account Summary'!$C24,'Base File'!$BL:$BL,"Not Met")),"-")</f>
        <v>0</v>
      </c>
      <c r="AY24" s="100">
        <f>IFERROR(COUNTIFS('Base File'!$G:$G,"Internal KPI",'Base File'!$B:$B,'Account Summary'!$C24,'Base File'!$BL:$BL,"Met")/SUM(COUNTIFS('Base File'!$G:$G,"Internal KPI",'Base File'!$B:$B,'Account Summary'!$C24,'Base File'!$BL:$BL,"Met")+COUNTIFS('Base File'!$G:$G,"Internal KPI",'Base File'!$B:$B,'Account Summary'!$C24,'Base File'!$BL:$BL,"Not Met")),"-")</f>
        <v>0.66666666666666663</v>
      </c>
      <c r="AZ24" s="106">
        <v>0.5</v>
      </c>
      <c r="BA24" s="100" t="s">
        <v>107</v>
      </c>
      <c r="BB24" s="100">
        <v>0</v>
      </c>
      <c r="BC24" s="106">
        <v>0.66666666666666663</v>
      </c>
      <c r="BD24" s="100" t="str">
        <f>IFERROR(COUNTIFS('Base File'!$BP:$BP,"Met",'Base File'!$B:$B,'Account Summary'!C24)/(COUNTIFS('Base File'!$BP:$BP,"Met",'Base File'!$B:$B,'Account Summary'!C24)+COUNTIFS('Base File'!$BP:$BP,"Not Met",'Base File'!$B:$B,'Account Summary'!C24)),"NR")</f>
        <v>NR</v>
      </c>
      <c r="BE24" s="100" t="str">
        <f>IFERROR(COUNTIFS('Base File'!$G:$G,"Contractual SLA",'Base File'!$H:$H,"No",'Base File'!$B:$B,'Account Summary'!$C24,'Base File'!$BP:$BP,"Met")/SUM(COUNTIFS('Base File'!$G:$G,"Contractual SLA",'Base File'!$H:$H,"No",'Base File'!$B:$B,'Account Summary'!$C24,'Base File'!$BP:$BP,"Met")+COUNTIFS('Base File'!$G:$G,"Contractual SLA",'Base File'!$H:$H,"No",'Base File'!$B:$B,'Account Summary'!$C24,'Base File'!$BP:$BP,"Not Met")),"-")</f>
        <v>-</v>
      </c>
      <c r="BF24" s="100" t="s">
        <v>103</v>
      </c>
      <c r="BG24" s="100" t="s">
        <v>103</v>
      </c>
      <c r="BH24" s="100" t="str">
        <f>IFERROR(COUNTIFS('Base File'!$BR:$BR,"Met",'Base File'!$B:$B,'Account Summary'!C24)/(COUNTIFS('Base File'!$BR:$BR,"Met",'Base File'!$B:$B,'Account Summary'!C24)+COUNTIFS('Base File'!$BR:$BR,"Not Met",'Base File'!$B:$B,'Account Summary'!C24)),"NR")</f>
        <v>NR</v>
      </c>
      <c r="BI24" s="101" t="str">
        <f>IFERROR(COUNTIFS('Base File'!$G:$G,"Contractual SLA",'Base File'!$H:$H,"No",'Base File'!$B:$B,'Account Summary'!$C24,'Base File'!$BR:$BR,"Met")/SUM(COUNTIFS('Base File'!$G:$G,"Contractual SLA",'Base File'!$H:$H,"No",'Base File'!$B:$B,'Account Summary'!$C24,'Base File'!$BR:$BR,"Met")+COUNTIFS('Base File'!$G:$G,"Contractual SLA",'Base File'!$H:$H,"No",'Base File'!$B:$B,'Account Summary'!$C24,'Base File'!$BR:$BR,"Not Met")),"-")</f>
        <v>-</v>
      </c>
      <c r="BJ24" s="100" t="s">
        <v>103</v>
      </c>
      <c r="BK24" s="100" t="s">
        <v>103</v>
      </c>
      <c r="BL24" s="100" t="str">
        <f>IFERROR(COUNTIFS('Base File'!$BT:$BT,"Met",'Base File'!$B:$B,'Account Summary'!C24)/(COUNTIFS('Base File'!$BT:$BT,"Met",'Base File'!$B:$B,'Account Summary'!C24)+COUNTIFS('Base File'!$BT:$BT,"Not Met",'Base File'!$B:$B,'Account Summary'!C24)),"NR")</f>
        <v>NR</v>
      </c>
      <c r="BM24" s="100" t="str">
        <f>IFERROR(COUNTIFS('Base File'!$G:$G,"Contractual SLA",'Base File'!$H:$H,"No",'Base File'!$B:$B,'Account Summary'!$C24,'Base File'!$BT:$BT,"Met")/SUM(COUNTIFS('Base File'!$G:$G,"Contractual SLA",'Base File'!$H:$H,"No",'Base File'!$B:$B,'Account Summary'!$C24,'Base File'!$BT:$BT,"Met")+COUNTIFS('Base File'!$G:$G,"Contractual SLA",'Base File'!$H:$H,"No",'Base File'!$B:$B,'Account Summary'!$C24,'Base File'!$BT:$BT,"Not Met")),"-")</f>
        <v>-</v>
      </c>
      <c r="BN24" s="100" t="s">
        <v>103</v>
      </c>
      <c r="BO24" s="100" t="s">
        <v>103</v>
      </c>
      <c r="BP24" s="100" t="str">
        <f>IFERROR(COUNTIFS('Base File'!$BV:$BV,"Met",'Base File'!$B:$B,'Account Summary'!C24)/(COUNTIFS('Base File'!$BV:$BV,"Met",'Base File'!$B:$B,'Account Summary'!C24)+COUNTIFS('Base File'!$BV:$BV,"Not Met",'Base File'!$B:$B,'Account Summary'!C24)),"NR")</f>
        <v>NR</v>
      </c>
      <c r="BQ24" s="100" t="str">
        <f>IFERROR(COUNTIFS('Base File'!$G:$G,"Internal KPI",'Base File'!$B:$B,'Account Summary'!$C24,'Base File'!$BV:$BV,"Met")/SUM(COUNTIFS('Base File'!$G:$G,"Internal KPI",'Base File'!$B:$B,'Account Summary'!$C24,'Base File'!$BV:$BV,"Met")+COUNTIFS('Base File'!$G:$G,"Internal KPI",'Base File'!$B:$B,'Account Summary'!$C24,'Base File'!$BV:$BV,"Not Met")),"-")</f>
        <v>-</v>
      </c>
      <c r="BR24" s="100" t="s">
        <v>103</v>
      </c>
      <c r="BS24" s="100" t="s">
        <v>103</v>
      </c>
    </row>
    <row r="25" spans="1:71" s="12" customFormat="1" x14ac:dyDescent="0.25">
      <c r="A25" s="389"/>
      <c r="B25" s="94">
        <v>22</v>
      </c>
      <c r="C25" s="94" t="s">
        <v>33</v>
      </c>
      <c r="D25" s="95" t="s">
        <v>108</v>
      </c>
      <c r="E25" s="95" t="s">
        <v>904</v>
      </c>
      <c r="F25" s="94" t="s">
        <v>900</v>
      </c>
      <c r="G25" s="96"/>
      <c r="H25" s="94"/>
      <c r="I25" s="94" t="s">
        <v>109</v>
      </c>
      <c r="J25" s="89" t="s">
        <v>61</v>
      </c>
      <c r="K25" s="89" t="s">
        <v>11</v>
      </c>
      <c r="L25" s="107">
        <f>IFERROR(COUNTIFS('Base File'!$AR:$AR,"Met",'Base File'!$B:$B,'Account Summary'!C25)/(COUNTIFS('Base File'!$AR:$AR,"Met",'Base File'!$B:$B,'Account Summary'!C25)+COUNTIFS('Base File'!$AR:$AR,"Not Met",'Base File'!$B:$B,'Account Summary'!C25)),"NR")</f>
        <v>0.5</v>
      </c>
      <c r="M25" s="98" t="str">
        <f>IFERROR(COUNTIFS('Base File'!$G:$G,"Contractual SLA",'Base File'!$H:$H,"No",'Base File'!$B:$B,'Account Summary'!$C25,'Base File'!$AR:$AR,"Met")/SUM(COUNTIFS('Base File'!$G:$G,"Contractual SLA",'Base File'!$H:$H,"No",'Base File'!$B:$B,'Account Summary'!$C25,'Base File'!$AR:$AR,"Met")+COUNTIFS('Base File'!$G:$G,"Contractual SLA",'Base File'!$H:$H,"No",'Base File'!$B:$B,'Account Summary'!$C25,'Base File'!$AR:$AR,"Not Met")),"-")</f>
        <v>-</v>
      </c>
      <c r="N25" s="108">
        <f>IFERROR(COUNTIFS('Base File'!$G:$G,"Contractual SLA",'Base File'!$H:$H,"Yes",'Base File'!$B:$B,'Account Summary'!$C25,'Base File'!$AR:$AR,"Met")/SUM(COUNTIFS('Base File'!$G:$G,"Contractual SLA",'Base File'!$H:$H,"yes",'Base File'!$B:$B,'Account Summary'!$C25,'Base File'!$AR:$AR,"Met")+COUNTIFS('Base File'!$G:$G,"Contractual SLA",'Base File'!$H:$H,"yes",'Base File'!$B:$B,'Account Summary'!$C25,'Base File'!$AR:$AR,"Not Met")),"-")</f>
        <v>0.25</v>
      </c>
      <c r="O25" s="97">
        <f>IFERROR(COUNTIFS('Base File'!$G:$G,"Internal KPI",'Base File'!$B:$B,'Account Summary'!$C25,'Base File'!$AR:$AR,"Met")/SUM(COUNTIFS('Base File'!$G:$G,"Internal KPI",'Base File'!$B:$B,'Account Summary'!$C25,'Base File'!$AR:$AR,"Met")+COUNTIFS('Base File'!$G:$G,"Internal KPI",'Base File'!$B:$B,'Account Summary'!$C25,'Base File'!$AR:$AR,"Not Met")),"-")</f>
        <v>0.75</v>
      </c>
      <c r="P25" s="110">
        <f>IFERROR(COUNTIFS('Base File'!$AV:$AV,"Met",'Base File'!$B:$B,'Account Summary'!C25)/(COUNTIFS('Base File'!$AV:$AV,"Met",'Base File'!$B:$B,'Account Summary'!C25)+COUNTIFS('Base File'!$AV:$AV,"Not Met",'Base File'!$B:$B,'Account Summary'!C25)),"NR")</f>
        <v>0.42857142857142855</v>
      </c>
      <c r="Q25" s="98" t="str">
        <f>IFERROR(COUNTIFS('Base File'!$G:$G,"Contractual SLA",'Base File'!$H:$H,"No",'Base File'!$B:$B,'Account Summary'!$C25,'Base File'!$AV:$AV,"Met")/SUM(COUNTIFS('Base File'!$G:$G,"Contractual SLA",'Base File'!$H:$H,"No",'Base File'!$B:$B,'Account Summary'!$C25,'Base File'!$AV:$AV,"Met")+COUNTIFS('Base File'!$G:$G,"Contractual SLA",'Base File'!$H:$H,"No",'Base File'!$B:$B,'Account Summary'!$C25,'Base File'!$AV:$AV,"Not Met")),"-")</f>
        <v>-</v>
      </c>
      <c r="R25" s="110">
        <f>IFERROR(COUNTIFS('Base File'!$G:$G,"Contractual SLA",'Base File'!$H:$H,"Yes",'Base File'!$B:$B,'Account Summary'!$C25,'Base File'!$AV:$AV,"Met")/SUM(COUNTIFS('Base File'!$G:$G,"Contractual SLA",'Base File'!$H:$H,"yes",'Base File'!$B:$B,'Account Summary'!$C25,'Base File'!$AV:$AV,"Met")+COUNTIFS('Base File'!$G:$G,"Contractual SLA",'Base File'!$H:$H,"yes",'Base File'!$B:$B,'Account Summary'!$C25,'Base File'!$AV:$AV,"Not Met")),"-")</f>
        <v>0.5</v>
      </c>
      <c r="S25" s="110">
        <f>IFERROR(COUNTIFS('Base File'!$G:$G,"Internal KPI",'Base File'!$B:$B,'Account Summary'!$C25,'Base File'!$AV:$AV,"Met")/SUM(COUNTIFS('Base File'!$G:$G,"Internal KPI",'Base File'!$B:$B,'Account Summary'!$C25,'Base File'!$AV:$AV,"Met")+COUNTIFS('Base File'!$G:$G,"Internal KPI",'Base File'!$B:$B,'Account Summary'!$C25,'Base File'!$AV:$AV,"Not Met")),"-")</f>
        <v>0.33333333333333331</v>
      </c>
      <c r="T25" s="106">
        <f>IFERROR(COUNTIFS('Base File'!$AX:$AX,"Met",'Base File'!$B:$B,'Account Summary'!C25)/(COUNTIFS('Base File'!$AX:$AX,"Met",'Base File'!$B:$B,'Account Summary'!C25)+COUNTIFS('Base File'!$AX:$AX,"Not Met",'Base File'!$B:$B,'Account Summary'!C25)),"NR")</f>
        <v>0.7142857142857143</v>
      </c>
      <c r="U25" s="101" t="s">
        <v>11</v>
      </c>
      <c r="V25" s="110">
        <f>IFERROR(COUNTIFS('Base File'!$G:$G,"Contractual SLA",'Base File'!$H:$H,"Yes",'Base File'!$B:$B,'Account Summary'!$C25,'Base File'!$AX:$AX,"Met")/SUM(COUNTIFS('Base File'!$G:$G,"Contractual SLA",'Base File'!$H:$H,"yes",'Base File'!$B:$B,'Account Summary'!$C25,'Base File'!$AX:$AX,"Met")+COUNTIFS('Base File'!$G:$G,"Contractual SLA",'Base File'!$H:$H,"yes",'Base File'!$B:$B,'Account Summary'!$C25,'Base File'!$AX:$AX,"Not Met")),"-")</f>
        <v>0.5</v>
      </c>
      <c r="W25" s="99">
        <f>IFERROR(COUNTIFS('Base File'!$G:$G,"Internal KPI",'Base File'!$B:$B,'Account Summary'!$C25,'Base File'!$AX:$AX,"Met")/SUM(COUNTIFS('Base File'!$G:$G,"Internal KPI",'Base File'!$B:$B,'Account Summary'!$C25,'Base File'!$AX:$AX,"Met")+COUNTIFS('Base File'!$G:$G,"Internal KPI",'Base File'!$B:$B,'Account Summary'!$C25,'Base File'!$AX:$AX,"Not Met")),"-")</f>
        <v>1</v>
      </c>
      <c r="X25" s="106">
        <f>IFERROR(COUNTIFS('Base File'!$AZ:$AZ,"Met",'Base File'!$B:$B,'Account Summary'!C25)/(COUNTIFS('Base File'!$AZ:$AZ,"Met",'Base File'!$B:$B,'Account Summary'!C25)+COUNTIFS('Base File'!$AZ:$AZ,"Not Met",'Base File'!$B:$B,'Account Summary'!C25)),"NR")</f>
        <v>0.66666666666666663</v>
      </c>
      <c r="Y25" s="101" t="str">
        <f>IFERROR(COUNTIFS('Base File'!$G:$G,"Contractual SLA",'Base File'!$H:$H,"No",'Base File'!$B:$B,'Account Summary'!$C25,'Base File'!$AZ:$AZ,"Met")/SUM(COUNTIFS('Base File'!$G:$G,"Contractual SLA",'Base File'!$H:$H,"No",'Base File'!$B:$B,'Account Summary'!$C25,'Base File'!$AZ:$AZ,"Met")+COUNTIFS('Base File'!$G:$G,"Contractual SLA",'Base File'!$H:$H,"No",'Base File'!$B:$B,'Account Summary'!$C25,'Base File'!$AZ:$AZ,"Not Met")),"-")</f>
        <v>-</v>
      </c>
      <c r="Z25" s="106">
        <f>IFERROR(COUNTIFS('Base File'!$G:$G,"Contractual SLA",'Base File'!$H:$H,"Yes",'Base File'!$B:$B,'Account Summary'!$C25,'Base File'!$AZ:$AZ,"Met")/SUM(COUNTIFS('Base File'!$G:$G,"Contractual SLA",'Base File'!$H:$H,"yes",'Base File'!$B:$B,'Account Summary'!$C25,'Base File'!$AZ:$AZ,"Met")+COUNTIFS('Base File'!$G:$G,"Contractual SLA",'Base File'!$H:$H,"yes",'Base File'!$B:$B,'Account Summary'!$C25,'Base File'!$AZ:$AZ,"Not Met")),"-")</f>
        <v>0.66666666666666663</v>
      </c>
      <c r="AA25" s="106">
        <f>IFERROR(COUNTIFS('Base File'!$G:$G,"Internal KPI",'Base File'!$B:$B,'Account Summary'!$C25,'Base File'!$AZ:$AZ,"Met")/SUM(COUNTIFS('Base File'!$G:$G,"Internal KPI",'Base File'!$B:$B,'Account Summary'!$C25,'Base File'!$AZ:$AZ,"Met")+COUNTIFS('Base File'!$G:$G,"Internal KPI",'Base File'!$B:$B,'Account Summary'!$C25,'Base File'!$AZ:$AZ,"Not Met")),"-")</f>
        <v>0.66666666666666663</v>
      </c>
      <c r="AB25" s="106">
        <f>IFERROR(COUNTIFS('Base File'!$BB:$BB,"Met",'Base File'!$B:$B,'Account Summary'!C25)/(COUNTIFS('Base File'!$BB:$BB,"Met",'Base File'!$B:$B,'Account Summary'!C25)+COUNTIFS('Base File'!$BB:$BB,"Not Met",'Base File'!$B:$B,'Account Summary'!C25)),"NR")</f>
        <v>0.66666666666666663</v>
      </c>
      <c r="AC25" s="101" t="str">
        <f>IFERROR(COUNTIFS('Base File'!$G:$G,"Contractual SLA",'Base File'!$H:$H,"No",'Base File'!$B:$B,'Account Summary'!$C25,'Base File'!$BB:$BB,"Met")/SUM(COUNTIFS('Base File'!$G:$G,"Contractual SLA",'Base File'!$H:$H,"No",'Base File'!$B:$B,'Account Summary'!$C25,'Base File'!$BB:$BB,"Met")+COUNTIFS('Base File'!$G:$G,"Contractual SLA",'Base File'!$H:$H,"No",'Base File'!$B:$B,'Account Summary'!$C25,'Base File'!$BB:$BB,"Not Met")),"-")</f>
        <v>-</v>
      </c>
      <c r="AD25" s="110">
        <f>IFERROR(COUNTIFS('Base File'!$G:$G,"Contractual SLA",'Base File'!$H:$H,"Yes",'Base File'!$B:$B,'Account Summary'!$C25,'Base File'!$BB:$BB,"Met")/SUM(COUNTIFS('Base File'!$G:$G,"Contractual SLA",'Base File'!$H:$H,"yes",'Base File'!$B:$B,'Account Summary'!$C25,'Base File'!$BB:$BB,"Met")+COUNTIFS('Base File'!$G:$G,"Contractual SLA",'Base File'!$H:$H,"yes",'Base File'!$B:$B,'Account Summary'!$C25,'Base File'!$BB:$BB,"Not Met")),"-")</f>
        <v>0.66666666666666663</v>
      </c>
      <c r="AE25" s="106">
        <f>IFERROR(COUNTIFS('Base File'!$G:$G,"Internal KPI",'Base File'!$B:$B,'Account Summary'!$C25,'Base File'!$BB:$BB,"Met")/SUM(COUNTIFS('Base File'!$G:$G,"Internal KPI",'Base File'!$B:$B,'Account Summary'!$C25,'Base File'!$BB:$BB,"Met")+COUNTIFS('Base File'!$G:$G,"Internal KPI",'Base File'!$B:$B,'Account Summary'!$C25,'Base File'!$BB:$BB,"Not Met")),"-")</f>
        <v>0.66666666666666663</v>
      </c>
      <c r="AF25" s="106">
        <f>IFERROR(COUNTIFS('Base File'!$BD:$BD,"Met",'Base File'!$B:$B,'Account Summary'!C25)/(COUNTIFS('Base File'!$BD:$BD,"Met",'Base File'!$B:$B,'Account Summary'!C25)+COUNTIFS('Base File'!$BD:$BD,"Not Met",'Base File'!$B:$B,'Account Summary'!C25)),"NR")</f>
        <v>0.5</v>
      </c>
      <c r="AG25" s="100" t="str">
        <f>IFERROR(COUNTIFS('Base File'!$G:$G,"Contractual SLA",'Base File'!$H:$H,"No",'Base File'!$B:$B,'Account Summary'!$C25,'Base File'!$BD:$BD,"Met")/SUM(COUNTIFS('Base File'!$G:$G,"Contractual SLA",'Base File'!$H:$H,"No",'Base File'!$B:$B,'Account Summary'!$C25,'Base File'!$BD:$BD,"Met")+COUNTIFS('Base File'!$G:$G,"Contractual SLA",'Base File'!$H:$H,"No",'Base File'!$B:$B,'Account Summary'!$C25,'Base File'!$BD:$BD,"Not Met")),"-")</f>
        <v>-</v>
      </c>
      <c r="AH25" s="110">
        <f>IFERROR(COUNTIFS('Base File'!$G:$G,"Contractual SLA",'Base File'!$H:$H,"Yes",'Base File'!$B:$B,'Account Summary'!$C25,'Base File'!$BD:$BD,"Met")/SUM(COUNTIFS('Base File'!$G:$G,"Contractual SLA",'Base File'!$H:$H,"yes",'Base File'!$B:$B,'Account Summary'!$C25,'Base File'!$BD:$BD,"Met")+COUNTIFS('Base File'!$G:$G,"Contractual SLA",'Base File'!$H:$H,"yes",'Base File'!$B:$B,'Account Summary'!$C25,'Base File'!$BD:$BD,"Not Met")),"-")</f>
        <v>0.33333333333333331</v>
      </c>
      <c r="AI25" s="106">
        <f>IFERROR(COUNTIFS('Base File'!$G:$G,"Internal KPI",'Base File'!$B:$B,'Account Summary'!$C25,'Base File'!$BD:$BD,"Met")/SUM(COUNTIFS('Base File'!$G:$G,"Internal KPI",'Base File'!$B:$B,'Account Summary'!$C25,'Base File'!$BD:$BD,"Met")+COUNTIFS('Base File'!$G:$G,"Internal KPI",'Base File'!$B:$B,'Account Summary'!$C25,'Base File'!$BD:$BD,"Not Met")),"-")</f>
        <v>0.66666666666666663</v>
      </c>
      <c r="AJ25" s="110">
        <f>IFERROR(COUNTIFS('Base File'!$BF:$BF,"Met",'Base File'!$B:$B,'Account Summary'!C25)/(COUNTIFS('Base File'!$BF:$BF,"Met",'Base File'!$B:$B,'Account Summary'!C25)+COUNTIFS('Base File'!$BF:$BF,"Not Met",'Base File'!$B:$B,'Account Summary'!C25)),"NR")</f>
        <v>0.42857142857142855</v>
      </c>
      <c r="AK25" s="100" t="str">
        <f>IFERROR(COUNTIFS('Base File'!$G:$G,"Contractual SLA",'Base File'!$H:$H,"No",'Base File'!$B:$B,'Account Summary'!$C25,'Base File'!$BF:$BF,"Met")/SUM(COUNTIFS('Base File'!$G:$G,"Contractual SLA",'Base File'!$H:$H,"No",'Base File'!$B:$B,'Account Summary'!$C25,'Base File'!$BF:$BF,"Met")+COUNTIFS('Base File'!$G:$G,"Contractual SLA",'Base File'!$H:$H,"No",'Base File'!$B:$B,'Account Summary'!$C25,'Base File'!$BF:$BF,"Not Met")),"-")</f>
        <v>-</v>
      </c>
      <c r="AL25" s="110">
        <f>IFERROR(COUNTIFS('Base File'!$G:$G,"Contractual SLA",'Base File'!$H:$H,"Yes",'Base File'!$B:$B,'Account Summary'!$C25,'Base File'!$BF:$BF,"Met")/SUM(COUNTIFS('Base File'!$G:$G,"Contractual SLA",'Base File'!$H:$H,"yes",'Base File'!$B:$B,'Account Summary'!$C25,'Base File'!$BF:$BF,"Met")+COUNTIFS('Base File'!$G:$G,"Contractual SLA",'Base File'!$H:$H,"yes",'Base File'!$B:$B,'Account Summary'!$C25,'Base File'!$BF:$BF,"Not Met")),"-")</f>
        <v>0.25</v>
      </c>
      <c r="AM25" s="106">
        <f>IFERROR(COUNTIFS('Base File'!$G:$G,"Internal KPI",'Base File'!$B:$B,'Account Summary'!$C25,'Base File'!$BF:$BF,"Met")/SUM(COUNTIFS('Base File'!$G:$G,"Internal KPI",'Base File'!$B:$B,'Account Summary'!$C25,'Base File'!$BF:$BF,"Met")+COUNTIFS('Base File'!$G:$G,"Internal KPI",'Base File'!$B:$B,'Account Summary'!$C25,'Base File'!$BF:$BF,"Not Met")),"-")</f>
        <v>0.66666666666666663</v>
      </c>
      <c r="AN25" s="110">
        <f>IFERROR(COUNTIFS('Base File'!$BH:$BH,"Met",'Base File'!$B:$B,'Account Summary'!C25)/(COUNTIFS('Base File'!$BH:$BH,"Met",'Base File'!$B:$B,'Account Summary'!C25)+COUNTIFS('Base File'!$BH:$BH,"Not Met",'Base File'!$B:$B,'Account Summary'!C25)),"NR")</f>
        <v>0.14285714285714285</v>
      </c>
      <c r="AO25" s="100" t="str">
        <f>IFERROR(COUNTIFS('Base File'!$G:$G,"Contractual SLA",'Base File'!$H:$H,"No",'Base File'!$B:$B,'Account Summary'!$C25,'Base File'!$BH:$BH,"Met")/SUM(COUNTIFS('Base File'!$G:$G,"Contractual SLA",'Base File'!$H:$H,"No",'Base File'!$B:$B,'Account Summary'!$C25,'Base File'!$BH:$BH,"Met")+COUNTIFS('Base File'!$G:$G,"Contractual SLA",'Base File'!$H:$H,"No",'Base File'!$B:$B,'Account Summary'!$C25,'Base File'!$BH:$BH,"Not Met")),"-")</f>
        <v>-</v>
      </c>
      <c r="AP25" s="110">
        <f>IFERROR(COUNTIFS('Base File'!$G:$G,"Contractual SLA",'Base File'!$H:$H,"Yes",'Base File'!$B:$B,'Account Summary'!$C25,'Base File'!$BH:$BH,"Met")/SUM(COUNTIFS('Base File'!$G:$G,"Contractual SLA",'Base File'!$H:$H,"yes",'Base File'!$B:$B,'Account Summary'!$C25,'Base File'!$BH:$BH,"Met")+COUNTIFS('Base File'!$G:$G,"Contractual SLA",'Base File'!$H:$H,"yes",'Base File'!$B:$B,'Account Summary'!$C25,'Base File'!$BH:$BH,"Not Met")),"-")</f>
        <v>0.25</v>
      </c>
      <c r="AQ25" s="110">
        <f>IFERROR(COUNTIFS('Base File'!$G:$G,"Internal KPI",'Base File'!$B:$B,'Account Summary'!$C25,'Base File'!$BH:$BH,"Met")/SUM(COUNTIFS('Base File'!$G:$G,"Internal KPI",'Base File'!$B:$B,'Account Summary'!$C25,'Base File'!$BH:$BH,"Met")+COUNTIFS('Base File'!$G:$G,"Internal KPI",'Base File'!$B:$B,'Account Summary'!$C25,'Base File'!$BH:$BH,"Not Met")),"-")</f>
        <v>0</v>
      </c>
      <c r="AR25" s="100" t="str">
        <f>IFERROR(COUNTIFS('Base File'!$BJ:$BJ,"Met",'Base File'!$B:$B,'Account Summary'!C25)/(COUNTIFS('Base File'!$BJ:$BJ,"Met",'Base File'!$B:$B,'Account Summary'!C25)+COUNTIFS('Base File'!$BJ:$BJ,"Not Met",'Base File'!$B:$B,'Account Summary'!C25)),"NR")</f>
        <v>NR</v>
      </c>
      <c r="AS25" s="101" t="str">
        <f>IFERROR(COUNTIFS('Base File'!$G:$G,"Contractual SLA",'Base File'!$H:$H,"No",'Base File'!$B:$B,'Account Summary'!$C25,'Base File'!$BJ:$BJ,"Met")/SUM(COUNTIFS('Base File'!$G:$G,"Contractual SLA",'Base File'!$H:$H,"No",'Base File'!$B:$B,'Account Summary'!$C25,'Base File'!$BJ:$BJ,"Met")+COUNTIFS('Base File'!$G:$G,"Contractual SLA",'Base File'!$H:$H,"No",'Base File'!$B:$B,'Account Summary'!$C25,'Base File'!$BJ:$BJ,"Not Met")),"-")</f>
        <v>-</v>
      </c>
      <c r="AT25" s="100" t="str">
        <f>IFERROR(COUNTIFS('Base File'!$BJ:$BJ,"Met",'Base File'!$B:$B,'Account Summary'!F25)/(COUNTIFS('Base File'!$BJ:$BJ,"Met",'Base File'!$B:$B,'Account Summary'!F25)+COUNTIFS('Base File'!$BJ:$BJ,"Not Met",'Base File'!$B:$B,'Account Summary'!F25)),"NR")</f>
        <v>NR</v>
      </c>
      <c r="AU25" s="100" t="str">
        <f>IFERROR(COUNTIFS('Base File'!$BJ:$BJ,"Met",'Base File'!$B:$B,'Account Summary'!G25)/(COUNTIFS('Base File'!$BJ:$BJ,"Met",'Base File'!$B:$B,'Account Summary'!G25)+COUNTIFS('Base File'!$BJ:$BJ,"Not Met",'Base File'!$B:$B,'Account Summary'!G25)),"NR")</f>
        <v>NR</v>
      </c>
      <c r="AV25" s="100">
        <f>IFERROR(COUNTIFS('Base File'!$BL:$BL,"Met",'Base File'!$B:$B,'Account Summary'!C25)/(COUNTIFS('Base File'!$BL:$BL,"Met",'Base File'!$B:$B,'Account Summary'!C25)+COUNTIFS('Base File'!$BL:$BL,"Not Met",'Base File'!$B:$B,'Account Summary'!C25)),"NR")</f>
        <v>0.2</v>
      </c>
      <c r="AW25" s="100" t="str">
        <f>IFERROR(COUNTIFS('Base File'!$G:$G,"Contractual SLA",'Base File'!$H:$H,"No",'Base File'!$B:$B,'Account Summary'!$C25,'Base File'!$BL:$BL,"Met")/SUM(COUNTIFS('Base File'!$G:$G,"Contractual SLA",'Base File'!$H:$H,"No",'Base File'!$B:$B,'Account Summary'!$C25,'Base File'!$BL:$BL,"Met")+COUNTIFS('Base File'!$G:$G,"Contractual SLA",'Base File'!$H:$H,"No",'Base File'!$B:$B,'Account Summary'!$C25,'Base File'!$BL:$BL,"Not Met")),"-")</f>
        <v>-</v>
      </c>
      <c r="AX25" s="100">
        <f>IFERROR(COUNTIFS('Base File'!$G:$G,"Contractual SLA",'Base File'!$H:$H,"Yes",'Base File'!$B:$B,'Account Summary'!$C25,'Base File'!$BL:$BL,"Met")/SUM(COUNTIFS('Base File'!$G:$G,"Contractual SLA",'Base File'!$H:$H,"yes",'Base File'!$B:$B,'Account Summary'!$C25,'Base File'!$BL:$BL,"Met")+COUNTIFS('Base File'!$G:$G,"Contractual SLA",'Base File'!$H:$H,"yes",'Base File'!$B:$B,'Account Summary'!$C25,'Base File'!$BL:$BL,"Not Met")),"-")</f>
        <v>0.33333333333333331</v>
      </c>
      <c r="AY25" s="100">
        <f>IFERROR(COUNTIFS('Base File'!$G:$G,"Internal KPI",'Base File'!$B:$B,'Account Summary'!$C25,'Base File'!$BL:$BL,"Met")/SUM(COUNTIFS('Base File'!$G:$G,"Internal KPI",'Base File'!$B:$B,'Account Summary'!$C25,'Base File'!$BL:$BL,"Met")+COUNTIFS('Base File'!$G:$G,"Internal KPI",'Base File'!$B:$B,'Account Summary'!$C25,'Base File'!$BL:$BL,"Not Met")),"-")</f>
        <v>0</v>
      </c>
      <c r="AZ25" s="100">
        <v>0.2857142857142857</v>
      </c>
      <c r="BA25" s="100" t="s">
        <v>107</v>
      </c>
      <c r="BB25" s="100">
        <v>0.25</v>
      </c>
      <c r="BC25" s="100">
        <v>0.33333333333333331</v>
      </c>
      <c r="BD25" s="100" t="str">
        <f>IFERROR(COUNTIFS('Base File'!$BP:$BP,"Met",'Base File'!$B:$B,'Account Summary'!C25)/(COUNTIFS('Base File'!$BP:$BP,"Met",'Base File'!$B:$B,'Account Summary'!C25)+COUNTIFS('Base File'!$BP:$BP,"Not Met",'Base File'!$B:$B,'Account Summary'!C25)),"NR")</f>
        <v>NR</v>
      </c>
      <c r="BE25" s="100" t="str">
        <f>IFERROR(COUNTIFS('Base File'!$G:$G,"Contractual SLA",'Base File'!$H:$H,"No",'Base File'!$B:$B,'Account Summary'!$C25,'Base File'!$BP:$BP,"Met")/SUM(COUNTIFS('Base File'!$G:$G,"Contractual SLA",'Base File'!$H:$H,"No",'Base File'!$B:$B,'Account Summary'!$C25,'Base File'!$BP:$BP,"Met")+COUNTIFS('Base File'!$G:$G,"Contractual SLA",'Base File'!$H:$H,"No",'Base File'!$B:$B,'Account Summary'!$C25,'Base File'!$BP:$BP,"Not Met")),"-")</f>
        <v>-</v>
      </c>
      <c r="BF25" s="100" t="s">
        <v>103</v>
      </c>
      <c r="BG25" s="100" t="s">
        <v>103</v>
      </c>
      <c r="BH25" s="100" t="str">
        <f>IFERROR(COUNTIFS('Base File'!$BR:$BR,"Met",'Base File'!$B:$B,'Account Summary'!C25)/(COUNTIFS('Base File'!$BR:$BR,"Met",'Base File'!$B:$B,'Account Summary'!C25)+COUNTIFS('Base File'!$BR:$BR,"Not Met",'Base File'!$B:$B,'Account Summary'!C25)),"NR")</f>
        <v>NR</v>
      </c>
      <c r="BI25" s="101" t="str">
        <f>IFERROR(COUNTIFS('Base File'!$G:$G,"Contractual SLA",'Base File'!$H:$H,"No",'Base File'!$B:$B,'Account Summary'!$C25,'Base File'!$BR:$BR,"Met")/SUM(COUNTIFS('Base File'!$G:$G,"Contractual SLA",'Base File'!$H:$H,"No",'Base File'!$B:$B,'Account Summary'!$C25,'Base File'!$BR:$BR,"Met")+COUNTIFS('Base File'!$G:$G,"Contractual SLA",'Base File'!$H:$H,"No",'Base File'!$B:$B,'Account Summary'!$C25,'Base File'!$BR:$BR,"Not Met")),"-")</f>
        <v>-</v>
      </c>
      <c r="BJ25" s="100" t="s">
        <v>103</v>
      </c>
      <c r="BK25" s="100" t="s">
        <v>103</v>
      </c>
      <c r="BL25" s="100" t="str">
        <f>IFERROR(COUNTIFS('Base File'!$BT:$BT,"Met",'Base File'!$B:$B,'Account Summary'!C25)/(COUNTIFS('Base File'!$BT:$BT,"Met",'Base File'!$B:$B,'Account Summary'!C25)+COUNTIFS('Base File'!$BT:$BT,"Not Met",'Base File'!$B:$B,'Account Summary'!C25)),"NR")</f>
        <v>NR</v>
      </c>
      <c r="BM25" s="100" t="str">
        <f>IFERROR(COUNTIFS('Base File'!$G:$G,"Contractual SLA",'Base File'!$H:$H,"No",'Base File'!$B:$B,'Account Summary'!$C25,'Base File'!$BT:$BT,"Met")/SUM(COUNTIFS('Base File'!$G:$G,"Contractual SLA",'Base File'!$H:$H,"No",'Base File'!$B:$B,'Account Summary'!$C25,'Base File'!$BT:$BT,"Met")+COUNTIFS('Base File'!$G:$G,"Contractual SLA",'Base File'!$H:$H,"No",'Base File'!$B:$B,'Account Summary'!$C25,'Base File'!$BT:$BT,"Not Met")),"-")</f>
        <v>-</v>
      </c>
      <c r="BN25" s="100" t="s">
        <v>103</v>
      </c>
      <c r="BO25" s="100" t="s">
        <v>103</v>
      </c>
      <c r="BP25" s="100" t="str">
        <f>IFERROR(COUNTIFS('Base File'!$BV:$BV,"Met",'Base File'!$B:$B,'Account Summary'!C25)/(COUNTIFS('Base File'!$BV:$BV,"Met",'Base File'!$B:$B,'Account Summary'!C25)+COUNTIFS('Base File'!$BV:$BV,"Not Met",'Base File'!$B:$B,'Account Summary'!C25)),"NR")</f>
        <v>NR</v>
      </c>
      <c r="BQ25" s="100" t="str">
        <f>IFERROR(COUNTIFS('Base File'!$G:$G,"Internal KPI",'Base File'!$B:$B,'Account Summary'!$C25,'Base File'!$BV:$BV,"Met")/SUM(COUNTIFS('Base File'!$G:$G,"Internal KPI",'Base File'!$B:$B,'Account Summary'!$C25,'Base File'!$BV:$BV,"Met")+COUNTIFS('Base File'!$G:$G,"Internal KPI",'Base File'!$B:$B,'Account Summary'!$C25,'Base File'!$BV:$BV,"Not Met")),"-")</f>
        <v>-</v>
      </c>
      <c r="BR25" s="100" t="s">
        <v>103</v>
      </c>
      <c r="BS25" s="100" t="s">
        <v>103</v>
      </c>
    </row>
    <row r="26" spans="1:71" s="12" customFormat="1" x14ac:dyDescent="0.25">
      <c r="A26" s="389"/>
      <c r="B26" s="94">
        <v>23</v>
      </c>
      <c r="C26" s="95" t="s">
        <v>34</v>
      </c>
      <c r="D26" s="95" t="s">
        <v>110</v>
      </c>
      <c r="E26" s="95" t="s">
        <v>903</v>
      </c>
      <c r="F26" s="94" t="s">
        <v>899</v>
      </c>
      <c r="G26" s="96"/>
      <c r="H26" s="94"/>
      <c r="I26" s="94" t="s">
        <v>115</v>
      </c>
      <c r="J26" s="89" t="s">
        <v>67</v>
      </c>
      <c r="K26" s="89" t="s">
        <v>65</v>
      </c>
      <c r="L26" s="97">
        <f>IFERROR(COUNTIFS('Base File'!$AR:$AR,"Met",'Base File'!$B:$B,'Account Summary'!C26)/(COUNTIFS('Base File'!$AR:$AR,"Met",'Base File'!$B:$B,'Account Summary'!C26)+COUNTIFS('Base File'!$AR:$AR,"Not Met",'Base File'!$B:$B,'Account Summary'!C26)),"NR")</f>
        <v>0.7857142857142857</v>
      </c>
      <c r="M26" s="97">
        <f>IFERROR(COUNTIFS('Base File'!$G:$G,"Contractual SLA",'Base File'!$H:$H,"No",'Base File'!$B:$B,'Account Summary'!$C26,'Base File'!$AR:$AR,"Met")/SUM(COUNTIFS('Base File'!$G:$G,"Contractual SLA",'Base File'!$H:$H,"No",'Base File'!$B:$B,'Account Summary'!$C26,'Base File'!$AR:$AR,"Met")+COUNTIFS('Base File'!$G:$G,"Contractual SLA",'Base File'!$H:$H,"No",'Base File'!$B:$B,'Account Summary'!$C26,'Base File'!$AR:$AR,"Not Met")),"-")</f>
        <v>0.8</v>
      </c>
      <c r="N26" s="98" t="str">
        <f>IFERROR(COUNTIFS('Base File'!$G:$G,"Contractual SLA",'Base File'!$H:$H,"Yes",'Base File'!$B:$B,'Account Summary'!$C26,'Base File'!$AR:$AR,"Met")/SUM(COUNTIFS('Base File'!$G:$G,"Contractual SLA",'Base File'!$H:$H,"yes",'Base File'!$B:$B,'Account Summary'!$C26,'Base File'!$AR:$AR,"Met")+COUNTIFS('Base File'!$G:$G,"Contractual SLA",'Base File'!$H:$H,"yes",'Base File'!$B:$B,'Account Summary'!$C26,'Base File'!$AR:$AR,"Not Met")),"-")</f>
        <v>-</v>
      </c>
      <c r="O26" s="97">
        <f>IFERROR(COUNTIFS('Base File'!$G:$G,"Internal KPI",'Base File'!$B:$B,'Account Summary'!$C26,'Base File'!$AR:$AR,"Met")/SUM(COUNTIFS('Base File'!$G:$G,"Internal KPI",'Base File'!$B:$B,'Account Summary'!$C26,'Base File'!$AR:$AR,"Met")+COUNTIFS('Base File'!$G:$G,"Internal KPI",'Base File'!$B:$B,'Account Summary'!$C26,'Base File'!$AR:$AR,"Not Met")),"-")</f>
        <v>0.77777777777777779</v>
      </c>
      <c r="P26" s="99">
        <f>IFERROR(COUNTIFS('Base File'!$AV:$AV,"Met",'Base File'!$B:$B,'Account Summary'!C26)/(COUNTIFS('Base File'!$AV:$AV,"Met",'Base File'!$B:$B,'Account Summary'!C26)+COUNTIFS('Base File'!$AV:$AV,"Not Met",'Base File'!$B:$B,'Account Summary'!C26)),"NR")</f>
        <v>0.76923076923076927</v>
      </c>
      <c r="Q26" s="99">
        <f>IFERROR(COUNTIFS('Base File'!$G:$G,"Contractual SLA",'Base File'!$H:$H,"No",'Base File'!$B:$B,'Account Summary'!$C26,'Base File'!$AV:$AV,"Met")/SUM(COUNTIFS('Base File'!$G:$G,"Contractual SLA",'Base File'!$H:$H,"No",'Base File'!$B:$B,'Account Summary'!$C26,'Base File'!$AV:$AV,"Met")+COUNTIFS('Base File'!$G:$G,"Contractual SLA",'Base File'!$H:$H,"No",'Base File'!$B:$B,'Account Summary'!$C26,'Base File'!$AV:$AV,"Not Met")),"-")</f>
        <v>0.75</v>
      </c>
      <c r="R26" s="103" t="str">
        <f>IFERROR(COUNTIFS('Base File'!$G:$G,"Contractual SLA",'Base File'!$H:$H,"Yes",'Base File'!$B:$B,'Account Summary'!$C26,'Base File'!$AV:$AV,"Met")/SUM(COUNTIFS('Base File'!$G:$G,"Contractual SLA",'Base File'!$H:$H,"yes",'Base File'!$B:$B,'Account Summary'!$C26,'Base File'!$AV:$AV,"Met")+COUNTIFS('Base File'!$G:$G,"Contractual SLA",'Base File'!$H:$H,"yes",'Base File'!$B:$B,'Account Summary'!$C26,'Base File'!$AV:$AV,"Not Met")),"-")</f>
        <v>-</v>
      </c>
      <c r="S26" s="99">
        <f>IFERROR(COUNTIFS('Base File'!$G:$G,"Internal KPI",'Base File'!$B:$B,'Account Summary'!$C26,'Base File'!$AV:$AV,"Met")/SUM(COUNTIFS('Base File'!$G:$G,"Internal KPI",'Base File'!$B:$B,'Account Summary'!$C26,'Base File'!$AV:$AV,"Met")+COUNTIFS('Base File'!$G:$G,"Internal KPI",'Base File'!$B:$B,'Account Summary'!$C26,'Base File'!$AV:$AV,"Not Met")),"-")</f>
        <v>0.77777777777777779</v>
      </c>
      <c r="T26" s="110">
        <f>IFERROR(COUNTIFS('Base File'!$AX:$AX,"Met",'Base File'!$B:$B,'Account Summary'!C26)/(COUNTIFS('Base File'!$AX:$AX,"Met",'Base File'!$B:$B,'Account Summary'!C26)+COUNTIFS('Base File'!$AX:$AX,"Not Met",'Base File'!$B:$B,'Account Summary'!C26)),"NR")</f>
        <v>0.38461538461538464</v>
      </c>
      <c r="U26" s="108">
        <f>IFERROR(COUNTIFS('Base File'!$G:$G,"Contractual SLA",'Base File'!$H:$H,"No",'Base File'!$B:$B,'Account Summary'!$C26,'Base File'!$AX:$AX,"Met")/SUM(COUNTIFS('Base File'!$G:$G,"Contractual SLA",'Base File'!$H:$H,"No",'Base File'!$B:$B,'Account Summary'!$C26,'Base File'!$AX:$AX,"Met")+COUNTIFS('Base File'!$G:$G,"Contractual SLA",'Base File'!$H:$H,"No",'Base File'!$B:$B,'Account Summary'!$C26,'Base File'!$AX:$AX,"Not Met")),"-")</f>
        <v>0.25</v>
      </c>
      <c r="V26" s="100" t="s">
        <v>11</v>
      </c>
      <c r="W26" s="110">
        <f>IFERROR(COUNTIFS('Base File'!$G:$G,"Internal KPI",'Base File'!$B:$B,'Account Summary'!$C26,'Base File'!$AX:$AX,"Met")/SUM(COUNTIFS('Base File'!$G:$G,"Internal KPI",'Base File'!$B:$B,'Account Summary'!$C26,'Base File'!$AX:$AX,"Met")+COUNTIFS('Base File'!$G:$G,"Internal KPI",'Base File'!$B:$B,'Account Summary'!$C26,'Base File'!$AX:$AX,"Not Met")),"-")</f>
        <v>0.44444444444444442</v>
      </c>
      <c r="X26" s="100" t="str">
        <f>IFERROR(COUNTIFS('Base File'!$AZ:$AZ,"Met",'Base File'!$B:$B,'Account Summary'!C26)/(COUNTIFS('Base File'!$AZ:$AZ,"Met",'Base File'!$B:$B,'Account Summary'!C26)+COUNTIFS('Base File'!$AZ:$AZ,"Not Met",'Base File'!$B:$B,'Account Summary'!C26)),"NR")</f>
        <v>NR</v>
      </c>
      <c r="Y26" s="101" t="s">
        <v>103</v>
      </c>
      <c r="Z26" s="100" t="str">
        <f>IFERROR(COUNTIFS('Base File'!$G:$G,"Contractual SLA",'Base File'!$H:$H,"Yes",'Base File'!$B:$B,'Account Summary'!$C26,'Base File'!$AZ:$AZ,"Met")/SUM(COUNTIFS('Base File'!$G:$G,"Contractual SLA",'Base File'!$H:$H,"yes",'Base File'!$B:$B,'Account Summary'!$C26,'Base File'!$AZ:$AZ,"Met")+COUNTIFS('Base File'!$G:$G,"Contractual SLA",'Base File'!$H:$H,"yes",'Base File'!$B:$B,'Account Summary'!$C26,'Base File'!$AZ:$AZ,"Not Met")),"-")</f>
        <v>-</v>
      </c>
      <c r="AA26" s="100" t="s">
        <v>103</v>
      </c>
      <c r="AB26" s="101" t="str">
        <f>IFERROR(COUNTIFS('Base File'!$BB:$BB,"Met",'Base File'!$B:$B,'Account Summary'!C26)/(COUNTIFS('Base File'!$BB:$BB,"Met",'Base File'!$B:$B,'Account Summary'!C26)+COUNTIFS('Base File'!$BB:$BB,"Not Met",'Base File'!$B:$B,'Account Summary'!C26)),"NR")</f>
        <v>NR</v>
      </c>
      <c r="AC26" s="101" t="s">
        <v>103</v>
      </c>
      <c r="AD26" s="100" t="str">
        <f>IFERROR(COUNTIFS('Base File'!$G:$G,"Contractual SLA",'Base File'!$H:$H,"Yes",'Base File'!$B:$B,'Account Summary'!$C26,'Base File'!$BB:$BB,"Met")/SUM(COUNTIFS('Base File'!$G:$G,"Contractual SLA",'Base File'!$H:$H,"yes",'Base File'!$B:$B,'Account Summary'!$C26,'Base File'!$BB:$BB,"Met")+COUNTIFS('Base File'!$G:$G,"Contractual SLA",'Base File'!$H:$H,"yes",'Base File'!$B:$B,'Account Summary'!$C26,'Base File'!$BB:$BB,"Not Met")),"-")</f>
        <v>-</v>
      </c>
      <c r="AE26" s="100" t="s">
        <v>103</v>
      </c>
      <c r="AF26" s="100" t="str">
        <f>IFERROR(COUNTIFS('Base File'!$BD:$BD,"Met",'Base File'!$B:$B,'Account Summary'!C26)/(COUNTIFS('Base File'!$BD:$BD,"Met",'Base File'!$B:$B,'Account Summary'!C26)+COUNTIFS('Base File'!$BD:$BD,"Not Met",'Base File'!$B:$B,'Account Summary'!C26)),"NR")</f>
        <v>NR</v>
      </c>
      <c r="AG26" s="100" t="s">
        <v>103</v>
      </c>
      <c r="AH26" s="100" t="str">
        <f>IFERROR(COUNTIFS('Base File'!$G:$G,"Contractual SLA",'Base File'!$H:$H,"Yes",'Base File'!$B:$B,'Account Summary'!$C26,'Base File'!$BD:$BD,"Met")/SUM(COUNTIFS('Base File'!$G:$G,"Contractual SLA",'Base File'!$H:$H,"yes",'Base File'!$B:$B,'Account Summary'!$C26,'Base File'!$BD:$BD,"Met")+COUNTIFS('Base File'!$G:$G,"Contractual SLA",'Base File'!$H:$H,"yes",'Base File'!$B:$B,'Account Summary'!$C26,'Base File'!$BD:$BD,"Not Met")),"-")</f>
        <v>-</v>
      </c>
      <c r="AI26" s="100" t="s">
        <v>103</v>
      </c>
      <c r="AJ26" s="100">
        <f>IFERROR(COUNTIFS('Base File'!$BF:$BF,"Met",'Base File'!$B:$B,'Account Summary'!C26)/(COUNTIFS('Base File'!$BF:$BF,"Met",'Base File'!$B:$B,'Account Summary'!C26)+COUNTIFS('Base File'!$BF:$BF,"Not Met",'Base File'!$B:$B,'Account Summary'!C26)),"NR")</f>
        <v>0.58333333333333337</v>
      </c>
      <c r="AK26" s="100">
        <v>0.5</v>
      </c>
      <c r="AL26" s="100" t="str">
        <f>IFERROR(COUNTIFS('Base File'!$G:$G,"Contractual SLA",'Base File'!$H:$H,"Yes",'Base File'!$B:$B,'Account Summary'!$C26,'Base File'!$BF:$BF,"Met")/SUM(COUNTIFS('Base File'!$G:$G,"Contractual SLA",'Base File'!$H:$H,"yes",'Base File'!$B:$B,'Account Summary'!$C26,'Base File'!$BF:$BF,"Met")+COUNTIFS('Base File'!$G:$G,"Contractual SLA",'Base File'!$H:$H,"yes",'Base File'!$B:$B,'Account Summary'!$C26,'Base File'!$BF:$BF,"Not Met")),"-")</f>
        <v>-</v>
      </c>
      <c r="AM26" s="100">
        <v>0.63</v>
      </c>
      <c r="AN26" s="100">
        <f>IFERROR(COUNTIFS('Base File'!$BH:$BH,"Met",'Base File'!$B:$B,'Account Summary'!C26)/(COUNTIFS('Base File'!$BH:$BH,"Met",'Base File'!$B:$B,'Account Summary'!C26)+COUNTIFS('Base File'!$BH:$BH,"Not Met",'Base File'!$B:$B,'Account Summary'!C26)),"NR")</f>
        <v>0.66666666666666663</v>
      </c>
      <c r="AO26" s="100">
        <v>0.75</v>
      </c>
      <c r="AP26" s="101" t="s">
        <v>107</v>
      </c>
      <c r="AQ26" s="100">
        <v>0.63</v>
      </c>
      <c r="AR26" s="100">
        <v>0.5</v>
      </c>
      <c r="AS26" s="100">
        <v>0.25</v>
      </c>
      <c r="AT26" s="101" t="s">
        <v>107</v>
      </c>
      <c r="AU26" s="100">
        <v>0.63</v>
      </c>
      <c r="AV26" s="100">
        <f>IFERROR(COUNTIFS('Base File'!$BL:$BL,"Met",'Base File'!$B:$B,'Account Summary'!C26)/(COUNTIFS('Base File'!$BL:$BL,"Met",'Base File'!$B:$B,'Account Summary'!C26)+COUNTIFS('Base File'!$BL:$BL,"Not Met",'Base File'!$B:$B,'Account Summary'!C26)),"NR")</f>
        <v>1</v>
      </c>
      <c r="AW26" s="100" t="str">
        <f>IFERROR(COUNTIFS('Base File'!$BL:$BL,"Met",'Base File'!$B:$B,'Account Summary'!D26)/(COUNTIFS('Base File'!$BL:$BL,"Met",'Base File'!$B:$B,'Account Summary'!D26)+COUNTIFS('Base File'!$BL:$BL,"Not Met",'Base File'!$B:$B,'Account Summary'!D26)),"NR")</f>
        <v>NR</v>
      </c>
      <c r="AX26" s="100" t="str">
        <f>IFERROR(COUNTIFS('Base File'!$G:$G,"Contractual SLA",'Base File'!$H:$H,"No",'Base File'!$B:$B,'Account Summary'!$C26,'Base File'!$BL:$BL,"Met")/SUM(COUNTIFS('Base File'!$G:$G,"Contractual SLA",'Base File'!$H:$H,"No",'Base File'!$B:$B,'Account Summary'!$C26,'Base File'!$BL:$BL,"Met")+COUNTIFS('Base File'!$G:$G,"Contractual SLA",'Base File'!$H:$H,"No",'Base File'!$B:$B,'Account Summary'!$C26,'Base File'!$BL:$BL,"Not Met")),"-")</f>
        <v>-</v>
      </c>
      <c r="AY26" s="100" t="str">
        <f>IFERROR(COUNTIFS('Base File'!$BL:$BL,"Met",'Base File'!$B:$B,'Account Summary'!G26)/(COUNTIFS('Base File'!$BL:$BL,"Met",'Base File'!$B:$B,'Account Summary'!G26)+COUNTIFS('Base File'!$BL:$BL,"Not Met",'Base File'!$B:$B,'Account Summary'!G26)),"NR")</f>
        <v>NR</v>
      </c>
      <c r="AZ26" s="100" t="s">
        <v>103</v>
      </c>
      <c r="BA26" s="100" t="s">
        <v>103</v>
      </c>
      <c r="BB26" s="100" t="s">
        <v>107</v>
      </c>
      <c r="BC26" s="100" t="s">
        <v>103</v>
      </c>
      <c r="BD26" s="100" t="str">
        <f>IFERROR(COUNTIFS('Base File'!$BP:$BP,"Met",'Base File'!$B:$B,'Account Summary'!C26)/(COUNTIFS('Base File'!$BP:$BP,"Met",'Base File'!$B:$B,'Account Summary'!C26)+COUNTIFS('Base File'!$BP:$BP,"Not Met",'Base File'!$B:$B,'Account Summary'!C26)),"NR")</f>
        <v>NR</v>
      </c>
      <c r="BE26" s="100" t="s">
        <v>103</v>
      </c>
      <c r="BF26" s="100" t="str">
        <f>IFERROR(COUNTIFS('Base File'!$G:$G,"Contractual SLA",'Base File'!$H:$H,"Yes",'Base File'!$B:$B,'Account Summary'!$C26,'Base File'!$BP:$BP,"Met")/SUM(COUNTIFS('Base File'!$G:$G,"Contractual SLA",'Base File'!$H:$H,"yes",'Base File'!$B:$B,'Account Summary'!$C26,'Base File'!$BP:$BP,"Met")+COUNTIFS('Base File'!$G:$G,"Contractual SLA",'Base File'!$H:$H,"yes",'Base File'!$B:$B,'Account Summary'!$C26,'Base File'!$BP:$BP,"Not Met")),"-")</f>
        <v>-</v>
      </c>
      <c r="BG26" s="100" t="s">
        <v>103</v>
      </c>
      <c r="BH26" s="100" t="str">
        <f>IFERROR(COUNTIFS('Base File'!$BR:$BR,"Met",'Base File'!$B:$B,'Account Summary'!C26)/(COUNTIFS('Base File'!$BR:$BR,"Met",'Base File'!$B:$B,'Account Summary'!C26)+COUNTIFS('Base File'!$BR:$BR,"Not Met",'Base File'!$B:$B,'Account Summary'!C26)),"NR")</f>
        <v>NR</v>
      </c>
      <c r="BI26" s="101" t="s">
        <v>103</v>
      </c>
      <c r="BJ26" s="100" t="str">
        <f>IFERROR(COUNTIFS('Base File'!$G:$G,"Contractual SLA",'Base File'!$H:$H,"No",'Base File'!$B:$B,'Account Summary'!$C26,'Base File'!$BR:$BR,"Met")/SUM(COUNTIFS('Base File'!$G:$G,"Contractual SLA",'Base File'!$H:$H,"No",'Base File'!$B:$B,'Account Summary'!$C26,'Base File'!$BR:$BR,"Met")+COUNTIFS('Base File'!$G:$G,"Contractual SLA",'Base File'!$H:$H,"No",'Base File'!$B:$B,'Account Summary'!$C26,'Base File'!$BR:$BR,"Not Met")),"-")</f>
        <v>-</v>
      </c>
      <c r="BK26" s="100" t="s">
        <v>103</v>
      </c>
      <c r="BL26" s="100">
        <f>IFERROR(COUNTIFS('Base File'!$BT:$BT,"Met",'Base File'!$B:$B,'Account Summary'!C26)/(COUNTIFS('Base File'!$BT:$BT,"Met",'Base File'!$B:$B,'Account Summary'!C26)+COUNTIFS('Base File'!$BT:$BT,"Not Met",'Base File'!$B:$B,'Account Summary'!C26)),"NR")</f>
        <v>0.41666666666666669</v>
      </c>
      <c r="BM26" s="100">
        <f>IFERROR(COUNTIFS('Base File'!$G:$G,"Contractual SLA",'Base File'!$H:$H,"No",'Base File'!$B:$B,'Account Summary'!$C26,'Base File'!$BT:$BT,"Met")/SUM(COUNTIFS('Base File'!$G:$G,"Contractual SLA",'Base File'!$H:$H,"No",'Base File'!$B:$B,'Account Summary'!$C26,'Base File'!$BT:$BT,"Met")+COUNTIFS('Base File'!$G:$G,"Contractual SLA",'Base File'!$H:$H,"No",'Base File'!$B:$B,'Account Summary'!$C26,'Base File'!$BT:$BT,"Not Met")),"-")</f>
        <v>0.25</v>
      </c>
      <c r="BN26" s="100" t="str">
        <f>IFERROR(COUNTIFS('Base File'!$G:$G,"Contractual SLA",'Base File'!$H:$H,"Yes",'Base File'!$B:$B,'Account Summary'!$C26,'Base File'!$BT:$BT,"Met")/SUM(COUNTIFS('Base File'!$G:$G,"Contractual SLA",'Base File'!$H:$H,"yes",'Base File'!$B:$B,'Account Summary'!$C26,'Base File'!$BT:$BT,"Met")+COUNTIFS('Base File'!$G:$G,"Contractual SLA",'Base File'!$H:$H,"yes",'Base File'!$B:$B,'Account Summary'!$C26,'Base File'!$BT:$BT,"Not Met")),"-")</f>
        <v>-</v>
      </c>
      <c r="BO26" s="100">
        <f>IFERROR(COUNTIFS('Base File'!$G:$G,"Internal KPI",'Base File'!$B:$B,'Account Summary'!$C26,'Base File'!$BT:$BT,"Met")/SUM(COUNTIFS('Base File'!$G:$G,"Internal KPI",'Base File'!$B:$B,'Account Summary'!$C26,'Base File'!$BT:$BT,"Met")+COUNTIFS('Base File'!$G:$G,"Internal KPI",'Base File'!$B:$B,'Account Summary'!$C26,'Base File'!$BT:$BT,"Not Met")),"-")</f>
        <v>0.5</v>
      </c>
      <c r="BP26" s="100">
        <f>IFERROR(COUNTIFS('Base File'!$BV:$BV,"Met",'Base File'!$B:$B,'Account Summary'!C26)/(COUNTIFS('Base File'!$BV:$BV,"Met",'Base File'!$B:$B,'Account Summary'!C26)+COUNTIFS('Base File'!$BV:$BV,"Not Met",'Base File'!$B:$B,'Account Summary'!C26)),"NR")</f>
        <v>0.25</v>
      </c>
      <c r="BQ26" s="100">
        <v>0</v>
      </c>
      <c r="BR26" s="100" t="str">
        <f>IFERROR(COUNTIFS('Base File'!$G:$G,"Contractual SLA",'Base File'!$H:$H,"Yes",'Base File'!$B:$B,'Account Summary'!$C26,'Base File'!$BV:$BV,"Met")/SUM(COUNTIFS('Base File'!$G:$G,"Contractual SLA",'Base File'!$H:$H,"Yes",'Base File'!$B:$B,'Account Summary'!$C26,'Base File'!$BV:$BV,"Met")+COUNTIFS('Base File'!$G:$G,"Contractual SLA",'Base File'!$H:$H,"Yes",'Base File'!$B:$B,'Account Summary'!$C26,'Base File'!$BV:$BV,"Not Met")),"-")</f>
        <v>-</v>
      </c>
      <c r="BS26" s="100">
        <v>0.38</v>
      </c>
    </row>
    <row r="27" spans="1:71" s="12" customFormat="1" x14ac:dyDescent="0.25">
      <c r="A27" s="389"/>
      <c r="B27" s="94">
        <v>24</v>
      </c>
      <c r="C27" s="94" t="s">
        <v>35</v>
      </c>
      <c r="D27" s="95" t="s">
        <v>110</v>
      </c>
      <c r="E27" s="95" t="s">
        <v>903</v>
      </c>
      <c r="F27" s="94" t="s">
        <v>899</v>
      </c>
      <c r="G27" s="96"/>
      <c r="H27" s="94"/>
      <c r="I27" s="94" t="s">
        <v>133</v>
      </c>
      <c r="J27" s="89" t="s">
        <v>61</v>
      </c>
      <c r="K27" s="89" t="s">
        <v>11</v>
      </c>
      <c r="L27" s="98" t="str">
        <f>IFERROR(COUNTIFS('Base File'!$AR:$AR,"Met",'Base File'!$B:$B,'Account Summary'!C27)/(COUNTIFS('Base File'!$AR:$AR,"Met",'Base File'!$B:$B,'Account Summary'!C27)+COUNTIFS('Base File'!$AR:$AR,"Not Met",'Base File'!$B:$B,'Account Summary'!C27)),"NR")</f>
        <v>NR</v>
      </c>
      <c r="M27" s="98" t="str">
        <f>IFERROR(COUNTIFS('Base File'!$G:$G,"Contractual SLA",'Base File'!$H:$H,"No",'Base File'!$B:$B,'Account Summary'!$C27,'Base File'!$AR:$AR,"Met")/SUM(COUNTIFS('Base File'!$G:$G,"Contractual SLA",'Base File'!$H:$H,"No",'Base File'!$B:$B,'Account Summary'!$C27,'Base File'!$AR:$AR,"Met")+COUNTIFS('Base File'!$G:$G,"Contractual SLA",'Base File'!$H:$H,"No",'Base File'!$B:$B,'Account Summary'!$C27,'Base File'!$AR:$AR,"Not Met")),"-")</f>
        <v>-</v>
      </c>
      <c r="N27" s="98" t="s">
        <v>103</v>
      </c>
      <c r="O27" s="98" t="s">
        <v>103</v>
      </c>
      <c r="P27" s="98" t="str">
        <f>IFERROR(COUNTIFS('Base File'!$AV:$AV,"Met",'Base File'!$B:$B,'Account Summary'!C27)/(COUNTIFS('Base File'!$AV:$AV,"Met",'Base File'!$B:$B,'Account Summary'!C27)+COUNTIFS('Base File'!$AV:$AV,"Not Met",'Base File'!$B:$B,'Account Summary'!C27)),"NR")</f>
        <v>NR</v>
      </c>
      <c r="Q27" s="98" t="str">
        <f>IFERROR(COUNTIFS('Base File'!$G:$G,"Contractual SLA",'Base File'!$H:$H,"No",'Base File'!$B:$B,'Account Summary'!$C27,'Base File'!$AV:$AV,"Met")/SUM(COUNTIFS('Base File'!$G:$G,"Contractual SLA",'Base File'!$H:$H,"No",'Base File'!$B:$B,'Account Summary'!$C27,'Base File'!$AV:$AV,"Met")+COUNTIFS('Base File'!$G:$G,"Contractual SLA",'Base File'!$H:$H,"No",'Base File'!$B:$B,'Account Summary'!$C27,'Base File'!$AV:$AV,"Not Met")),"-")</f>
        <v>-</v>
      </c>
      <c r="R27" s="103" t="str">
        <f>IFERROR(COUNTIFS('Base File'!$AV:$AV,"Met",'Base File'!$B:$B,'Account Summary'!F27)/(COUNTIFS('Base File'!$AV:$AV,"Met",'Base File'!$B:$B,'Account Summary'!F27)+COUNTIFS('Base File'!$AV:$AV,"Not Met",'Base File'!$B:$B,'Account Summary'!F27)),"NR")</f>
        <v>NR</v>
      </c>
      <c r="S27" s="98" t="str">
        <f>IFERROR(COUNTIFS('Base File'!$AV:$AV,"Met",'Base File'!$B:$B,'Account Summary'!G27)/(COUNTIFS('Base File'!$AV:$AV,"Met",'Base File'!$B:$B,'Account Summary'!G27)+COUNTIFS('Base File'!$AV:$AV,"Not Met",'Base File'!$B:$B,'Account Summary'!G27)),"NR")</f>
        <v>NR</v>
      </c>
      <c r="T27" s="100" t="str">
        <f>IFERROR(COUNTIFS('Base File'!$AX:$AX,"Met",'Base File'!$B:$B,'Account Summary'!C27)/(COUNTIFS('Base File'!$AX:$AX,"Met",'Base File'!$B:$B,'Account Summary'!C27)+COUNTIFS('Base File'!$AX:$AX,"Not Met",'Base File'!$B:$B,'Account Summary'!C27)),"NR")</f>
        <v>NR</v>
      </c>
      <c r="U27" s="101" t="str">
        <f>IFERROR(COUNTIFS('Base File'!$G:$G,"Contractual SLA",'Base File'!$H:$H,"No",'Base File'!$B:$B,'Account Summary'!$C27,'Base File'!$AX:$AX,"Met")/SUM(COUNTIFS('Base File'!$G:$G,"Contractual SLA",'Base File'!$H:$H,"No",'Base File'!$B:$B,'Account Summary'!$C27,'Base File'!$AX:$AX,"Met")+COUNTIFS('Base File'!$G:$G,"Contractual SLA",'Base File'!$H:$H,"No",'Base File'!$B:$B,'Account Summary'!$C27,'Base File'!$AX:$AX,"Not Met")),"NA")</f>
        <v>NA</v>
      </c>
      <c r="V27" s="100" t="s">
        <v>103</v>
      </c>
      <c r="W27" s="100" t="s">
        <v>103</v>
      </c>
      <c r="X27" s="100" t="str">
        <f>IFERROR(COUNTIFS('Base File'!$AZ:$AZ,"Met",'Base File'!$B:$B,'Account Summary'!C27)/(COUNTIFS('Base File'!$AZ:$AZ,"Met",'Base File'!$B:$B,'Account Summary'!C27)+COUNTIFS('Base File'!$AZ:$AZ,"Not Met",'Base File'!$B:$B,'Account Summary'!C27)),"NR")</f>
        <v>NR</v>
      </c>
      <c r="Y27" s="101" t="str">
        <f>IFERROR(COUNTIFS('Base File'!$G:$G,"Contractual SLA",'Base File'!$H:$H,"No",'Base File'!$B:$B,'Account Summary'!$C27,'Base File'!$AZ:$AZ,"Met")/SUM(COUNTIFS('Base File'!$G:$G,"Contractual SLA",'Base File'!$H:$H,"No",'Base File'!$B:$B,'Account Summary'!$C27,'Base File'!$AZ:$AZ,"Met")+COUNTIFS('Base File'!$G:$G,"Contractual SLA",'Base File'!$H:$H,"No",'Base File'!$B:$B,'Account Summary'!$C27,'Base File'!$AZ:$AZ,"Not Met")),"-")</f>
        <v>-</v>
      </c>
      <c r="Z27" s="100" t="s">
        <v>103</v>
      </c>
      <c r="AA27" s="100" t="s">
        <v>103</v>
      </c>
      <c r="AB27" s="101" t="str">
        <f>IFERROR(COUNTIFS('Base File'!$BB:$BB,"Met",'Base File'!$B:$B,'Account Summary'!C27)/(COUNTIFS('Base File'!$BB:$BB,"Met",'Base File'!$B:$B,'Account Summary'!C27)+COUNTIFS('Base File'!$BB:$BB,"Not Met",'Base File'!$B:$B,'Account Summary'!C27)),"NR")</f>
        <v>NR</v>
      </c>
      <c r="AC27" s="101" t="str">
        <f>IFERROR(COUNTIFS('Base File'!$G:$G,"Contractual SLA",'Base File'!$H:$H,"No",'Base File'!$B:$B,'Account Summary'!$C27,'Base File'!$BB:$BB,"Met")/SUM(COUNTIFS('Base File'!$G:$G,"Contractual SLA",'Base File'!$H:$H,"No",'Base File'!$B:$B,'Account Summary'!$C27,'Base File'!$BB:$BB,"Met")+COUNTIFS('Base File'!$G:$G,"Contractual SLA",'Base File'!$H:$H,"No",'Base File'!$B:$B,'Account Summary'!$C27,'Base File'!$BB:$BB,"Not Met")),"-")</f>
        <v>-</v>
      </c>
      <c r="AD27" s="100" t="s">
        <v>103</v>
      </c>
      <c r="AE27" s="100" t="s">
        <v>103</v>
      </c>
      <c r="AF27" s="100" t="str">
        <f>IFERROR(COUNTIFS('Base File'!$AZ:$AZ,"Met",'Base File'!$B:$B,'Account Summary'!L27)/(COUNTIFS('Base File'!$AZ:$AZ,"Met",'Base File'!$B:$B,'Account Summary'!L27)+COUNTIFS('Base File'!$AZ:$AZ,"Not Met",'Base File'!$B:$B,'Account Summary'!L27)),"NR")</f>
        <v>NR</v>
      </c>
      <c r="AG27" s="101" t="str">
        <f>IFERROR(COUNTIFS('Base File'!$G:$G,"Contractual SLA",'Base File'!$H:$H,"No",'Base File'!$B:$B,'Account Summary'!$C27,'Base File'!$AZ:$AZ,"Met")/SUM(COUNTIFS('Base File'!$G:$G,"Contractual SLA",'Base File'!$H:$H,"No",'Base File'!$B:$B,'Account Summary'!$C27,'Base File'!$AZ:$AZ,"Met")+COUNTIFS('Base File'!$G:$G,"Contractual SLA",'Base File'!$H:$H,"No",'Base File'!$B:$B,'Account Summary'!$C27,'Base File'!$AZ:$AZ,"Not Met")),"-")</f>
        <v>-</v>
      </c>
      <c r="AH27" s="100" t="s">
        <v>103</v>
      </c>
      <c r="AI27" s="100" t="s">
        <v>103</v>
      </c>
      <c r="AJ27" s="100" t="str">
        <f>IFERROR(COUNTIFS('Base File'!$BF:$BF,"Met",'Base File'!$B:$B,'Account Summary'!C27)/(COUNTIFS('Base File'!$BF:$BF,"Met",'Base File'!$B:$B,'Account Summary'!C27)+COUNTIFS('Base File'!$BF:$BF,"Not Met",'Base File'!$B:$B,'Account Summary'!C27)),"NR")</f>
        <v>NR</v>
      </c>
      <c r="AK27" s="100" t="str">
        <f>IFERROR(COUNTIFS('Base File'!$G:$G,"Contractual SLA",'Base File'!$H:$H,"No",'Base File'!$B:$B,'Account Summary'!$C27,'Base File'!$BF:$BF,"Met")/SUM(COUNTIFS('Base File'!$G:$G,"Contractual SLA",'Base File'!$H:$H,"No",'Base File'!$B:$B,'Account Summary'!$C27,'Base File'!$BF:$BF,"Met")+COUNTIFS('Base File'!$G:$G,"Contractual SLA",'Base File'!$H:$H,"No",'Base File'!$B:$B,'Account Summary'!$C27,'Base File'!$BF:$BF,"Not Met")),"-")</f>
        <v>-</v>
      </c>
      <c r="AL27" s="100" t="s">
        <v>103</v>
      </c>
      <c r="AM27" s="100" t="s">
        <v>103</v>
      </c>
      <c r="AN27" s="100" t="str">
        <f>IFERROR(COUNTIFS('Base File'!$BH:$BH,"Met",'Base File'!$B:$B,'Account Summary'!C27)/(COUNTIFS('Base File'!$BH:$BH,"Met",'Base File'!$B:$B,'Account Summary'!C27)+COUNTIFS('Base File'!$BH:$BH,"Not Met",'Base File'!$B:$B,'Account Summary'!C27)),"NR")</f>
        <v>NR</v>
      </c>
      <c r="AO27" s="100" t="str">
        <f>IFERROR(COUNTIFS('Base File'!$G:$G,"Contractual SLA",'Base File'!$H:$H,"No",'Base File'!$B:$B,'Account Summary'!$C27,'Base File'!$BH:$BH,"Met")/SUM(COUNTIFS('Base File'!$G:$G,"Contractual SLA",'Base File'!$H:$H,"No",'Base File'!$B:$B,'Account Summary'!$C27,'Base File'!$BH:$BH,"Met")+COUNTIFS('Base File'!$G:$G,"Contractual SLA",'Base File'!$H:$H,"No",'Base File'!$B:$B,'Account Summary'!$C27,'Base File'!$BH:$BH,"Not Met")),"-")</f>
        <v>-</v>
      </c>
      <c r="AP27" s="100" t="s">
        <v>103</v>
      </c>
      <c r="AQ27" s="100" t="s">
        <v>103</v>
      </c>
      <c r="AR27" s="100" t="str">
        <f>IFERROR(COUNTIFS('Base File'!$BH:$BH,"Met",'Base File'!$B:$B,'Account Summary'!H27)/(COUNTIFS('Base File'!$BH:$BH,"Met",'Base File'!$B:$B,'Account Summary'!H27)+COUNTIFS('Base File'!$BH:$BH,"Not Met",'Base File'!$B:$B,'Account Summary'!H27)),"NR")</f>
        <v>NR</v>
      </c>
      <c r="AS27" s="100" t="str">
        <f>IFERROR(COUNTIFS('Base File'!$G:$G,"Contractual SLA",'Base File'!$H:$H,"No",'Base File'!$B:$B,'Account Summary'!$C27,'Base File'!$BH:$BH,"Met")/SUM(COUNTIFS('Base File'!$G:$G,"Contractual SLA",'Base File'!$H:$H,"No",'Base File'!$B:$B,'Account Summary'!$C27,'Base File'!$BH:$BH,"Met")+COUNTIFS('Base File'!$G:$G,"Contractual SLA",'Base File'!$H:$H,"No",'Base File'!$B:$B,'Account Summary'!$C27,'Base File'!$BH:$BH,"Not Met")),"-")</f>
        <v>-</v>
      </c>
      <c r="AT27" s="100" t="s">
        <v>103</v>
      </c>
      <c r="AU27" s="100" t="s">
        <v>103</v>
      </c>
      <c r="AV27" s="100">
        <f>IFERROR(COUNTIFS('Base File'!$BL:$BL,"Met",'Base File'!$B:$B,'Account Summary'!C27)/(COUNTIFS('Base File'!$BL:$BL,"Met",'Base File'!$B:$B,'Account Summary'!C27)+COUNTIFS('Base File'!$BL:$BL,"Not Met",'Base File'!$B:$B,'Account Summary'!C27)),"NR")</f>
        <v>1</v>
      </c>
      <c r="AW27" s="100" t="str">
        <f>IFERROR(COUNTIFS('Base File'!$G:$G,"Contractual SLA",'Base File'!$H:$H,"No",'Base File'!$B:$B,'Account Summary'!$C27,'Base File'!$BL:$BL,"Met")/SUM(COUNTIFS('Base File'!$G:$G,"Contractual SLA",'Base File'!$H:$H,"No",'Base File'!$B:$B,'Account Summary'!$C27,'Base File'!$BL:$BL,"Met")+COUNTIFS('Base File'!$G:$G,"Contractual SLA",'Base File'!$H:$H,"No",'Base File'!$B:$B,'Account Summary'!$C27,'Base File'!$BL:$BL,"Not Met")),"-")</f>
        <v>-</v>
      </c>
      <c r="AX27" s="100" t="str">
        <f>IFERROR(COUNTIFS('Base File'!$BL:$BL,"Met",'Base File'!$B:$B,'Account Summary'!F27)/(COUNTIFS('Base File'!$BL:$BL,"Met",'Base File'!$B:$B,'Account Summary'!F27)+COUNTIFS('Base File'!$BL:$BL,"Not Met",'Base File'!$B:$B,'Account Summary'!F27)),"NR")</f>
        <v>NR</v>
      </c>
      <c r="AY27" s="100" t="str">
        <f>IFERROR(COUNTIFS('Base File'!$BL:$BL,"Met",'Base File'!$B:$B,'Account Summary'!G27)/(COUNTIFS('Base File'!$BL:$BL,"Met",'Base File'!$B:$B,'Account Summary'!G27)+COUNTIFS('Base File'!$BL:$BL,"Not Met",'Base File'!$B:$B,'Account Summary'!G27)),"NR")</f>
        <v>NR</v>
      </c>
      <c r="AZ27" s="100" t="s">
        <v>103</v>
      </c>
      <c r="BA27" s="100" t="s">
        <v>107</v>
      </c>
      <c r="BB27" s="100" t="s">
        <v>103</v>
      </c>
      <c r="BC27" s="100" t="s">
        <v>103</v>
      </c>
      <c r="BD27" s="106">
        <f>IFERROR(COUNTIFS('Base File'!$BP:$BP,"Met",'Base File'!$B:$B,'Account Summary'!C27)/(COUNTIFS('Base File'!$BP:$BP,"Met",'Base File'!$B:$B,'Account Summary'!C27)+COUNTIFS('Base File'!$BP:$BP,"Not Met",'Base File'!$B:$B,'Account Summary'!C27)),"NR")</f>
        <v>0.5714285714285714</v>
      </c>
      <c r="BE27" s="100" t="str">
        <f>IFERROR(COUNTIFS('Base File'!$G:$G,"Contractual SLA",'Base File'!$H:$H,"No",'Base File'!$B:$B,'Account Summary'!$C27,'Base File'!$BP:$BP,"Met")/SUM(COUNTIFS('Base File'!$G:$G,"Contractual SLA",'Base File'!$H:$H,"No",'Base File'!$B:$B,'Account Summary'!$C27,'Base File'!$BP:$BP,"Met")+COUNTIFS('Base File'!$G:$G,"Contractual SLA",'Base File'!$H:$H,"No",'Base File'!$B:$B,'Account Summary'!$C27,'Base File'!$BP:$BP,"Not Met")),"-")</f>
        <v>-</v>
      </c>
      <c r="BF27" s="110">
        <f>IFERROR(COUNTIFS('Base File'!$G:$G,"Contractual SLA",'Base File'!$H:$H,"Yes",'Base File'!$B:$B,'Account Summary'!$C27,'Base File'!$BP:$BP,"Met")/SUM(COUNTIFS('Base File'!$G:$G,"Contractual SLA",'Base File'!$H:$H,"yes",'Base File'!$B:$B,'Account Summary'!$C27,'Base File'!$BP:$BP,"Met")+COUNTIFS('Base File'!$G:$G,"Contractual SLA",'Base File'!$H:$H,"yes",'Base File'!$B:$B,'Account Summary'!$C27,'Base File'!$BP:$BP,"Not Met")),"-")</f>
        <v>0</v>
      </c>
      <c r="BG27" s="106">
        <f>IFERROR(COUNTIFS('Base File'!$G:$G,"Internal KPI",'Base File'!$B:$B,'Account Summary'!$C27,'Base File'!$BP:$BP,"Met")/SUM(COUNTIFS('Base File'!$G:$G,"Internal KPI",'Base File'!$B:$B,'Account Summary'!$C27,'Base File'!$BP:$BP,"Met")+COUNTIFS('Base File'!$G:$G,"Internal KPI",'Base File'!$B:$B,'Account Summary'!$C27,'Base File'!$BP:$BP,"Not Met")),"-")</f>
        <v>0.66666666666666663</v>
      </c>
      <c r="BH27" s="100" t="str">
        <f>IFERROR(COUNTIFS('Base File'!$BR:$BR,"Met",'Base File'!$B:$B,'Account Summary'!C27)/(COUNTIFS('Base File'!$BR:$BR,"Met",'Base File'!$B:$B,'Account Summary'!C27)+COUNTIFS('Base File'!$BR:$BR,"Not Met",'Base File'!$B:$B,'Account Summary'!C27)),"NR")</f>
        <v>NR</v>
      </c>
      <c r="BI27" s="101" t="str">
        <f>IFERROR(COUNTIFS('Base File'!$G:$G,"Contractual SLA",'Base File'!$H:$H,"No",'Base File'!$B:$B,'Account Summary'!$C27,'Base File'!$BR:$BR,"Met")/SUM(COUNTIFS('Base File'!$G:$G,"Contractual SLA",'Base File'!$H:$H,"No",'Base File'!$B:$B,'Account Summary'!$C27,'Base File'!$BR:$BR,"Met")+COUNTIFS('Base File'!$G:$G,"Contractual SLA",'Base File'!$H:$H,"No",'Base File'!$B:$B,'Account Summary'!$C27,'Base File'!$BR:$BR,"Not Met")),"-")</f>
        <v>-</v>
      </c>
      <c r="BJ27" s="100" t="s">
        <v>103</v>
      </c>
      <c r="BK27" s="100" t="s">
        <v>103</v>
      </c>
      <c r="BL27" s="100" t="str">
        <f>IFERROR(COUNTIFS('Base File'!$BT:$BT,"Met",'Base File'!$B:$B,'Account Summary'!C27)/(COUNTIFS('Base File'!$BT:$BT,"Met",'Base File'!$B:$B,'Account Summary'!C27)+COUNTIFS('Base File'!$BT:$BT,"Not Met",'Base File'!$B:$B,'Account Summary'!C27)),"NR")</f>
        <v>NR</v>
      </c>
      <c r="BM27" s="100" t="str">
        <f>IFERROR(COUNTIFS('Base File'!$G:$G,"Contractual SLA",'Base File'!$H:$H,"No",'Base File'!$B:$B,'Account Summary'!$C27,'Base File'!$BT:$BT,"Met")/SUM(COUNTIFS('Base File'!$G:$G,"Contractual SLA",'Base File'!$H:$H,"No",'Base File'!$B:$B,'Account Summary'!$C27,'Base File'!$BT:$BT,"Met")+COUNTIFS('Base File'!$G:$G,"Contractual SLA",'Base File'!$H:$H,"No",'Base File'!$B:$B,'Account Summary'!$C27,'Base File'!$BT:$BT,"Not Met")),"-")</f>
        <v>-</v>
      </c>
      <c r="BN27" s="100" t="s">
        <v>103</v>
      </c>
      <c r="BO27" s="100" t="s">
        <v>103</v>
      </c>
      <c r="BP27" s="100" t="str">
        <f>IFERROR(COUNTIFS('Base File'!$BV:$BV,"Met",'Base File'!$B:$B,'Account Summary'!C27)/(COUNTIFS('Base File'!$BV:$BV,"Met",'Base File'!$B:$B,'Account Summary'!C27)+COUNTIFS('Base File'!$BV:$BV,"Not Met",'Base File'!$B:$B,'Account Summary'!C27)),"NR")</f>
        <v>NR</v>
      </c>
      <c r="BQ27" s="100" t="str">
        <f>IFERROR(COUNTIFS('Base File'!$G:$G,"Internal KPI",'Base File'!$B:$B,'Account Summary'!$C27,'Base File'!$BV:$BV,"Met")/SUM(COUNTIFS('Base File'!$G:$G,"Internal KPI",'Base File'!$B:$B,'Account Summary'!$C27,'Base File'!$BV:$BV,"Met")+COUNTIFS('Base File'!$G:$G,"Internal KPI",'Base File'!$B:$B,'Account Summary'!$C27,'Base File'!$BV:$BV,"Not Met")),"-")</f>
        <v>-</v>
      </c>
      <c r="BR27" s="100" t="s">
        <v>103</v>
      </c>
      <c r="BS27" s="100" t="s">
        <v>103</v>
      </c>
    </row>
    <row r="28" spans="1:71" s="12" customFormat="1" x14ac:dyDescent="0.25">
      <c r="A28" s="389"/>
      <c r="B28" s="94">
        <v>25</v>
      </c>
      <c r="C28" s="94" t="s">
        <v>36</v>
      </c>
      <c r="D28" s="95" t="s">
        <v>110</v>
      </c>
      <c r="E28" s="95" t="s">
        <v>903</v>
      </c>
      <c r="F28" s="94" t="s">
        <v>899</v>
      </c>
      <c r="G28" s="96"/>
      <c r="H28" s="94"/>
      <c r="I28" s="94" t="s">
        <v>134</v>
      </c>
      <c r="J28" s="89" t="s">
        <v>61</v>
      </c>
      <c r="K28" s="89" t="s">
        <v>11</v>
      </c>
      <c r="L28" s="107">
        <f>IFERROR(COUNTIFS('Base File'!$AR:$AR,"Met",'Base File'!$B:$B,'Account Summary'!C28)/(COUNTIFS('Base File'!$AR:$AR,"Met",'Base File'!$B:$B,'Account Summary'!C28)+COUNTIFS('Base File'!$AR:$AR,"Not Met",'Base File'!$B:$B,'Account Summary'!C28)),"NR")</f>
        <v>0.63636363636363635</v>
      </c>
      <c r="M28" s="98" t="str">
        <f>IFERROR(COUNTIFS('Base File'!$G:$G,"Contractual SLA",'Base File'!$H:$H,"No",'Base File'!$B:$B,'Account Summary'!$C28,'Base File'!$AR:$AR,"Met")/SUM(COUNTIFS('Base File'!$G:$G,"Contractual SLA",'Base File'!$H:$H,"No",'Base File'!$B:$B,'Account Summary'!$C28,'Base File'!$AR:$AR,"Met")+COUNTIFS('Base File'!$G:$G,"Contractual SLA",'Base File'!$H:$H,"No",'Base File'!$B:$B,'Account Summary'!$C28,'Base File'!$AR:$AR,"Not Met")),"-")</f>
        <v>-</v>
      </c>
      <c r="N28" s="108">
        <f>IFERROR(COUNTIFS('Base File'!$G:$G,"Contractual SLA",'Base File'!$H:$H,"Yes",'Base File'!$B:$B,'Account Summary'!$C28,'Base File'!$AR:$AR,"Met")/SUM(COUNTIFS('Base File'!$G:$G,"Contractual SLA",'Base File'!$H:$H,"yes",'Base File'!$B:$B,'Account Summary'!$C28,'Base File'!$AR:$AR,"Met")+COUNTIFS('Base File'!$G:$G,"Contractual SLA",'Base File'!$H:$H,"yes",'Base File'!$B:$B,'Account Summary'!$C28,'Base File'!$AR:$AR,"Not Met")),"-")</f>
        <v>0.5</v>
      </c>
      <c r="O28" s="107">
        <f>IFERROR(COUNTIFS('Base File'!$G:$G,"Internal KPI",'Base File'!$B:$B,'Account Summary'!$C28,'Base File'!$AR:$AR,"Met")/SUM(COUNTIFS('Base File'!$G:$G,"Internal KPI",'Base File'!$B:$B,'Account Summary'!$C28,'Base File'!$AR:$AR,"Met")+COUNTIFS('Base File'!$G:$G,"Internal KPI",'Base File'!$B:$B,'Account Summary'!$C28,'Base File'!$AR:$AR,"Not Met")),"-")</f>
        <v>0.66666666666666663</v>
      </c>
      <c r="P28" s="110">
        <f>IFERROR(COUNTIFS('Base File'!$AV:$AV,"Met",'Base File'!$B:$B,'Account Summary'!C28)/(COUNTIFS('Base File'!$AV:$AV,"Met",'Base File'!$B:$B,'Account Summary'!C28)+COUNTIFS('Base File'!$AV:$AV,"Not Met",'Base File'!$B:$B,'Account Summary'!C28)),"NR")</f>
        <v>0.33333333333333331</v>
      </c>
      <c r="Q28" s="98" t="str">
        <f>IFERROR(COUNTIFS('Base File'!$G:$G,"Contractual SLA",'Base File'!$H:$H,"No",'Base File'!$B:$B,'Account Summary'!$C28,'Base File'!$AV:$AV,"Met")/SUM(COUNTIFS('Base File'!$G:$G,"Contractual SLA",'Base File'!$H:$H,"No",'Base File'!$B:$B,'Account Summary'!$C28,'Base File'!$AV:$AV,"Met")+COUNTIFS('Base File'!$G:$G,"Contractual SLA",'Base File'!$H:$H,"No",'Base File'!$B:$B,'Account Summary'!$C28,'Base File'!$AV:$AV,"Not Met")),"-")</f>
        <v>-</v>
      </c>
      <c r="R28" s="110">
        <f>IFERROR(COUNTIFS('Base File'!$G:$G,"Contractual SLA",'Base File'!$H:$H,"Yes",'Base File'!$B:$B,'Account Summary'!$C28,'Base File'!$AV:$AV,"Met")/SUM(COUNTIFS('Base File'!$G:$G,"Contractual SLA",'Base File'!$H:$H,"yes",'Base File'!$B:$B,'Account Summary'!$C28,'Base File'!$AV:$AV,"Met")+COUNTIFS('Base File'!$G:$G,"Contractual SLA",'Base File'!$H:$H,"yes",'Base File'!$B:$B,'Account Summary'!$C28,'Base File'!$AV:$AV,"Not Met")),"-")</f>
        <v>0.5</v>
      </c>
      <c r="S28" s="110">
        <f>IFERROR(COUNTIFS('Base File'!$G:$G,"Internal KPI",'Base File'!$B:$B,'Account Summary'!$C28,'Base File'!$AV:$AV,"Met")/SUM(COUNTIFS('Base File'!$G:$G,"Internal KPI",'Base File'!$B:$B,'Account Summary'!$C28,'Base File'!$AV:$AV,"Met")+COUNTIFS('Base File'!$G:$G,"Internal KPI",'Base File'!$B:$B,'Account Summary'!$C28,'Base File'!$AV:$AV,"Not Met")),"-")</f>
        <v>0.3</v>
      </c>
      <c r="T28" s="99">
        <f>IFERROR(COUNTIFS('Base File'!$AX:$AX,"Met",'Base File'!$B:$B,'Account Summary'!C28)/(COUNTIFS('Base File'!$AX:$AX,"Met",'Base File'!$B:$B,'Account Summary'!C28)+COUNTIFS('Base File'!$AX:$AX,"Not Met",'Base File'!$B:$B,'Account Summary'!C28)),"NR")</f>
        <v>0.75</v>
      </c>
      <c r="U28" s="101" t="s">
        <v>11</v>
      </c>
      <c r="V28" s="99">
        <f>IFERROR(COUNTIFS('Base File'!$G:$G,"Contractual SLA",'Base File'!$H:$H,"Yes",'Base File'!$B:$B,'Account Summary'!$C28,'Base File'!$AX:$AX,"Met")/SUM(COUNTIFS('Base File'!$G:$G,"Contractual SLA",'Base File'!$H:$H,"yes",'Base File'!$B:$B,'Account Summary'!$C28,'Base File'!$AX:$AX,"Met")+COUNTIFS('Base File'!$G:$G,"Contractual SLA",'Base File'!$H:$H,"yes",'Base File'!$B:$B,'Account Summary'!$C28,'Base File'!$AX:$AX,"Not Met")),"-")</f>
        <v>1</v>
      </c>
      <c r="W28" s="106">
        <f>IFERROR(COUNTIFS('Base File'!$G:$G,"Internal KPI",'Base File'!$B:$B,'Account Summary'!$C28,'Base File'!$AX:$AX,"Met")/SUM(COUNTIFS('Base File'!$G:$G,"Internal KPI",'Base File'!$B:$B,'Account Summary'!$C28,'Base File'!$AX:$AX,"Met")+COUNTIFS('Base File'!$G:$G,"Internal KPI",'Base File'!$B:$B,'Account Summary'!$C28,'Base File'!$AX:$AX,"Not Met")),"-")</f>
        <v>0.7</v>
      </c>
      <c r="X28" s="110">
        <f>IFERROR(COUNTIFS('Base File'!$AZ:$AZ,"Met",'Base File'!$B:$B,'Account Summary'!C28)/(COUNTIFS('Base File'!$AZ:$AZ,"Met",'Base File'!$B:$B,'Account Summary'!C28)+COUNTIFS('Base File'!$AZ:$AZ,"Not Met",'Base File'!$B:$B,'Account Summary'!C28)),"NR")</f>
        <v>0.41666666666666669</v>
      </c>
      <c r="Y28" s="101" t="str">
        <f>IFERROR(COUNTIFS('Base File'!$G:$G,"Contractual SLA",'Base File'!$H:$H,"No",'Base File'!$B:$B,'Account Summary'!$C28,'Base File'!$AZ:$AZ,"Met")/SUM(COUNTIFS('Base File'!$G:$G,"Contractual SLA",'Base File'!$H:$H,"No",'Base File'!$B:$B,'Account Summary'!$C28,'Base File'!$AZ:$AZ,"Met")+COUNTIFS('Base File'!$G:$G,"Contractual SLA",'Base File'!$H:$H,"No",'Base File'!$B:$B,'Account Summary'!$C28,'Base File'!$AZ:$AZ,"Not Met")),"-")</f>
        <v>-</v>
      </c>
      <c r="Z28" s="110">
        <f>IFERROR(COUNTIFS('Base File'!$G:$G,"Contractual SLA",'Base File'!$H:$H,"Yes",'Base File'!$B:$B,'Account Summary'!$C28,'Base File'!$AZ:$AZ,"Met")/SUM(COUNTIFS('Base File'!$G:$G,"Contractual SLA",'Base File'!$H:$H,"yes",'Base File'!$B:$B,'Account Summary'!$C28,'Base File'!$AZ:$AZ,"Met")+COUNTIFS('Base File'!$G:$G,"Contractual SLA",'Base File'!$H:$H,"yes",'Base File'!$B:$B,'Account Summary'!$C28,'Base File'!$AZ:$AZ,"Not Met")),"-")</f>
        <v>0</v>
      </c>
      <c r="AA28" s="106">
        <f>IFERROR(COUNTIFS('Base File'!$G:$G,"Internal KPI",'Base File'!$B:$B,'Account Summary'!$C28,'Base File'!$AZ:$AZ,"Met")/SUM(COUNTIFS('Base File'!$G:$G,"Internal KPI",'Base File'!$B:$B,'Account Summary'!$C28,'Base File'!$AZ:$AZ,"Met")+COUNTIFS('Base File'!$G:$G,"Internal KPI",'Base File'!$B:$B,'Account Summary'!$C28,'Base File'!$AZ:$AZ,"Not Met")),"-")</f>
        <v>0.5</v>
      </c>
      <c r="AB28" s="107">
        <f>IFERROR(COUNTIFS('Base File'!$BB:$BB,"Met",'Base File'!$B:$B,'Account Summary'!C28)/(COUNTIFS('Base File'!$BB:$BB,"Met",'Base File'!$B:$B,'Account Summary'!C28)+COUNTIFS('Base File'!$BB:$BB,"Not Met",'Base File'!$B:$B,'Account Summary'!C28)),"NR")</f>
        <v>0.58333333333333337</v>
      </c>
      <c r="AC28" s="101" t="str">
        <f>IFERROR(COUNTIFS('Base File'!$G:$G,"Contractual SLA",'Base File'!$H:$H,"No",'Base File'!$B:$B,'Account Summary'!$C28,'Base File'!$BB:$BB,"Met")/SUM(COUNTIFS('Base File'!$G:$G,"Contractual SLA",'Base File'!$H:$H,"No",'Base File'!$B:$B,'Account Summary'!$C28,'Base File'!$BB:$BB,"Met")+COUNTIFS('Base File'!$G:$G,"Contractual SLA",'Base File'!$H:$H,"No",'Base File'!$B:$B,'Account Summary'!$C28,'Base File'!$BB:$BB,"Not Met")),"-")</f>
        <v>-</v>
      </c>
      <c r="AD28" s="110">
        <f>IFERROR(COUNTIFS('Base File'!$G:$G,"Contractual SLA",'Base File'!$H:$H,"Yes",'Base File'!$B:$B,'Account Summary'!$C28,'Base File'!$BB:$BB,"Met")/SUM(COUNTIFS('Base File'!$G:$G,"Contractual SLA",'Base File'!$H:$H,"yes",'Base File'!$B:$B,'Account Summary'!$C28,'Base File'!$BB:$BB,"Met")+COUNTIFS('Base File'!$G:$G,"Contractual SLA",'Base File'!$H:$H,"yes",'Base File'!$B:$B,'Account Summary'!$C28,'Base File'!$BB:$BB,"Not Met")),"-")</f>
        <v>0</v>
      </c>
      <c r="AE28" s="106">
        <f>IFERROR(COUNTIFS('Base File'!$G:$G,"Internal KPI",'Base File'!$B:$B,'Account Summary'!$C28,'Base File'!$BB:$BB,"Met")/SUM(COUNTIFS('Base File'!$G:$G,"Internal KPI",'Base File'!$B:$B,'Account Summary'!$C28,'Base File'!$BB:$BB,"Met")+COUNTIFS('Base File'!$G:$G,"Internal KPI",'Base File'!$B:$B,'Account Summary'!$C28,'Base File'!$BB:$BB,"Not Met")),"-")</f>
        <v>0.7</v>
      </c>
      <c r="AF28" s="110">
        <f>IFERROR(COUNTIFS('Base File'!$BD:$BD,"Met",'Base File'!$B:$B,'Account Summary'!C28)/(COUNTIFS('Base File'!$BD:$BD,"Met",'Base File'!$B:$B,'Account Summary'!C28)+COUNTIFS('Base File'!$BD:$BD,"Not Met",'Base File'!$B:$B,'Account Summary'!C28)),"NR")</f>
        <v>0.25</v>
      </c>
      <c r="AG28" s="100" t="str">
        <f>IFERROR(COUNTIFS('Base File'!$G:$G,"Contractual SLA",'Base File'!$H:$H,"No",'Base File'!$B:$B,'Account Summary'!$C28,'Base File'!$BD:$BD,"Met")/SUM(COUNTIFS('Base File'!$G:$G,"Contractual SLA",'Base File'!$H:$H,"No",'Base File'!$B:$B,'Account Summary'!$C28,'Base File'!$BD:$BD,"Met")+COUNTIFS('Base File'!$G:$G,"Contractual SLA",'Base File'!$H:$H,"No",'Base File'!$B:$B,'Account Summary'!$C28,'Base File'!$BD:$BD,"Not Met")),"-")</f>
        <v>-</v>
      </c>
      <c r="AH28" s="110">
        <f>IFERROR(COUNTIFS('Base File'!$G:$G,"Contractual SLA",'Base File'!$H:$H,"Yes",'Base File'!$B:$B,'Account Summary'!$C28,'Base File'!$BD:$BD,"Met")/SUM(COUNTIFS('Base File'!$G:$G,"Contractual SLA",'Base File'!$H:$H,"yes",'Base File'!$B:$B,'Account Summary'!$C28,'Base File'!$BD:$BD,"Met")+COUNTIFS('Base File'!$G:$G,"Contractual SLA",'Base File'!$H:$H,"yes",'Base File'!$B:$B,'Account Summary'!$C28,'Base File'!$BD:$BD,"Not Met")),"-")</f>
        <v>0</v>
      </c>
      <c r="AI28" s="110">
        <f>IFERROR(COUNTIFS('Base File'!$G:$G,"Internal KPI",'Base File'!$B:$B,'Account Summary'!$C28,'Base File'!$BD:$BD,"Met")/SUM(COUNTIFS('Base File'!$G:$G,"Internal KPI",'Base File'!$B:$B,'Account Summary'!$C28,'Base File'!$BD:$BD,"Met")+COUNTIFS('Base File'!$G:$G,"Internal KPI",'Base File'!$B:$B,'Account Summary'!$C28,'Base File'!$BD:$BD,"Not Met")),"-")</f>
        <v>0.3</v>
      </c>
      <c r="AJ28" s="110">
        <f>IFERROR(COUNTIFS('Base File'!$BF:$BF,"Met",'Base File'!$B:$B,'Account Summary'!C28)/(COUNTIFS('Base File'!$BF:$BF,"Met",'Base File'!$B:$B,'Account Summary'!C28)+COUNTIFS('Base File'!$BF:$BF,"Not Met",'Base File'!$B:$B,'Account Summary'!C28)),"NR")</f>
        <v>0.45454545454545453</v>
      </c>
      <c r="AK28" s="100" t="str">
        <f>IFERROR(COUNTIFS('Base File'!$G:$G,"Contractual SLA",'Base File'!$H:$H,"No",'Base File'!$B:$B,'Account Summary'!$C28,'Base File'!$BF:$BF,"Met")/SUM(COUNTIFS('Base File'!$G:$G,"Contractual SLA",'Base File'!$H:$H,"No",'Base File'!$B:$B,'Account Summary'!$C28,'Base File'!$BF:$BF,"Met")+COUNTIFS('Base File'!$G:$G,"Contractual SLA",'Base File'!$H:$H,"No",'Base File'!$B:$B,'Account Summary'!$C28,'Base File'!$BF:$BF,"Not Met")),"-")</f>
        <v>-</v>
      </c>
      <c r="AL28" s="110">
        <f>IFERROR(COUNTIFS('Base File'!$G:$G,"Contractual SLA",'Base File'!$H:$H,"Yes",'Base File'!$B:$B,'Account Summary'!$C28,'Base File'!$BF:$BF,"Met")/SUM(COUNTIFS('Base File'!$G:$G,"Contractual SLA",'Base File'!$H:$H,"yes",'Base File'!$B:$B,'Account Summary'!$C28,'Base File'!$BF:$BF,"Met")+COUNTIFS('Base File'!$G:$G,"Contractual SLA",'Base File'!$H:$H,"yes",'Base File'!$B:$B,'Account Summary'!$C28,'Base File'!$BF:$BF,"Not Met")),"-")</f>
        <v>0</v>
      </c>
      <c r="AM28" s="106">
        <f>IFERROR(COUNTIFS('Base File'!$G:$G,"Internal KPI",'Base File'!$B:$B,'Account Summary'!$C28,'Base File'!$BF:$BF,"Met")/SUM(COUNTIFS('Base File'!$G:$G,"Internal KPI",'Base File'!$B:$B,'Account Summary'!$C28,'Base File'!$BF:$BF,"Met")+COUNTIFS('Base File'!$G:$G,"Internal KPI",'Base File'!$B:$B,'Account Summary'!$C28,'Base File'!$BF:$BF,"Not Met")),"-")</f>
        <v>0.55555555555555558</v>
      </c>
      <c r="AN28" s="106">
        <f>IFERROR(COUNTIFS('Base File'!$BH:$BH,"Met",'Base File'!$B:$B,'Account Summary'!C28)/(COUNTIFS('Base File'!$BH:$BH,"Met",'Base File'!$B:$B,'Account Summary'!C28)+COUNTIFS('Base File'!$BH:$BH,"Not Met",'Base File'!$B:$B,'Account Summary'!C28)),"NR")</f>
        <v>0.58333333333333337</v>
      </c>
      <c r="AO28" s="100" t="str">
        <f>IFERROR(COUNTIFS('Base File'!$G:$G,"Contractual SLA",'Base File'!$H:$H,"No",'Base File'!$B:$B,'Account Summary'!$C28,'Base File'!$BH:$BH,"Met")/SUM(COUNTIFS('Base File'!$G:$G,"Contractual SLA",'Base File'!$H:$H,"No",'Base File'!$B:$B,'Account Summary'!$C28,'Base File'!$BH:$BH,"Met")+COUNTIFS('Base File'!$G:$G,"Contractual SLA",'Base File'!$H:$H,"No",'Base File'!$B:$B,'Account Summary'!$C28,'Base File'!$BH:$BH,"Not Met")),"-")</f>
        <v>-</v>
      </c>
      <c r="AP28" s="110">
        <f>IFERROR(COUNTIFS('Base File'!$G:$G,"Contractual SLA",'Base File'!$H:$H,"Yes",'Base File'!$B:$B,'Account Summary'!$C28,'Base File'!$BH:$BH,"Met")/SUM(COUNTIFS('Base File'!$G:$G,"Contractual SLA",'Base File'!$H:$H,"yes",'Base File'!$B:$B,'Account Summary'!$C28,'Base File'!$BH:$BH,"Met")+COUNTIFS('Base File'!$G:$G,"Contractual SLA",'Base File'!$H:$H,"yes",'Base File'!$B:$B,'Account Summary'!$C28,'Base File'!$BH:$BH,"Not Met")),"-")</f>
        <v>0.5</v>
      </c>
      <c r="AQ28" s="106">
        <f>IFERROR(COUNTIFS('Base File'!$G:$G,"Internal KPI",'Base File'!$B:$B,'Account Summary'!$C28,'Base File'!$BH:$BH,"Met")/SUM(COUNTIFS('Base File'!$G:$G,"Internal KPI",'Base File'!$B:$B,'Account Summary'!$C28,'Base File'!$BH:$BH,"Met")+COUNTIFS('Base File'!$G:$G,"Internal KPI",'Base File'!$B:$B,'Account Summary'!$C28,'Base File'!$BH:$BH,"Not Met")),"-")</f>
        <v>0.6</v>
      </c>
      <c r="AR28" s="106">
        <f>IFERROR(COUNTIFS('Base File'!$BJ:$BJ,"Met",'Base File'!$B:$B,'Account Summary'!C28)/(COUNTIFS('Base File'!$BJ:$BJ,"Met",'Base File'!$B:$B,'Account Summary'!C28)+COUNTIFS('Base File'!$BJ:$BJ,"Not Met",'Base File'!$B:$B,'Account Summary'!C28)),"NR")</f>
        <v>0.58333333333333337</v>
      </c>
      <c r="AS28" s="101" t="str">
        <f>IFERROR(COUNTIFS('Base File'!$G:$G,"Contractual SLA",'Base File'!$H:$H,"No",'Base File'!$B:$B,'Account Summary'!$C28,'Base File'!$BJ:$BJ,"Met")/SUM(COUNTIFS('Base File'!$G:$G,"Contractual SLA",'Base File'!$H:$H,"No",'Base File'!$B:$B,'Account Summary'!$C28,'Base File'!$BJ:$BJ,"Met")+COUNTIFS('Base File'!$G:$G,"Contractual SLA",'Base File'!$H:$H,"No",'Base File'!$B:$B,'Account Summary'!$C28,'Base File'!$BJ:$BJ,"Not Met")),"-")</f>
        <v>-</v>
      </c>
      <c r="AT28" s="110">
        <f>IFERROR(COUNTIFS('Base File'!$G:$G,"Contractual SLA",'Base File'!$H:$H,"Yes",'Base File'!$B:$B,'Account Summary'!$C28,'Base File'!$BJ:$BJ,"Met")/SUM(COUNTIFS('Base File'!$G:$G,"Contractual SLA",'Base File'!$H:$H,"yes",'Base File'!$B:$B,'Account Summary'!$C28,'Base File'!$BJ:$BJ,"Met")+COUNTIFS('Base File'!$G:$G,"Contractual SLA",'Base File'!$H:$H,"yes",'Base File'!$B:$B,'Account Summary'!$C28,'Base File'!$BJ:$BJ,"Not Met")),"-")</f>
        <v>0.5</v>
      </c>
      <c r="AU28" s="106">
        <f>IFERROR(COUNTIFS('Base File'!$G:$G,"Internal KPI",'Base File'!$B:$B,'Account Summary'!$C28,'Base File'!$BJ:$BJ,"Met")/SUM(COUNTIFS('Base File'!$G:$G,"Internal KPI",'Base File'!$B:$B,'Account Summary'!$C28,'Base File'!$BJ:$BJ,"Met")+COUNTIFS('Base File'!$G:$G,"Internal KPI",'Base File'!$B:$B,'Account Summary'!$C28,'Base File'!$BJ:$BJ,"Not Met")),"-")</f>
        <v>0.6</v>
      </c>
      <c r="AV28" s="100">
        <f>IFERROR(COUNTIFS('Base File'!$BL:$BL,"Met",'Base File'!$B:$B,'Account Summary'!C28)/(COUNTIFS('Base File'!$BL:$BL,"Met",'Base File'!$B:$B,'Account Summary'!C28)+COUNTIFS('Base File'!$BL:$BL,"Not Met",'Base File'!$B:$B,'Account Summary'!C28)),"NR")</f>
        <v>0.41666666666666669</v>
      </c>
      <c r="AW28" s="100" t="str">
        <f>IFERROR(COUNTIFS('Base File'!$G:$G,"Contractual SLA",'Base File'!$H:$H,"No",'Base File'!$B:$B,'Account Summary'!$C28,'Base File'!$BL:$BL,"Met")/SUM(COUNTIFS('Base File'!$G:$G,"Contractual SLA",'Base File'!$H:$H,"No",'Base File'!$B:$B,'Account Summary'!$C28,'Base File'!$BL:$BL,"Met")+COUNTIFS('Base File'!$G:$G,"Contractual SLA",'Base File'!$H:$H,"No",'Base File'!$B:$B,'Account Summary'!$C28,'Base File'!$BL:$BL,"Not Met")),"-")</f>
        <v>-</v>
      </c>
      <c r="AX28" s="100">
        <f>IFERROR(COUNTIFS('Base File'!$G:$G,"Contractual SLA",'Base File'!$H:$H,"Yes",'Base File'!$B:$B,'Account Summary'!$C28,'Base File'!$BL:$BL,"Met")/SUM(COUNTIFS('Base File'!$G:$G,"Contractual SLA",'Base File'!$H:$H,"yes",'Base File'!$B:$B,'Account Summary'!$C28,'Base File'!$BL:$BL,"Met")+COUNTIFS('Base File'!$G:$G,"Contractual SLA",'Base File'!$H:$H,"yes",'Base File'!$B:$B,'Account Summary'!$C28,'Base File'!$BL:$BL,"Not Met")),"-")</f>
        <v>0.5</v>
      </c>
      <c r="AY28" s="100">
        <f>IFERROR(COUNTIFS('Base File'!$G:$G,"Internal KPI",'Base File'!$B:$B,'Account Summary'!$C28,'Base File'!$BL:$BL,"Met")/SUM(COUNTIFS('Base File'!$G:$G,"Internal KPI",'Base File'!$B:$B,'Account Summary'!$C28,'Base File'!$BL:$BL,"Met")+COUNTIFS('Base File'!$G:$G,"Internal KPI",'Base File'!$B:$B,'Account Summary'!$C28,'Base File'!$BL:$BL,"Not Met")),"-")</f>
        <v>0.4</v>
      </c>
      <c r="AZ28" s="106">
        <v>0.72727272727272729</v>
      </c>
      <c r="BA28" s="100" t="s">
        <v>107</v>
      </c>
      <c r="BB28" s="100">
        <v>0.5</v>
      </c>
      <c r="BC28" s="100">
        <v>0.77777777777777779</v>
      </c>
      <c r="BD28" s="100" t="str">
        <f>IFERROR(COUNTIFS('Base File'!$BP:$BP,"Met",'Base File'!$B:$B,'Account Summary'!C28)/(COUNTIFS('Base File'!$BP:$BP,"Met",'Base File'!$B:$B,'Account Summary'!C28)+COUNTIFS('Base File'!$BP:$BP,"Not Met",'Base File'!$B:$B,'Account Summary'!C28)),"NR")</f>
        <v>NR</v>
      </c>
      <c r="BE28" s="100" t="str">
        <f>IFERROR(COUNTIFS('Base File'!$G:$G,"Contractual SLA",'Base File'!$H:$H,"No",'Base File'!$B:$B,'Account Summary'!$C28,'Base File'!$BP:$BP,"Met")/SUM(COUNTIFS('Base File'!$G:$G,"Contractual SLA",'Base File'!$H:$H,"No",'Base File'!$B:$B,'Account Summary'!$C28,'Base File'!$BP:$BP,"Met")+COUNTIFS('Base File'!$G:$G,"Contractual SLA",'Base File'!$H:$H,"No",'Base File'!$B:$B,'Account Summary'!$C28,'Base File'!$BP:$BP,"Not Met")),"-")</f>
        <v>-</v>
      </c>
      <c r="BF28" s="100" t="s">
        <v>103</v>
      </c>
      <c r="BG28" s="100" t="s">
        <v>103</v>
      </c>
      <c r="BH28" s="100" t="str">
        <f>IFERROR(COUNTIFS('Base File'!$BR:$BR,"Met",'Base File'!$B:$B,'Account Summary'!C28)/(COUNTIFS('Base File'!$BR:$BR,"Met",'Base File'!$B:$B,'Account Summary'!C28)+COUNTIFS('Base File'!$BR:$BR,"Not Met",'Base File'!$B:$B,'Account Summary'!C28)),"NR")</f>
        <v>NR</v>
      </c>
      <c r="BI28" s="101" t="str">
        <f>IFERROR(COUNTIFS('Base File'!$G:$G,"Contractual SLA",'Base File'!$H:$H,"No",'Base File'!$B:$B,'Account Summary'!$C28,'Base File'!$BR:$BR,"Met")/SUM(COUNTIFS('Base File'!$G:$G,"Contractual SLA",'Base File'!$H:$H,"No",'Base File'!$B:$B,'Account Summary'!$C28,'Base File'!$BR:$BR,"Met")+COUNTIFS('Base File'!$G:$G,"Contractual SLA",'Base File'!$H:$H,"No",'Base File'!$B:$B,'Account Summary'!$C28,'Base File'!$BR:$BR,"Not Met")),"-")</f>
        <v>-</v>
      </c>
      <c r="BJ28" s="100" t="s">
        <v>103</v>
      </c>
      <c r="BK28" s="100" t="s">
        <v>103</v>
      </c>
      <c r="BL28" s="100" t="str">
        <f>IFERROR(COUNTIFS('Base File'!$BT:$BT,"Met",'Base File'!$B:$B,'Account Summary'!C28)/(COUNTIFS('Base File'!$BT:$BT,"Met",'Base File'!$B:$B,'Account Summary'!C28)+COUNTIFS('Base File'!$BT:$BT,"Not Met",'Base File'!$B:$B,'Account Summary'!C28)),"NR")</f>
        <v>NR</v>
      </c>
      <c r="BM28" s="100" t="str">
        <f>IFERROR(COUNTIFS('Base File'!$G:$G,"Contractual SLA",'Base File'!$H:$H,"No",'Base File'!$B:$B,'Account Summary'!$C28,'Base File'!$BT:$BT,"Met")/SUM(COUNTIFS('Base File'!$G:$G,"Contractual SLA",'Base File'!$H:$H,"No",'Base File'!$B:$B,'Account Summary'!$C28,'Base File'!$BT:$BT,"Met")+COUNTIFS('Base File'!$G:$G,"Contractual SLA",'Base File'!$H:$H,"No",'Base File'!$B:$B,'Account Summary'!$C28,'Base File'!$BT:$BT,"Not Met")),"-")</f>
        <v>-</v>
      </c>
      <c r="BN28" s="100" t="s">
        <v>103</v>
      </c>
      <c r="BO28" s="100" t="s">
        <v>103</v>
      </c>
      <c r="BP28" s="100" t="str">
        <f>IFERROR(COUNTIFS('Base File'!$BV:$BV,"Met",'Base File'!$B:$B,'Account Summary'!C28)/(COUNTIFS('Base File'!$BV:$BV,"Met",'Base File'!$B:$B,'Account Summary'!C28)+COUNTIFS('Base File'!$BV:$BV,"Not Met",'Base File'!$B:$B,'Account Summary'!C28)),"NR")</f>
        <v>NR</v>
      </c>
      <c r="BQ28" s="100" t="str">
        <f>IFERROR(COUNTIFS('Base File'!$G:$G,"Internal KPI",'Base File'!$B:$B,'Account Summary'!$C28,'Base File'!$BV:$BV,"Met")/SUM(COUNTIFS('Base File'!$G:$G,"Internal KPI",'Base File'!$B:$B,'Account Summary'!$C28,'Base File'!$BV:$BV,"Met")+COUNTIFS('Base File'!$G:$G,"Internal KPI",'Base File'!$B:$B,'Account Summary'!$C28,'Base File'!$BV:$BV,"Not Met")),"-")</f>
        <v>-</v>
      </c>
      <c r="BR28" s="100" t="s">
        <v>103</v>
      </c>
      <c r="BS28" s="100" t="s">
        <v>103</v>
      </c>
    </row>
    <row r="29" spans="1:71" s="12" customFormat="1" x14ac:dyDescent="0.25">
      <c r="A29" s="389"/>
      <c r="B29" s="94">
        <v>26</v>
      </c>
      <c r="C29" s="94" t="s">
        <v>37</v>
      </c>
      <c r="D29" s="95" t="s">
        <v>110</v>
      </c>
      <c r="E29" s="95" t="s">
        <v>903</v>
      </c>
      <c r="F29" s="94" t="s">
        <v>899</v>
      </c>
      <c r="G29" s="96"/>
      <c r="H29" s="94"/>
      <c r="I29" s="94" t="s">
        <v>111</v>
      </c>
      <c r="J29" s="373" t="s">
        <v>11</v>
      </c>
      <c r="K29" s="94" t="s">
        <v>11</v>
      </c>
      <c r="L29" s="98" t="s">
        <v>11</v>
      </c>
      <c r="M29" s="98" t="s">
        <v>11</v>
      </c>
      <c r="N29" s="111" t="s">
        <v>107</v>
      </c>
      <c r="O29" s="98" t="s">
        <v>11</v>
      </c>
      <c r="P29" s="98" t="s">
        <v>11</v>
      </c>
      <c r="Q29" s="98" t="s">
        <v>11</v>
      </c>
      <c r="R29" s="103" t="str">
        <f>IFERROR(COUNTIFS('Base File'!$G:$G,"Contractual SLA",'Base File'!$H:$H,"Yes",'Base File'!$B:$B,'Account Summary'!$C29,'Base File'!$AV:$AV,"Met")/SUM(COUNTIFS('Base File'!$G:$G,"Contractual SLA",'Base File'!$H:$H,"yes",'Base File'!$B:$B,'Account Summary'!$C29,'Base File'!$AV:$AV,"Met")+COUNTIFS('Base File'!$G:$G,"Contractual SLA",'Base File'!$H:$H,"yes",'Base File'!$B:$B,'Account Summary'!$C29,'Base File'!$AV:$AV,"Not Met")),"-")</f>
        <v>-</v>
      </c>
      <c r="S29" s="98" t="s">
        <v>11</v>
      </c>
      <c r="T29" s="98" t="s">
        <v>11</v>
      </c>
      <c r="U29" s="98" t="s">
        <v>11</v>
      </c>
      <c r="V29" s="100" t="str">
        <f>IFERROR(COUNTIFS('Base File'!$G:$G,"Contractual SLA",'Base File'!$H:$H,"Yes",'Base File'!$B:$B,'Account Summary'!$C29,'Base File'!$AX:$AX,"Met")/SUM(COUNTIFS('Base File'!$G:$G,"Contractual SLA",'Base File'!$H:$H,"yes",'Base File'!$B:$B,'Account Summary'!$C29,'Base File'!$AX:$AX,"Met")+COUNTIFS('Base File'!$G:$G,"Contractual SLA",'Base File'!$H:$H,"yes",'Base File'!$B:$B,'Account Summary'!$C29,'Base File'!$AX:$AX,"Not Met")),"NA")</f>
        <v>NA</v>
      </c>
      <c r="W29" s="98" t="s">
        <v>11</v>
      </c>
      <c r="X29" s="100" t="s">
        <v>11</v>
      </c>
      <c r="Y29" s="101" t="s">
        <v>11</v>
      </c>
      <c r="Z29" s="100" t="str">
        <f>IFERROR(COUNTIFS('Base File'!$G:$G,"Contractual SLA",'Base File'!$H:$H,"Yes",'Base File'!$B:$B,'Account Summary'!$C29,'Base File'!$AZ:$AZ,"Met")/SUM(COUNTIFS('Base File'!$G:$G,"Contractual SLA",'Base File'!$H:$H,"yes",'Base File'!$B:$B,'Account Summary'!$C29,'Base File'!$AZ:$AZ,"Met")+COUNTIFS('Base File'!$G:$G,"Contractual SLA",'Base File'!$H:$H,"yes",'Base File'!$B:$B,'Account Summary'!$C29,'Base File'!$AZ:$AZ,"Not Met")),"-")</f>
        <v>-</v>
      </c>
      <c r="AA29" s="100" t="s">
        <v>11</v>
      </c>
      <c r="AB29" s="101" t="s">
        <v>11</v>
      </c>
      <c r="AC29" s="101" t="s">
        <v>11</v>
      </c>
      <c r="AD29" s="100" t="str">
        <f>IFERROR(COUNTIFS('Base File'!$G:$G,"Contractual SLA",'Base File'!$H:$H,"Yes",'Base File'!$B:$B,'Account Summary'!$C29,'Base File'!$BB:$BB,"Met")/SUM(COUNTIFS('Base File'!$G:$G,"Contractual SLA",'Base File'!$H:$H,"yes",'Base File'!$B:$B,'Account Summary'!$C29,'Base File'!$BB:$BB,"Met")+COUNTIFS('Base File'!$G:$G,"Contractual SLA",'Base File'!$H:$H,"yes",'Base File'!$B:$B,'Account Summary'!$C29,'Base File'!$BB:$BB,"Not Met")),"-")</f>
        <v>-</v>
      </c>
      <c r="AE29" s="100" t="s">
        <v>11</v>
      </c>
      <c r="AF29" s="100" t="s">
        <v>11</v>
      </c>
      <c r="AG29" s="100" t="s">
        <v>11</v>
      </c>
      <c r="AH29" s="100" t="str">
        <f>IFERROR(COUNTIFS('Base File'!$G:$G,"Contractual SLA",'Base File'!$H:$H,"Yes",'Base File'!$B:$B,'Account Summary'!$C29,'Base File'!$BD:$BD,"Met")/SUM(COUNTIFS('Base File'!$G:$G,"Contractual SLA",'Base File'!$H:$H,"yes",'Base File'!$B:$B,'Account Summary'!$C29,'Base File'!$BD:$BD,"Met")+COUNTIFS('Base File'!$G:$G,"Contractual SLA",'Base File'!$H:$H,"yes",'Base File'!$B:$B,'Account Summary'!$C29,'Base File'!$BD:$BD,"Not Met")),"-")</f>
        <v>-</v>
      </c>
      <c r="AI29" s="100" t="s">
        <v>11</v>
      </c>
      <c r="AJ29" s="100" t="s">
        <v>11</v>
      </c>
      <c r="AK29" s="100" t="s">
        <v>11</v>
      </c>
      <c r="AL29" s="100" t="str">
        <f>IFERROR(COUNTIFS('Base File'!$G:$G,"Contractual SLA",'Base File'!$H:$H,"Yes",'Base File'!$B:$B,'Account Summary'!$C29,'Base File'!$BD:$BD,"Met")/SUM(COUNTIFS('Base File'!$G:$G,"Contractual SLA",'Base File'!$H:$H,"yes",'Base File'!$B:$B,'Account Summary'!$C29,'Base File'!$BD:$BD,"Met")+COUNTIFS('Base File'!$G:$G,"Contractual SLA",'Base File'!$H:$H,"yes",'Base File'!$B:$B,'Account Summary'!$C29,'Base File'!$BD:$BD,"Not Met")),"-")</f>
        <v>-</v>
      </c>
      <c r="AM29" s="100" t="s">
        <v>11</v>
      </c>
      <c r="AN29" s="100" t="s">
        <v>11</v>
      </c>
      <c r="AO29" s="100" t="s">
        <v>11</v>
      </c>
      <c r="AP29" s="100" t="str">
        <f>IFERROR(COUNTIFS('Base File'!$G:$G,"Contractual SLA",'Base File'!$H:$H,"Yes",'Base File'!$B:$B,'Account Summary'!$C29,'Base File'!$BH:$BH,"Met")/SUM(COUNTIFS('Base File'!$G:$G,"Contractual SLA",'Base File'!$H:$H,"yes",'Base File'!$B:$B,'Account Summary'!$C29,'Base File'!$BH:$BH,"Met")+COUNTIFS('Base File'!$G:$G,"Contractual SLA",'Base File'!$H:$H,"yes",'Base File'!$B:$B,'Account Summary'!$C29,'Base File'!$BH:$BH,"Not Met")),"-")</f>
        <v>-</v>
      </c>
      <c r="AQ29" s="100" t="s">
        <v>11</v>
      </c>
      <c r="AR29" s="100" t="s">
        <v>11</v>
      </c>
      <c r="AS29" s="100" t="s">
        <v>11</v>
      </c>
      <c r="AT29" s="100" t="str">
        <f>IFERROR(COUNTIFS('Base File'!$G:$G,"Contractual SLA",'Base File'!$H:$H,"Yes",'Base File'!$B:$B,'Account Summary'!$C29,'Base File'!$BJ:$BJ,"Met")/SUM(COUNTIFS('Base File'!$G:$G,"Contractual SLA",'Base File'!$H:$H,"yes",'Base File'!$B:$B,'Account Summary'!$C29,'Base File'!$BJ:$BJ,"Met")+COUNTIFS('Base File'!$G:$G,"Contractual SLA",'Base File'!$H:$H,"yes",'Base File'!$B:$B,'Account Summary'!$C29,'Base File'!$BJ:$BJ,"Not Met")),"-")</f>
        <v>-</v>
      </c>
      <c r="AU29" s="100" t="s">
        <v>11</v>
      </c>
      <c r="AV29" s="100" t="s">
        <v>11</v>
      </c>
      <c r="AW29" s="100" t="s">
        <v>11</v>
      </c>
      <c r="AX29" s="100" t="str">
        <f>IFERROR(COUNTIFS('Base File'!$G:$G,"Contractual SLA",'Base File'!$H:$H,"Yes",'Base File'!$B:$B,'Account Summary'!$C29,'Base File'!$BL:$BL,"Met")/SUM(COUNTIFS('Base File'!$G:$G,"Contractual SLA",'Base File'!$H:$H,"yes",'Base File'!$B:$B,'Account Summary'!$C29,'Base File'!$BL:$BL,"Met")+COUNTIFS('Base File'!$G:$G,"Contractual SLA",'Base File'!$H:$H,"yes",'Base File'!$B:$B,'Account Summary'!$C29,'Base File'!$BL:$BL,"Not Met")),"-")</f>
        <v>-</v>
      </c>
      <c r="AY29" s="100" t="s">
        <v>11</v>
      </c>
      <c r="AZ29" s="100" t="s">
        <v>11</v>
      </c>
      <c r="BA29" s="100" t="s">
        <v>11</v>
      </c>
      <c r="BB29" s="100" t="s">
        <v>107</v>
      </c>
      <c r="BC29" s="100" t="s">
        <v>11</v>
      </c>
      <c r="BD29" s="100" t="s">
        <v>11</v>
      </c>
      <c r="BE29" s="100" t="s">
        <v>11</v>
      </c>
      <c r="BF29" s="100" t="str">
        <f>IFERROR(COUNTIFS('Base File'!$G:$G,"Contractual SLA",'Base File'!$H:$H,"Yes",'Base File'!$B:$B,'Account Summary'!$C29,'Base File'!$BP:$BP,"Met")/SUM(COUNTIFS('Base File'!$G:$G,"Contractual SLA",'Base File'!$H:$H,"yes",'Base File'!$B:$B,'Account Summary'!$C29,'Base File'!$BP:$BP,"Met")+COUNTIFS('Base File'!$G:$G,"Contractual SLA",'Base File'!$H:$H,"yes",'Base File'!$B:$B,'Account Summary'!$C29,'Base File'!$BP:$BP,"Not Met")),"-")</f>
        <v>-</v>
      </c>
      <c r="BG29" s="100" t="s">
        <v>11</v>
      </c>
      <c r="BH29" s="100" t="s">
        <v>11</v>
      </c>
      <c r="BI29" s="101" t="s">
        <v>11</v>
      </c>
      <c r="BJ29" s="101" t="str">
        <f>IFERROR(COUNTIFS('Base File'!$G:$G,"Contractual SLA",'Base File'!$H:$H,"No",'Base File'!$B:$B,'Account Summary'!$C29,'Base File'!$BR:$BR,"Met")/SUM(COUNTIFS('Base File'!$G:$G,"Contractual SLA",'Base File'!$H:$H,"No",'Base File'!$B:$B,'Account Summary'!$C29,'Base File'!$BR:$BR,"Met")+COUNTIFS('Base File'!$G:$G,"Contractual SLA",'Base File'!$H:$H,"No",'Base File'!$B:$B,'Account Summary'!$C29,'Base File'!$BR:$BR,"Not Met")),"-")</f>
        <v>-</v>
      </c>
      <c r="BK29" s="100" t="s">
        <v>11</v>
      </c>
      <c r="BL29" s="100" t="s">
        <v>11</v>
      </c>
      <c r="BM29" s="100" t="s">
        <v>11</v>
      </c>
      <c r="BN29" s="100" t="str">
        <f>IFERROR(COUNTIFS('Base File'!$G:$G,"Contractual SLA",'Base File'!$H:$H,"Yes",'Base File'!$B:$B,'Account Summary'!$C29,'Base File'!$BT:$BT,"Met")/SUM(COUNTIFS('Base File'!$G:$G,"Contractual SLA",'Base File'!$H:$H,"yes",'Base File'!$B:$B,'Account Summary'!$C29,'Base File'!$BT:$BT,"Met")+COUNTIFS('Base File'!$G:$G,"Contractual SLA",'Base File'!$H:$H,"yes",'Base File'!$B:$B,'Account Summary'!$C29,'Base File'!$BT:$BT,"Not Met")),"-")</f>
        <v>-</v>
      </c>
      <c r="BO29" s="100" t="s">
        <v>11</v>
      </c>
      <c r="BP29" s="100" t="s">
        <v>11</v>
      </c>
      <c r="BQ29" s="100" t="s">
        <v>11</v>
      </c>
      <c r="BR29" s="100" t="str">
        <f>IFERROR(COUNTIFS('Base File'!$G:$G,"Contractual SLA",'Base File'!$H:$H,"Yes",'Base File'!$B:$B,'Account Summary'!$C29,'Base File'!$BV:$BV,"Met")/SUM(COUNTIFS('Base File'!$G:$G,"Contractual SLA",'Base File'!$H:$H,"Yes",'Base File'!$B:$B,'Account Summary'!$C29,'Base File'!$BV:$BV,"Met")+COUNTIFS('Base File'!$G:$G,"Contractual SLA",'Base File'!$H:$H,"Yes",'Base File'!$B:$B,'Account Summary'!$C29,'Base File'!$BV:$BV,"Not Met")),"-")</f>
        <v>-</v>
      </c>
      <c r="BS29" s="100" t="s">
        <v>11</v>
      </c>
    </row>
    <row r="30" spans="1:71" s="12" customFormat="1" x14ac:dyDescent="0.25">
      <c r="A30" s="389"/>
      <c r="B30" s="94">
        <v>27</v>
      </c>
      <c r="C30" s="94" t="s">
        <v>39</v>
      </c>
      <c r="D30" s="94" t="s">
        <v>110</v>
      </c>
      <c r="E30" s="94" t="s">
        <v>903</v>
      </c>
      <c r="F30" s="94" t="s">
        <v>899</v>
      </c>
      <c r="G30" s="96"/>
      <c r="H30" s="94"/>
      <c r="I30" s="94" t="s">
        <v>133</v>
      </c>
      <c r="J30" s="89" t="s">
        <v>67</v>
      </c>
      <c r="K30" s="89" t="s">
        <v>65</v>
      </c>
      <c r="L30" s="101">
        <f>IFERROR(COUNTIFS('Base File'!$AR:$AR,"Met",'Base File'!$B:$B,'Account Summary'!C30)/(COUNTIFS('Base File'!$AR:$AR,"Met",'Base File'!$B:$B,'Account Summary'!C30)+COUNTIFS('Base File'!$AR:$AR,"Not Met",'Base File'!$B:$B,'Account Summary'!C30)),"NR")</f>
        <v>0.625</v>
      </c>
      <c r="M30" s="101">
        <f>IFERROR(COUNTIFS('Base File'!$G:$G,"Contractual SLA",'Base File'!$H:$H,"No",'Base File'!$B:$B,'Account Summary'!$C30,'Base File'!$AR:$AR,"Met")/SUM(COUNTIFS('Base File'!$G:$G,"Contractual SLA",'Base File'!$H:$H,"No",'Base File'!$B:$B,'Account Summary'!$C30,'Base File'!$AR:$AR,"Met")+COUNTIFS('Base File'!$G:$G,"Contractual SLA",'Base File'!$H:$H,"No",'Base File'!$B:$B,'Account Summary'!$C30,'Base File'!$AR:$AR,"Not Met")),"-")</f>
        <v>0.5</v>
      </c>
      <c r="N30" s="101" t="str">
        <f>IFERROR(COUNTIFS('Base File'!$G:$G,"Contractual SLA",'Base File'!$H:$H,"Yes",'Base File'!$B:$B,'Account Summary'!$C30,'Base File'!$AR:$AR,"Met")/SUM(COUNTIFS('Base File'!$G:$G,"Contractual SLA",'Base File'!$H:$H,"yes",'Base File'!$B:$B,'Account Summary'!$C30,'Base File'!$AR:$AR,"Met")+COUNTIFS('Base File'!$G:$G,"Contractual SLA",'Base File'!$H:$H,"yes",'Base File'!$B:$B,'Account Summary'!$C30,'Base File'!$AR:$AR,"Not Met")),"-")</f>
        <v>-</v>
      </c>
      <c r="O30" s="101">
        <f>IFERROR(COUNTIFS('Base File'!$G:$G,"Internal KPI",'Base File'!$B:$B,'Account Summary'!$C30,'Base File'!$AR:$AR,"Met")/SUM(COUNTIFS('Base File'!$G:$G,"Internal KPI",'Base File'!$B:$B,'Account Summary'!$C30,'Base File'!$AR:$AR,"Met")+COUNTIFS('Base File'!$G:$G,"Internal KPI",'Base File'!$B:$B,'Account Summary'!$C30,'Base File'!$AR:$AR,"Not Met")),"-")</f>
        <v>0.66666666666666663</v>
      </c>
      <c r="P30" s="101" t="str">
        <f>IFERROR(COUNTIFS('Base File'!$AV:$AV,"Met",'Base File'!$B:$B,'Account Summary'!C30)/(COUNTIFS('Base File'!$AV:$AV,"Met",'Base File'!$B:$B,'Account Summary'!C30)+COUNTIFS('Base File'!$AV:$AV,"Not Met",'Base File'!$B:$B,'Account Summary'!C30)),"NR")</f>
        <v>NR</v>
      </c>
      <c r="Q30" s="101" t="s">
        <v>103</v>
      </c>
      <c r="R30" s="100" t="str">
        <f>IFERROR(COUNTIFS('Base File'!$G:$G,"Contractual SLA",'Base File'!$H:$H,"Yes",'Base File'!$B:$B,'Account Summary'!$C30,'Base File'!$AV:$AV,"Met")/SUM(COUNTIFS('Base File'!$G:$G,"Contractual SLA",'Base File'!$H:$H,"yes",'Base File'!$B:$B,'Account Summary'!$C30,'Base File'!$AV:$AV,"Met")+COUNTIFS('Base File'!$G:$G,"Contractual SLA",'Base File'!$H:$H,"yes",'Base File'!$B:$B,'Account Summary'!$C30,'Base File'!$AV:$AV,"Not Met")),"-")</f>
        <v>-</v>
      </c>
      <c r="S30" s="101" t="s">
        <v>103</v>
      </c>
      <c r="T30" s="100" t="str">
        <f>IFERROR(COUNTIFS('Base File'!$AX:$AX,"Met",'Base File'!$B:$B,'Account Summary'!C30)/(COUNTIFS('Base File'!$AX:$AX,"Met",'Base File'!$B:$B,'Account Summary'!C30)+COUNTIFS('Base File'!$AX:$AX,"Not Met",'Base File'!$B:$B,'Account Summary'!C30)),"NR")</f>
        <v>NR</v>
      </c>
      <c r="U30" s="101" t="s">
        <v>103</v>
      </c>
      <c r="V30" s="100" t="str">
        <f>IFERROR(COUNTIFS('Base File'!$G:$G,"Contractual SLA",'Base File'!$H:$H,"Yes",'Base File'!$B:$B,'Account Summary'!$C30,'Base File'!$AX:$AX,"Met")/SUM(COUNTIFS('Base File'!$G:$G,"Contractual SLA",'Base File'!$H:$H,"yes",'Base File'!$B:$B,'Account Summary'!$C30,'Base File'!$AX:$AX,"Met")+COUNTIFS('Base File'!$G:$G,"Contractual SLA",'Base File'!$H:$H,"yes",'Base File'!$B:$B,'Account Summary'!$C30,'Base File'!$AX:$AX,"Not Met")),"NA")</f>
        <v>NA</v>
      </c>
      <c r="W30" s="100" t="s">
        <v>103</v>
      </c>
      <c r="X30" s="100" t="str">
        <f>IFERROR(COUNTIFS('Base File'!$AZ:$AZ,"Met",'Base File'!$B:$B,'Account Summary'!C30)/(COUNTIFS('Base File'!$AZ:$AZ,"Met",'Base File'!$B:$B,'Account Summary'!C30)+COUNTIFS('Base File'!$AZ:$AZ,"Not Met",'Base File'!$B:$B,'Account Summary'!C30)),"NR")</f>
        <v>NR</v>
      </c>
      <c r="Y30" s="101" t="s">
        <v>103</v>
      </c>
      <c r="Z30" s="100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A30" s="100" t="s">
        <v>103</v>
      </c>
      <c r="AB30" s="101" t="str">
        <f>IFERROR(COUNTIFS('Base File'!$BB:$BB,"Met",'Base File'!$B:$B,'Account Summary'!C30)/(COUNTIFS('Base File'!$BB:$BB,"Met",'Base File'!$B:$B,'Account Summary'!C30)+COUNTIFS('Base File'!$BB:$BB,"Not Met",'Base File'!$B:$B,'Account Summary'!C30)),"NR")</f>
        <v>NR</v>
      </c>
      <c r="AC30" s="101" t="s">
        <v>103</v>
      </c>
      <c r="AD30" s="100" t="str">
        <f>IFERROR(COUNTIFS('Base File'!$G:$G,"Contractual SLA",'Base File'!$H:$H,"Yes",'Base File'!$B:$B,'Account Summary'!$C30,'Base File'!$BB:$BB,"Met")/SUM(COUNTIFS('Base File'!$G:$G,"Contractual SLA",'Base File'!$H:$H,"yes",'Base File'!$B:$B,'Account Summary'!$C30,'Base File'!$BB:$BB,"Met")+COUNTIFS('Base File'!$G:$G,"Contractual SLA",'Base File'!$H:$H,"yes",'Base File'!$B:$B,'Account Summary'!$C30,'Base File'!$BB:$BB,"Not Met")),"-")</f>
        <v>-</v>
      </c>
      <c r="AE30" s="100" t="s">
        <v>103</v>
      </c>
      <c r="AF30" s="100" t="str">
        <f>IFERROR(COUNTIFS('Base File'!$AZ:$AZ,"Met",'Base File'!$B:$B,'Account Summary'!L30)/(COUNTIFS('Base File'!$AZ:$AZ,"Met",'Base File'!$B:$B,'Account Summary'!L30)+COUNTIFS('Base File'!$AZ:$AZ,"Not Met",'Base File'!$B:$B,'Account Summary'!L30)),"NR")</f>
        <v>NR</v>
      </c>
      <c r="AG30" s="101" t="s">
        <v>103</v>
      </c>
      <c r="AH30" s="100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I30" s="100" t="s">
        <v>103</v>
      </c>
      <c r="AJ30" s="100" t="str">
        <f>IFERROR(COUNTIFS('Base File'!$AZ:$AZ,"Met",'Base File'!$B:$B,'Account Summary'!L30)/(COUNTIFS('Base File'!$AZ:$AZ,"Met",'Base File'!$B:$B,'Account Summary'!L30)+COUNTIFS('Base File'!$AZ:$AZ,"Not Met",'Base File'!$B:$B,'Account Summary'!L30)),"NR")</f>
        <v>NR</v>
      </c>
      <c r="AK30" s="101" t="s">
        <v>103</v>
      </c>
      <c r="AL30" s="100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M30" s="100" t="s">
        <v>103</v>
      </c>
      <c r="AN30" s="100" t="str">
        <f>IFERROR(COUNTIFS('Base File'!$BH:$BH,"Met",'Base File'!$B:$B,'Account Summary'!C30)/(COUNTIFS('Base File'!$BH:$BH,"Met",'Base File'!$B:$B,'Account Summary'!C30)+COUNTIFS('Base File'!$BH:$BH,"Not Met",'Base File'!$B:$B,'Account Summary'!C30)),"NR")</f>
        <v>NR</v>
      </c>
      <c r="AO30" s="100" t="s">
        <v>103</v>
      </c>
      <c r="AP30" s="100" t="str">
        <f>IFERROR(COUNTIFS('Base File'!$G:$G,"Contractual SLA",'Base File'!$H:$H,"Yes",'Base File'!$B:$B,'Account Summary'!$C30,'Base File'!$BH:$BH,"Met")/SUM(COUNTIFS('Base File'!$G:$G,"Contractual SLA",'Base File'!$H:$H,"yes",'Base File'!$B:$B,'Account Summary'!$C30,'Base File'!$BH:$BH,"Met")+COUNTIFS('Base File'!$G:$G,"Contractual SLA",'Base File'!$H:$H,"yes",'Base File'!$B:$B,'Account Summary'!$C30,'Base File'!$BH:$BH,"Not Met")),"-")</f>
        <v>-</v>
      </c>
      <c r="AQ30" s="100" t="s">
        <v>103</v>
      </c>
      <c r="AR30" s="100" t="str">
        <f>IFERROR(COUNTIFS('Base File'!$BJ:$BJ,"Met",'Base File'!$B:$B,'Account Summary'!C30)/(COUNTIFS('Base File'!$BJ:$BJ,"Met",'Base File'!$B:$B,'Account Summary'!C30)+COUNTIFS('Base File'!$BJ:$BJ,"Not Met",'Base File'!$B:$B,'Account Summary'!C30)),"NR")</f>
        <v>NR</v>
      </c>
      <c r="AS30" s="101" t="s">
        <v>103</v>
      </c>
      <c r="AT30" s="100" t="str">
        <f>IFERROR(COUNTIFS('Base File'!$G:$G,"Contractual SLA",'Base File'!$H:$H,"Yes",'Base File'!$B:$B,'Account Summary'!$C30,'Base File'!$BJ:$BJ,"Met")/SUM(COUNTIFS('Base File'!$G:$G,"Contractual SLA",'Base File'!$H:$H,"yes",'Base File'!$B:$B,'Account Summary'!$C30,'Base File'!$BJ:$BJ,"Met")+COUNTIFS('Base File'!$G:$G,"Contractual SLA",'Base File'!$H:$H,"yes",'Base File'!$B:$B,'Account Summary'!$C30,'Base File'!$BJ:$BJ,"Not Met")),"-")</f>
        <v>-</v>
      </c>
      <c r="AU30" s="100" t="s">
        <v>103</v>
      </c>
      <c r="AV30" s="100">
        <f>IFERROR(COUNTIFS('Base File'!$BL:$BL,"Met",'Base File'!$B:$B,'Account Summary'!C30)/(COUNTIFS('Base File'!$BL:$BL,"Met",'Base File'!$B:$B,'Account Summary'!C30)+COUNTIFS('Base File'!$BL:$BL,"Not Met",'Base File'!$B:$B,'Account Summary'!C30)),"NR")</f>
        <v>0.5</v>
      </c>
      <c r="AW30" s="100" t="str">
        <f>IFERROR(COUNTIFS('Base File'!$G:$G,"Contractual SLA",'Base File'!$H:$H,"No",'Base File'!$B:$B,'Account Summary'!$C30,'Base File'!$BL:$BL,"Met")/SUM(COUNTIFS('Base File'!$G:$G,"Contractual SLA",'Base File'!$H:$H,"No",'Base File'!$B:$B,'Account Summary'!$C30,'Base File'!$BL:$BL,"Met")+COUNTIFS('Base File'!$G:$G,"Contractual SLA",'Base File'!$H:$H,"No",'Base File'!$B:$B,'Account Summary'!$C30,'Base File'!$BL:$BL,"Not Met")),"-")</f>
        <v>-</v>
      </c>
      <c r="AX30" s="100" t="str">
        <f>IFERROR(COUNTIFS('Base File'!$G:$G,"Contractual SLA",'Base File'!$H:$H,"Yes",'Base File'!$B:$B,'Account Summary'!$C30,'Base File'!$BL:$BL,"Met")/SUM(COUNTIFS('Base File'!$G:$G,"Contractual SLA",'Base File'!$H:$H,"yes",'Base File'!$B:$B,'Account Summary'!$C30,'Base File'!$BL:$BL,"Met")+COUNTIFS('Base File'!$G:$G,"Contractual SLA",'Base File'!$H:$H,"yes",'Base File'!$B:$B,'Account Summary'!$C30,'Base File'!$BL:$BL,"Not Met")),"-")</f>
        <v>-</v>
      </c>
      <c r="AY30" s="100">
        <f>IFERROR(COUNTIFS('Base File'!$G:$G,"Internal KPI",'Base File'!$B:$B,'Account Summary'!$C30,'Base File'!$BL:$BL,"Met")/SUM(COUNTIFS('Base File'!$G:$G,"Internal KPI",'Base File'!$B:$B,'Account Summary'!$C30,'Base File'!$BL:$BL,"Met")+COUNTIFS('Base File'!$G:$G,"Internal KPI",'Base File'!$B:$B,'Account Summary'!$C30,'Base File'!$BL:$BL,"Not Met")),"-")</f>
        <v>0.5</v>
      </c>
      <c r="AZ30" s="106">
        <f>IFERROR(COUNTIFS('Base File'!$BN:$BN,"Met",'Base File'!$B:$B,'Account Summary'!C30)/(COUNTIFS('Base File'!$BN:$BN,"Met",'Base File'!$B:$B,'Account Summary'!C30)+COUNTIFS('Base File'!$BN:$BN,"Not Met",'Base File'!$B:$B,'Account Summary'!C30)),"NR")</f>
        <v>0.5</v>
      </c>
      <c r="BA30" s="106">
        <f>IFERROR(COUNTIFS('Base File'!$G:$G,"Contractual SLA",'Base File'!$H:$H,"No",'Base File'!$B:$B,'Account Summary'!$C30,'Base File'!$BN:$BN,"Met")/SUM(COUNTIFS('Base File'!$G:$G,"Contractual SLA",'Base File'!$H:$H,"No",'Base File'!$B:$B,'Account Summary'!$C30,'Base File'!$BN:$BN,"Met")+COUNTIFS('Base File'!$G:$G,"Contractual SLA",'Base File'!$H:$H,"No",'Base File'!$B:$B,'Account Summary'!$C30,'Base File'!$BN:$BN,"Not Met")),"-")</f>
        <v>0.5</v>
      </c>
      <c r="BB30" s="100" t="str">
        <f>IFERROR(COUNTIFS('Base File'!$G:$G,"Contractual SLA",'Base File'!$H:$H,"Yes",'Base File'!$B:$B,'Account Summary'!$C30,'Base File'!$BN:$BN,"Met")/SUM(COUNTIFS('Base File'!$G:$G,"Contractual SLA",'Base File'!$H:$H,"yes",'Base File'!$B:$B,'Account Summary'!$C30,'Base File'!$BN:$BN,"Met")+COUNTIFS('Base File'!$G:$G,"Contractual SLA",'Base File'!$H:$H,"yes",'Base File'!$B:$B,'Account Summary'!$C30,'Base File'!$BN:$BN,"Not Met")),"-")</f>
        <v>-</v>
      </c>
      <c r="BC30" s="106">
        <f>IFERROR(COUNTIFS('Base File'!$G:$G,"Internal KPI",'Base File'!$B:$B,'Account Summary'!$C30,'Base File'!$BN:$BN,"Met")/SUM(COUNTIFS('Base File'!$G:$G,"Internal KPI",'Base File'!$B:$B,'Account Summary'!$C30,'Base File'!$BN:$BN,"Met")+COUNTIFS('Base File'!$G:$G,"Internal KPI",'Base File'!$B:$B,'Account Summary'!$C30,'Base File'!$BN:$BN,"Not Met")),"-")</f>
        <v>0.5</v>
      </c>
      <c r="BD30" s="106">
        <f>IFERROR(COUNTIFS('Base File'!$BP:$BP,"Met",'Base File'!$B:$B,'Account Summary'!C30)/(COUNTIFS('Base File'!$BP:$BP,"Met",'Base File'!$B:$B,'Account Summary'!C30)+COUNTIFS('Base File'!$BP:$BP,"Not Met",'Base File'!$B:$B,'Account Summary'!C30)),"NR")</f>
        <v>0.5</v>
      </c>
      <c r="BE30" s="106">
        <f>IFERROR(COUNTIFS('Base File'!$G:$G,"Contractual SLA",'Base File'!$H:$H,"No",'Base File'!$B:$B,'Account Summary'!$C30,'Base File'!$BP:$BP,"Met")/SUM(COUNTIFS('Base File'!$G:$G,"Contractual SLA",'Base File'!$H:$H,"No",'Base File'!$B:$B,'Account Summary'!$C30,'Base File'!$BP:$BP,"Met")+COUNTIFS('Base File'!$G:$G,"Contractual SLA",'Base File'!$H:$H,"No",'Base File'!$B:$B,'Account Summary'!$C30,'Base File'!$BP:$BP,"Not Met")),"-")</f>
        <v>0.5</v>
      </c>
      <c r="BF30" s="100" t="str">
        <f>IFERROR(COUNTIFS('Base File'!$G:$G,"Contractual SLA",'Base File'!$H:$H,"Yes",'Base File'!$B:$B,'Account Summary'!$C30,'Base File'!$BP:$BP,"Met")/SUM(COUNTIFS('Base File'!$G:$G,"Contractual SLA",'Base File'!$H:$H,"yes",'Base File'!$B:$B,'Account Summary'!$C30,'Base File'!$BP:$BP,"Met")+COUNTIFS('Base File'!$G:$G,"Contractual SLA",'Base File'!$H:$H,"yes",'Base File'!$B:$B,'Account Summary'!$C30,'Base File'!$BP:$BP,"Not Met")),"-")</f>
        <v>-</v>
      </c>
      <c r="BG30" s="106">
        <f>IFERROR(COUNTIFS('Base File'!$G:$G,"Internal KPI",'Base File'!$B:$B,'Account Summary'!$C30,'Base File'!$BP:$BP,"Met")/SUM(COUNTIFS('Base File'!$G:$G,"Internal KPI",'Base File'!$B:$B,'Account Summary'!$C30,'Base File'!$BP:$BP,"Met")+COUNTIFS('Base File'!$G:$G,"Internal KPI",'Base File'!$B:$B,'Account Summary'!$C30,'Base File'!$BP:$BP,"Not Met")),"-")</f>
        <v>0.5</v>
      </c>
      <c r="BH30" s="106">
        <f>IFERROR(COUNTIFS('Base File'!$BR:$BR,"Met",'Base File'!$B:$B,'Account Summary'!C30)/(COUNTIFS('Base File'!$BR:$BR,"Met",'Base File'!$B:$B,'Account Summary'!C30)+COUNTIFS('Base File'!$BR:$BR,"Not Met",'Base File'!$B:$B,'Account Summary'!C30)),"NR")</f>
        <v>0.5</v>
      </c>
      <c r="BI30" s="107">
        <f>IFERROR(COUNTIFS('Base File'!$G:$G,"Contractual SLA",'Base File'!$H:$H,"No",'Base File'!$B:$B,'Account Summary'!$C30,'Base File'!$BR:$BR,"Met")/SUM(COUNTIFS('Base File'!$G:$G,"Contractual SLA",'Base File'!$H:$H,"No",'Base File'!$B:$B,'Account Summary'!$C30,'Base File'!$BR:$BR,"Met")+COUNTIFS('Base File'!$G:$G,"Contractual SLA",'Base File'!$H:$H,"No",'Base File'!$B:$B,'Account Summary'!$C30,'Base File'!$BR:$BR,"Not Met")),"-")</f>
        <v>0.5</v>
      </c>
      <c r="BJ30" s="102" t="s">
        <v>107</v>
      </c>
      <c r="BK30" s="106">
        <f>IFERROR(COUNTIFS('Base File'!$G:$G,"Internal KPI",'Base File'!$B:$B,'Account Summary'!$C30,'Base File'!$BR:$BR,"Met")/SUM(COUNTIFS('Base File'!$G:$G,"Internal KPI",'Base File'!$B:$B,'Account Summary'!$C30,'Base File'!$BR:$BR,"Met")+COUNTIFS('Base File'!$G:$G,"Internal KPI",'Base File'!$B:$B,'Account Summary'!$C30,'Base File'!$BR:$BR,"Not Met")),"-")</f>
        <v>0.5</v>
      </c>
      <c r="BL30" s="100">
        <f>IFERROR(COUNTIFS('Base File'!$BT:$BT,"Met",'Base File'!$B:$B,'Account Summary'!C30)/(COUNTIFS('Base File'!$BT:$BT,"Met",'Base File'!$B:$B,'Account Summary'!C30)+COUNTIFS('Base File'!$BT:$BT,"Not Met",'Base File'!$B:$B,'Account Summary'!C30)),"NR")</f>
        <v>0.375</v>
      </c>
      <c r="BM30" s="100">
        <f>IFERROR(COUNTIFS('Base File'!$G:$G,"Contractual SLA",'Base File'!$H:$H,"No",'Base File'!$B:$B,'Account Summary'!$C30,'Base File'!$BT:$BT,"Met")/SUM(COUNTIFS('Base File'!$G:$G,"Contractual SLA",'Base File'!$H:$H,"No",'Base File'!$B:$B,'Account Summary'!$C30,'Base File'!$BT:$BT,"Met")+COUNTIFS('Base File'!$G:$G,"Contractual SLA",'Base File'!$H:$H,"No",'Base File'!$B:$B,'Account Summary'!$C30,'Base File'!$BT:$BT,"Not Met")),"-")</f>
        <v>0</v>
      </c>
      <c r="BN30" s="100" t="str">
        <f>IFERROR(COUNTIFS('Base File'!$G:$G,"Contractual SLA",'Base File'!$H:$H,"Yes",'Base File'!$B:$B,'Account Summary'!$C30,'Base File'!$BT:$BT,"Met")/SUM(COUNTIFS('Base File'!$G:$G,"Contractual SLA",'Base File'!$H:$H,"yes",'Base File'!$B:$B,'Account Summary'!$C30,'Base File'!$BT:$BT,"Met")+COUNTIFS('Base File'!$G:$G,"Contractual SLA",'Base File'!$H:$H,"yes",'Base File'!$B:$B,'Account Summary'!$C30,'Base File'!$BT:$BT,"Not Met")),"-")</f>
        <v>-</v>
      </c>
      <c r="BO30" s="100">
        <f>IFERROR(COUNTIFS('Base File'!$G:$G,"Internal KPI",'Base File'!$B:$B,'Account Summary'!$C30,'Base File'!$BT:$BT,"Met")/SUM(COUNTIFS('Base File'!$G:$G,"Internal KPI",'Base File'!$B:$B,'Account Summary'!$C30,'Base File'!$BT:$BT,"Met")+COUNTIFS('Base File'!$G:$G,"Internal KPI",'Base File'!$B:$B,'Account Summary'!$C30,'Base File'!$BT:$BT,"Not Met")),"-")</f>
        <v>0.5</v>
      </c>
      <c r="BP30" s="100">
        <f>IFERROR(COUNTIFS('Base File'!$BV:$BV,"Met",'Base File'!$B:$B,'Account Summary'!C30)/(COUNTIFS('Base File'!$BV:$BV,"Met",'Base File'!$B:$B,'Account Summary'!C30)+COUNTIFS('Base File'!$BV:$BV,"Not Met",'Base File'!$B:$B,'Account Summary'!C30)),"NR")</f>
        <v>0.5</v>
      </c>
      <c r="BQ30" s="100">
        <v>0</v>
      </c>
      <c r="BR30" s="100" t="str">
        <f>IFERROR(COUNTIFS('Base File'!$G:$G,"Contractual SLA",'Base File'!$H:$H,"Yes",'Base File'!$B:$B,'Account Summary'!$C30,'Base File'!$BV:$BV,"Met")/SUM(COUNTIFS('Base File'!$G:$G,"Contractual SLA",'Base File'!$H:$H,"Yes",'Base File'!$B:$B,'Account Summary'!$C30,'Base File'!$BV:$BV,"Met")+COUNTIFS('Base File'!$G:$G,"Contractual SLA",'Base File'!$H:$H,"Yes",'Base File'!$B:$B,'Account Summary'!$C30,'Base File'!$BV:$BV,"Not Met")),"-")</f>
        <v>-</v>
      </c>
      <c r="BS30" s="100">
        <v>0.67</v>
      </c>
    </row>
    <row r="31" spans="1:71" s="12" customFormat="1" x14ac:dyDescent="0.25">
      <c r="A31" s="389"/>
      <c r="B31" s="94">
        <v>28</v>
      </c>
      <c r="C31" s="94" t="s">
        <v>41</v>
      </c>
      <c r="D31" s="95" t="s">
        <v>110</v>
      </c>
      <c r="E31" s="95" t="s">
        <v>903</v>
      </c>
      <c r="F31" s="94" t="s">
        <v>899</v>
      </c>
      <c r="G31" s="96" t="e">
        <v>#N/A</v>
      </c>
      <c r="H31" s="94"/>
      <c r="I31" s="94" t="s">
        <v>112</v>
      </c>
      <c r="J31" s="89" t="s">
        <v>11</v>
      </c>
      <c r="K31" s="89" t="s">
        <v>11</v>
      </c>
      <c r="L31" s="108">
        <f>IFERROR(COUNTIFS('Base File'!$AR:$AR,"Met",'Base File'!$B:$B,'Account Summary'!C31)/(COUNTIFS('Base File'!$AR:$AR,"Met",'Base File'!$B:$B,'Account Summary'!C31)+COUNTIFS('Base File'!$AR:$AR,"Not Met",'Base File'!$B:$B,'Account Summary'!C31)),"NR")</f>
        <v>0.2857142857142857</v>
      </c>
      <c r="M31" s="107">
        <f>IFERROR(COUNTIFS('Base File'!$G:$G,"Contractual SLA",'Base File'!$H:$H,"No",'Base File'!$B:$B,'Account Summary'!$C31,'Base File'!$AR:$AR,"Met")/SUM(COUNTIFS('Base File'!$G:$G,"Contractual SLA",'Base File'!$H:$H,"No",'Base File'!$B:$B,'Account Summary'!$C31,'Base File'!$AR:$AR,"Met")+COUNTIFS('Base File'!$G:$G,"Contractual SLA",'Base File'!$H:$H,"No",'Base File'!$B:$B,'Account Summary'!$C31,'Base File'!$AR:$AR,"Not Met")),"-")</f>
        <v>0.5</v>
      </c>
      <c r="N31" s="98" t="str">
        <f>IFERROR(COUNTIFS('Base File'!$G:$G,"Contractual SLA",'Base File'!$H:$H,"Yes",'Base File'!$B:$B,'Account Summary'!$C31,'Base File'!$AR:$AR,"Met")/SUM(COUNTIFS('Base File'!$G:$G,"Contractual SLA",'Base File'!$H:$H,"yes",'Base File'!$B:$B,'Account Summary'!$C31,'Base File'!$AR:$AR,"Met")+COUNTIFS('Base File'!$G:$G,"Contractual SLA",'Base File'!$H:$H,"yes",'Base File'!$B:$B,'Account Summary'!$C31,'Base File'!$AR:$AR,"Not Met")),"-")</f>
        <v>-</v>
      </c>
      <c r="O31" s="108">
        <f>IFERROR(COUNTIFS('Base File'!$G:$G,"Internal KPI",'Base File'!$B:$B,'Account Summary'!$C31,'Base File'!$AR:$AR,"Met")/SUM(COUNTIFS('Base File'!$G:$G,"Internal KPI",'Base File'!$B:$B,'Account Summary'!$C31,'Base File'!$AR:$AR,"Met")+COUNTIFS('Base File'!$G:$G,"Internal KPI",'Base File'!$B:$B,'Account Summary'!$C31,'Base File'!$AR:$AR,"Not Met")),"-")</f>
        <v>0</v>
      </c>
      <c r="P31" s="110">
        <f>IFERROR(COUNTIFS('Base File'!$AV:$AV,"Met",'Base File'!$B:$B,'Account Summary'!C31)/(COUNTIFS('Base File'!$AV:$AV,"Met",'Base File'!$B:$B,'Account Summary'!C31)+COUNTIFS('Base File'!$AV:$AV,"Not Met",'Base File'!$B:$B,'Account Summary'!C31)),"NR")</f>
        <v>0.2857142857142857</v>
      </c>
      <c r="Q31" s="106">
        <f>IFERROR(COUNTIFS('Base File'!$G:$G,"Contractual SLA",'Base File'!$H:$H,"No",'Base File'!$B:$B,'Account Summary'!$C31,'Base File'!$AV:$AV,"Met")/SUM(COUNTIFS('Base File'!$G:$G,"Contractual SLA",'Base File'!$H:$H,"No",'Base File'!$B:$B,'Account Summary'!$C31,'Base File'!$AV:$AV,"Met")+COUNTIFS('Base File'!$G:$G,"Contractual SLA",'Base File'!$H:$H,"No",'Base File'!$B:$B,'Account Summary'!$C31,'Base File'!$AV:$AV,"Not Met")),"-")</f>
        <v>0.5</v>
      </c>
      <c r="R31" s="103" t="str">
        <f>IFERROR(COUNTIFS('Base File'!$G:$G,"Contractual SLA",'Base File'!$H:$H,"Yes",'Base File'!$B:$B,'Account Summary'!$C31,'Base File'!$AV:$AV,"Met")/SUM(COUNTIFS('Base File'!$G:$G,"Contractual SLA",'Base File'!$H:$H,"yes",'Base File'!$B:$B,'Account Summary'!$C31,'Base File'!$AV:$AV,"Met")+COUNTIFS('Base File'!$G:$G,"Contractual SLA",'Base File'!$H:$H,"yes",'Base File'!$B:$B,'Account Summary'!$C31,'Base File'!$AV:$AV,"Not Met")),"-")</f>
        <v>-</v>
      </c>
      <c r="S31" s="110">
        <f>IFERROR(COUNTIFS('Base File'!$G:$G,"Internal KPI",'Base File'!$B:$B,'Account Summary'!$C31,'Base File'!$AV:$AV,"Met")/SUM(COUNTIFS('Base File'!$G:$G,"Internal KPI",'Base File'!$B:$B,'Account Summary'!$C31,'Base File'!$AV:$AV,"Met")+COUNTIFS('Base File'!$G:$G,"Internal KPI",'Base File'!$B:$B,'Account Summary'!$C31,'Base File'!$AV:$AV,"Not Met")),"-")</f>
        <v>0</v>
      </c>
      <c r="T31" s="100" t="s">
        <v>11</v>
      </c>
      <c r="U31" s="101" t="str">
        <f>IFERROR(COUNTIFS('Base File'!$G:$G,"Contractual SLA",'Base File'!$H:$H,"No",'Base File'!$B:$B,'Account Summary'!$C31,'Base File'!$AX:$AX,"Met")/SUM(COUNTIFS('Base File'!$G:$G,"Contractual SLA",'Base File'!$H:$H,"No",'Base File'!$B:$B,'Account Summary'!$C31,'Base File'!$AX:$AX,"Met")+COUNTIFS('Base File'!$G:$G,"Contractual SLA",'Base File'!$H:$H,"No",'Base File'!$B:$B,'Account Summary'!$C31,'Base File'!$AX:$AX,"Not Met")),"NA")</f>
        <v>NA</v>
      </c>
      <c r="V31" s="102" t="s">
        <v>107</v>
      </c>
      <c r="W31" s="100" t="str">
        <f>IFERROR(COUNTIFS('Base File'!$G:$G,"Internal KPI",'Base File'!$B:$B,'Account Summary'!$C31,'Base File'!$AX:$AX,"Met")/SUM(COUNTIFS('Base File'!$G:$G,"Internal KPI",'Base File'!$B:$B,'Account Summary'!$C31,'Base File'!$AX:$AX,"Met")+COUNTIFS('Base File'!$G:$G,"Internal KPI",'Base File'!$B:$B,'Account Summary'!$C31,'Base File'!$AX:$AX,"Not Met")),"NA")</f>
        <v>NA</v>
      </c>
      <c r="X31" s="100" t="s">
        <v>11</v>
      </c>
      <c r="Y31" s="101" t="s">
        <v>11</v>
      </c>
      <c r="Z31" s="100" t="str">
        <f>IFERROR(COUNTIFS('Base File'!$G:$G,"Contractual SLA",'Base File'!$H:$H,"Yes",'Base File'!$B:$B,'Account Summary'!$C31,'Base File'!$AZ:$AZ,"Met")/SUM(COUNTIFS('Base File'!$G:$G,"Contractual SLA",'Base File'!$H:$H,"yes",'Base File'!$B:$B,'Account Summary'!$C31,'Base File'!$AZ:$AZ,"Met")+COUNTIFS('Base File'!$G:$G,"Contractual SLA",'Base File'!$H:$H,"yes",'Base File'!$B:$B,'Account Summary'!$C31,'Base File'!$AZ:$AZ,"Not Met")),"-")</f>
        <v>-</v>
      </c>
      <c r="AA31" s="100" t="s">
        <v>11</v>
      </c>
      <c r="AB31" s="101" t="s">
        <v>11</v>
      </c>
      <c r="AC31" s="101" t="s">
        <v>11</v>
      </c>
      <c r="AD31" s="100" t="str">
        <f>IFERROR(COUNTIFS('Base File'!$G:$G,"Contractual SLA",'Base File'!$H:$H,"Yes",'Base File'!$B:$B,'Account Summary'!$C31,'Base File'!$BB:$BB,"Met")/SUM(COUNTIFS('Base File'!$G:$G,"Contractual SLA",'Base File'!$H:$H,"yes",'Base File'!$B:$B,'Account Summary'!$C31,'Base File'!$BB:$BB,"Met")+COUNTIFS('Base File'!$G:$G,"Contractual SLA",'Base File'!$H:$H,"yes",'Base File'!$B:$B,'Account Summary'!$C31,'Base File'!$BB:$BB,"Not Met")),"-")</f>
        <v>-</v>
      </c>
      <c r="AE31" s="100" t="s">
        <v>11</v>
      </c>
      <c r="AF31" s="100" t="s">
        <v>11</v>
      </c>
      <c r="AG31" s="101" t="s">
        <v>11</v>
      </c>
      <c r="AH31" s="100" t="str">
        <f>IFERROR(COUNTIFS('Base File'!$G:$G,"Contractual SLA",'Base File'!$H:$H,"Yes",'Base File'!$B:$B,'Account Summary'!$C31,'Base File'!$AZ:$AZ,"Met")/SUM(COUNTIFS('Base File'!$G:$G,"Contractual SLA",'Base File'!$H:$H,"yes",'Base File'!$B:$B,'Account Summary'!$C31,'Base File'!$AZ:$AZ,"Met")+COUNTIFS('Base File'!$G:$G,"Contractual SLA",'Base File'!$H:$H,"yes",'Base File'!$B:$B,'Account Summary'!$C31,'Base File'!$AZ:$AZ,"Not Met")),"-")</f>
        <v>-</v>
      </c>
      <c r="AI31" s="100" t="s">
        <v>11</v>
      </c>
      <c r="AJ31" s="100" t="s">
        <v>11</v>
      </c>
      <c r="AK31" s="100" t="s">
        <v>11</v>
      </c>
      <c r="AL31" s="100" t="str">
        <f>IFERROR(COUNTIFS('Base File'!$G:$G,"Contractual SLA",'Base File'!$H:$H,"Yes",'Base File'!$B:$B,'Account Summary'!$C31,'Base File'!$BF:$BF,"Met")/SUM(COUNTIFS('Base File'!$G:$G,"Contractual SLA",'Base File'!$H:$H,"yes",'Base File'!$B:$B,'Account Summary'!$C31,'Base File'!$BF:$BF,"Met")+COUNTIFS('Base File'!$G:$G,"Contractual SLA",'Base File'!$H:$H,"yes",'Base File'!$B:$B,'Account Summary'!$C31,'Base File'!$BF:$BF,"Not Met")),"-")</f>
        <v>-</v>
      </c>
      <c r="AM31" s="100" t="s">
        <v>11</v>
      </c>
      <c r="AN31" s="100" t="s">
        <v>11</v>
      </c>
      <c r="AO31" s="100" t="s">
        <v>11</v>
      </c>
      <c r="AP31" s="100" t="str">
        <f>IFERROR(COUNTIFS('Base File'!$G:$G,"Contractual SLA",'Base File'!$H:$H,"Yes",'Base File'!$B:$B,'Account Summary'!$C31,'Base File'!$BH:$BH,"Met")/SUM(COUNTIFS('Base File'!$G:$G,"Contractual SLA",'Base File'!$H:$H,"yes",'Base File'!$B:$B,'Account Summary'!$C31,'Base File'!$BH:$BH,"Met")+COUNTIFS('Base File'!$G:$G,"Contractual SLA",'Base File'!$H:$H,"yes",'Base File'!$B:$B,'Account Summary'!$C31,'Base File'!$BH:$BH,"Not Met")),"-")</f>
        <v>-</v>
      </c>
      <c r="AQ31" s="100" t="s">
        <v>11</v>
      </c>
      <c r="AR31" s="100" t="s">
        <v>11</v>
      </c>
      <c r="AS31" s="100" t="s">
        <v>11</v>
      </c>
      <c r="AT31" s="100" t="str">
        <f>IFERROR(COUNTIFS('Base File'!$G:$G,"Contractual SLA",'Base File'!$H:$H,"Yes",'Base File'!$B:$B,'Account Summary'!$C31,'Base File'!$BJ:$BJ,"Met")/SUM(COUNTIFS('Base File'!$G:$G,"Contractual SLA",'Base File'!$H:$H,"yes",'Base File'!$B:$B,'Account Summary'!$C31,'Base File'!$BJ:$BJ,"Met")+COUNTIFS('Base File'!$G:$G,"Contractual SLA",'Base File'!$H:$H,"yes",'Base File'!$B:$B,'Account Summary'!$C31,'Base File'!$BJ:$BJ,"Not Met")),"-")</f>
        <v>-</v>
      </c>
      <c r="AU31" s="100" t="s">
        <v>11</v>
      </c>
      <c r="AV31" s="100" t="s">
        <v>11</v>
      </c>
      <c r="AW31" s="100" t="s">
        <v>11</v>
      </c>
      <c r="AX31" s="100" t="str">
        <f>IFERROR(COUNTIFS('Base File'!$G:$G,"Contractual SLA",'Base File'!$H:$H,"Yes",'Base File'!$B:$B,'Account Summary'!$C31,'Base File'!$BL:$BL,"Met")/SUM(COUNTIFS('Base File'!$G:$G,"Contractual SLA",'Base File'!$H:$H,"yes",'Base File'!$B:$B,'Account Summary'!$C31,'Base File'!$BL:$BL,"Met")+COUNTIFS('Base File'!$G:$G,"Contractual SLA",'Base File'!$H:$H,"yes",'Base File'!$B:$B,'Account Summary'!$C31,'Base File'!$BL:$BL,"Not Met")),"-")</f>
        <v>-</v>
      </c>
      <c r="AY31" s="100" t="s">
        <v>11</v>
      </c>
      <c r="AZ31" s="100" t="s">
        <v>11</v>
      </c>
      <c r="BA31" s="100" t="s">
        <v>11</v>
      </c>
      <c r="BB31" s="100" t="s">
        <v>107</v>
      </c>
      <c r="BC31" s="100" t="s">
        <v>11</v>
      </c>
      <c r="BD31" s="100" t="s">
        <v>11</v>
      </c>
      <c r="BE31" s="100" t="s">
        <v>11</v>
      </c>
      <c r="BF31" s="100" t="str">
        <f>IFERROR(COUNTIFS('Base File'!$G:$G,"Contractual SLA",'Base File'!$H:$H,"Yes",'Base File'!$B:$B,'Account Summary'!$C31,'Base File'!$BP:$BP,"Met")/SUM(COUNTIFS('Base File'!$G:$G,"Contractual SLA",'Base File'!$H:$H,"yes",'Base File'!$B:$B,'Account Summary'!$C31,'Base File'!$BP:$BP,"Met")+COUNTIFS('Base File'!$G:$G,"Contractual SLA",'Base File'!$H:$H,"yes",'Base File'!$B:$B,'Account Summary'!$C31,'Base File'!$BP:$BP,"Not Met")),"-")</f>
        <v>-</v>
      </c>
      <c r="BG31" s="100" t="s">
        <v>11</v>
      </c>
      <c r="BH31" s="100" t="s">
        <v>11</v>
      </c>
      <c r="BI31" s="101" t="s">
        <v>11</v>
      </c>
      <c r="BJ31" s="100" t="str">
        <f>IFERROR(COUNTIFS('Base File'!$G:$G,"Contractual SLA",'Base File'!$H:$H,"No",'Base File'!$B:$B,'Account Summary'!$C31,'Base File'!$BR:$BR,"Met")/SUM(COUNTIFS('Base File'!$G:$G,"Contractual SLA",'Base File'!$H:$H,"No",'Base File'!$B:$B,'Account Summary'!$C31,'Base File'!$BR:$BR,"Met")+COUNTIFS('Base File'!$G:$G,"Contractual SLA",'Base File'!$H:$H,"No",'Base File'!$B:$B,'Account Summary'!$C31,'Base File'!$BR:$BR,"Not Met")),"-")</f>
        <v>-</v>
      </c>
      <c r="BK31" s="100" t="s">
        <v>11</v>
      </c>
      <c r="BL31" s="100" t="s">
        <v>11</v>
      </c>
      <c r="BM31" s="100" t="s">
        <v>11</v>
      </c>
      <c r="BN31" s="100" t="str">
        <f>IFERROR(COUNTIFS('Base File'!$G:$G,"Contractual SLA",'Base File'!$H:$H,"Yes",'Base File'!$B:$B,'Account Summary'!$C31,'Base File'!$BT:$BT,"Met")/SUM(COUNTIFS('Base File'!$G:$G,"Contractual SLA",'Base File'!$H:$H,"yes",'Base File'!$B:$B,'Account Summary'!$C31,'Base File'!$BT:$BT,"Met")+COUNTIFS('Base File'!$G:$G,"Contractual SLA",'Base File'!$H:$H,"yes",'Base File'!$B:$B,'Account Summary'!$C31,'Base File'!$BT:$BT,"Not Met")),"-")</f>
        <v>-</v>
      </c>
      <c r="BO31" s="100" t="s">
        <v>11</v>
      </c>
      <c r="BP31" s="100">
        <f>IFERROR(COUNTIFS('Base File'!$BV:$BV,"Met",'Base File'!$B:$B,'Account Summary'!C31)/(COUNTIFS('Base File'!$BV:$BV,"Met",'Base File'!$B:$B,'Account Summary'!C31)+COUNTIFS('Base File'!$BV:$BV,"Not Met",'Base File'!$B:$B,'Account Summary'!C31)),"NR")</f>
        <v>0.2857142857142857</v>
      </c>
      <c r="BQ31" s="100">
        <v>0.5</v>
      </c>
      <c r="BR31" s="100" t="str">
        <f>IFERROR(COUNTIFS('Base File'!$G:$G,"Contractual SLA",'Base File'!$H:$H,"Yes",'Base File'!$B:$B,'Account Summary'!$C31,'Base File'!$BV:$BV,"Met")/SUM(COUNTIFS('Base File'!$G:$G,"Contractual SLA",'Base File'!$H:$H,"Yes",'Base File'!$B:$B,'Account Summary'!$C31,'Base File'!$BV:$BV,"Met")+COUNTIFS('Base File'!$G:$G,"Contractual SLA",'Base File'!$H:$H,"Yes",'Base File'!$B:$B,'Account Summary'!$C31,'Base File'!$BV:$BV,"Not Met")),"-")</f>
        <v>-</v>
      </c>
      <c r="BS31" s="100">
        <v>0</v>
      </c>
    </row>
    <row r="32" spans="1:71" s="12" customFormat="1" x14ac:dyDescent="0.25">
      <c r="A32" s="389"/>
      <c r="B32" s="94">
        <v>29</v>
      </c>
      <c r="C32" s="94" t="s">
        <v>42</v>
      </c>
      <c r="D32" s="95" t="s">
        <v>110</v>
      </c>
      <c r="E32" s="95" t="s">
        <v>903</v>
      </c>
      <c r="F32" s="94" t="s">
        <v>899</v>
      </c>
      <c r="G32" s="96"/>
      <c r="H32" s="94"/>
      <c r="I32" s="94" t="s">
        <v>111</v>
      </c>
      <c r="J32" s="373" t="s">
        <v>11</v>
      </c>
      <c r="K32" s="94" t="s">
        <v>11</v>
      </c>
      <c r="L32" s="98" t="s">
        <v>11</v>
      </c>
      <c r="M32" s="111" t="s">
        <v>107</v>
      </c>
      <c r="N32" s="111" t="s">
        <v>107</v>
      </c>
      <c r="O32" s="98" t="s">
        <v>11</v>
      </c>
      <c r="P32" s="98" t="s">
        <v>11</v>
      </c>
      <c r="Q32" s="98" t="str">
        <f>IFERROR(COUNTIFS('Base File'!$G:$G,"Contractual SLA",'Base File'!$H:$H,"No",'Base File'!$B:$B,'Account Summary'!$C32,'Base File'!$AV:$AV,"Met")/SUM(COUNTIFS('Base File'!$G:$G,"Contractual SLA",'Base File'!$H:$H,"No",'Base File'!$B:$B,'Account Summary'!$C32,'Base File'!$AV:$AV,"Met")+COUNTIFS('Base File'!$G:$G,"Contractual SLA",'Base File'!$H:$H,"No",'Base File'!$B:$B,'Account Summary'!$C32,'Base File'!$AV:$AV,"Not Met")),"-")</f>
        <v>-</v>
      </c>
      <c r="R32" s="103" t="str">
        <f>IFERROR(COUNTIFS('Base File'!$G:$G,"Contractual SLA",'Base File'!$H:$H,"Yes",'Base File'!$B:$B,'Account Summary'!$C32,'Base File'!$AV:$AV,"Met")/SUM(COUNTIFS('Base File'!$G:$G,"Contractual SLA",'Base File'!$H:$H,"yes",'Base File'!$B:$B,'Account Summary'!$C32,'Base File'!$AV:$AV,"Met")+COUNTIFS('Base File'!$G:$G,"Contractual SLA",'Base File'!$H:$H,"yes",'Base File'!$B:$B,'Account Summary'!$C32,'Base File'!$AV:$AV,"Not Met")),"-")</f>
        <v>-</v>
      </c>
      <c r="S32" s="98" t="s">
        <v>11</v>
      </c>
      <c r="T32" s="98" t="s">
        <v>11</v>
      </c>
      <c r="U32" s="101" t="str">
        <f>IFERROR(COUNTIFS('Base File'!$G:$G,"Contractual SLA",'Base File'!$H:$H,"No",'Base File'!$B:$B,'Account Summary'!$C32,'Base File'!$AX:$AX,"Met")/SUM(COUNTIFS('Base File'!$G:$G,"Contractual SLA",'Base File'!$H:$H,"No",'Base File'!$B:$B,'Account Summary'!$C32,'Base File'!$AX:$AX,"Met")+COUNTIFS('Base File'!$G:$G,"Contractual SLA",'Base File'!$H:$H,"No",'Base File'!$B:$B,'Account Summary'!$C32,'Base File'!$AX:$AX,"Not Met")),"NA")</f>
        <v>NA</v>
      </c>
      <c r="V32" s="100" t="str">
        <f>IFERROR(COUNTIFS('Base File'!$G:$G,"Contractual SLA",'Base File'!$H:$H,"Yes",'Base File'!$B:$B,'Account Summary'!$C32,'Base File'!$AX:$AX,"Met")/SUM(COUNTIFS('Base File'!$G:$G,"Contractual SLA",'Base File'!$H:$H,"yes",'Base File'!$B:$B,'Account Summary'!$C32,'Base File'!$AX:$AX,"Met")+COUNTIFS('Base File'!$G:$G,"Contractual SLA",'Base File'!$H:$H,"yes",'Base File'!$B:$B,'Account Summary'!$C32,'Base File'!$AX:$AX,"Not Met")),"NA")</f>
        <v>NA</v>
      </c>
      <c r="W32" s="98" t="s">
        <v>11</v>
      </c>
      <c r="X32" s="100" t="s">
        <v>11</v>
      </c>
      <c r="Y32" s="104" t="s">
        <v>107</v>
      </c>
      <c r="Z32" s="102" t="s">
        <v>107</v>
      </c>
      <c r="AA32" s="100" t="s">
        <v>11</v>
      </c>
      <c r="AB32" s="101" t="s">
        <v>11</v>
      </c>
      <c r="AC32" s="101" t="str">
        <f>IFERROR(COUNTIFS('Base File'!$G:$G,"Contractual SLA",'Base File'!$H:$H,"No",'Base File'!$B:$B,'Account Summary'!$C32,'Base File'!$BB:$BB,"Met")/SUM(COUNTIFS('Base File'!$G:$G,"Contractual SLA",'Base File'!$H:$H,"No",'Base File'!$B:$B,'Account Summary'!$C32,'Base File'!$BB:$BB,"Met")+COUNTIFS('Base File'!$G:$G,"Contractual SLA",'Base File'!$H:$H,"No",'Base File'!$B:$B,'Account Summary'!$C32,'Base File'!$BB:$BB,"Not Met")),"-")</f>
        <v>-</v>
      </c>
      <c r="AD32" s="100" t="str">
        <f>IFERROR(COUNTIFS('Base File'!$G:$G,"Contractual SLA",'Base File'!$H:$H,"Yes",'Base File'!$B:$B,'Account Summary'!$C32,'Base File'!$BB:$BB,"Met")/SUM(COUNTIFS('Base File'!$G:$G,"Contractual SLA",'Base File'!$H:$H,"yes",'Base File'!$B:$B,'Account Summary'!$C32,'Base File'!$BB:$BB,"Met")+COUNTIFS('Base File'!$G:$G,"Contractual SLA",'Base File'!$H:$H,"yes",'Base File'!$B:$B,'Account Summary'!$C32,'Base File'!$BB:$BB,"Not Met")),"-")</f>
        <v>-</v>
      </c>
      <c r="AE32" s="100" t="s">
        <v>11</v>
      </c>
      <c r="AF32" s="100" t="s">
        <v>11</v>
      </c>
      <c r="AG32" s="104" t="s">
        <v>107</v>
      </c>
      <c r="AH32" s="102" t="s">
        <v>107</v>
      </c>
      <c r="AI32" s="100" t="s">
        <v>11</v>
      </c>
      <c r="AJ32" s="100" t="s">
        <v>11</v>
      </c>
      <c r="AK32" s="104" t="s">
        <v>107</v>
      </c>
      <c r="AL32" s="102" t="s">
        <v>107</v>
      </c>
      <c r="AM32" s="100" t="s">
        <v>11</v>
      </c>
      <c r="AN32" s="100" t="s">
        <v>11</v>
      </c>
      <c r="AO32" s="100" t="str">
        <f>IFERROR(COUNTIFS('Base File'!$G:$G,"Contractual SLA",'Base File'!$H:$H,"No",'Base File'!$B:$B,'Account Summary'!$C32,'Base File'!$BH:$BH,"Met")/SUM(COUNTIFS('Base File'!$G:$G,"Contractual SLA",'Base File'!$H:$H,"No",'Base File'!$B:$B,'Account Summary'!$C32,'Base File'!$BH:$BH,"Met")+COUNTIFS('Base File'!$G:$G,"Contractual SLA",'Base File'!$H:$H,"No",'Base File'!$B:$B,'Account Summary'!$C32,'Base File'!$BH:$BH,"Not Met")),"-")</f>
        <v>-</v>
      </c>
      <c r="AP32" s="100" t="str">
        <f>IFERROR(COUNTIFS('Base File'!$G:$G,"Contractual SLA",'Base File'!$H:$H,"Yes",'Base File'!$B:$B,'Account Summary'!$C32,'Base File'!$BH:$BH,"Met")/SUM(COUNTIFS('Base File'!$G:$G,"Contractual SLA",'Base File'!$H:$H,"yes",'Base File'!$B:$B,'Account Summary'!$C32,'Base File'!$BH:$BH,"Met")+COUNTIFS('Base File'!$G:$G,"Contractual SLA",'Base File'!$H:$H,"yes",'Base File'!$B:$B,'Account Summary'!$C32,'Base File'!$BH:$BH,"Not Met")),"-")</f>
        <v>-</v>
      </c>
      <c r="AQ32" s="100" t="s">
        <v>11</v>
      </c>
      <c r="AR32" s="100" t="s">
        <v>11</v>
      </c>
      <c r="AS32" s="101" t="str">
        <f>IFERROR(COUNTIFS('Base File'!$G:$G,"Contractual SLA",'Base File'!$H:$H,"No",'Base File'!$B:$B,'Account Summary'!$C32,'Base File'!$BJ:$BJ,"Met")/SUM(COUNTIFS('Base File'!$G:$G,"Contractual SLA",'Base File'!$H:$H,"No",'Base File'!$B:$B,'Account Summary'!$C32,'Base File'!$BJ:$BJ,"Met")+COUNTIFS('Base File'!$G:$G,"Contractual SLA",'Base File'!$H:$H,"No",'Base File'!$B:$B,'Account Summary'!$C32,'Base File'!$BJ:$BJ,"Not Met")),"-")</f>
        <v>-</v>
      </c>
      <c r="AT32" s="100" t="str">
        <f>IFERROR(COUNTIFS('Base File'!$G:$G,"Contractual SLA",'Base File'!$H:$H,"Yes",'Base File'!$B:$B,'Account Summary'!$C32,'Base File'!$BJ:$BJ,"Met")/SUM(COUNTIFS('Base File'!$G:$G,"Contractual SLA",'Base File'!$H:$H,"yes",'Base File'!$B:$B,'Account Summary'!$C32,'Base File'!$BJ:$BJ,"Met")+COUNTIFS('Base File'!$G:$G,"Contractual SLA",'Base File'!$H:$H,"yes",'Base File'!$B:$B,'Account Summary'!$C32,'Base File'!$BJ:$BJ,"Not Met")),"-")</f>
        <v>-</v>
      </c>
      <c r="AU32" s="100" t="s">
        <v>11</v>
      </c>
      <c r="AV32" s="100" t="s">
        <v>11</v>
      </c>
      <c r="AW32" s="100" t="str">
        <f>IFERROR(COUNTIFS('Base File'!$G:$G,"Contractual SLA",'Base File'!$H:$H,"No",'Base File'!$B:$B,'Account Summary'!$C32,'Base File'!$BL:$BL,"Met")/SUM(COUNTIFS('Base File'!$G:$G,"Contractual SLA",'Base File'!$H:$H,"No",'Base File'!$B:$B,'Account Summary'!$C32,'Base File'!$BL:$BL,"Met")+COUNTIFS('Base File'!$G:$G,"Contractual SLA",'Base File'!$H:$H,"No",'Base File'!$B:$B,'Account Summary'!$C32,'Base File'!$BL:$BL,"Not Met")),"-")</f>
        <v>-</v>
      </c>
      <c r="AX32" s="100" t="str">
        <f>IFERROR(COUNTIFS('Base File'!$G:$G,"Contractual SLA",'Base File'!$H:$H,"Yes",'Base File'!$B:$B,'Account Summary'!$C32,'Base File'!$BL:$BL,"Met")/SUM(COUNTIFS('Base File'!$G:$G,"Contractual SLA",'Base File'!$H:$H,"yes",'Base File'!$B:$B,'Account Summary'!$C32,'Base File'!$BL:$BL,"Met")+COUNTIFS('Base File'!$G:$G,"Contractual SLA",'Base File'!$H:$H,"yes",'Base File'!$B:$B,'Account Summary'!$C32,'Base File'!$BL:$BL,"Not Met")),"-")</f>
        <v>-</v>
      </c>
      <c r="AY32" s="100" t="s">
        <v>11</v>
      </c>
      <c r="AZ32" s="100" t="s">
        <v>11</v>
      </c>
      <c r="BA32" s="100" t="s">
        <v>107</v>
      </c>
      <c r="BB32" s="100" t="s">
        <v>107</v>
      </c>
      <c r="BC32" s="100" t="s">
        <v>11</v>
      </c>
      <c r="BD32" s="100" t="s">
        <v>11</v>
      </c>
      <c r="BE32" s="100" t="str">
        <f>IFERROR(COUNTIFS('Base File'!$G:$G,"Contractual SLA",'Base File'!$H:$H,"No",'Base File'!$B:$B,'Account Summary'!$C32,'Base File'!$BP:$BP,"Met")/SUM(COUNTIFS('Base File'!$G:$G,"Contractual SLA",'Base File'!$H:$H,"No",'Base File'!$B:$B,'Account Summary'!$C32,'Base File'!$BP:$BP,"Met")+COUNTIFS('Base File'!$G:$G,"Contractual SLA",'Base File'!$H:$H,"No",'Base File'!$B:$B,'Account Summary'!$C32,'Base File'!$BP:$BP,"Not Met")),"-")</f>
        <v>-</v>
      </c>
      <c r="BF32" s="100" t="str">
        <f>IFERROR(COUNTIFS('Base File'!$G:$G,"Contractual SLA",'Base File'!$H:$H,"Yes",'Base File'!$B:$B,'Account Summary'!$C32,'Base File'!$BP:$BP,"Met")/SUM(COUNTIFS('Base File'!$G:$G,"Contractual SLA",'Base File'!$H:$H,"yes",'Base File'!$B:$B,'Account Summary'!$C32,'Base File'!$BP:$BP,"Met")+COUNTIFS('Base File'!$G:$G,"Contractual SLA",'Base File'!$H:$H,"yes",'Base File'!$B:$B,'Account Summary'!$C32,'Base File'!$BP:$BP,"Not Met")),"-")</f>
        <v>-</v>
      </c>
      <c r="BG32" s="100" t="s">
        <v>11</v>
      </c>
      <c r="BH32" s="100" t="s">
        <v>11</v>
      </c>
      <c r="BI32" s="101" t="str">
        <f>IFERROR(COUNTIFS('Base File'!$G:$G,"Contractual SLA",'Base File'!$H:$H,"No",'Base File'!$B:$B,'Account Summary'!$C32,'Base File'!$BR:$BR,"Met")/SUM(COUNTIFS('Base File'!$G:$G,"Contractual SLA",'Base File'!$H:$H,"No",'Base File'!$B:$B,'Account Summary'!$C32,'Base File'!$BR:$BR,"Met")+COUNTIFS('Base File'!$G:$G,"Contractual SLA",'Base File'!$H:$H,"No",'Base File'!$B:$B,'Account Summary'!$C32,'Base File'!$BR:$BR,"Not Met")),"-")</f>
        <v>-</v>
      </c>
      <c r="BJ32" s="100" t="str">
        <f>IFERROR(COUNTIFS('Base File'!$G:$G,"Contractual SLA",'Base File'!$H:$H,"No",'Base File'!$B:$B,'Account Summary'!$C32,'Base File'!$BR:$BR,"Met")/SUM(COUNTIFS('Base File'!$G:$G,"Contractual SLA",'Base File'!$H:$H,"No",'Base File'!$B:$B,'Account Summary'!$C32,'Base File'!$BR:$BR,"Met")+COUNTIFS('Base File'!$G:$G,"Contractual SLA",'Base File'!$H:$H,"No",'Base File'!$B:$B,'Account Summary'!$C32,'Base File'!$BR:$BR,"Not Met")),"-")</f>
        <v>-</v>
      </c>
      <c r="BK32" s="100" t="s">
        <v>11</v>
      </c>
      <c r="BL32" s="100" t="s">
        <v>11</v>
      </c>
      <c r="BM32" s="100" t="str">
        <f>IFERROR(COUNTIFS('Base File'!$G:$G,"Contractual SLA",'Base File'!$H:$H,"No",'Base File'!$B:$B,'Account Summary'!$C32,'Base File'!$BT:$BT,"Met")/SUM(COUNTIFS('Base File'!$G:$G,"Contractual SLA",'Base File'!$H:$H,"No",'Base File'!$B:$B,'Account Summary'!$C32,'Base File'!$BT:$BT,"Met")+COUNTIFS('Base File'!$G:$G,"Contractual SLA",'Base File'!$H:$H,"No",'Base File'!$B:$B,'Account Summary'!$C32,'Base File'!$BT:$BT,"Not Met")),"-")</f>
        <v>-</v>
      </c>
      <c r="BN32" s="100" t="str">
        <f>IFERROR(COUNTIFS('Base File'!$G:$G,"Contractual SLA",'Base File'!$H:$H,"Yes",'Base File'!$B:$B,'Account Summary'!$C32,'Base File'!$BT:$BT,"Met")/SUM(COUNTIFS('Base File'!$G:$G,"Contractual SLA",'Base File'!$H:$H,"yes",'Base File'!$B:$B,'Account Summary'!$C32,'Base File'!$BT:$BT,"Met")+COUNTIFS('Base File'!$G:$G,"Contractual SLA",'Base File'!$H:$H,"yes",'Base File'!$B:$B,'Account Summary'!$C32,'Base File'!$BT:$BT,"Not Met")),"-")</f>
        <v>-</v>
      </c>
      <c r="BO32" s="100" t="s">
        <v>11</v>
      </c>
      <c r="BP32" s="100" t="s">
        <v>11</v>
      </c>
      <c r="BQ32" s="100" t="str">
        <f>IFERROR(COUNTIFS('Base File'!$G:$G,"Internal KPI",'Base File'!$B:$B,'Account Summary'!$C32,'Base File'!$BV:$BV,"Met")/SUM(COUNTIFS('Base File'!$G:$G,"Internal KPI",'Base File'!$B:$B,'Account Summary'!$C32,'Base File'!$BV:$BV,"Met")+COUNTIFS('Base File'!$G:$G,"Internal KPI",'Base File'!$B:$B,'Account Summary'!$C32,'Base File'!$BV:$BV,"Not Met")),"-")</f>
        <v>-</v>
      </c>
      <c r="BR32" s="100" t="str">
        <f>IFERROR(COUNTIFS('Base File'!$G:$G,"Contractual SLA",'Base File'!$H:$H,"Yes",'Base File'!$B:$B,'Account Summary'!$C32,'Base File'!$BV:$BV,"Met")/SUM(COUNTIFS('Base File'!$G:$G,"Contractual SLA",'Base File'!$H:$H,"Yes",'Base File'!$B:$B,'Account Summary'!$C32,'Base File'!$BV:$BV,"Met")+COUNTIFS('Base File'!$G:$G,"Contractual SLA",'Base File'!$H:$H,"Yes",'Base File'!$B:$B,'Account Summary'!$C32,'Base File'!$BV:$BV,"Not Met")),"-")</f>
        <v>-</v>
      </c>
      <c r="BS32" s="100" t="s">
        <v>11</v>
      </c>
    </row>
    <row r="33" spans="1:75" s="12" customFormat="1" x14ac:dyDescent="0.25">
      <c r="A33" s="389"/>
      <c r="B33" s="94">
        <v>30</v>
      </c>
      <c r="C33" s="94" t="s">
        <v>43</v>
      </c>
      <c r="D33" s="95" t="s">
        <v>110</v>
      </c>
      <c r="E33" s="95" t="s">
        <v>903</v>
      </c>
      <c r="F33" s="94" t="s">
        <v>899</v>
      </c>
      <c r="G33" s="96"/>
      <c r="H33" s="94"/>
      <c r="I33" s="94" t="s">
        <v>111</v>
      </c>
      <c r="J33" s="373" t="s">
        <v>11</v>
      </c>
      <c r="K33" s="94" t="s">
        <v>11</v>
      </c>
      <c r="L33" s="98" t="s">
        <v>11</v>
      </c>
      <c r="M33" s="98" t="s">
        <v>11</v>
      </c>
      <c r="N33" s="98" t="s">
        <v>11</v>
      </c>
      <c r="O33" s="98" t="s">
        <v>11</v>
      </c>
      <c r="P33" s="98" t="s">
        <v>11</v>
      </c>
      <c r="Q33" s="98" t="s">
        <v>11</v>
      </c>
      <c r="R33" s="103" t="s">
        <v>11</v>
      </c>
      <c r="S33" s="98" t="s">
        <v>11</v>
      </c>
      <c r="T33" s="98" t="s">
        <v>11</v>
      </c>
      <c r="U33" s="98" t="s">
        <v>11</v>
      </c>
      <c r="V33" s="103" t="s">
        <v>11</v>
      </c>
      <c r="W33" s="98" t="s">
        <v>11</v>
      </c>
      <c r="X33" s="100" t="s">
        <v>11</v>
      </c>
      <c r="Y33" s="101" t="s">
        <v>11</v>
      </c>
      <c r="Z33" s="100" t="s">
        <v>11</v>
      </c>
      <c r="AA33" s="100" t="s">
        <v>11</v>
      </c>
      <c r="AB33" s="101" t="s">
        <v>11</v>
      </c>
      <c r="AC33" s="101" t="s">
        <v>11</v>
      </c>
      <c r="AD33" s="100" t="s">
        <v>11</v>
      </c>
      <c r="AE33" s="100" t="s">
        <v>11</v>
      </c>
      <c r="AF33" s="100" t="s">
        <v>11</v>
      </c>
      <c r="AG33" s="101" t="s">
        <v>11</v>
      </c>
      <c r="AH33" s="100" t="s">
        <v>11</v>
      </c>
      <c r="AI33" s="100" t="s">
        <v>11</v>
      </c>
      <c r="AJ33" s="100" t="s">
        <v>11</v>
      </c>
      <c r="AK33" s="101" t="s">
        <v>11</v>
      </c>
      <c r="AL33" s="100" t="s">
        <v>11</v>
      </c>
      <c r="AM33" s="100" t="s">
        <v>11</v>
      </c>
      <c r="AN33" s="100" t="s">
        <v>11</v>
      </c>
      <c r="AO33" s="100" t="s">
        <v>11</v>
      </c>
      <c r="AP33" s="100" t="s">
        <v>11</v>
      </c>
      <c r="AQ33" s="100" t="s">
        <v>11</v>
      </c>
      <c r="AR33" s="100" t="s">
        <v>11</v>
      </c>
      <c r="AS33" s="100" t="s">
        <v>11</v>
      </c>
      <c r="AT33" s="100" t="s">
        <v>11</v>
      </c>
      <c r="AU33" s="100" t="s">
        <v>11</v>
      </c>
      <c r="AV33" s="100" t="s">
        <v>11</v>
      </c>
      <c r="AW33" s="100" t="s">
        <v>11</v>
      </c>
      <c r="AX33" s="100" t="s">
        <v>11</v>
      </c>
      <c r="AY33" s="100" t="s">
        <v>11</v>
      </c>
      <c r="AZ33" s="100" t="s">
        <v>11</v>
      </c>
      <c r="BA33" s="100" t="s">
        <v>11</v>
      </c>
      <c r="BB33" s="100" t="s">
        <v>11</v>
      </c>
      <c r="BC33" s="100" t="s">
        <v>11</v>
      </c>
      <c r="BD33" s="100" t="s">
        <v>11</v>
      </c>
      <c r="BE33" s="100" t="str">
        <f>IFERROR(COUNTIFS('Base File'!$G:$G,"Contractual SLA",'Base File'!$H:$H,"No",'Base File'!$B:$B,'Account Summary'!$C33,'Base File'!$BP:$BP,"Met")/SUM(COUNTIFS('Base File'!$G:$G,"Contractual SLA",'Base File'!$H:$H,"No",'Base File'!$B:$B,'Account Summary'!$C33,'Base File'!$BP:$BP,"Met")+COUNTIFS('Base File'!$G:$G,"Contractual SLA",'Base File'!$H:$H,"No",'Base File'!$B:$B,'Account Summary'!$C33,'Base File'!$BP:$BP,"Not Met")),"-")</f>
        <v>-</v>
      </c>
      <c r="BF33" s="100" t="str">
        <f>IFERROR(COUNTIFS('Base File'!$G:$G,"Contractual SLA",'Base File'!$H:$H,"Yes",'Base File'!$B:$B,'Account Summary'!$C33,'Base File'!$BP:$BP,"Met")/SUM(COUNTIFS('Base File'!$G:$G,"Contractual SLA",'Base File'!$H:$H,"yes",'Base File'!$B:$B,'Account Summary'!$C33,'Base File'!$BP:$BP,"Met")+COUNTIFS('Base File'!$G:$G,"Contractual SLA",'Base File'!$H:$H,"yes",'Base File'!$B:$B,'Account Summary'!$C33,'Base File'!$BP:$BP,"Not Met")),"-")</f>
        <v>-</v>
      </c>
      <c r="BG33" s="100" t="s">
        <v>11</v>
      </c>
      <c r="BH33" s="100" t="s">
        <v>11</v>
      </c>
      <c r="BI33" s="101" t="str">
        <f>IFERROR(COUNTIFS('Base File'!$G:$G,"Contractual SLA",'Base File'!$H:$H,"No",'Base File'!$B:$B,'Account Summary'!$C33,'Base File'!$BR:$BR,"Met")/SUM(COUNTIFS('Base File'!$G:$G,"Contractual SLA",'Base File'!$H:$H,"No",'Base File'!$B:$B,'Account Summary'!$C33,'Base File'!$BR:$BR,"Met")+COUNTIFS('Base File'!$G:$G,"Contractual SLA",'Base File'!$H:$H,"No",'Base File'!$B:$B,'Account Summary'!$C33,'Base File'!$BR:$BR,"Not Met")),"-")</f>
        <v>-</v>
      </c>
      <c r="BJ33" s="100" t="str">
        <f>IFERROR(COUNTIFS('Base File'!$G:$G,"Contractual SLA",'Base File'!$H:$H,"No",'Base File'!$B:$B,'Account Summary'!$C33,'Base File'!$BR:$BR,"Met")/SUM(COUNTIFS('Base File'!$G:$G,"Contractual SLA",'Base File'!$H:$H,"No",'Base File'!$B:$B,'Account Summary'!$C33,'Base File'!$BR:$BR,"Met")+COUNTIFS('Base File'!$G:$G,"Contractual SLA",'Base File'!$H:$H,"No",'Base File'!$B:$B,'Account Summary'!$C33,'Base File'!$BR:$BR,"Not Met")),"-")</f>
        <v>-</v>
      </c>
      <c r="BK33" s="100" t="s">
        <v>11</v>
      </c>
      <c r="BL33" s="100" t="s">
        <v>11</v>
      </c>
      <c r="BM33" s="100" t="s">
        <v>11</v>
      </c>
      <c r="BN33" s="100" t="s">
        <v>11</v>
      </c>
      <c r="BO33" s="100" t="s">
        <v>11</v>
      </c>
      <c r="BP33" s="100" t="s">
        <v>11</v>
      </c>
      <c r="BQ33" s="100" t="s">
        <v>11</v>
      </c>
      <c r="BR33" s="100" t="s">
        <v>11</v>
      </c>
      <c r="BS33" s="100" t="s">
        <v>11</v>
      </c>
    </row>
    <row r="34" spans="1:75" s="12" customFormat="1" x14ac:dyDescent="0.25">
      <c r="A34" s="389"/>
      <c r="B34" s="94">
        <v>31</v>
      </c>
      <c r="C34" s="94" t="s">
        <v>44</v>
      </c>
      <c r="D34" s="95" t="s">
        <v>110</v>
      </c>
      <c r="E34" s="95" t="s">
        <v>903</v>
      </c>
      <c r="F34" s="94" t="s">
        <v>899</v>
      </c>
      <c r="G34" s="96"/>
      <c r="H34" s="94"/>
      <c r="I34" s="94" t="s">
        <v>134</v>
      </c>
      <c r="J34" s="39" t="s">
        <v>955</v>
      </c>
      <c r="K34" s="89" t="s">
        <v>65</v>
      </c>
      <c r="L34" s="97">
        <f>11/11</f>
        <v>1</v>
      </c>
      <c r="M34" s="97">
        <f>8/8</f>
        <v>1</v>
      </c>
      <c r="N34" s="98" t="str">
        <f>IFERROR(COUNTIFS('Base File'!$G:$G,"Contractual SLA",'Base File'!$H:$H,"Yes",'Base File'!$B:$B,'Account Summary'!$C34,'Base File'!$AR:$AR,"Met")/SUM(COUNTIFS('Base File'!$G:$G,"Contractual SLA",'Base File'!$H:$H,"yes",'Base File'!$B:$B,'Account Summary'!$C34,'Base File'!$AR:$AR,"Met")+COUNTIFS('Base File'!$G:$G,"Contractual SLA",'Base File'!$H:$H,"yes",'Base File'!$B:$B,'Account Summary'!$C34,'Base File'!$AR:$AR,"Not Met")),"-")</f>
        <v>-</v>
      </c>
      <c r="O34" s="97">
        <f>3/3</f>
        <v>1</v>
      </c>
      <c r="P34" s="109">
        <f>1/2</f>
        <v>0.5</v>
      </c>
      <c r="Q34" s="98" t="str">
        <f>IFERROR(COUNTIFS('Base File'!$G:$G,"Contractual SLA",'Base File'!$H:$H,"No",'Base File'!$B:$B,'Account Summary'!$C34,'Base File'!$AV:$AV,"Met")/SUM(COUNTIFS('Base File'!$G:$G,"Contractual SLA",'Base File'!$H:$H,"No",'Base File'!$B:$B,'Account Summary'!$C34,'Base File'!$AV:$AV,"Met")+COUNTIFS('Base File'!$G:$G,"Contractual SLA",'Base File'!$H:$H,"No",'Base File'!$B:$B,'Account Summary'!$C34,'Base File'!$AV:$AV,"Not Met")),"-")</f>
        <v>-</v>
      </c>
      <c r="R34" s="103" t="s">
        <v>103</v>
      </c>
      <c r="S34" s="109">
        <f>1/2</f>
        <v>0.5</v>
      </c>
      <c r="T34" s="100">
        <v>0</v>
      </c>
      <c r="U34" s="101" t="s">
        <v>103</v>
      </c>
      <c r="V34" s="100" t="str">
        <f>IFERROR(COUNTIFS('Base File'!$G:$G,"Contractual SLA",'Base File'!$H:$H,"Yes",'Base File'!$B:$B,'Account Summary'!$C34,'Base File'!$AX:$AX,"Met")/SUM(COUNTIFS('Base File'!$G:$G,"Contractual SLA",'Base File'!$H:$H,"yes",'Base File'!$B:$B,'Account Summary'!$C34,'Base File'!$AX:$AX,"Met")+COUNTIFS('Base File'!$G:$G,"Contractual SLA",'Base File'!$H:$H,"yes",'Base File'!$B:$B,'Account Summary'!$C34,'Base File'!$AX:$AX,"Not Met")),"NA")</f>
        <v>NA</v>
      </c>
      <c r="W34" s="100">
        <v>0</v>
      </c>
      <c r="X34" s="106">
        <f>1/2</f>
        <v>0.5</v>
      </c>
      <c r="Y34" s="101" t="s">
        <v>103</v>
      </c>
      <c r="Z34" s="100" t="str">
        <f>IFERROR(COUNTIFS('Base File'!$G:$G,"Contractual SLA",'Base File'!$H:$H,"Yes",'Base File'!$B:$B,'Account Summary'!$C34,'Base File'!$AZ:$AZ,"Met")/SUM(COUNTIFS('Base File'!$G:$G,"Contractual SLA",'Base File'!$H:$H,"yes",'Base File'!$B:$B,'Account Summary'!$C34,'Base File'!$AZ:$AZ,"Met")+COUNTIFS('Base File'!$G:$G,"Contractual SLA",'Base File'!$H:$H,"yes",'Base File'!$B:$B,'Account Summary'!$C34,'Base File'!$AZ:$AZ,"Not Met")),"-")</f>
        <v>-</v>
      </c>
      <c r="AA34" s="106">
        <f>1/2</f>
        <v>0.5</v>
      </c>
      <c r="AB34" s="107">
        <f>1/2</f>
        <v>0.5</v>
      </c>
      <c r="AC34" s="101" t="s">
        <v>103</v>
      </c>
      <c r="AD34" s="100" t="str">
        <f>IFERROR(COUNTIFS('Base File'!$G:$G,"Contractual SLA",'Base File'!$H:$H,"Yes",'Base File'!$B:$B,'Account Summary'!$C34,'Base File'!$BB:$BB,"Met")/SUM(COUNTIFS('Base File'!$G:$G,"Contractual SLA",'Base File'!$H:$H,"yes",'Base File'!$B:$B,'Account Summary'!$C34,'Base File'!$BB:$BB,"Met")+COUNTIFS('Base File'!$G:$G,"Contractual SLA",'Base File'!$H:$H,"yes",'Base File'!$B:$B,'Account Summary'!$C34,'Base File'!$BB:$BB,"Not Met")),"-")</f>
        <v>-</v>
      </c>
      <c r="AE34" s="106">
        <f>1/2</f>
        <v>0.5</v>
      </c>
      <c r="AF34" s="106">
        <f>1/2</f>
        <v>0.5</v>
      </c>
      <c r="AG34" s="100" t="s">
        <v>103</v>
      </c>
      <c r="AH34" s="100" t="str">
        <f>IFERROR(COUNTIFS('Base File'!$G:$G,"Contractual SLA",'Base File'!$H:$H,"Yes",'Base File'!$B:$B,'Account Summary'!$C34,'Base File'!$BD:$BD,"Met")/SUM(COUNTIFS('Base File'!$G:$G,"Contractual SLA",'Base File'!$H:$H,"yes",'Base File'!$B:$B,'Account Summary'!$C34,'Base File'!$BD:$BD,"Met")+COUNTIFS('Base File'!$G:$G,"Contractual SLA",'Base File'!$H:$H,"yes",'Base File'!$B:$B,'Account Summary'!$C34,'Base File'!$BD:$BD,"Not Met")),"-")</f>
        <v>-</v>
      </c>
      <c r="AI34" s="106">
        <f>1/2</f>
        <v>0.5</v>
      </c>
      <c r="AJ34" s="106">
        <v>0.69</v>
      </c>
      <c r="AK34" s="99">
        <v>0.86</v>
      </c>
      <c r="AL34" s="100" t="str">
        <f>IFERROR(COUNTIFS('Base File'!$G:$G,"Contractual SLA",'Base File'!$H:$H,"Yes",'Base File'!$B:$B,'Account Summary'!$C34,'Base File'!$BF:$BF,"Met")/SUM(COUNTIFS('Base File'!$G:$G,"Contractual SLA",'Base File'!$H:$H,"yes",'Base File'!$B:$B,'Account Summary'!$C34,'Base File'!$BF:$BF,"Met")+COUNTIFS('Base File'!$G:$G,"Contractual SLA",'Base File'!$H:$H,"yes",'Base File'!$B:$B,'Account Summary'!$C34,'Base File'!$BF:$BF,"Not Met")),"-")</f>
        <v>-</v>
      </c>
      <c r="AM34" s="106">
        <v>0.5</v>
      </c>
      <c r="AN34" s="106">
        <v>0.5</v>
      </c>
      <c r="AO34" s="100" t="s">
        <v>11</v>
      </c>
      <c r="AP34" s="100" t="str">
        <f>IFERROR(COUNTIFS('Base File'!$G:$G,"Contractual SLA",'Base File'!$H:$H,"Yes",'Base File'!$B:$B,'Account Summary'!$C34,'Base File'!$BH:$BH,"Met")/SUM(COUNTIFS('Base File'!$G:$G,"Contractual SLA",'Base File'!$H:$H,"yes",'Base File'!$B:$B,'Account Summary'!$C34,'Base File'!$BH:$BH,"Met")+COUNTIFS('Base File'!$G:$G,"Contractual SLA",'Base File'!$H:$H,"yes",'Base File'!$B:$B,'Account Summary'!$C34,'Base File'!$BH:$BH,"Not Met")),"-")</f>
        <v>-</v>
      </c>
      <c r="AQ34" s="106">
        <v>0.5</v>
      </c>
      <c r="AR34" s="100" t="str">
        <f>IFERROR(COUNTIFS('Base File'!$BJ:$BJ,"Met",'Base File'!$B:$B,'Account Summary'!C34)/(COUNTIFS('Base File'!$BJ:$BJ,"Met",'Base File'!$B:$B,'Account Summary'!C34)+COUNTIFS('Base File'!$BJ:$BJ,"Not Met",'Base File'!$B:$B,'Account Summary'!C34)),"NR")</f>
        <v>NR</v>
      </c>
      <c r="AS34" s="101" t="s">
        <v>103</v>
      </c>
      <c r="AT34" s="100" t="str">
        <f>IFERROR(COUNTIFS('Base File'!$G:$G,"Contractual SLA",'Base File'!$H:$H,"Yes",'Base File'!$B:$B,'Account Summary'!$C34,'Base File'!$BJ:$BJ,"Met")/SUM(COUNTIFS('Base File'!$G:$G,"Contractual SLA",'Base File'!$H:$H,"yes",'Base File'!$B:$B,'Account Summary'!$C34,'Base File'!$BJ:$BJ,"Met")+COUNTIFS('Base File'!$G:$G,"Contractual SLA",'Base File'!$H:$H,"yes",'Base File'!$B:$B,'Account Summary'!$C34,'Base File'!$BJ:$BJ,"Not Met")),"-")</f>
        <v>-</v>
      </c>
      <c r="AU34" s="100" t="s">
        <v>103</v>
      </c>
      <c r="AV34" s="100">
        <v>1</v>
      </c>
      <c r="AW34" s="100" t="str">
        <f>IFERROR(COUNTIFS('Base File'!$G:$G,"Contractual SLA",'Base File'!$H:$H,"No",'Base File'!$B:$B,'Account Summary'!$C34,'Base File'!$BL:$BL,"Met")/SUM(COUNTIFS('Base File'!$G:$G,"Contractual SLA",'Base File'!$H:$H,"No",'Base File'!$B:$B,'Account Summary'!$C34,'Base File'!$BL:$BL,"Met")+COUNTIFS('Base File'!$G:$G,"Contractual SLA",'Base File'!$H:$H,"No",'Base File'!$B:$B,'Account Summary'!$C34,'Base File'!$BL:$BL,"Not Met")),"-")</f>
        <v>-</v>
      </c>
      <c r="AX34" s="100" t="str">
        <f>IFERROR(COUNTIFS('Base File'!$G:$G,"Contractual SLA",'Base File'!$H:$H,"Yes",'Base File'!$B:$B,'Account Summary'!$C34,'Base File'!$BL:$BL,"Met")/SUM(COUNTIFS('Base File'!$G:$G,"Contractual SLA",'Base File'!$H:$H,"yes",'Base File'!$B:$B,'Account Summary'!$C34,'Base File'!$BL:$BL,"Met")+COUNTIFS('Base File'!$G:$G,"Contractual SLA",'Base File'!$H:$H,"yes",'Base File'!$B:$B,'Account Summary'!$C34,'Base File'!$BL:$BL,"Not Met")),"-")</f>
        <v>-</v>
      </c>
      <c r="AY34" s="100">
        <v>1</v>
      </c>
      <c r="AZ34" s="100">
        <v>0</v>
      </c>
      <c r="BA34" s="100" t="s">
        <v>107</v>
      </c>
      <c r="BB34" s="100" t="s">
        <v>107</v>
      </c>
      <c r="BC34" s="100">
        <v>0</v>
      </c>
      <c r="BD34" s="110">
        <v>0.33</v>
      </c>
      <c r="BE34" s="100" t="s">
        <v>103</v>
      </c>
      <c r="BF34" s="100" t="str">
        <f>IFERROR(COUNTIFS('Base File'!$G:$G,"Contractual SLA",'Base File'!$H:$H,"Yes",'Base File'!$B:$B,'Account Summary'!$C34,'Base File'!$BP:$BP,"Met")/SUM(COUNTIFS('Base File'!$G:$G,"Contractual SLA",'Base File'!$H:$H,"yes",'Base File'!$B:$B,'Account Summary'!$C34,'Base File'!$BP:$BP,"Met")+COUNTIFS('Base File'!$G:$G,"Contractual SLA",'Base File'!$H:$H,"yes",'Base File'!$B:$B,'Account Summary'!$C34,'Base File'!$BP:$BP,"Not Met")),"-")</f>
        <v>-</v>
      </c>
      <c r="BG34" s="110">
        <v>0.33</v>
      </c>
      <c r="BH34" s="100" t="str">
        <f>IFERROR(COUNTIFS('Base File'!$BR:$BR,"Met",'Base File'!$B:$B,'Account Summary'!C34)/(COUNTIFS('Base File'!$BR:$BR,"Met",'Base File'!$B:$B,'Account Summary'!C34)+COUNTIFS('Base File'!$BR:$BR,"Not Met",'Base File'!$B:$B,'Account Summary'!C34)),"NR")</f>
        <v>NR</v>
      </c>
      <c r="BI34" s="101" t="s">
        <v>103</v>
      </c>
      <c r="BJ34" s="100" t="str">
        <f>IFERROR(COUNTIFS('Base File'!$G:$G,"Contractual SLA",'Base File'!$H:$H,"No",'Base File'!$B:$B,'Account Summary'!$C34,'Base File'!$BR:$BR,"Met")/SUM(COUNTIFS('Base File'!$G:$G,"Contractual SLA",'Base File'!$H:$H,"No",'Base File'!$B:$B,'Account Summary'!$C34,'Base File'!$BR:$BR,"Met")+COUNTIFS('Base File'!$G:$G,"Contractual SLA",'Base File'!$H:$H,"No",'Base File'!$B:$B,'Account Summary'!$C34,'Base File'!$BR:$BR,"Not Met")),"-")</f>
        <v>-</v>
      </c>
      <c r="BK34" s="100" t="s">
        <v>103</v>
      </c>
      <c r="BL34" s="100">
        <v>0.5</v>
      </c>
      <c r="BM34" s="100" t="s">
        <v>103</v>
      </c>
      <c r="BN34" s="100" t="str">
        <f>IFERROR(COUNTIFS('Base File'!$G:$G,"Contractual SLA",'Base File'!$H:$H,"Yes",'Base File'!$B:$B,'Account Summary'!$C34,'Base File'!$BT:$BT,"Met")/SUM(COUNTIFS('Base File'!$G:$G,"Contractual SLA",'Base File'!$H:$H,"yes",'Base File'!$B:$B,'Account Summary'!$C34,'Base File'!$BT:$BT,"Met")+COUNTIFS('Base File'!$G:$G,"Contractual SLA",'Base File'!$H:$H,"yes",'Base File'!$B:$B,'Account Summary'!$C34,'Base File'!$BT:$BT,"Not Met")),"-")</f>
        <v>-</v>
      </c>
      <c r="BO34" s="100">
        <v>0.5</v>
      </c>
      <c r="BP34" s="100">
        <v>0.5</v>
      </c>
      <c r="BQ34" s="100" t="s">
        <v>103</v>
      </c>
      <c r="BR34" s="100" t="str">
        <f>IFERROR(COUNTIFS('Base File'!$G:$G,"Contractual SLA",'Base File'!$H:$H,"Yes",'Base File'!$B:$B,'Account Summary'!$C34,'Base File'!$BV:$BV,"Met")/SUM(COUNTIFS('Base File'!$G:$G,"Contractual SLA",'Base File'!$H:$H,"Yes",'Base File'!$B:$B,'Account Summary'!$C34,'Base File'!$BV:$BV,"Met")+COUNTIFS('Base File'!$G:$G,"Contractual SLA",'Base File'!$H:$H,"Yes",'Base File'!$B:$B,'Account Summary'!$C34,'Base File'!$BV:$BV,"Not Met")),"-")</f>
        <v>-</v>
      </c>
      <c r="BS34" s="100">
        <v>0.5</v>
      </c>
    </row>
    <row r="35" spans="1:75" x14ac:dyDescent="0.25">
      <c r="A35" s="389"/>
      <c r="B35" s="94">
        <v>32</v>
      </c>
      <c r="C35" s="94" t="s">
        <v>45</v>
      </c>
      <c r="D35" s="95" t="s">
        <v>104</v>
      </c>
      <c r="E35" s="95" t="s">
        <v>902</v>
      </c>
      <c r="F35" s="94" t="s">
        <v>132</v>
      </c>
      <c r="G35" s="96"/>
      <c r="H35" s="94"/>
      <c r="I35" s="94" t="s">
        <v>105</v>
      </c>
      <c r="J35" s="373" t="s">
        <v>11</v>
      </c>
      <c r="K35" s="373" t="s">
        <v>11</v>
      </c>
      <c r="L35" s="98" t="s">
        <v>11</v>
      </c>
      <c r="M35" s="98" t="s">
        <v>11</v>
      </c>
      <c r="N35" s="98" t="s">
        <v>11</v>
      </c>
      <c r="O35" s="98" t="s">
        <v>11</v>
      </c>
      <c r="P35" s="98" t="s">
        <v>11</v>
      </c>
      <c r="Q35" s="98" t="str">
        <f>IFERROR(COUNTIFS('Base File'!$G:$G,"Contractual SLA",'Base File'!$H:$H,"No",'Base File'!$B:$B,'Account Summary'!$C35,'Base File'!$AV:$AV,"Met")/SUM(COUNTIFS('Base File'!$G:$G,"Contractual SLA",'Base File'!$H:$H,"No",'Base File'!$B:$B,'Account Summary'!$C35,'Base File'!$AV:$AV,"Met")+COUNTIFS('Base File'!$G:$G,"Contractual SLA",'Base File'!$H:$H,"No",'Base File'!$B:$B,'Account Summary'!$C35,'Base File'!$AV:$AV,"Not Met")),"-")</f>
        <v>-</v>
      </c>
      <c r="R35" s="103" t="str">
        <f>IFERROR(COUNTIFS('Base File'!$G:$G,"Contractual SLA",'Base File'!$H:$H,"Yes",'Base File'!$B:$B,'Account Summary'!$C35,'Base File'!$AV:$AV,"Met")/SUM(COUNTIFS('Base File'!$G:$G,"Contractual SLA",'Base File'!$H:$H,"yes",'Base File'!$B:$B,'Account Summary'!$C35,'Base File'!$AV:$AV,"Met")+COUNTIFS('Base File'!$G:$G,"Contractual SLA",'Base File'!$H:$H,"yes",'Base File'!$B:$B,'Account Summary'!$C35,'Base File'!$AV:$AV,"Not Met")),"-")</f>
        <v>-</v>
      </c>
      <c r="S35" s="98" t="s">
        <v>11</v>
      </c>
      <c r="T35" s="98" t="s">
        <v>11</v>
      </c>
      <c r="U35" s="101" t="str">
        <f>IFERROR(COUNTIFS('Base File'!$G:$G,"Contractual SLA",'Base File'!$H:$H,"No",'Base File'!$B:$B,'Account Summary'!$C35,'Base File'!$AX:$AX,"Met")/SUM(COUNTIFS('Base File'!$G:$G,"Contractual SLA",'Base File'!$H:$H,"No",'Base File'!$B:$B,'Account Summary'!$C35,'Base File'!$AX:$AX,"Met")+COUNTIFS('Base File'!$G:$G,"Contractual SLA",'Base File'!$H:$H,"No",'Base File'!$B:$B,'Account Summary'!$C35,'Base File'!$AX:$AX,"Not Met")),"NA")</f>
        <v>NA</v>
      </c>
      <c r="V35" s="100" t="s">
        <v>11</v>
      </c>
      <c r="W35" s="98" t="s">
        <v>11</v>
      </c>
      <c r="X35" s="100" t="s">
        <v>11</v>
      </c>
      <c r="Y35" s="101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Z35" s="100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A35" s="100" t="s">
        <v>11</v>
      </c>
      <c r="AB35" s="101" t="s">
        <v>11</v>
      </c>
      <c r="AC35" s="101" t="str">
        <f>IFERROR(COUNTIFS('Base File'!$G:$G,"Contractual SLA",'Base File'!$H:$H,"No",'Base File'!$B:$B,'Account Summary'!$C35,'Base File'!$BB:$BB,"Met")/SUM(COUNTIFS('Base File'!$G:$G,"Contractual SLA",'Base File'!$H:$H,"No",'Base File'!$B:$B,'Account Summary'!$C35,'Base File'!$BB:$BB,"Met")+COUNTIFS('Base File'!$G:$G,"Contractual SLA",'Base File'!$H:$H,"No",'Base File'!$B:$B,'Account Summary'!$C35,'Base File'!$BB:$BB,"Not Met")),"-")</f>
        <v>-</v>
      </c>
      <c r="AD35" s="100" t="str">
        <f>IFERROR(COUNTIFS('Base File'!$G:$G,"Contractual SLA",'Base File'!$H:$H,"Yes",'Base File'!$B:$B,'Account Summary'!$C35,'Base File'!$BB:$BB,"Met")/SUM(COUNTIFS('Base File'!$G:$G,"Contractual SLA",'Base File'!$H:$H,"yes",'Base File'!$B:$B,'Account Summary'!$C35,'Base File'!$BB:$BB,"Met")+COUNTIFS('Base File'!$G:$G,"Contractual SLA",'Base File'!$H:$H,"yes",'Base File'!$B:$B,'Account Summary'!$C35,'Base File'!$BB:$BB,"Not Met")),"-")</f>
        <v>-</v>
      </c>
      <c r="AE35" s="100" t="s">
        <v>11</v>
      </c>
      <c r="AF35" s="100" t="s">
        <v>11</v>
      </c>
      <c r="AG35" s="101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AH35" s="100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I35" s="100" t="s">
        <v>11</v>
      </c>
      <c r="AJ35" s="100" t="s">
        <v>11</v>
      </c>
      <c r="AK35" s="101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AL35" s="100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M35" s="100" t="s">
        <v>11</v>
      </c>
      <c r="AN35" s="100" t="s">
        <v>11</v>
      </c>
      <c r="AO35" s="100" t="str">
        <f>IFERROR(COUNTIFS('Base File'!$G:$G,"Contractual SLA",'Base File'!$H:$H,"No",'Base File'!$B:$B,'Account Summary'!$C35,'Base File'!$BH:$BH,"Met")/SUM(COUNTIFS('Base File'!$G:$G,"Contractual SLA",'Base File'!$H:$H,"No",'Base File'!$B:$B,'Account Summary'!$C35,'Base File'!$BH:$BH,"Met")+COUNTIFS('Base File'!$G:$G,"Contractual SLA",'Base File'!$H:$H,"No",'Base File'!$B:$B,'Account Summary'!$C35,'Base File'!$BH:$BH,"Not Met")),"-")</f>
        <v>-</v>
      </c>
      <c r="AP35" s="100" t="str">
        <f>IFERROR(COUNTIFS('Base File'!$G:$G,"Contractual SLA",'Base File'!$H:$H,"Yes",'Base File'!$B:$B,'Account Summary'!$C35,'Base File'!$BH:$BH,"Met")/SUM(COUNTIFS('Base File'!$G:$G,"Contractual SLA",'Base File'!$H:$H,"yes",'Base File'!$B:$B,'Account Summary'!$C35,'Base File'!$BH:$BH,"Met")+COUNTIFS('Base File'!$G:$G,"Contractual SLA",'Base File'!$H:$H,"yes",'Base File'!$B:$B,'Account Summary'!$C35,'Base File'!$BH:$BH,"Not Met")),"-")</f>
        <v>-</v>
      </c>
      <c r="AQ35" s="100" t="s">
        <v>11</v>
      </c>
      <c r="AR35" s="100" t="s">
        <v>11</v>
      </c>
      <c r="AS35" s="101" t="str">
        <f>IFERROR(COUNTIFS('Base File'!$G:$G,"Contractual SLA",'Base File'!$H:$H,"No",'Base File'!$B:$B,'Account Summary'!$C35,'Base File'!$BJ:$BJ,"Met")/SUM(COUNTIFS('Base File'!$G:$G,"Contractual SLA",'Base File'!$H:$H,"No",'Base File'!$B:$B,'Account Summary'!$C35,'Base File'!$BJ:$BJ,"Met")+COUNTIFS('Base File'!$G:$G,"Contractual SLA",'Base File'!$H:$H,"No",'Base File'!$B:$B,'Account Summary'!$C35,'Base File'!$BJ:$BJ,"Not Met")),"-")</f>
        <v>-</v>
      </c>
      <c r="AT35" s="100" t="str">
        <f>IFERROR(COUNTIFS('Base File'!$G:$G,"Contractual SLA",'Base File'!$H:$H,"Yes",'Base File'!$B:$B,'Account Summary'!$C35,'Base File'!$BJ:$BJ,"Met")/SUM(COUNTIFS('Base File'!$G:$G,"Contractual SLA",'Base File'!$H:$H,"yes",'Base File'!$B:$B,'Account Summary'!$C35,'Base File'!$BJ:$BJ,"Met")+COUNTIFS('Base File'!$G:$G,"Contractual SLA",'Base File'!$H:$H,"yes",'Base File'!$B:$B,'Account Summary'!$C35,'Base File'!$BJ:$BJ,"Not Met")),"-")</f>
        <v>-</v>
      </c>
      <c r="AU35" s="100" t="s">
        <v>11</v>
      </c>
      <c r="AV35" s="100" t="s">
        <v>11</v>
      </c>
      <c r="AW35" s="100" t="str">
        <f>IFERROR(COUNTIFS('Base File'!$G:$G,"Contractual SLA",'Base File'!$H:$H,"No",'Base File'!$B:$B,'Account Summary'!$C35,'Base File'!$BL:$BL,"Met")/SUM(COUNTIFS('Base File'!$G:$G,"Contractual SLA",'Base File'!$H:$H,"No",'Base File'!$B:$B,'Account Summary'!$C35,'Base File'!$BL:$BL,"Met")+COUNTIFS('Base File'!$G:$G,"Contractual SLA",'Base File'!$H:$H,"No",'Base File'!$B:$B,'Account Summary'!$C35,'Base File'!$BL:$BL,"Not Met")),"-")</f>
        <v>-</v>
      </c>
      <c r="AX35" s="100" t="str">
        <f>IFERROR(COUNTIFS('Base File'!$G:$G,"Contractual SLA",'Base File'!$H:$H,"Yes",'Base File'!$B:$B,'Account Summary'!$C35,'Base File'!$BL:$BL,"Met")/SUM(COUNTIFS('Base File'!$G:$G,"Contractual SLA",'Base File'!$H:$H,"yes",'Base File'!$B:$B,'Account Summary'!$C35,'Base File'!$BL:$BL,"Met")+COUNTIFS('Base File'!$G:$G,"Contractual SLA",'Base File'!$H:$H,"yes",'Base File'!$B:$B,'Account Summary'!$C35,'Base File'!$BL:$BL,"Not Met")),"-")</f>
        <v>-</v>
      </c>
      <c r="AY35" s="100" t="s">
        <v>11</v>
      </c>
      <c r="AZ35" s="100" t="s">
        <v>11</v>
      </c>
      <c r="BA35" s="100" t="s">
        <v>107</v>
      </c>
      <c r="BB35" s="100" t="s">
        <v>107</v>
      </c>
      <c r="BC35" s="100" t="s">
        <v>11</v>
      </c>
      <c r="BD35" s="100" t="s">
        <v>11</v>
      </c>
      <c r="BE35" s="100" t="str">
        <f>IFERROR(COUNTIFS('Base File'!$G:$G,"Contractual SLA",'Base File'!$H:$H,"No",'Base File'!$B:$B,'Account Summary'!$C35,'Base File'!$BP:$BP,"Met")/SUM(COUNTIFS('Base File'!$G:$G,"Contractual SLA",'Base File'!$H:$H,"No",'Base File'!$B:$B,'Account Summary'!$C35,'Base File'!$BP:$BP,"Met")+COUNTIFS('Base File'!$G:$G,"Contractual SLA",'Base File'!$H:$H,"No",'Base File'!$B:$B,'Account Summary'!$C35,'Base File'!$BP:$BP,"Not Met")),"-")</f>
        <v>-</v>
      </c>
      <c r="BF35" s="100" t="str">
        <f>IFERROR(COUNTIFS('Base File'!$G:$G,"Contractual SLA",'Base File'!$H:$H,"Yes",'Base File'!$B:$B,'Account Summary'!$C35,'Base File'!$BP:$BP,"Met")/SUM(COUNTIFS('Base File'!$G:$G,"Contractual SLA",'Base File'!$H:$H,"yes",'Base File'!$B:$B,'Account Summary'!$C35,'Base File'!$BP:$BP,"Met")+COUNTIFS('Base File'!$G:$G,"Contractual SLA",'Base File'!$H:$H,"yes",'Base File'!$B:$B,'Account Summary'!$C35,'Base File'!$BP:$BP,"Not Met")),"-")</f>
        <v>-</v>
      </c>
      <c r="BG35" s="100" t="s">
        <v>11</v>
      </c>
      <c r="BH35" s="100" t="s">
        <v>11</v>
      </c>
      <c r="BI35" s="101" t="str">
        <f>IFERROR(COUNTIFS('Base File'!$G:$G,"Contractual SLA",'Base File'!$H:$H,"No",'Base File'!$B:$B,'Account Summary'!$C35,'Base File'!$BR:$BR,"Met")/SUM(COUNTIFS('Base File'!$G:$G,"Contractual SLA",'Base File'!$H:$H,"No",'Base File'!$B:$B,'Account Summary'!$C35,'Base File'!$BR:$BR,"Met")+COUNTIFS('Base File'!$G:$G,"Contractual SLA",'Base File'!$H:$H,"No",'Base File'!$B:$B,'Account Summary'!$C35,'Base File'!$BR:$BR,"Not Met")),"-")</f>
        <v>-</v>
      </c>
      <c r="BJ35" s="100" t="str">
        <f>IFERROR(COUNTIFS('Base File'!$G:$G,"Contractual SLA",'Base File'!$H:$H,"No",'Base File'!$B:$B,'Account Summary'!$C35,'Base File'!$BR:$BR,"Met")/SUM(COUNTIFS('Base File'!$G:$G,"Contractual SLA",'Base File'!$H:$H,"No",'Base File'!$B:$B,'Account Summary'!$C35,'Base File'!$BR:$BR,"Met")+COUNTIFS('Base File'!$G:$G,"Contractual SLA",'Base File'!$H:$H,"No",'Base File'!$B:$B,'Account Summary'!$C35,'Base File'!$BR:$BR,"Not Met")),"-")</f>
        <v>-</v>
      </c>
      <c r="BK35" s="100" t="s">
        <v>11</v>
      </c>
      <c r="BL35" s="100" t="s">
        <v>11</v>
      </c>
      <c r="BM35" s="100" t="str">
        <f>IFERROR(COUNTIFS('Base File'!$G:$G,"Contractual SLA",'Base File'!$H:$H,"No",'Base File'!$B:$B,'Account Summary'!$C35,'Base File'!$BT:$BT,"Met")/SUM(COUNTIFS('Base File'!$G:$G,"Contractual SLA",'Base File'!$H:$H,"No",'Base File'!$B:$B,'Account Summary'!$C35,'Base File'!$BT:$BT,"Met")+COUNTIFS('Base File'!$G:$G,"Contractual SLA",'Base File'!$H:$H,"No",'Base File'!$B:$B,'Account Summary'!$C35,'Base File'!$BT:$BT,"Not Met")),"-")</f>
        <v>-</v>
      </c>
      <c r="BN35" s="100" t="str">
        <f>IFERROR(COUNTIFS('Base File'!$G:$G,"Contractual SLA",'Base File'!$H:$H,"Yes",'Base File'!$B:$B,'Account Summary'!$C35,'Base File'!$BT:$BT,"Met")/SUM(COUNTIFS('Base File'!$G:$G,"Contractual SLA",'Base File'!$H:$H,"yes",'Base File'!$B:$B,'Account Summary'!$C35,'Base File'!$BT:$BT,"Met")+COUNTIFS('Base File'!$G:$G,"Contractual SLA",'Base File'!$H:$H,"yes",'Base File'!$B:$B,'Account Summary'!$C35,'Base File'!$BT:$BT,"Not Met")),"-")</f>
        <v>-</v>
      </c>
      <c r="BO35" s="100" t="s">
        <v>11</v>
      </c>
      <c r="BP35" s="100" t="s">
        <v>11</v>
      </c>
      <c r="BQ35" s="100" t="str">
        <f>IFERROR(COUNTIFS('Base File'!$G:$G,"Internal KPI",'Base File'!$B:$B,'Account Summary'!$C35,'Base File'!$BV:$BV,"Met")/SUM(COUNTIFS('Base File'!$G:$G,"Internal KPI",'Base File'!$B:$B,'Account Summary'!$C35,'Base File'!$BV:$BV,"Met")+COUNTIFS('Base File'!$G:$G,"Internal KPI",'Base File'!$B:$B,'Account Summary'!$C35,'Base File'!$BV:$BV,"Not Met")),"-")</f>
        <v>-</v>
      </c>
      <c r="BR35" s="100" t="str">
        <f>IFERROR(COUNTIFS('Base File'!$G:$G,"Contractual SLA",'Base File'!$H:$H,"Yes",'Base File'!$B:$B,'Account Summary'!$C35,'Base File'!$BV:$BV,"Met")/SUM(COUNTIFS('Base File'!$G:$G,"Contractual SLA",'Base File'!$H:$H,"Yes",'Base File'!$B:$B,'Account Summary'!$C35,'Base File'!$BV:$BV,"Met")+COUNTIFS('Base File'!$G:$G,"Contractual SLA",'Base File'!$H:$H,"Yes",'Base File'!$B:$B,'Account Summary'!$C35,'Base File'!$BV:$BV,"Not Met")),"-")</f>
        <v>-</v>
      </c>
      <c r="BS35" s="100" t="s">
        <v>11</v>
      </c>
      <c r="BT35" s="12"/>
      <c r="BU35" s="12"/>
      <c r="BV35" s="12"/>
      <c r="BW35" s="12"/>
    </row>
    <row r="36" spans="1:75" x14ac:dyDescent="0.25">
      <c r="A36" s="389"/>
      <c r="B36" s="94">
        <v>33</v>
      </c>
      <c r="C36" s="94" t="s">
        <v>47</v>
      </c>
      <c r="D36" s="95" t="s">
        <v>108</v>
      </c>
      <c r="E36" s="95" t="s">
        <v>904</v>
      </c>
      <c r="F36" s="94" t="s">
        <v>900</v>
      </c>
      <c r="G36" s="96"/>
      <c r="H36" s="94"/>
      <c r="I36" s="94" t="s">
        <v>109</v>
      </c>
      <c r="J36" s="89" t="s">
        <v>61</v>
      </c>
      <c r="K36" s="89" t="s">
        <v>11</v>
      </c>
      <c r="L36" s="108">
        <f>IFERROR(COUNTIFS('Base File'!$AR:$AR,"Met",'Base File'!$B:$B,'Account Summary'!C36)/(COUNTIFS('Base File'!$AR:$AR,"Met",'Base File'!$B:$B,'Account Summary'!C36)+COUNTIFS('Base File'!$AR:$AR,"Not Met",'Base File'!$B:$B,'Account Summary'!C36)),"NR")</f>
        <v>0.33333333333333331</v>
      </c>
      <c r="M36" s="98" t="str">
        <f>IFERROR(COUNTIFS('Base File'!$G:$G,"Contractual SLA",'Base File'!$H:$H,"No",'Base File'!$B:$B,'Account Summary'!$C36,'Base File'!$AR:$AR,"Met")/SUM(COUNTIFS('Base File'!$G:$G,"Contractual SLA",'Base File'!$H:$H,"No",'Base File'!$B:$B,'Account Summary'!$C36,'Base File'!$AR:$AR,"Met")+COUNTIFS('Base File'!$G:$G,"Contractual SLA",'Base File'!$H:$H,"No",'Base File'!$B:$B,'Account Summary'!$C36,'Base File'!$AR:$AR,"Not Met")),"-")</f>
        <v>-</v>
      </c>
      <c r="N36" s="98" t="str">
        <f>IFERROR(COUNTIFS('Base File'!$G:$G,"Contractual SLA",'Base File'!$H:$H,"Yes",'Base File'!$B:$B,'Account Summary'!$C36,'Base File'!$AR:$AR,"Met")/SUM(COUNTIFS('Base File'!$G:$G,"Contractual SLA",'Base File'!$H:$H,"yes",'Base File'!$B:$B,'Account Summary'!$C36,'Base File'!$AR:$AR,"Met")+COUNTIFS('Base File'!$G:$G,"Contractual SLA",'Base File'!$H:$H,"yes",'Base File'!$B:$B,'Account Summary'!$C36,'Base File'!$AR:$AR,"Not Met")),"-")</f>
        <v>-</v>
      </c>
      <c r="O36" s="108">
        <f>IFERROR(COUNTIFS('Base File'!$G:$G,"Internal KPI",'Base File'!$B:$B,'Account Summary'!$C36,'Base File'!$AR:$AR,"Met")/SUM(COUNTIFS('Base File'!$G:$G,"Internal KPI",'Base File'!$B:$B,'Account Summary'!$C36,'Base File'!$AR:$AR,"Met")+COUNTIFS('Base File'!$G:$G,"Internal KPI",'Base File'!$B:$B,'Account Summary'!$C36,'Base File'!$AR:$AR,"Not Met")),"-")</f>
        <v>0.33333333333333331</v>
      </c>
      <c r="P36" s="110">
        <f>IFERROR(COUNTIFS('Base File'!$AV:$AV,"Met",'Base File'!$B:$B,'Account Summary'!C36)/(COUNTIFS('Base File'!$AV:$AV,"Met",'Base File'!$B:$B,'Account Summary'!C36)+COUNTIFS('Base File'!$AV:$AV,"Not Met",'Base File'!$B:$B,'Account Summary'!C36)),"NR")</f>
        <v>0</v>
      </c>
      <c r="Q36" s="98" t="str">
        <f>IFERROR(COUNTIFS('Base File'!$G:$G,"Contractual SLA",'Base File'!$H:$H,"No",'Base File'!$B:$B,'Account Summary'!$C36,'Base File'!$AV:$AV,"Met")/SUM(COUNTIFS('Base File'!$G:$G,"Contractual SLA",'Base File'!$H:$H,"No",'Base File'!$B:$B,'Account Summary'!$C36,'Base File'!$AV:$AV,"Met")+COUNTIFS('Base File'!$G:$G,"Contractual SLA",'Base File'!$H:$H,"No",'Base File'!$B:$B,'Account Summary'!$C36,'Base File'!$AV:$AV,"Not Met")),"-")</f>
        <v>-</v>
      </c>
      <c r="R36" s="103" t="str">
        <f>IFERROR(COUNTIFS('Base File'!$G:$G,"Contractual SLA",'Base File'!$H:$H,"Yes",'Base File'!$B:$B,'Account Summary'!$C36,'Base File'!$AV:$AV,"Met")/SUM(COUNTIFS('Base File'!$G:$G,"Contractual SLA",'Base File'!$H:$H,"yes",'Base File'!$B:$B,'Account Summary'!$C36,'Base File'!$AV:$AV,"Met")+COUNTIFS('Base File'!$G:$G,"Contractual SLA",'Base File'!$H:$H,"yes",'Base File'!$B:$B,'Account Summary'!$C36,'Base File'!$AV:$AV,"Not Met")),"-")</f>
        <v>-</v>
      </c>
      <c r="S36" s="110">
        <f>IFERROR(COUNTIFS('Base File'!$G:$G,"Internal KPI",'Base File'!$B:$B,'Account Summary'!$C36,'Base File'!$AV:$AV,"Met")/SUM(COUNTIFS('Base File'!$G:$G,"Internal KPI",'Base File'!$B:$B,'Account Summary'!$C36,'Base File'!$AV:$AV,"Met")+COUNTIFS('Base File'!$G:$G,"Internal KPI",'Base File'!$B:$B,'Account Summary'!$C36,'Base File'!$AV:$AV,"Not Met")),"-")</f>
        <v>0</v>
      </c>
      <c r="T36" s="110">
        <f>IFERROR(COUNTIFS('Base File'!$AX:$AX,"Met",'Base File'!$B:$B,'Account Summary'!C36)/(COUNTIFS('Base File'!$AX:$AX,"Met",'Base File'!$B:$B,'Account Summary'!C36)+COUNTIFS('Base File'!$AX:$AX,"Not Met",'Base File'!$B:$B,'Account Summary'!C36)),"NR")</f>
        <v>0.16666666666666666</v>
      </c>
      <c r="U36" s="101" t="s">
        <v>11</v>
      </c>
      <c r="V36" s="100" t="s">
        <v>11</v>
      </c>
      <c r="W36" s="110">
        <f>IFERROR(COUNTIFS('Base File'!$G:$G,"Internal KPI",'Base File'!$B:$B,'Account Summary'!$C36,'Base File'!$AX:$AX,"Met")/SUM(COUNTIFS('Base File'!$G:$G,"Internal KPI",'Base File'!$B:$B,'Account Summary'!$C36,'Base File'!$AX:$AX,"Met")+COUNTIFS('Base File'!$G:$G,"Internal KPI",'Base File'!$B:$B,'Account Summary'!$C36,'Base File'!$AX:$AX,"Not Met")),"-")</f>
        <v>0.16666666666666666</v>
      </c>
      <c r="X36" s="110">
        <f>IFERROR(COUNTIFS('Base File'!$AZ:$AZ,"Met",'Base File'!$B:$B,'Account Summary'!C36)/(COUNTIFS('Base File'!$AZ:$AZ,"Met",'Base File'!$B:$B,'Account Summary'!C36)+COUNTIFS('Base File'!$AZ:$AZ,"Not Met",'Base File'!$B:$B,'Account Summary'!C36)),"NR")</f>
        <v>0.16666666666666666</v>
      </c>
      <c r="Y36" s="101" t="str">
        <f>IFERROR(COUNTIFS('Base File'!$G:$G,"Contractual SLA",'Base File'!$H:$H,"No",'Base File'!$B:$B,'Account Summary'!$C36,'Base File'!$AZ:$AZ,"Met")/SUM(COUNTIFS('Base File'!$G:$G,"Contractual SLA",'Base File'!$H:$H,"No",'Base File'!$B:$B,'Account Summary'!$C36,'Base File'!$AZ:$AZ,"Met")+COUNTIFS('Base File'!$G:$G,"Contractual SLA",'Base File'!$H:$H,"No",'Base File'!$B:$B,'Account Summary'!$C36,'Base File'!$AZ:$AZ,"Not Met")),"-")</f>
        <v>-</v>
      </c>
      <c r="Z36" s="100" t="str">
        <f>IFERROR(COUNTIFS('Base File'!$G:$G,"Contractual SLA",'Base File'!$H:$H,"Yes",'Base File'!$B:$B,'Account Summary'!$C36,'Base File'!$AZ:$AZ,"Met")/SUM(COUNTIFS('Base File'!$G:$G,"Contractual SLA",'Base File'!$H:$H,"yes",'Base File'!$B:$B,'Account Summary'!$C36,'Base File'!$AZ:$AZ,"Met")+COUNTIFS('Base File'!$G:$G,"Contractual SLA",'Base File'!$H:$H,"yes",'Base File'!$B:$B,'Account Summary'!$C36,'Base File'!$AZ:$AZ,"Not Met")),"-")</f>
        <v>-</v>
      </c>
      <c r="AA36" s="110">
        <f>IFERROR(COUNTIFS('Base File'!$G:$G,"Internal KPI",'Base File'!$B:$B,'Account Summary'!$C36,'Base File'!$AZ:$AZ,"Met")/SUM(COUNTIFS('Base File'!$G:$G,"Internal KPI",'Base File'!$B:$B,'Account Summary'!$C36,'Base File'!$AZ:$AZ,"Met")+COUNTIFS('Base File'!$G:$G,"Internal KPI",'Base File'!$B:$B,'Account Summary'!$C36,'Base File'!$AZ:$AZ,"Not Met")),"-")</f>
        <v>0.16666666666666666</v>
      </c>
      <c r="AB36" s="110">
        <f>IFERROR(COUNTIFS('Base File'!$BB:$BB,"Met",'Base File'!$B:$B,'Account Summary'!C36)/(COUNTIFS('Base File'!$BB:$BB,"Met",'Base File'!$B:$B,'Account Summary'!C36)+COUNTIFS('Base File'!$BB:$BB,"Not Met",'Base File'!$B:$B,'Account Summary'!C36)),"NR")</f>
        <v>0.16666666666666666</v>
      </c>
      <c r="AC36" s="101" t="str">
        <f>IFERROR(COUNTIFS('Base File'!$G:$G,"Contractual SLA",'Base File'!$H:$H,"No",'Base File'!$B:$B,'Account Summary'!$C36,'Base File'!$BB:$BB,"Met")/SUM(COUNTIFS('Base File'!$G:$G,"Contractual SLA",'Base File'!$H:$H,"No",'Base File'!$B:$B,'Account Summary'!$C36,'Base File'!$BB:$BB,"Met")+COUNTIFS('Base File'!$G:$G,"Contractual SLA",'Base File'!$H:$H,"No",'Base File'!$B:$B,'Account Summary'!$C36,'Base File'!$BB:$BB,"Not Met")),"-")</f>
        <v>-</v>
      </c>
      <c r="AD36" s="100" t="str">
        <f>IFERROR(COUNTIFS('Base File'!$G:$G,"Contractual SLA",'Base File'!$H:$H,"Yes",'Base File'!$B:$B,'Account Summary'!$C36,'Base File'!$BB:$BB,"Met")/SUM(COUNTIFS('Base File'!$G:$G,"Contractual SLA",'Base File'!$H:$H,"yes",'Base File'!$B:$B,'Account Summary'!$C36,'Base File'!$BB:$BB,"Met")+COUNTIFS('Base File'!$G:$G,"Contractual SLA",'Base File'!$H:$H,"yes",'Base File'!$B:$B,'Account Summary'!$C36,'Base File'!$BB:$BB,"Not Met")),"-")</f>
        <v>-</v>
      </c>
      <c r="AE36" s="110">
        <f>IFERROR(COUNTIFS('Base File'!$G:$G,"Internal KPI",'Base File'!$B:$B,'Account Summary'!$C36,'Base File'!$BB:$BB,"Met")/SUM(COUNTIFS('Base File'!$G:$G,"Internal KPI",'Base File'!$B:$B,'Account Summary'!$C36,'Base File'!$BB:$BB,"Met")+COUNTIFS('Base File'!$G:$G,"Internal KPI",'Base File'!$B:$B,'Account Summary'!$C36,'Base File'!$BB:$BB,"Not Met")),"-")</f>
        <v>0.16666666666666666</v>
      </c>
      <c r="AF36" s="110">
        <f>IFERROR(COUNTIFS('Base File'!$BD:$BD,"Met",'Base File'!$B:$B,'Account Summary'!C36)/(COUNTIFS('Base File'!$BD:$BD,"Met",'Base File'!$B:$B,'Account Summary'!C36)+COUNTIFS('Base File'!$BD:$BD,"Not Met",'Base File'!$B:$B,'Account Summary'!C36)),"NR")</f>
        <v>0.33333333333333331</v>
      </c>
      <c r="AG36" s="100" t="str">
        <f>IFERROR(COUNTIFS('Base File'!$G:$G,"Contractual SLA",'Base File'!$H:$H,"No",'Base File'!$B:$B,'Account Summary'!$C36,'Base File'!$BD:$BD,"Met")/SUM(COUNTIFS('Base File'!$G:$G,"Contractual SLA",'Base File'!$H:$H,"No",'Base File'!$B:$B,'Account Summary'!$C36,'Base File'!$BD:$BD,"Met")+COUNTIFS('Base File'!$G:$G,"Contractual SLA",'Base File'!$H:$H,"No",'Base File'!$B:$B,'Account Summary'!$C36,'Base File'!$BD:$BD,"Not Met")),"-")</f>
        <v>-</v>
      </c>
      <c r="AH36" s="100" t="str">
        <f>IFERROR(COUNTIFS('Base File'!$G:$G,"Contractual SLA",'Base File'!$H:$H,"Yes",'Base File'!$B:$B,'Account Summary'!$C36,'Base File'!$BD:$BD,"Met")/SUM(COUNTIFS('Base File'!$G:$G,"Contractual SLA",'Base File'!$H:$H,"yes",'Base File'!$B:$B,'Account Summary'!$C36,'Base File'!$BD:$BD,"Met")+COUNTIFS('Base File'!$G:$G,"Contractual SLA",'Base File'!$H:$H,"yes",'Base File'!$B:$B,'Account Summary'!$C36,'Base File'!$BD:$BD,"Not Met")),"-")</f>
        <v>-</v>
      </c>
      <c r="AI36" s="110">
        <f>IFERROR(COUNTIFS('Base File'!$G:$G,"Internal KPI",'Base File'!$B:$B,'Account Summary'!$C36,'Base File'!$BD:$BD,"Met")/SUM(COUNTIFS('Base File'!$G:$G,"Internal KPI",'Base File'!$B:$B,'Account Summary'!$C36,'Base File'!$BD:$BD,"Met")+COUNTIFS('Base File'!$G:$G,"Internal KPI",'Base File'!$B:$B,'Account Summary'!$C36,'Base File'!$BD:$BD,"Not Met")),"-")</f>
        <v>0.33333333333333331</v>
      </c>
      <c r="AJ36" s="106">
        <f>IFERROR(COUNTIFS('Base File'!$BF:$BF,"Met",'Base File'!$B:$B,'Account Summary'!C36)/(COUNTIFS('Base File'!$BF:$BF,"Met",'Base File'!$B:$B,'Account Summary'!C36)+COUNTIFS('Base File'!$BF:$BF,"Not Met",'Base File'!$B:$B,'Account Summary'!C36)),"NR")</f>
        <v>0.5</v>
      </c>
      <c r="AK36" s="100" t="str">
        <f>IFERROR(COUNTIFS('Base File'!$G:$G,"Contractual SLA",'Base File'!$H:$H,"No",'Base File'!$B:$B,'Account Summary'!$C36,'Base File'!$BF:$BF,"Met")/SUM(COUNTIFS('Base File'!$G:$G,"Contractual SLA",'Base File'!$H:$H,"No",'Base File'!$B:$B,'Account Summary'!$C36,'Base File'!$BF:$BF,"Met")+COUNTIFS('Base File'!$G:$G,"Contractual SLA",'Base File'!$H:$H,"No",'Base File'!$B:$B,'Account Summary'!$C36,'Base File'!$BF:$BF,"Not Met")),"-")</f>
        <v>-</v>
      </c>
      <c r="AL36" s="100" t="str">
        <f>IFERROR(COUNTIFS('Base File'!$G:$G,"Contractual SLA",'Base File'!$H:$H,"Yes",'Base File'!$B:$B,'Account Summary'!$C36,'Base File'!$BF:$BF,"Met")/SUM(COUNTIFS('Base File'!$G:$G,"Contractual SLA",'Base File'!$H:$H,"yes",'Base File'!$B:$B,'Account Summary'!$C36,'Base File'!$BF:$BF,"Met")+COUNTIFS('Base File'!$G:$G,"Contractual SLA",'Base File'!$H:$H,"yes",'Base File'!$B:$B,'Account Summary'!$C36,'Base File'!$BF:$BF,"Not Met")),"-")</f>
        <v>-</v>
      </c>
      <c r="AM36" s="106">
        <f>IFERROR(COUNTIFS('Base File'!$G:$G,"Internal KPI",'Base File'!$B:$B,'Account Summary'!$C36,'Base File'!$BF:$BF,"Met")/SUM(COUNTIFS('Base File'!$G:$G,"Internal KPI",'Base File'!$B:$B,'Account Summary'!$C36,'Base File'!$BF:$BF,"Met")+COUNTIFS('Base File'!$G:$G,"Internal KPI",'Base File'!$B:$B,'Account Summary'!$C36,'Base File'!$BF:$BF,"Not Met")),"-")</f>
        <v>0.5</v>
      </c>
      <c r="AN36" s="106">
        <f>IFERROR(COUNTIFS('Base File'!$BH:$BH,"Met",'Base File'!$B:$B,'Account Summary'!C36)/(COUNTIFS('Base File'!$BH:$BH,"Met",'Base File'!$B:$B,'Account Summary'!C36)+COUNTIFS('Base File'!$BH:$BH,"Not Met",'Base File'!$B:$B,'Account Summary'!C36)),"NR")</f>
        <v>0.5</v>
      </c>
      <c r="AO36" s="100" t="str">
        <f>IFERROR(COUNTIFS('Base File'!$G:$G,"Contractual SLA",'Base File'!$H:$H,"No",'Base File'!$B:$B,'Account Summary'!$C36,'Base File'!$BH:$BH,"Met")/SUM(COUNTIFS('Base File'!$G:$G,"Contractual SLA",'Base File'!$H:$H,"No",'Base File'!$B:$B,'Account Summary'!$C36,'Base File'!$BH:$BH,"Met")+COUNTIFS('Base File'!$G:$G,"Contractual SLA",'Base File'!$H:$H,"No",'Base File'!$B:$B,'Account Summary'!$C36,'Base File'!$BH:$BH,"Not Met")),"-")</f>
        <v>-</v>
      </c>
      <c r="AP36" s="100" t="str">
        <f>IFERROR(COUNTIFS('Base File'!$G:$G,"Contractual SLA",'Base File'!$H:$H,"Yes",'Base File'!$B:$B,'Account Summary'!$C36,'Base File'!$BH:$BH,"Met")/SUM(COUNTIFS('Base File'!$G:$G,"Contractual SLA",'Base File'!$H:$H,"yes",'Base File'!$B:$B,'Account Summary'!$C36,'Base File'!$BH:$BH,"Met")+COUNTIFS('Base File'!$G:$G,"Contractual SLA",'Base File'!$H:$H,"yes",'Base File'!$B:$B,'Account Summary'!$C36,'Base File'!$BH:$BH,"Not Met")),"-")</f>
        <v>-</v>
      </c>
      <c r="AQ36" s="106">
        <f>IFERROR(COUNTIFS('Base File'!$G:$G,"Internal KPI",'Base File'!$B:$B,'Account Summary'!$C36,'Base File'!$BH:$BH,"Met")/SUM(COUNTIFS('Base File'!$G:$G,"Internal KPI",'Base File'!$B:$B,'Account Summary'!$C36,'Base File'!$BH:$BH,"Met")+COUNTIFS('Base File'!$G:$G,"Internal KPI",'Base File'!$B:$B,'Account Summary'!$C36,'Base File'!$BH:$BH,"Not Met")),"-")</f>
        <v>0.5</v>
      </c>
      <c r="AR36" s="100" t="str">
        <f>IFERROR(COUNTIFS('Base File'!$BJ:$BJ,"Met",'Base File'!$B:$B,'Account Summary'!C36)/(COUNTIFS('Base File'!$BJ:$BJ,"Met",'Base File'!$B:$B,'Account Summary'!C36)+COUNTIFS('Base File'!$BJ:$BJ,"Not Met",'Base File'!$B:$B,'Account Summary'!C36)),"NR")</f>
        <v>NR</v>
      </c>
      <c r="AS36" s="101" t="str">
        <f>IFERROR(COUNTIFS('Base File'!$G:$G,"Contractual SLA",'Base File'!$H:$H,"No",'Base File'!$B:$B,'Account Summary'!$C36,'Base File'!$BJ:$BJ,"Met")/SUM(COUNTIFS('Base File'!$G:$G,"Contractual SLA",'Base File'!$H:$H,"No",'Base File'!$B:$B,'Account Summary'!$C36,'Base File'!$BJ:$BJ,"Met")+COUNTIFS('Base File'!$G:$G,"Contractual SLA",'Base File'!$H:$H,"No",'Base File'!$B:$B,'Account Summary'!$C36,'Base File'!$BJ:$BJ,"Not Met")),"-")</f>
        <v>-</v>
      </c>
      <c r="AT36" s="100" t="str">
        <f>IFERROR(COUNTIFS('Base File'!$G:$G,"Contractual SLA",'Base File'!$H:$H,"Yes",'Base File'!$B:$B,'Account Summary'!$C36,'Base File'!$BJ:$BJ,"Met")/SUM(COUNTIFS('Base File'!$G:$G,"Contractual SLA",'Base File'!$H:$H,"yes",'Base File'!$B:$B,'Account Summary'!$C36,'Base File'!$BJ:$BJ,"Met")+COUNTIFS('Base File'!$G:$G,"Contractual SLA",'Base File'!$H:$H,"yes",'Base File'!$B:$B,'Account Summary'!$C36,'Base File'!$BJ:$BJ,"Not Met")),"-")</f>
        <v>-</v>
      </c>
      <c r="AU36" s="100" t="s">
        <v>103</v>
      </c>
      <c r="AV36" s="100">
        <f>IFERROR(COUNTIFS('Base File'!$BL:$BL,"Met",'Base File'!$B:$B,'Account Summary'!C36)/(COUNTIFS('Base File'!$BL:$BL,"Met",'Base File'!$B:$B,'Account Summary'!C36)+COUNTIFS('Base File'!$BL:$BL,"Not Met",'Base File'!$B:$B,'Account Summary'!C36)),"NR")</f>
        <v>0.16666666666666666</v>
      </c>
      <c r="AW36" s="100" t="str">
        <f>IFERROR(COUNTIFS('Base File'!$G:$G,"Contractual SLA",'Base File'!$H:$H,"No",'Base File'!$B:$B,'Account Summary'!$C36,'Base File'!$BL:$BL,"Met")/SUM(COUNTIFS('Base File'!$G:$G,"Contractual SLA",'Base File'!$H:$H,"No",'Base File'!$B:$B,'Account Summary'!$C36,'Base File'!$BL:$BL,"Met")+COUNTIFS('Base File'!$G:$G,"Contractual SLA",'Base File'!$H:$H,"No",'Base File'!$B:$B,'Account Summary'!$C36,'Base File'!$BL:$BL,"Not Met")),"-")</f>
        <v>-</v>
      </c>
      <c r="AX36" s="100" t="str">
        <f>IFERROR(COUNTIFS('Base File'!$G:$G,"Contractual SLA",'Base File'!$H:$H,"Yes",'Base File'!$B:$B,'Account Summary'!$C36,'Base File'!$BL:$BL,"Met")/SUM(COUNTIFS('Base File'!$G:$G,"Contractual SLA",'Base File'!$H:$H,"yes",'Base File'!$B:$B,'Account Summary'!$C36,'Base File'!$BL:$BL,"Met")+COUNTIFS('Base File'!$G:$G,"Contractual SLA",'Base File'!$H:$H,"yes",'Base File'!$B:$B,'Account Summary'!$C36,'Base File'!$BL:$BL,"Not Met")),"-")</f>
        <v>-</v>
      </c>
      <c r="AY36" s="100">
        <f>IFERROR(COUNTIFS('Base File'!$G:$G,"Internal KPI",'Base File'!$B:$B,'Account Summary'!$C36,'Base File'!$BL:$BL,"Met")/SUM(COUNTIFS('Base File'!$G:$G,"Internal KPI",'Base File'!$B:$B,'Account Summary'!$C36,'Base File'!$BL:$BL,"Met")+COUNTIFS('Base File'!$G:$G,"Internal KPI",'Base File'!$B:$B,'Account Summary'!$C36,'Base File'!$BL:$BL,"Not Met")),"-")</f>
        <v>0.16666666666666666</v>
      </c>
      <c r="AZ36" s="100" t="s">
        <v>103</v>
      </c>
      <c r="BA36" s="100" t="s">
        <v>107</v>
      </c>
      <c r="BB36" s="100" t="s">
        <v>107</v>
      </c>
      <c r="BC36" s="100" t="s">
        <v>103</v>
      </c>
      <c r="BD36" s="110">
        <f>IFERROR(COUNTIFS('Base File'!$BP:$BP,"Met",'Base File'!$B:$B,'Account Summary'!C36)/(COUNTIFS('Base File'!$BP:$BP,"Met",'Base File'!$B:$B,'Account Summary'!C36)+COUNTIFS('Base File'!$BP:$BP,"Not Met",'Base File'!$B:$B,'Account Summary'!C36)),"NR")</f>
        <v>0.16666666666666666</v>
      </c>
      <c r="BE36" s="100" t="str">
        <f>IFERROR(COUNTIFS('Base File'!$G:$G,"Contractual SLA",'Base File'!$H:$H,"No",'Base File'!$B:$B,'Account Summary'!$C36,'Base File'!$BP:$BP,"Met")/SUM(COUNTIFS('Base File'!$G:$G,"Contractual SLA",'Base File'!$H:$H,"No",'Base File'!$B:$B,'Account Summary'!$C36,'Base File'!$BP:$BP,"Met")+COUNTIFS('Base File'!$G:$G,"Contractual SLA",'Base File'!$H:$H,"No",'Base File'!$B:$B,'Account Summary'!$C36,'Base File'!$BP:$BP,"Not Met")),"-")</f>
        <v>-</v>
      </c>
      <c r="BF36" s="100" t="str">
        <f>IFERROR(COUNTIFS('Base File'!$G:$G,"Contractual SLA",'Base File'!$H:$H,"Yes",'Base File'!$B:$B,'Account Summary'!$C36,'Base File'!$BP:$BP,"Met")/SUM(COUNTIFS('Base File'!$G:$G,"Contractual SLA",'Base File'!$H:$H,"yes",'Base File'!$B:$B,'Account Summary'!$C36,'Base File'!$BP:$BP,"Met")+COUNTIFS('Base File'!$G:$G,"Contractual SLA",'Base File'!$H:$H,"yes",'Base File'!$B:$B,'Account Summary'!$C36,'Base File'!$BP:$BP,"Not Met")),"-")</f>
        <v>-</v>
      </c>
      <c r="BG36" s="110">
        <f>IFERROR(COUNTIFS('Base File'!$G:$G,"Internal KPI",'Base File'!$B:$B,'Account Summary'!$C36,'Base File'!$BP:$BP,"Met")/SUM(COUNTIFS('Base File'!$G:$G,"Internal KPI",'Base File'!$B:$B,'Account Summary'!$C36,'Base File'!$BP:$BP,"Met")+COUNTIFS('Base File'!$G:$G,"Internal KPI",'Base File'!$B:$B,'Account Summary'!$C36,'Base File'!$BP:$BP,"Not Met")),"-")</f>
        <v>0.16666666666666666</v>
      </c>
      <c r="BH36" s="100" t="str">
        <f>IFERROR(COUNTIFS('Base File'!$BR:$BR,"Met",'Base File'!$B:$B,'Account Summary'!C36)/(COUNTIFS('Base File'!$BR:$BR,"Met",'Base File'!$B:$B,'Account Summary'!C36)+COUNTIFS('Base File'!$BR:$BR,"Not Met",'Base File'!$B:$B,'Account Summary'!C36)),"NR")</f>
        <v>NR</v>
      </c>
      <c r="BI36" s="101" t="str">
        <f>IFERROR(COUNTIFS('Base File'!$G:$G,"Contractual SLA",'Base File'!$H:$H,"No",'Base File'!$B:$B,'Account Summary'!$C36,'Base File'!$BR:$BR,"Met")/SUM(COUNTIFS('Base File'!$G:$G,"Contractual SLA",'Base File'!$H:$H,"No",'Base File'!$B:$B,'Account Summary'!$C36,'Base File'!$BR:$BR,"Met")+COUNTIFS('Base File'!$G:$G,"Contractual SLA",'Base File'!$H:$H,"No",'Base File'!$B:$B,'Account Summary'!$C36,'Base File'!$BR:$BR,"Not Met")),"-")</f>
        <v>-</v>
      </c>
      <c r="BJ36" s="100" t="str">
        <f>IFERROR(COUNTIFS('Base File'!$G:$G,"Contractual SLA",'Base File'!$H:$H,"No",'Base File'!$B:$B,'Account Summary'!$C36,'Base File'!$BR:$BR,"Met")/SUM(COUNTIFS('Base File'!$G:$G,"Contractual SLA",'Base File'!$H:$H,"No",'Base File'!$B:$B,'Account Summary'!$C36,'Base File'!$BR:$BR,"Met")+COUNTIFS('Base File'!$G:$G,"Contractual SLA",'Base File'!$H:$H,"No",'Base File'!$B:$B,'Account Summary'!$C36,'Base File'!$BR:$BR,"Not Met")),"-")</f>
        <v>-</v>
      </c>
      <c r="BK36" s="100" t="s">
        <v>103</v>
      </c>
      <c r="BL36" s="100" t="str">
        <f>IFERROR(COUNTIFS('Base File'!$BT:$BT,"Met",'Base File'!$B:$B,'Account Summary'!C36)/(COUNTIFS('Base File'!$BT:$BT,"Met",'Base File'!$B:$B,'Account Summary'!C36)+COUNTIFS('Base File'!$BT:$BT,"Not Met",'Base File'!$B:$B,'Account Summary'!C36)),"NR")</f>
        <v>NR</v>
      </c>
      <c r="BM36" s="100" t="str">
        <f>IFERROR(COUNTIFS('Base File'!$G:$G,"Contractual SLA",'Base File'!$H:$H,"No",'Base File'!$B:$B,'Account Summary'!$C36,'Base File'!$BT:$BT,"Met")/SUM(COUNTIFS('Base File'!$G:$G,"Contractual SLA",'Base File'!$H:$H,"No",'Base File'!$B:$B,'Account Summary'!$C36,'Base File'!$BT:$BT,"Met")+COUNTIFS('Base File'!$G:$G,"Contractual SLA",'Base File'!$H:$H,"No",'Base File'!$B:$B,'Account Summary'!$C36,'Base File'!$BT:$BT,"Not Met")),"-")</f>
        <v>-</v>
      </c>
      <c r="BN36" s="100" t="str">
        <f>IFERROR(COUNTIFS('Base File'!$G:$G,"Contractual SLA",'Base File'!$H:$H,"Yes",'Base File'!$B:$B,'Account Summary'!$C36,'Base File'!$BT:$BT,"Met")/SUM(COUNTIFS('Base File'!$G:$G,"Contractual SLA",'Base File'!$H:$H,"yes",'Base File'!$B:$B,'Account Summary'!$C36,'Base File'!$BT:$BT,"Met")+COUNTIFS('Base File'!$G:$G,"Contractual SLA",'Base File'!$H:$H,"yes",'Base File'!$B:$B,'Account Summary'!$C36,'Base File'!$BT:$BT,"Not Met")),"-")</f>
        <v>-</v>
      </c>
      <c r="BO36" s="100" t="s">
        <v>103</v>
      </c>
      <c r="BP36" s="100" t="str">
        <f>IFERROR(COUNTIFS('Base File'!$BV:$BV,"Met",'Base File'!$B:$B,'Account Summary'!C36)/(COUNTIFS('Base File'!$BV:$BV,"Met",'Base File'!$B:$B,'Account Summary'!C36)+COUNTIFS('Base File'!$BV:$BV,"Not Met",'Base File'!$B:$B,'Account Summary'!C36)),"NR")</f>
        <v>NR</v>
      </c>
      <c r="BQ36" s="100" t="str">
        <f>IFERROR(COUNTIFS('Base File'!$G:$G,"Internal KPI",'Base File'!$B:$B,'Account Summary'!$C36,'Base File'!$BV:$BV,"Met")/SUM(COUNTIFS('Base File'!$G:$G,"Internal KPI",'Base File'!$B:$B,'Account Summary'!$C36,'Base File'!$BV:$BV,"Met")+COUNTIFS('Base File'!$G:$G,"Internal KPI",'Base File'!$B:$B,'Account Summary'!$C36,'Base File'!$BV:$BV,"Not Met")),"-")</f>
        <v>-</v>
      </c>
      <c r="BR36" s="100" t="str">
        <f>IFERROR(COUNTIFS('Base File'!$G:$G,"Contractual SLA",'Base File'!$H:$H,"Yes",'Base File'!$B:$B,'Account Summary'!$C36,'Base File'!$BV:$BV,"Met")/SUM(COUNTIFS('Base File'!$G:$G,"Contractual SLA",'Base File'!$H:$H,"Yes",'Base File'!$B:$B,'Account Summary'!$C36,'Base File'!$BV:$BV,"Met")+COUNTIFS('Base File'!$G:$G,"Contractual SLA",'Base File'!$H:$H,"Yes",'Base File'!$B:$B,'Account Summary'!$C36,'Base File'!$BV:$BV,"Not Met")),"-")</f>
        <v>-</v>
      </c>
      <c r="BS36" s="100" t="s">
        <v>103</v>
      </c>
      <c r="BT36" s="12"/>
      <c r="BU36" s="12"/>
      <c r="BV36" s="12"/>
      <c r="BW36" s="12"/>
    </row>
    <row r="37" spans="1:75" x14ac:dyDescent="0.25">
      <c r="A37" s="389"/>
      <c r="B37" s="94">
        <v>34</v>
      </c>
      <c r="C37" s="94" t="s">
        <v>48</v>
      </c>
      <c r="D37" s="95" t="s">
        <v>106</v>
      </c>
      <c r="E37" s="95" t="s">
        <v>106</v>
      </c>
      <c r="F37" s="94" t="s">
        <v>894</v>
      </c>
      <c r="G37" s="89"/>
      <c r="H37" s="89"/>
      <c r="I37" s="94" t="s">
        <v>920</v>
      </c>
      <c r="J37" s="89" t="s">
        <v>67</v>
      </c>
      <c r="K37" s="89" t="s">
        <v>68</v>
      </c>
      <c r="L37" s="98" t="str">
        <f>IFERROR(COUNTIFS('Base File'!$AR:$AR,"Met",'Base File'!$B:$B,'Account Summary'!C37)/(COUNTIFS('Base File'!$AR:$AR,"Met",'Base File'!$B:$B,'Account Summary'!C37)+COUNTIFS('Base File'!$AR:$AR,"Not Met",'Base File'!$B:$B,'Account Summary'!C37)),"NR")</f>
        <v>NR</v>
      </c>
      <c r="M37" s="98" t="str">
        <f>IFERROR(COUNTIFS('Base File'!$G:$G,"Contractual SLA",'Base File'!$H:$H,"No",'Base File'!$B:$B,'Account Summary'!$C37,'Base File'!$AR:$AR,"Met")/SUM(COUNTIFS('Base File'!$G:$G,"Contractual SLA",'Base File'!$H:$H,"No",'Base File'!$B:$B,'Account Summary'!$C37,'Base File'!$AR:$AR,"Met")+COUNTIFS('Base File'!$G:$G,"Contractual SLA",'Base File'!$H:$H,"No",'Base File'!$B:$B,'Account Summary'!$C37,'Base File'!$AR:$AR,"Not Met")),"-")</f>
        <v>-</v>
      </c>
      <c r="N37" s="98" t="str">
        <f>IFERROR(COUNTIFS('Base File'!$G:$G,"Contractual SLA",'Base File'!$H:$H,"Yes",'Base File'!$B:$B,'Account Summary'!$C37,'Base File'!$AR:$AR,"Met")/SUM(COUNTIFS('Base File'!$G:$G,"Contractual SLA",'Base File'!$H:$H,"yes",'Base File'!$B:$B,'Account Summary'!$C37,'Base File'!$AR:$AR,"Met")+COUNTIFS('Base File'!$G:$G,"Contractual SLA",'Base File'!$H:$H,"yes",'Base File'!$B:$B,'Account Summary'!$C37,'Base File'!$AR:$AR,"Not Met")),"-")</f>
        <v>-</v>
      </c>
      <c r="O37" s="98" t="s">
        <v>103</v>
      </c>
      <c r="P37" s="98" t="str">
        <f>IFERROR(COUNTIFS('Base File'!$AV:$AV,"Met",'Base File'!$B:$B,'Account Summary'!C37)/(COUNTIFS('Base File'!$AV:$AV,"Met",'Base File'!$B:$B,'Account Summary'!C37)+COUNTIFS('Base File'!$AV:$AV,"Not Met",'Base File'!$B:$B,'Account Summary'!C37)),"NR")</f>
        <v>NR</v>
      </c>
      <c r="Q37" s="98" t="str">
        <f>IFERROR(COUNTIFS('Base File'!$G:$G,"Contractual SLA",'Base File'!$H:$H,"No",'Base File'!$B:$B,'Account Summary'!$C37,'Base File'!$AV:$AV,"Met")/SUM(COUNTIFS('Base File'!$G:$G,"Contractual SLA",'Base File'!$H:$H,"No",'Base File'!$B:$B,'Account Summary'!$C37,'Base File'!$AV:$AV,"Met")+COUNTIFS('Base File'!$G:$G,"Contractual SLA",'Base File'!$H:$H,"No",'Base File'!$B:$B,'Account Summary'!$C37,'Base File'!$AV:$AV,"Not Met")),"-")</f>
        <v>-</v>
      </c>
      <c r="R37" s="103" t="str">
        <f>IFERROR(COUNTIFS('Base File'!$G:$G,"Contractual SLA",'Base File'!$H:$H,"Yes",'Base File'!$B:$B,'Account Summary'!$C37,'Base File'!$AV:$AV,"Met")/SUM(COUNTIFS('Base File'!$G:$G,"Contractual SLA",'Base File'!$H:$H,"yes",'Base File'!$B:$B,'Account Summary'!$C37,'Base File'!$AV:$AV,"Met")+COUNTIFS('Base File'!$G:$G,"Contractual SLA",'Base File'!$H:$H,"yes",'Base File'!$B:$B,'Account Summary'!$C37,'Base File'!$AV:$AV,"Not Met")),"-")</f>
        <v>-</v>
      </c>
      <c r="S37" s="98" t="str">
        <f>IFERROR(COUNTIFS('Base File'!$AV:$AV,"Met",'Base File'!$B:$B,'Account Summary'!G37)/(COUNTIFS('Base File'!$AV:$AV,"Met",'Base File'!$B:$B,'Account Summary'!G37)+COUNTIFS('Base File'!$AV:$AV,"Not Met",'Base File'!$B:$B,'Account Summary'!G37)),"NR")</f>
        <v>NR</v>
      </c>
      <c r="T37" s="110">
        <f>IFERROR(COUNTIFS('Base File'!$AX:$AX,"Met",'Base File'!$B:$B,'Account Summary'!C37)/(COUNTIFS('Base File'!$AX:$AX,"Met",'Base File'!$B:$B,'Account Summary'!C37)+COUNTIFS('Base File'!$AX:$AX,"Not Met",'Base File'!$B:$B,'Account Summary'!C37)),"NR")</f>
        <v>0.42857142857142855</v>
      </c>
      <c r="U37" s="101" t="s">
        <v>11</v>
      </c>
      <c r="V37" s="100" t="s">
        <v>11</v>
      </c>
      <c r="W37" s="110">
        <f>IFERROR(COUNTIFS('Base File'!$G:$G,"Internal KPI",'Base File'!$B:$B,'Account Summary'!$C37,'Base File'!$AX:$AX,"Met")/SUM(COUNTIFS('Base File'!$G:$G,"Internal KPI",'Base File'!$B:$B,'Account Summary'!$C37,'Base File'!$AX:$AX,"Met")+COUNTIFS('Base File'!$G:$G,"Internal KPI",'Base File'!$B:$B,'Account Summary'!$C37,'Base File'!$AX:$AX,"Not Met")),"-")</f>
        <v>0.42857142857142855</v>
      </c>
      <c r="X37" s="106">
        <f>IFERROR(COUNTIFS('Base File'!$AZ:$AZ,"Met",'Base File'!$B:$B,'Account Summary'!C37)/(COUNTIFS('Base File'!$AZ:$AZ,"Met",'Base File'!$B:$B,'Account Summary'!C37)+COUNTIFS('Base File'!$AZ:$AZ,"Not Met",'Base File'!$B:$B,'Account Summary'!C37)),"NR")</f>
        <v>0.6</v>
      </c>
      <c r="Y37" s="101" t="str">
        <f>IFERROR(COUNTIFS('Base File'!$G:$G,"Contractual SLA",'Base File'!$H:$H,"No",'Base File'!$B:$B,'Account Summary'!$C37,'Base File'!$AZ:$AZ,"Met")/SUM(COUNTIFS('Base File'!$G:$G,"Contractual SLA",'Base File'!$H:$H,"No",'Base File'!$B:$B,'Account Summary'!$C37,'Base File'!$AZ:$AZ,"Met")+COUNTIFS('Base File'!$G:$G,"Contractual SLA",'Base File'!$H:$H,"No",'Base File'!$B:$B,'Account Summary'!$C37,'Base File'!$AZ:$AZ,"Not Met")),"-")</f>
        <v>-</v>
      </c>
      <c r="Z37" s="100" t="str">
        <f>IFERROR(COUNTIFS('Base File'!$G:$G,"Contractual SLA",'Base File'!$H:$H,"Yes",'Base File'!$B:$B,'Account Summary'!$C37,'Base File'!$AZ:$AZ,"Met")/SUM(COUNTIFS('Base File'!$G:$G,"Contractual SLA",'Base File'!$H:$H,"yes",'Base File'!$B:$B,'Account Summary'!$C37,'Base File'!$AZ:$AZ,"Met")+COUNTIFS('Base File'!$G:$G,"Contractual SLA",'Base File'!$H:$H,"yes",'Base File'!$B:$B,'Account Summary'!$C37,'Base File'!$AZ:$AZ,"Not Met")),"-")</f>
        <v>-</v>
      </c>
      <c r="AA37" s="106">
        <f>IFERROR(COUNTIFS('Base File'!$G:$G,"Internal KPI",'Base File'!$B:$B,'Account Summary'!$C37,'Base File'!$AZ:$AZ,"Met")/SUM(COUNTIFS('Base File'!$G:$G,"Internal KPI",'Base File'!$B:$B,'Account Summary'!$C37,'Base File'!$AZ:$AZ,"Met")+COUNTIFS('Base File'!$G:$G,"Internal KPI",'Base File'!$B:$B,'Account Summary'!$C37,'Base File'!$AZ:$AZ,"Not Met")),"-")</f>
        <v>0.6</v>
      </c>
      <c r="AB37" s="106">
        <f>IFERROR(COUNTIFS('Base File'!$BB:$BB,"Met",'Base File'!$B:$B,'Account Summary'!C37)/(COUNTIFS('Base File'!$BB:$BB,"Met",'Base File'!$B:$B,'Account Summary'!C37)+COUNTIFS('Base File'!$BB:$BB,"Not Met",'Base File'!$B:$B,'Account Summary'!C37)),"NR")</f>
        <v>0.6</v>
      </c>
      <c r="AC37" s="101" t="str">
        <f>IFERROR(COUNTIFS('Base File'!$G:$G,"Contractual SLA",'Base File'!$H:$H,"No",'Base File'!$B:$B,'Account Summary'!$C37,'Base File'!$BB:$BB,"Met")/SUM(COUNTIFS('Base File'!$G:$G,"Contractual SLA",'Base File'!$H:$H,"No",'Base File'!$B:$B,'Account Summary'!$C37,'Base File'!$BB:$BB,"Met")+COUNTIFS('Base File'!$G:$G,"Contractual SLA",'Base File'!$H:$H,"No",'Base File'!$B:$B,'Account Summary'!$C37,'Base File'!$BB:$BB,"Not Met")),"-")</f>
        <v>-</v>
      </c>
      <c r="AD37" s="100" t="str">
        <f>IFERROR(COUNTIFS('Base File'!$G:$G,"Contractual SLA",'Base File'!$H:$H,"Yes",'Base File'!$B:$B,'Account Summary'!$C37,'Base File'!$BB:$BB,"Met")/SUM(COUNTIFS('Base File'!$G:$G,"Contractual SLA",'Base File'!$H:$H,"yes",'Base File'!$B:$B,'Account Summary'!$C37,'Base File'!$BB:$BB,"Met")+COUNTIFS('Base File'!$G:$G,"Contractual SLA",'Base File'!$H:$H,"yes",'Base File'!$B:$B,'Account Summary'!$C37,'Base File'!$BB:$BB,"Not Met")),"-")</f>
        <v>-</v>
      </c>
      <c r="AE37" s="106">
        <f>IFERROR(COUNTIFS('Base File'!$G:$G,"Internal KPI",'Base File'!$B:$B,'Account Summary'!$C37,'Base File'!$BB:$BB,"Met")/SUM(COUNTIFS('Base File'!$G:$G,"Internal KPI",'Base File'!$B:$B,'Account Summary'!$C37,'Base File'!$BB:$BB,"Met")+COUNTIFS('Base File'!$G:$G,"Internal KPI",'Base File'!$B:$B,'Account Summary'!$C37,'Base File'!$BB:$BB,"Not Met")),"-")</f>
        <v>0.6</v>
      </c>
      <c r="AF37" s="110">
        <f>IFERROR(COUNTIFS('Base File'!$BD:$BD,"Met",'Base File'!$B:$B,'Account Summary'!C37)/(COUNTIFS('Base File'!$BD:$BD,"Met",'Base File'!$B:$B,'Account Summary'!C37)+COUNTIFS('Base File'!$BD:$BD,"Not Met",'Base File'!$B:$B,'Account Summary'!C37)),"NR")</f>
        <v>0.42857142857142855</v>
      </c>
      <c r="AG37" s="100" t="str">
        <f>IFERROR(COUNTIFS('Base File'!$G:$G,"Contractual SLA",'Base File'!$H:$H,"No",'Base File'!$B:$B,'Account Summary'!$C37,'Base File'!$BD:$BD,"Met")/SUM(COUNTIFS('Base File'!$G:$G,"Contractual SLA",'Base File'!$H:$H,"No",'Base File'!$B:$B,'Account Summary'!$C37,'Base File'!$BD:$BD,"Met")+COUNTIFS('Base File'!$G:$G,"Contractual SLA",'Base File'!$H:$H,"No",'Base File'!$B:$B,'Account Summary'!$C37,'Base File'!$BD:$BD,"Not Met")),"-")</f>
        <v>-</v>
      </c>
      <c r="AH37" s="100" t="str">
        <f>IFERROR(COUNTIFS('Base File'!$G:$G,"Contractual SLA",'Base File'!$H:$H,"Yes",'Base File'!$B:$B,'Account Summary'!$C37,'Base File'!$BD:$BD,"Met")/SUM(COUNTIFS('Base File'!$G:$G,"Contractual SLA",'Base File'!$H:$H,"yes",'Base File'!$B:$B,'Account Summary'!$C37,'Base File'!$BD:$BD,"Met")+COUNTIFS('Base File'!$G:$G,"Contractual SLA",'Base File'!$H:$H,"yes",'Base File'!$B:$B,'Account Summary'!$C37,'Base File'!$BD:$BD,"Not Met")),"-")</f>
        <v>-</v>
      </c>
      <c r="AI37" s="110">
        <f>IFERROR(COUNTIFS('Base File'!$G:$G,"Internal KPI",'Base File'!$B:$B,'Account Summary'!$C37,'Base File'!$BD:$BD,"Met")/SUM(COUNTIFS('Base File'!$G:$G,"Internal KPI",'Base File'!$B:$B,'Account Summary'!$C37,'Base File'!$BD:$BD,"Met")+COUNTIFS('Base File'!$G:$G,"Internal KPI",'Base File'!$B:$B,'Account Summary'!$C37,'Base File'!$BD:$BD,"Not Met")),"-")</f>
        <v>0.42857142857142855</v>
      </c>
      <c r="AJ37" s="110">
        <f>IFERROR(COUNTIFS('Base File'!$BF:$BF,"Met",'Base File'!$B:$B,'Account Summary'!C37)/(COUNTIFS('Base File'!$BF:$BF,"Met",'Base File'!$B:$B,'Account Summary'!C37)+COUNTIFS('Base File'!$BF:$BF,"Not Met",'Base File'!$B:$B,'Account Summary'!C37)),"NR")</f>
        <v>0.25</v>
      </c>
      <c r="AK37" s="100" t="str">
        <f>IFERROR(COUNTIFS('Base File'!$G:$G,"Contractual SLA",'Base File'!$H:$H,"No",'Base File'!$B:$B,'Account Summary'!$C37,'Base File'!$BF:$BF,"Met")/SUM(COUNTIFS('Base File'!$G:$G,"Contractual SLA",'Base File'!$H:$H,"No",'Base File'!$B:$B,'Account Summary'!$C37,'Base File'!$BF:$BF,"Met")+COUNTIFS('Base File'!$G:$G,"Contractual SLA",'Base File'!$H:$H,"No",'Base File'!$B:$B,'Account Summary'!$C37,'Base File'!$BF:$BF,"Not Met")),"-")</f>
        <v>-</v>
      </c>
      <c r="AL37" s="100" t="str">
        <f>IFERROR(COUNTIFS('Base File'!$G:$G,"Contractual SLA",'Base File'!$H:$H,"Yes",'Base File'!$B:$B,'Account Summary'!$C37,'Base File'!$BF:$BF,"Met")/SUM(COUNTIFS('Base File'!$G:$G,"Contractual SLA",'Base File'!$H:$H,"yes",'Base File'!$B:$B,'Account Summary'!$C37,'Base File'!$BF:$BF,"Met")+COUNTIFS('Base File'!$G:$G,"Contractual SLA",'Base File'!$H:$H,"yes",'Base File'!$B:$B,'Account Summary'!$C37,'Base File'!$BF:$BF,"Not Met")),"-")</f>
        <v>-</v>
      </c>
      <c r="AM37" s="110">
        <f>IFERROR(COUNTIFS('Base File'!$G:$G,"Internal KPI",'Base File'!$B:$B,'Account Summary'!$C37,'Base File'!$BF:$BF,"Met")/SUM(COUNTIFS('Base File'!$G:$G,"Internal KPI",'Base File'!$B:$B,'Account Summary'!$C37,'Base File'!$BF:$BF,"Met")+COUNTIFS('Base File'!$G:$G,"Internal KPI",'Base File'!$B:$B,'Account Summary'!$C37,'Base File'!$BF:$BF,"Not Met")),"-")</f>
        <v>0.25</v>
      </c>
      <c r="AN37" s="110">
        <f>IFERROR(COUNTIFS('Base File'!$BH:$BH,"Met",'Base File'!$B:$B,'Account Summary'!C37)/(COUNTIFS('Base File'!$BH:$BH,"Met",'Base File'!$B:$B,'Account Summary'!C37)+COUNTIFS('Base File'!$BH:$BH,"Not Met",'Base File'!$B:$B,'Account Summary'!C37)),"NR")</f>
        <v>0.25</v>
      </c>
      <c r="AO37" s="100" t="str">
        <f>IFERROR(COUNTIFS('Base File'!$G:$G,"Contractual SLA",'Base File'!$H:$H,"No",'Base File'!$B:$B,'Account Summary'!$C37,'Base File'!$BH:$BH,"Met")/SUM(COUNTIFS('Base File'!$G:$G,"Contractual SLA",'Base File'!$H:$H,"No",'Base File'!$B:$B,'Account Summary'!$C37,'Base File'!$BH:$BH,"Met")+COUNTIFS('Base File'!$G:$G,"Contractual SLA",'Base File'!$H:$H,"No",'Base File'!$B:$B,'Account Summary'!$C37,'Base File'!$BH:$BH,"Not Met")),"-")</f>
        <v>-</v>
      </c>
      <c r="AP37" s="100" t="str">
        <f>IFERROR(COUNTIFS('Base File'!$G:$G,"Contractual SLA",'Base File'!$H:$H,"Yes",'Base File'!$B:$B,'Account Summary'!$C37,'Base File'!$BH:$BH,"Met")/SUM(COUNTIFS('Base File'!$G:$G,"Contractual SLA",'Base File'!$H:$H,"yes",'Base File'!$B:$B,'Account Summary'!$C37,'Base File'!$BH:$BH,"Met")+COUNTIFS('Base File'!$G:$G,"Contractual SLA",'Base File'!$H:$H,"yes",'Base File'!$B:$B,'Account Summary'!$C37,'Base File'!$BH:$BH,"Not Met")),"-")</f>
        <v>-</v>
      </c>
      <c r="AQ37" s="110">
        <f>IFERROR(COUNTIFS('Base File'!$G:$G,"Internal KPI",'Base File'!$B:$B,'Account Summary'!$C37,'Base File'!$BH:$BH,"Met")/SUM(COUNTIFS('Base File'!$G:$G,"Internal KPI",'Base File'!$B:$B,'Account Summary'!$C37,'Base File'!$BH:$BH,"Met")+COUNTIFS('Base File'!$G:$G,"Internal KPI",'Base File'!$B:$B,'Account Summary'!$C37,'Base File'!$BH:$BH,"Not Met")),"-")</f>
        <v>0.25</v>
      </c>
      <c r="AR37" s="100" t="str">
        <f>IFERROR(COUNTIFS('Base File'!$BJ:$BJ,"Met",'Base File'!$B:$B,'Account Summary'!C37)/(COUNTIFS('Base File'!$BJ:$BJ,"Met",'Base File'!$B:$B,'Account Summary'!C37)+COUNTIFS('Base File'!$BJ:$BJ,"Not Met",'Base File'!$B:$B,'Account Summary'!C37)),"NR")</f>
        <v>NR</v>
      </c>
      <c r="AS37" s="101" t="str">
        <f>IFERROR(COUNTIFS('Base File'!$G:$G,"Contractual SLA",'Base File'!$H:$H,"No",'Base File'!$B:$B,'Account Summary'!$C37,'Base File'!$BJ:$BJ,"Met")/SUM(COUNTIFS('Base File'!$G:$G,"Contractual SLA",'Base File'!$H:$H,"No",'Base File'!$B:$B,'Account Summary'!$C37,'Base File'!$BJ:$BJ,"Met")+COUNTIFS('Base File'!$G:$G,"Contractual SLA",'Base File'!$H:$H,"No",'Base File'!$B:$B,'Account Summary'!$C37,'Base File'!$BJ:$BJ,"Not Met")),"-")</f>
        <v>-</v>
      </c>
      <c r="AT37" s="100" t="str">
        <f>IFERROR(COUNTIFS('Base File'!$G:$G,"Contractual SLA",'Base File'!$H:$H,"Yes",'Base File'!$B:$B,'Account Summary'!$C37,'Base File'!$BJ:$BJ,"Met")/SUM(COUNTIFS('Base File'!$G:$G,"Contractual SLA",'Base File'!$H:$H,"yes",'Base File'!$B:$B,'Account Summary'!$C37,'Base File'!$BJ:$BJ,"Met")+COUNTIFS('Base File'!$G:$G,"Contractual SLA",'Base File'!$H:$H,"yes",'Base File'!$B:$B,'Account Summary'!$C37,'Base File'!$BJ:$BJ,"Not Met")),"-")</f>
        <v>-</v>
      </c>
      <c r="AU37" s="100" t="str">
        <f>IFERROR(COUNTIFS('Base File'!$BJ:$BJ,"Met",'Base File'!$B:$B,'Account Summary'!G37)/(COUNTIFS('Base File'!$BJ:$BJ,"Met",'Base File'!$B:$B,'Account Summary'!G37)+COUNTIFS('Base File'!$BJ:$BJ,"Not Met",'Base File'!$B:$B,'Account Summary'!G37)),"NR")</f>
        <v>NR</v>
      </c>
      <c r="AV37" s="100">
        <f>IFERROR(COUNTIFS('Base File'!$BL:$BL,"Met",'Base File'!$B:$B,'Account Summary'!C37)/(COUNTIFS('Base File'!$BL:$BL,"Met",'Base File'!$B:$B,'Account Summary'!C37)+COUNTIFS('Base File'!$BL:$BL,"Not Met",'Base File'!$B:$B,'Account Summary'!C37)),"NR")</f>
        <v>0.5</v>
      </c>
      <c r="AW37" s="100" t="str">
        <f>IFERROR(COUNTIFS('Base File'!$G:$G,"Contractual SLA",'Base File'!$H:$H,"No",'Base File'!$B:$B,'Account Summary'!$C37,'Base File'!$BL:$BL,"Met")/SUM(COUNTIFS('Base File'!$G:$G,"Contractual SLA",'Base File'!$H:$H,"No",'Base File'!$B:$B,'Account Summary'!$C37,'Base File'!$BL:$BL,"Met")+COUNTIFS('Base File'!$G:$G,"Contractual SLA",'Base File'!$H:$H,"No",'Base File'!$B:$B,'Account Summary'!$C37,'Base File'!$BL:$BL,"Not Met")),"-")</f>
        <v>-</v>
      </c>
      <c r="AX37" s="100" t="str">
        <f>IFERROR(COUNTIFS('Base File'!$G:$G,"Contractual SLA",'Base File'!$H:$H,"Yes",'Base File'!$B:$B,'Account Summary'!$C37,'Base File'!$BL:$BL,"Met")/SUM(COUNTIFS('Base File'!$G:$G,"Contractual SLA",'Base File'!$H:$H,"yes",'Base File'!$B:$B,'Account Summary'!$C37,'Base File'!$BL:$BL,"Met")+COUNTIFS('Base File'!$G:$G,"Contractual SLA",'Base File'!$H:$H,"yes",'Base File'!$B:$B,'Account Summary'!$C37,'Base File'!$BL:$BL,"Not Met")),"-")</f>
        <v>-</v>
      </c>
      <c r="AY37" s="100">
        <f>IFERROR(COUNTIFS('Base File'!$G:$G,"Internal KPI",'Base File'!$B:$B,'Account Summary'!$C37,'Base File'!$BL:$BL,"Met")/SUM(COUNTIFS('Base File'!$G:$G,"Internal KPI",'Base File'!$B:$B,'Account Summary'!$C37,'Base File'!$BL:$BL,"Met")+COUNTIFS('Base File'!$G:$G,"Internal KPI",'Base File'!$B:$B,'Account Summary'!$C37,'Base File'!$BL:$BL,"Not Met")),"-")</f>
        <v>0.5</v>
      </c>
      <c r="AZ37" s="100">
        <v>0.375</v>
      </c>
      <c r="BA37" s="100" t="s">
        <v>107</v>
      </c>
      <c r="BB37" s="100" t="s">
        <v>107</v>
      </c>
      <c r="BC37" s="100">
        <v>0.375</v>
      </c>
      <c r="BD37" s="110">
        <f>IFERROR(COUNTIFS('Base File'!$BP:$BP,"Met",'Base File'!$B:$B,'Account Summary'!C37)/(COUNTIFS('Base File'!$BP:$BP,"Met",'Base File'!$B:$B,'Account Summary'!C37)+COUNTIFS('Base File'!$BP:$BP,"Not Met",'Base File'!$B:$B,'Account Summary'!C37)),"NR")</f>
        <v>0.16666666666666666</v>
      </c>
      <c r="BE37" s="100" t="str">
        <f>IFERROR(COUNTIFS('Base File'!$G:$G,"Contractual SLA",'Base File'!$H:$H,"No",'Base File'!$B:$B,'Account Summary'!$C37,'Base File'!$BP:$BP,"Met")/SUM(COUNTIFS('Base File'!$G:$G,"Contractual SLA",'Base File'!$H:$H,"No",'Base File'!$B:$B,'Account Summary'!$C37,'Base File'!$BP:$BP,"Met")+COUNTIFS('Base File'!$G:$G,"Contractual SLA",'Base File'!$H:$H,"No",'Base File'!$B:$B,'Account Summary'!$C37,'Base File'!$BP:$BP,"Not Met")),"-")</f>
        <v>-</v>
      </c>
      <c r="BF37" s="100" t="str">
        <f>IFERROR(COUNTIFS('Base File'!$G:$G,"Contractual SLA",'Base File'!$H:$H,"Yes",'Base File'!$B:$B,'Account Summary'!$C37,'Base File'!$BP:$BP,"Met")/SUM(COUNTIFS('Base File'!$G:$G,"Contractual SLA",'Base File'!$H:$H,"yes",'Base File'!$B:$B,'Account Summary'!$C37,'Base File'!$BP:$BP,"Met")+COUNTIFS('Base File'!$G:$G,"Contractual SLA",'Base File'!$H:$H,"yes",'Base File'!$B:$B,'Account Summary'!$C37,'Base File'!$BP:$BP,"Not Met")),"-")</f>
        <v>-</v>
      </c>
      <c r="BG37" s="110">
        <f>IFERROR(COUNTIFS('Base File'!$G:$G,"Internal KPI",'Base File'!$B:$B,'Account Summary'!$C37,'Base File'!$BP:$BP,"Met")/SUM(COUNTIFS('Base File'!$G:$G,"Internal KPI",'Base File'!$B:$B,'Account Summary'!$C37,'Base File'!$BP:$BP,"Met")+COUNTIFS('Base File'!$G:$G,"Internal KPI",'Base File'!$B:$B,'Account Summary'!$C37,'Base File'!$BP:$BP,"Not Met")),"-")</f>
        <v>0.16666666666666666</v>
      </c>
      <c r="BH37" s="110">
        <f>IFERROR(COUNTIFS('Base File'!$BR:$BR,"Met",'Base File'!$B:$B,'Account Summary'!C37)/(COUNTIFS('Base File'!$BR:$BR,"Met",'Base File'!$B:$B,'Account Summary'!C37)+COUNTIFS('Base File'!$BR:$BR,"Not Met",'Base File'!$B:$B,'Account Summary'!C37)),"NR")</f>
        <v>0.42857142857142855</v>
      </c>
      <c r="BI37" s="101" t="str">
        <f>IFERROR(COUNTIFS('Base File'!$G:$G,"Contractual SLA",'Base File'!$H:$H,"No",'Base File'!$B:$B,'Account Summary'!$C37,'Base File'!$BR:$BR,"Met")/SUM(COUNTIFS('Base File'!$G:$G,"Contractual SLA",'Base File'!$H:$H,"No",'Base File'!$B:$B,'Account Summary'!$C37,'Base File'!$BR:$BR,"Met")+COUNTIFS('Base File'!$G:$G,"Contractual SLA",'Base File'!$H:$H,"No",'Base File'!$B:$B,'Account Summary'!$C37,'Base File'!$BR:$BR,"Not Met")),"-")</f>
        <v>-</v>
      </c>
      <c r="BJ37" s="100" t="str">
        <f>IFERROR(COUNTIFS('Base File'!$G:$G,"Contractual SLA",'Base File'!$H:$H,"No",'Base File'!$B:$B,'Account Summary'!$C37,'Base File'!$BR:$BR,"Met")/SUM(COUNTIFS('Base File'!$G:$G,"Contractual SLA",'Base File'!$H:$H,"No",'Base File'!$B:$B,'Account Summary'!$C37,'Base File'!$BR:$BR,"Met")+COUNTIFS('Base File'!$G:$G,"Contractual SLA",'Base File'!$H:$H,"No",'Base File'!$B:$B,'Account Summary'!$C37,'Base File'!$BR:$BR,"Not Met")),"-")</f>
        <v>-</v>
      </c>
      <c r="BK37" s="110">
        <f>IFERROR(COUNTIFS('Base File'!$G:$G,"Internal KPI",'Base File'!$B:$B,'Account Summary'!$C37,'Base File'!$BR:$BR,"Met")/SUM(COUNTIFS('Base File'!$G:$G,"Internal KPI",'Base File'!$B:$B,'Account Summary'!$C37,'Base File'!$BR:$BR,"Met")+COUNTIFS('Base File'!$G:$G,"Internal KPI",'Base File'!$B:$B,'Account Summary'!$C37,'Base File'!$BR:$BR,"Not Met")),"-")</f>
        <v>0.42857142857142855</v>
      </c>
      <c r="BL37" s="100">
        <f>IFERROR(COUNTIFS('Base File'!$BT:$BT,"Met",'Base File'!$B:$B,'Account Summary'!C37)/(COUNTIFS('Base File'!$BT:$BT,"Met",'Base File'!$B:$B,'Account Summary'!C37)+COUNTIFS('Base File'!$BT:$BT,"Not Met",'Base File'!$B:$B,'Account Summary'!C37)),"NR")</f>
        <v>0.42857142857142855</v>
      </c>
      <c r="BM37" s="100" t="str">
        <f>IFERROR(COUNTIFS('Base File'!$G:$G,"Contractual SLA",'Base File'!$H:$H,"No",'Base File'!$B:$B,'Account Summary'!$C37,'Base File'!$BT:$BT,"Met")/SUM(COUNTIFS('Base File'!$G:$G,"Contractual SLA",'Base File'!$H:$H,"No",'Base File'!$B:$B,'Account Summary'!$C37,'Base File'!$BT:$BT,"Met")+COUNTIFS('Base File'!$G:$G,"Contractual SLA",'Base File'!$H:$H,"No",'Base File'!$B:$B,'Account Summary'!$C37,'Base File'!$BT:$BT,"Not Met")),"-")</f>
        <v>-</v>
      </c>
      <c r="BN37" s="100" t="str">
        <f>IFERROR(COUNTIFS('Base File'!$G:$G,"Contractual SLA",'Base File'!$H:$H,"Yes",'Base File'!$B:$B,'Account Summary'!$C37,'Base File'!$BT:$BT,"Met")/SUM(COUNTIFS('Base File'!$G:$G,"Contractual SLA",'Base File'!$H:$H,"yes",'Base File'!$B:$B,'Account Summary'!$C37,'Base File'!$BT:$BT,"Met")+COUNTIFS('Base File'!$G:$G,"Contractual SLA",'Base File'!$H:$H,"yes",'Base File'!$B:$B,'Account Summary'!$C37,'Base File'!$BT:$BT,"Not Met")),"-")</f>
        <v>-</v>
      </c>
      <c r="BO37" s="100">
        <f>IFERROR(COUNTIFS('Base File'!$G:$G,"Internal KPI",'Base File'!$B:$B,'Account Summary'!$C37,'Base File'!$BT:$BT,"Met")/SUM(COUNTIFS('Base File'!$G:$G,"Internal KPI",'Base File'!$B:$B,'Account Summary'!$C37,'Base File'!$BT:$BT,"Met")+COUNTIFS('Base File'!$G:$G,"Internal KPI",'Base File'!$B:$B,'Account Summary'!$C37,'Base File'!$BT:$BT,"Not Met")),"-")</f>
        <v>0.42857142857142855</v>
      </c>
      <c r="BP37" s="100">
        <f>IFERROR(COUNTIFS('Base File'!$BV:$BV,"Met",'Base File'!$B:$B,'Account Summary'!C37)/(COUNTIFS('Base File'!$BV:$BV,"Met",'Base File'!$B:$B,'Account Summary'!C37)+COUNTIFS('Base File'!$BV:$BV,"Not Met",'Base File'!$B:$B,'Account Summary'!C37)),"NR")</f>
        <v>0.2857142857142857</v>
      </c>
      <c r="BQ37" s="102" t="s">
        <v>107</v>
      </c>
      <c r="BR37" s="100" t="str">
        <f>IFERROR(COUNTIFS('Base File'!$G:$G,"Contractual SLA",'Base File'!$H:$H,"Yes",'Base File'!$B:$B,'Account Summary'!$C37,'Base File'!$BV:$BV,"Met")/SUM(COUNTIFS('Base File'!$G:$G,"Contractual SLA",'Base File'!$H:$H,"Yes",'Base File'!$B:$B,'Account Summary'!$C37,'Base File'!$BV:$BV,"Met")+COUNTIFS('Base File'!$G:$G,"Contractual SLA",'Base File'!$H:$H,"Yes",'Base File'!$B:$B,'Account Summary'!$C37,'Base File'!$BV:$BV,"Not Met")),"-")</f>
        <v>-</v>
      </c>
      <c r="BS37" s="100">
        <v>0.28999999999999998</v>
      </c>
      <c r="BT37" s="12"/>
      <c r="BU37" s="12"/>
      <c r="BV37" s="12"/>
      <c r="BW37" s="12"/>
    </row>
    <row r="38" spans="1:75" x14ac:dyDescent="0.25">
      <c r="A38" s="389"/>
      <c r="B38" s="94">
        <v>35</v>
      </c>
      <c r="C38" s="94" t="s">
        <v>49</v>
      </c>
      <c r="D38" s="95" t="s">
        <v>110</v>
      </c>
      <c r="E38" s="95" t="s">
        <v>903</v>
      </c>
      <c r="F38" s="94" t="s">
        <v>899</v>
      </c>
      <c r="G38" s="89"/>
      <c r="H38" s="89"/>
      <c r="I38" s="94" t="s">
        <v>134</v>
      </c>
      <c r="J38" s="89" t="s">
        <v>61</v>
      </c>
      <c r="K38" s="89" t="s">
        <v>11</v>
      </c>
      <c r="L38" s="98" t="s">
        <v>11</v>
      </c>
      <c r="M38" s="111" t="s">
        <v>107</v>
      </c>
      <c r="N38" s="111" t="s">
        <v>107</v>
      </c>
      <c r="O38" s="98" t="s">
        <v>11</v>
      </c>
      <c r="P38" s="98" t="str">
        <f>IFERROR(COUNTIFS('Base File'!$AV:$AV,"Met",'Base File'!$B:$B,'Account Summary'!C38)/(COUNTIFS('Base File'!$AV:$AV,"Met",'Base File'!$B:$B,'Account Summary'!C38)+COUNTIFS('Base File'!$AV:$AV,"Not Met",'Base File'!$B:$B,'Account Summary'!C38)),"NR")</f>
        <v>NR</v>
      </c>
      <c r="Q38" s="98" t="str">
        <f>IFERROR(COUNTIFS('Base File'!$G:$G,"Contractual SLA",'Base File'!$H:$H,"No",'Base File'!$B:$B,'Account Summary'!$C38,'Base File'!$AV:$AV,"Met")/SUM(COUNTIFS('Base File'!$G:$G,"Contractual SLA",'Base File'!$H:$H,"No",'Base File'!$B:$B,'Account Summary'!$C38,'Base File'!$AV:$AV,"Met")+COUNTIFS('Base File'!$G:$G,"Contractual SLA",'Base File'!$H:$H,"No",'Base File'!$B:$B,'Account Summary'!$C38,'Base File'!$AV:$AV,"Not Met")),"-")</f>
        <v>-</v>
      </c>
      <c r="R38" s="103" t="str">
        <f>IFERROR(COUNTIFS('Base File'!$G:$G,"Contractual SLA",'Base File'!$H:$H,"Yes",'Base File'!$B:$B,'Account Summary'!$C38,'Base File'!$AV:$AV,"Met")/SUM(COUNTIFS('Base File'!$G:$G,"Contractual SLA",'Base File'!$H:$H,"yes",'Base File'!$B:$B,'Account Summary'!$C38,'Base File'!$AV:$AV,"Met")+COUNTIFS('Base File'!$G:$G,"Contractual SLA",'Base File'!$H:$H,"yes",'Base File'!$B:$B,'Account Summary'!$C38,'Base File'!$AV:$AV,"Not Met")),"-")</f>
        <v>-</v>
      </c>
      <c r="S38" s="98" t="str">
        <f>IFERROR(COUNTIFS('Base File'!$AV:$AV,"Met",'Base File'!$B:$B,'Account Summary'!G38)/(COUNTIFS('Base File'!$AV:$AV,"Met",'Base File'!$B:$B,'Account Summary'!G38)+COUNTIFS('Base File'!$AV:$AV,"Not Met",'Base File'!$B:$B,'Account Summary'!G38)),"NR")</f>
        <v>NR</v>
      </c>
      <c r="T38" s="100" t="str">
        <f>IFERROR(COUNTIFS('Base File'!$AX:$AX,"Met",'Base File'!$B:$B,'Account Summary'!C38)/(COUNTIFS('Base File'!$AX:$AX,"Met",'Base File'!$B:$B,'Account Summary'!C38)+COUNTIFS('Base File'!$AX:$AX,"Not Met",'Base File'!$B:$B,'Account Summary'!C38)),"NR")</f>
        <v>NR</v>
      </c>
      <c r="U38" s="101" t="str">
        <f>IFERROR(COUNTIFS('Base File'!$G:$G,"Contractual SLA",'Base File'!$H:$H,"No",'Base File'!$B:$B,'Account Summary'!$C38,'Base File'!$AX:$AX,"Met")/SUM(COUNTIFS('Base File'!$G:$G,"Contractual SLA",'Base File'!$H:$H,"No",'Base File'!$B:$B,'Account Summary'!$C38,'Base File'!$AX:$AX,"Met")+COUNTIFS('Base File'!$G:$G,"Contractual SLA",'Base File'!$H:$H,"No",'Base File'!$B:$B,'Account Summary'!$C38,'Base File'!$AX:$AX,"Not Met")),"NA")</f>
        <v>NA</v>
      </c>
      <c r="V38" s="100" t="str">
        <f>IFERROR(COUNTIFS('Base File'!$G:$G,"Contractual SLA",'Base File'!$H:$H,"Yes",'Base File'!$B:$B,'Account Summary'!$C38,'Base File'!$AX:$AX,"Met")/SUM(COUNTIFS('Base File'!$G:$G,"Contractual SLA",'Base File'!$H:$H,"yes",'Base File'!$B:$B,'Account Summary'!$C38,'Base File'!$AX:$AX,"Met")+COUNTIFS('Base File'!$G:$G,"Contractual SLA",'Base File'!$H:$H,"yes",'Base File'!$B:$B,'Account Summary'!$C38,'Base File'!$AX:$AX,"Not Met")),"NA")</f>
        <v>NA</v>
      </c>
      <c r="W38" s="100" t="s">
        <v>103</v>
      </c>
      <c r="X38" s="100" t="str">
        <f>IFERROR(COUNTIFS('Base File'!$AZ:$AZ,"Met",'Base File'!$B:$B,'Account Summary'!C38)/(COUNTIFS('Base File'!$AZ:$AZ,"Met",'Base File'!$B:$B,'Account Summary'!C38)+COUNTIFS('Base File'!$AZ:$AZ,"Not Met",'Base File'!$B:$B,'Account Summary'!C38)),"NR")</f>
        <v>NR</v>
      </c>
      <c r="Y38" s="101" t="str">
        <f>IFERROR(COUNTIFS('Base File'!$G:$G,"Contractual SLA",'Base File'!$H:$H,"No",'Base File'!$B:$B,'Account Summary'!$C38,'Base File'!$AZ:$AZ,"Met")/SUM(COUNTIFS('Base File'!$G:$G,"Contractual SLA",'Base File'!$H:$H,"No",'Base File'!$B:$B,'Account Summary'!$C38,'Base File'!$AZ:$AZ,"Met")+COUNTIFS('Base File'!$G:$G,"Contractual SLA",'Base File'!$H:$H,"No",'Base File'!$B:$B,'Account Summary'!$C38,'Base File'!$AZ:$AZ,"Not Met")),"-")</f>
        <v>-</v>
      </c>
      <c r="Z38" s="100" t="str">
        <f>IFERROR(COUNTIFS('Base File'!$G:$G,"Contractual SLA",'Base File'!$H:$H,"Yes",'Base File'!$B:$B,'Account Summary'!$C38,'Base File'!$AZ:$AZ,"Met")/SUM(COUNTIFS('Base File'!$G:$G,"Contractual SLA",'Base File'!$H:$H,"yes",'Base File'!$B:$B,'Account Summary'!$C38,'Base File'!$AZ:$AZ,"Met")+COUNTIFS('Base File'!$G:$G,"Contractual SLA",'Base File'!$H:$H,"yes",'Base File'!$B:$B,'Account Summary'!$C38,'Base File'!$AZ:$AZ,"Not Met")),"-")</f>
        <v>-</v>
      </c>
      <c r="AA38" s="100" t="str">
        <f>IFERROR(COUNTIFS('Base File'!$G:$G,"Internal KPI",'Base File'!$B:$B,'Account Summary'!$C38,'Base File'!$AZ:$AZ,"Met")/SUM(COUNTIFS('Base File'!$G:$G,"Internal KPI",'Base File'!$B:$B,'Account Summary'!$C38,'Base File'!$AZ:$AZ,"Met")+COUNTIFS('Base File'!$G:$G,"Internal KPI",'Base File'!$B:$B,'Account Summary'!$C38,'Base File'!$AZ:$AZ,"Not Met")),"-")</f>
        <v>-</v>
      </c>
      <c r="AB38" s="101" t="str">
        <f>IFERROR(COUNTIFS('Base File'!$BB:$BB,"Met",'Base File'!$B:$B,'Account Summary'!C38)/(COUNTIFS('Base File'!$BB:$BB,"Met",'Base File'!$B:$B,'Account Summary'!C38)+COUNTIFS('Base File'!$BB:$BB,"Not Met",'Base File'!$B:$B,'Account Summary'!C38)),"NR")</f>
        <v>NR</v>
      </c>
      <c r="AC38" s="101" t="str">
        <f>IFERROR(COUNTIFS('Base File'!$G:$G,"Contractual SLA",'Base File'!$H:$H,"No",'Base File'!$B:$B,'Account Summary'!$C38,'Base File'!$BB:$BB,"Met")/SUM(COUNTIFS('Base File'!$G:$G,"Contractual SLA",'Base File'!$H:$H,"No",'Base File'!$B:$B,'Account Summary'!$C38,'Base File'!$BB:$BB,"Met")+COUNTIFS('Base File'!$G:$G,"Contractual SLA",'Base File'!$H:$H,"No",'Base File'!$B:$B,'Account Summary'!$C38,'Base File'!$BB:$BB,"Not Met")),"-")</f>
        <v>-</v>
      </c>
      <c r="AD38" s="100" t="str">
        <f>IFERROR(COUNTIFS('Base File'!$G:$G,"Contractual SLA",'Base File'!$H:$H,"Yes",'Base File'!$B:$B,'Account Summary'!$C38,'Base File'!$BB:$BB,"Met")/SUM(COUNTIFS('Base File'!$G:$G,"Contractual SLA",'Base File'!$H:$H,"yes",'Base File'!$B:$B,'Account Summary'!$C38,'Base File'!$BB:$BB,"Met")+COUNTIFS('Base File'!$G:$G,"Contractual SLA",'Base File'!$H:$H,"yes",'Base File'!$B:$B,'Account Summary'!$C38,'Base File'!$BB:$BB,"Not Met")),"-")</f>
        <v>-</v>
      </c>
      <c r="AE38" s="100" t="str">
        <f>IFERROR(COUNTIFS('Base File'!$G:$G,"Internal KPI",'Base File'!$B:$B,'Account Summary'!$C38,'Base File'!$BB:$BB,"Met")/SUM(COUNTIFS('Base File'!$G:$G,"Internal KPI",'Base File'!$B:$B,'Account Summary'!$C38,'Base File'!$BB:$BB,"Met")+COUNTIFS('Base File'!$G:$G,"Internal KPI",'Base File'!$B:$B,'Account Summary'!$C38,'Base File'!$BB:$BB,"Not Met")),"-")</f>
        <v>-</v>
      </c>
      <c r="AF38" s="100" t="str">
        <f>IFERROR(COUNTIFS('Base File'!$BD:$BD,"Met",'Base File'!$B:$B,'Account Summary'!C38)/(COUNTIFS('Base File'!$BD:$BD,"Met",'Base File'!$B:$B,'Account Summary'!C38)+COUNTIFS('Base File'!$BD:$BD,"Not Met",'Base File'!$B:$B,'Account Summary'!C38)),"NR")</f>
        <v>NR</v>
      </c>
      <c r="AG38" s="100" t="str">
        <f>IFERROR(COUNTIFS('Base File'!$G:$G,"Contractual SLA",'Base File'!$H:$H,"No",'Base File'!$B:$B,'Account Summary'!$C38,'Base File'!$BD:$BD,"Met")/SUM(COUNTIFS('Base File'!$G:$G,"Contractual SLA",'Base File'!$H:$H,"No",'Base File'!$B:$B,'Account Summary'!$C38,'Base File'!$BD:$BD,"Met")+COUNTIFS('Base File'!$G:$G,"Contractual SLA",'Base File'!$H:$H,"No",'Base File'!$B:$B,'Account Summary'!$C38,'Base File'!$BD:$BD,"Not Met")),"-")</f>
        <v>-</v>
      </c>
      <c r="AH38" s="100" t="str">
        <f>IFERROR(COUNTIFS('Base File'!$G:$G,"Contractual SLA",'Base File'!$H:$H,"Yes",'Base File'!$B:$B,'Account Summary'!$C38,'Base File'!$BD:$BD,"Met")/SUM(COUNTIFS('Base File'!$G:$G,"Contractual SLA",'Base File'!$H:$H,"yes",'Base File'!$B:$B,'Account Summary'!$C38,'Base File'!$BD:$BD,"Met")+COUNTIFS('Base File'!$G:$G,"Contractual SLA",'Base File'!$H:$H,"yes",'Base File'!$B:$B,'Account Summary'!$C38,'Base File'!$BD:$BD,"Not Met")),"-")</f>
        <v>-</v>
      </c>
      <c r="AI38" s="100" t="str">
        <f>IFERROR(COUNTIFS('Base File'!$BD:$BD,"Met",'Base File'!$B:$B,'Account Summary'!G38)/(COUNTIFS('Base File'!$BD:$BD,"Met",'Base File'!$B:$B,'Account Summary'!G38)+COUNTIFS('Base File'!$BD:$BD,"Not Met",'Base File'!$B:$B,'Account Summary'!G38)),"NR")</f>
        <v>NR</v>
      </c>
      <c r="AJ38" s="100" t="str">
        <f>IFERROR(COUNTIFS('Base File'!$BV:$BV,"Met",'Base File'!$B:$B,'Account Summary'!#REF!)/(COUNTIFS('Base File'!$BV:$BV,"Met",'Base File'!$B:$B,'Account Summary'!#REF!)+COUNTIFS('Base File'!$BV:$BV,"Not Met",'Base File'!$B:$B,'Account Summary'!#REF!)),"NR")</f>
        <v>NR</v>
      </c>
      <c r="AK38" s="100" t="str">
        <f>IFERROR(COUNTIFS('Base File'!$G:$G,"Contractual SLA",'Base File'!$H:$H,"No",'Base File'!$B:$B,'Account Summary'!$C38,'Base File'!$BV:$BV,"Met")/SUM(COUNTIFS('Base File'!$G:$G,"Contractual SLA",'Base File'!$H:$H,"No",'Base File'!$B:$B,'Account Summary'!$C38,'Base File'!$BV:$BV,"Met")+COUNTIFS('Base File'!$G:$G,"Contractual SLA",'Base File'!$H:$H,"No",'Base File'!$B:$B,'Account Summary'!$C38,'Base File'!$BV:$BV,"Not Met")),"-")</f>
        <v>-</v>
      </c>
      <c r="AL38" s="100" t="str">
        <f>IFERROR(COUNTIFS('Base File'!$G:$G,"Contractual SLA",'Base File'!$H:$H,"Yes",'Base File'!$B:$B,'Account Summary'!$C38,'Base File'!$BV:$BV,"Met")/SUM(COUNTIFS('Base File'!$G:$G,"Contractual SLA",'Base File'!$H:$H,"Yes",'Base File'!$B:$B,'Account Summary'!$C38,'Base File'!$BV:$BV,"Met")+COUNTIFS('Base File'!$G:$G,"Contractual SLA",'Base File'!$H:$H,"Yes",'Base File'!$B:$B,'Account Summary'!$C38,'Base File'!$BV:$BV,"Not Met")),"-")</f>
        <v>-</v>
      </c>
      <c r="AM38" s="100" t="str">
        <f>IFERROR(COUNTIFS('Base File'!$BD:$BD,"Met",'Base File'!$B:$B,'Account Summary'!G38)/(COUNTIFS('Base File'!$BD:$BD,"Met",'Base File'!$B:$B,'Account Summary'!G38)+COUNTIFS('Base File'!$BD:$BD,"Not Met",'Base File'!$B:$B,'Account Summary'!G38)),"NR")</f>
        <v>NR</v>
      </c>
      <c r="AN38" s="100" t="str">
        <f>IFERROR(COUNTIFS('Base File'!$BH:$BH,"Met",'Base File'!$B:$B,'Account Summary'!C38)/(COUNTIFS('Base File'!$BH:$BH,"Met",'Base File'!$B:$B,'Account Summary'!C38)+COUNTIFS('Base File'!$BH:$BH,"Not Met",'Base File'!$B:$B,'Account Summary'!C38)),"NR")</f>
        <v>NR</v>
      </c>
      <c r="AO38" s="100" t="str">
        <f>IFERROR(COUNTIFS('Base File'!$G:$G,"Contractual SLA",'Base File'!$H:$H,"No",'Base File'!$B:$B,'Account Summary'!$C38,'Base File'!$BH:$BH,"Met")/SUM(COUNTIFS('Base File'!$G:$G,"Contractual SLA",'Base File'!$H:$H,"No",'Base File'!$B:$B,'Account Summary'!$C38,'Base File'!$BH:$BH,"Met")+COUNTIFS('Base File'!$G:$G,"Contractual SLA",'Base File'!$H:$H,"No",'Base File'!$B:$B,'Account Summary'!$C38,'Base File'!$BH:$BH,"Not Met")),"-")</f>
        <v>-</v>
      </c>
      <c r="AP38" s="100" t="str">
        <f>IFERROR(COUNTIFS('Base File'!$G:$G,"Contractual SLA",'Base File'!$H:$H,"Yes",'Base File'!$B:$B,'Account Summary'!$C38,'Base File'!$BH:$BH,"Met")/SUM(COUNTIFS('Base File'!$G:$G,"Contractual SLA",'Base File'!$H:$H,"yes",'Base File'!$B:$B,'Account Summary'!$C38,'Base File'!$BH:$BH,"Met")+COUNTIFS('Base File'!$G:$G,"Contractual SLA",'Base File'!$H:$H,"yes",'Base File'!$B:$B,'Account Summary'!$C38,'Base File'!$BH:$BH,"Not Met")),"-")</f>
        <v>-</v>
      </c>
      <c r="AQ38" s="100" t="str">
        <f>IFERROR(COUNTIFS('Base File'!$BH:$BH,"Met",'Base File'!$B:$B,'Account Summary'!G38)/(COUNTIFS('Base File'!$BH:$BH,"Met",'Base File'!$B:$B,'Account Summary'!G38)+COUNTIFS('Base File'!$BH:$BH,"Not Met",'Base File'!$B:$B,'Account Summary'!G38)),"NR")</f>
        <v>NR</v>
      </c>
      <c r="AR38" s="100" t="str">
        <f>IFERROR(COUNTIFS('Base File'!$BJ:$BJ,"Met",'Base File'!$B:$B,'Account Summary'!C38)/(COUNTIFS('Base File'!$BJ:$BJ,"Met",'Base File'!$B:$B,'Account Summary'!C38)+COUNTIFS('Base File'!$BJ:$BJ,"Not Met",'Base File'!$B:$B,'Account Summary'!C38)),"NR")</f>
        <v>NR</v>
      </c>
      <c r="AS38" s="101" t="str">
        <f>IFERROR(COUNTIFS('Base File'!$G:$G,"Contractual SLA",'Base File'!$H:$H,"No",'Base File'!$B:$B,'Account Summary'!$C38,'Base File'!$BJ:$BJ,"Met")/SUM(COUNTIFS('Base File'!$G:$G,"Contractual SLA",'Base File'!$H:$H,"No",'Base File'!$B:$B,'Account Summary'!$C38,'Base File'!$BJ:$BJ,"Met")+COUNTIFS('Base File'!$G:$G,"Contractual SLA",'Base File'!$H:$H,"No",'Base File'!$B:$B,'Account Summary'!$C38,'Base File'!$BJ:$BJ,"Not Met")),"-")</f>
        <v>-</v>
      </c>
      <c r="AT38" s="100" t="str">
        <f>IFERROR(COUNTIFS('Base File'!$G:$G,"Contractual SLA",'Base File'!$H:$H,"Yes",'Base File'!$B:$B,'Account Summary'!$C38,'Base File'!$BJ:$BJ,"Met")/SUM(COUNTIFS('Base File'!$G:$G,"Contractual SLA",'Base File'!$H:$H,"yes",'Base File'!$B:$B,'Account Summary'!$C38,'Base File'!$BJ:$BJ,"Met")+COUNTIFS('Base File'!$G:$G,"Contractual SLA",'Base File'!$H:$H,"yes",'Base File'!$B:$B,'Account Summary'!$C38,'Base File'!$BJ:$BJ,"Not Met")),"-")</f>
        <v>-</v>
      </c>
      <c r="AU38" s="100" t="str">
        <f>IFERROR(COUNTIFS('Base File'!$BH:$BH,"Met",'Base File'!$B:$B,'Account Summary'!K38)/(COUNTIFS('Base File'!$BH:$BH,"Met",'Base File'!$B:$B,'Account Summary'!K38)+COUNTIFS('Base File'!$BH:$BH,"Not Met",'Base File'!$B:$B,'Account Summary'!K38)),"NR")</f>
        <v>NR</v>
      </c>
      <c r="AV38" s="100" t="str">
        <f>IFERROR(COUNTIFS('Base File'!$BL:$BL,"Met",'Base File'!$B:$B,'Account Summary'!C38)/(COUNTIFS('Base File'!$BL:$BL,"Met",'Base File'!$B:$B,'Account Summary'!C38)+COUNTIFS('Base File'!$BL:$BL,"Not Met",'Base File'!$B:$B,'Account Summary'!C38)),"NR")</f>
        <v>NR</v>
      </c>
      <c r="AW38" s="100" t="str">
        <f>IFERROR(COUNTIFS('Base File'!$G:$G,"Contractual SLA",'Base File'!$H:$H,"No",'Base File'!$B:$B,'Account Summary'!$C38,'Base File'!$BL:$BL,"Met")/SUM(COUNTIFS('Base File'!$G:$G,"Contractual SLA",'Base File'!$H:$H,"No",'Base File'!$B:$B,'Account Summary'!$C38,'Base File'!$BL:$BL,"Met")+COUNTIFS('Base File'!$G:$G,"Contractual SLA",'Base File'!$H:$H,"No",'Base File'!$B:$B,'Account Summary'!$C38,'Base File'!$BL:$BL,"Not Met")),"-")</f>
        <v>-</v>
      </c>
      <c r="AX38" s="100" t="str">
        <f>IFERROR(COUNTIFS('Base File'!$G:$G,"Contractual SLA",'Base File'!$H:$H,"Yes",'Base File'!$B:$B,'Account Summary'!$C38,'Base File'!$BL:$BL,"Met")/SUM(COUNTIFS('Base File'!$G:$G,"Contractual SLA",'Base File'!$H:$H,"yes",'Base File'!$B:$B,'Account Summary'!$C38,'Base File'!$BL:$BL,"Met")+COUNTIFS('Base File'!$G:$G,"Contractual SLA",'Base File'!$H:$H,"yes",'Base File'!$B:$B,'Account Summary'!$C38,'Base File'!$BL:$BL,"Not Met")),"-")</f>
        <v>-</v>
      </c>
      <c r="AY38" s="100" t="str">
        <f>IFERROR(COUNTIFS('Base File'!$BL:$BL,"Met",'Base File'!$B:$B,'Account Summary'!G38)/(COUNTIFS('Base File'!$BL:$BL,"Met",'Base File'!$B:$B,'Account Summary'!G38)+COUNTIFS('Base File'!$BL:$BL,"Not Met",'Base File'!$B:$B,'Account Summary'!G38)),"NR")</f>
        <v>NR</v>
      </c>
      <c r="AZ38" s="100" t="s">
        <v>103</v>
      </c>
      <c r="BA38" s="100" t="s">
        <v>107</v>
      </c>
      <c r="BB38" s="100" t="s">
        <v>107</v>
      </c>
      <c r="BC38" s="100" t="s">
        <v>103</v>
      </c>
      <c r="BD38" s="100" t="str">
        <f>IFERROR(COUNTIFS('Base File'!$BP:$BP,"Met",'Base File'!$B:$B,'Account Summary'!C38)/(COUNTIFS('Base File'!$BP:$BP,"Met",'Base File'!$B:$B,'Account Summary'!C38)+COUNTIFS('Base File'!$BP:$BP,"Not Met",'Base File'!$B:$B,'Account Summary'!C38)),"NR")</f>
        <v>NR</v>
      </c>
      <c r="BE38" s="100" t="str">
        <f>IFERROR(COUNTIFS('Base File'!$G:$G,"Contractual SLA",'Base File'!$H:$H,"No",'Base File'!$B:$B,'Account Summary'!$C38,'Base File'!$BP:$BP,"Met")/SUM(COUNTIFS('Base File'!$G:$G,"Contractual SLA",'Base File'!$H:$H,"No",'Base File'!$B:$B,'Account Summary'!$C38,'Base File'!$BP:$BP,"Met")+COUNTIFS('Base File'!$G:$G,"Contractual SLA",'Base File'!$H:$H,"No",'Base File'!$B:$B,'Account Summary'!$C38,'Base File'!$BP:$BP,"Not Met")),"-")</f>
        <v>-</v>
      </c>
      <c r="BF38" s="100" t="str">
        <f>IFERROR(COUNTIFS('Base File'!$G:$G,"Contractual SLA",'Base File'!$H:$H,"Yes",'Base File'!$B:$B,'Account Summary'!$C38,'Base File'!$BP:$BP,"Met")/SUM(COUNTIFS('Base File'!$G:$G,"Contractual SLA",'Base File'!$H:$H,"yes",'Base File'!$B:$B,'Account Summary'!$C38,'Base File'!$BP:$BP,"Met")+COUNTIFS('Base File'!$G:$G,"Contractual SLA",'Base File'!$H:$H,"yes",'Base File'!$B:$B,'Account Summary'!$C38,'Base File'!$BP:$BP,"Not Met")),"-")</f>
        <v>-</v>
      </c>
      <c r="BG38" s="100" t="s">
        <v>103</v>
      </c>
      <c r="BH38" s="100" t="str">
        <f>IFERROR(COUNTIFS('Base File'!$BR:$BR,"Met",'Base File'!$B:$B,'Account Summary'!C38)/(COUNTIFS('Base File'!$BR:$BR,"Met",'Base File'!$B:$B,'Account Summary'!C38)+COUNTIFS('Base File'!$BR:$BR,"Not Met",'Base File'!$B:$B,'Account Summary'!C38)),"NR")</f>
        <v>NR</v>
      </c>
      <c r="BI38" s="101" t="str">
        <f>IFERROR(COUNTIFS('Base File'!$G:$G,"Contractual SLA",'Base File'!$H:$H,"No",'Base File'!$B:$B,'Account Summary'!$C38,'Base File'!$BR:$BR,"Met")/SUM(COUNTIFS('Base File'!$G:$G,"Contractual SLA",'Base File'!$H:$H,"No",'Base File'!$B:$B,'Account Summary'!$C38,'Base File'!$BR:$BR,"Met")+COUNTIFS('Base File'!$G:$G,"Contractual SLA",'Base File'!$H:$H,"No",'Base File'!$B:$B,'Account Summary'!$C38,'Base File'!$BR:$BR,"Not Met")),"-")</f>
        <v>-</v>
      </c>
      <c r="BJ38" s="100" t="str">
        <f>IFERROR(COUNTIFS('Base File'!$G:$G,"Contractual SLA",'Base File'!$H:$H,"No",'Base File'!$B:$B,'Account Summary'!$C38,'Base File'!$BR:$BR,"Met")/SUM(COUNTIFS('Base File'!$G:$G,"Contractual SLA",'Base File'!$H:$H,"No",'Base File'!$B:$B,'Account Summary'!$C38,'Base File'!$BR:$BR,"Met")+COUNTIFS('Base File'!$G:$G,"Contractual SLA",'Base File'!$H:$H,"No",'Base File'!$B:$B,'Account Summary'!$C38,'Base File'!$BR:$BR,"Not Met")),"-")</f>
        <v>-</v>
      </c>
      <c r="BK38" s="100" t="s">
        <v>103</v>
      </c>
      <c r="BL38" s="100" t="str">
        <f>IFERROR(COUNTIFS('Base File'!$BT:$BT,"Met",'Base File'!$B:$B,'Account Summary'!C38)/(COUNTIFS('Base File'!$BT:$BT,"Met",'Base File'!$B:$B,'Account Summary'!C38)+COUNTIFS('Base File'!$BT:$BT,"Not Met",'Base File'!$B:$B,'Account Summary'!C38)),"NR")</f>
        <v>NR</v>
      </c>
      <c r="BM38" s="100" t="str">
        <f>IFERROR(COUNTIFS('Base File'!$G:$G,"Contractual SLA",'Base File'!$H:$H,"No",'Base File'!$B:$B,'Account Summary'!$C38,'Base File'!$BT:$BT,"Met")/SUM(COUNTIFS('Base File'!$G:$G,"Contractual SLA",'Base File'!$H:$H,"No",'Base File'!$B:$B,'Account Summary'!$C38,'Base File'!$BT:$BT,"Met")+COUNTIFS('Base File'!$G:$G,"Contractual SLA",'Base File'!$H:$H,"No",'Base File'!$B:$B,'Account Summary'!$C38,'Base File'!$BT:$BT,"Not Met")),"-")</f>
        <v>-</v>
      </c>
      <c r="BN38" s="100" t="str">
        <f>IFERROR(COUNTIFS('Base File'!$G:$G,"Contractual SLA",'Base File'!$H:$H,"Yes",'Base File'!$B:$B,'Account Summary'!$C38,'Base File'!$BT:$BT,"Met")/SUM(COUNTIFS('Base File'!$G:$G,"Contractual SLA",'Base File'!$H:$H,"yes",'Base File'!$B:$B,'Account Summary'!$C38,'Base File'!$BT:$BT,"Met")+COUNTIFS('Base File'!$G:$G,"Contractual SLA",'Base File'!$H:$H,"yes",'Base File'!$B:$B,'Account Summary'!$C38,'Base File'!$BT:$BT,"Not Met")),"-")</f>
        <v>-</v>
      </c>
      <c r="BO38" s="100" t="s">
        <v>103</v>
      </c>
      <c r="BP38" s="100" t="str">
        <f>IFERROR(COUNTIFS('Base File'!$BV:$BV,"Met",'Base File'!$B:$B,'Account Summary'!C38)/(COUNTIFS('Base File'!$BV:$BV,"Met",'Base File'!$B:$B,'Account Summary'!C38)+COUNTIFS('Base File'!$BV:$BV,"Not Met",'Base File'!$B:$B,'Account Summary'!C38)),"NR")</f>
        <v>NR</v>
      </c>
      <c r="BQ38" s="100" t="str">
        <f>IFERROR(COUNTIFS('Base File'!$G:$G,"Internal KPI",'Base File'!$B:$B,'Account Summary'!$C38,'Base File'!$BV:$BV,"Met")/SUM(COUNTIFS('Base File'!$G:$G,"Internal KPI",'Base File'!$B:$B,'Account Summary'!$C38,'Base File'!$BV:$BV,"Met")+COUNTIFS('Base File'!$G:$G,"Internal KPI",'Base File'!$B:$B,'Account Summary'!$C38,'Base File'!$BV:$BV,"Not Met")),"-")</f>
        <v>-</v>
      </c>
      <c r="BR38" s="100" t="str">
        <f>IFERROR(COUNTIFS('Base File'!$G:$G,"Contractual SLA",'Base File'!$H:$H,"Yes",'Base File'!$B:$B,'Account Summary'!$C38,'Base File'!$BV:$BV,"Met")/SUM(COUNTIFS('Base File'!$G:$G,"Contractual SLA",'Base File'!$H:$H,"Yes",'Base File'!$B:$B,'Account Summary'!$C38,'Base File'!$BV:$BV,"Met")+COUNTIFS('Base File'!$G:$G,"Contractual SLA",'Base File'!$H:$H,"Yes",'Base File'!$B:$B,'Account Summary'!$C38,'Base File'!$BV:$BV,"Not Met")),"-")</f>
        <v>-</v>
      </c>
      <c r="BS38" s="100" t="s">
        <v>103</v>
      </c>
      <c r="BT38" s="12"/>
      <c r="BU38" s="12"/>
      <c r="BV38" s="12"/>
      <c r="BW38" s="12"/>
    </row>
    <row r="39" spans="1:75" x14ac:dyDescent="0.25">
      <c r="A39" s="389"/>
      <c r="B39" s="94">
        <v>36</v>
      </c>
      <c r="C39" s="94" t="s">
        <v>51</v>
      </c>
      <c r="D39" s="95" t="s">
        <v>110</v>
      </c>
      <c r="E39" s="95" t="s">
        <v>903</v>
      </c>
      <c r="F39" s="94" t="s">
        <v>899</v>
      </c>
      <c r="G39" s="89"/>
      <c r="H39" s="89"/>
      <c r="I39" s="94" t="s">
        <v>134</v>
      </c>
      <c r="J39" s="89" t="s">
        <v>67</v>
      </c>
      <c r="K39" s="89" t="s">
        <v>65</v>
      </c>
      <c r="L39" s="97">
        <f>IFERROR(COUNTIFS('Base File'!$AR:$AR,"Met",'Base File'!$B:$B,'Account Summary'!C39)/(COUNTIFS('Base File'!$AR:$AR,"Met",'Base File'!$B:$B,'Account Summary'!C39)+COUNTIFS('Base File'!$AR:$AR,"Not Met",'Base File'!$B:$B,'Account Summary'!C39)),"NR")</f>
        <v>0.81818181818181823</v>
      </c>
      <c r="M39" s="98" t="str">
        <f>IFERROR(COUNTIFS('Base File'!$G:$G,"Contractual SLA",'Base File'!$H:$H,"No",'Base File'!$B:$B,'Account Summary'!$C39,'Base File'!$AR:$AR,"Met")/SUM(COUNTIFS('Base File'!$G:$G,"Contractual SLA",'Base File'!$H:$H,"No",'Base File'!$B:$B,'Account Summary'!$C39,'Base File'!$AR:$AR,"Met")+COUNTIFS('Base File'!$G:$G,"Contractual SLA",'Base File'!$H:$H,"No",'Base File'!$B:$B,'Account Summary'!$C39,'Base File'!$AR:$AR,"Not Met")),"-")</f>
        <v>-</v>
      </c>
      <c r="N39" s="108">
        <f>IFERROR(COUNTIFS('Base File'!$G:$G,"Contractual SLA",'Base File'!$H:$H,"Yes",'Base File'!$B:$B,'Account Summary'!$C39,'Base File'!$AR:$AR,"Met")/SUM(COUNTIFS('Base File'!$G:$G,"Contractual SLA",'Base File'!$H:$H,"yes",'Base File'!$B:$B,'Account Summary'!$C39,'Base File'!$AR:$AR,"Met")+COUNTIFS('Base File'!$G:$G,"Contractual SLA",'Base File'!$H:$H,"yes",'Base File'!$B:$B,'Account Summary'!$C39,'Base File'!$AR:$AR,"Not Met")),"-")</f>
        <v>0.5</v>
      </c>
      <c r="O39" s="97">
        <f>IFERROR(COUNTIFS('Base File'!$G:$G,"Internal KPI",'Base File'!$B:$B,'Account Summary'!$C39,'Base File'!$AR:$AR,"Met")/SUM(COUNTIFS('Base File'!$G:$G,"Internal KPI",'Base File'!$B:$B,'Account Summary'!$C39,'Base File'!$AR:$AR,"Met")+COUNTIFS('Base File'!$G:$G,"Internal KPI",'Base File'!$B:$B,'Account Summary'!$C39,'Base File'!$AR:$AR,"Not Met")),"-")</f>
        <v>0.88888888888888884</v>
      </c>
      <c r="P39" s="109">
        <f>IFERROR(COUNTIFS('Base File'!$AV:$AV,"Met",'Base File'!$B:$B,'Account Summary'!C39)/(COUNTIFS('Base File'!$AV:$AV,"Met",'Base File'!$B:$B,'Account Summary'!C39)+COUNTIFS('Base File'!$AV:$AV,"Not Met",'Base File'!$B:$B,'Account Summary'!C39)),"NR")</f>
        <v>0.54545454545454541</v>
      </c>
      <c r="Q39" s="98" t="str">
        <f>IFERROR(COUNTIFS('Base File'!$G:$G,"Contractual SLA",'Base File'!$H:$H,"No",'Base File'!$B:$B,'Account Summary'!$C39,'Base File'!$AV:$AV,"Met")/SUM(COUNTIFS('Base File'!$G:$G,"Contractual SLA",'Base File'!$H:$H,"No",'Base File'!$B:$B,'Account Summary'!$C39,'Base File'!$AV:$AV,"Met")+COUNTIFS('Base File'!$G:$G,"Contractual SLA",'Base File'!$H:$H,"No",'Base File'!$B:$B,'Account Summary'!$C39,'Base File'!$AV:$AV,"Not Met")),"-")</f>
        <v>-</v>
      </c>
      <c r="R39" s="110">
        <f>IFERROR(COUNTIFS('Base File'!$G:$G,"Contractual SLA",'Base File'!$H:$H,"Yes",'Base File'!$B:$B,'Account Summary'!$C39,'Base File'!$AV:$AV,"Met")/SUM(COUNTIFS('Base File'!$G:$G,"Contractual SLA",'Base File'!$H:$H,"yes",'Base File'!$B:$B,'Account Summary'!$C39,'Base File'!$AV:$AV,"Met")+COUNTIFS('Base File'!$G:$G,"Contractual SLA",'Base File'!$H:$H,"yes",'Base File'!$B:$B,'Account Summary'!$C39,'Base File'!$AV:$AV,"Not Met")),"-")</f>
        <v>0.5</v>
      </c>
      <c r="S39" s="109">
        <f>IFERROR(COUNTIFS('Base File'!$G:$G,"Internal KPI",'Base File'!$B:$B,'Account Summary'!$C39,'Base File'!$AV:$AV,"Met")/SUM(COUNTIFS('Base File'!$G:$G,"Internal KPI",'Base File'!$B:$B,'Account Summary'!$C39,'Base File'!$AV:$AV,"Met")+COUNTIFS('Base File'!$G:$G,"Internal KPI",'Base File'!$B:$B,'Account Summary'!$C39,'Base File'!$AV:$AV,"Not Met")),"-")</f>
        <v>0.55555555555555558</v>
      </c>
      <c r="T39" s="106">
        <f>IFERROR(COUNTIFS('Base File'!$AX:$AX,"Met",'Base File'!$B:$B,'Account Summary'!C39)/(COUNTIFS('Base File'!$AX:$AX,"Met",'Base File'!$B:$B,'Account Summary'!C39)+COUNTIFS('Base File'!$AX:$AX,"Not Met",'Base File'!$B:$B,'Account Summary'!C39)),"NR")</f>
        <v>0.72727272727272729</v>
      </c>
      <c r="U39" s="101" t="s">
        <v>11</v>
      </c>
      <c r="V39" s="110">
        <f>IFERROR(COUNTIFS('Base File'!$G:$G,"Contractual SLA",'Base File'!$H:$H,"Yes",'Base File'!$B:$B,'Account Summary'!$C39,'Base File'!$AX:$AX,"Met")/SUM(COUNTIFS('Base File'!$G:$G,"Contractual SLA",'Base File'!$H:$H,"yes",'Base File'!$B:$B,'Account Summary'!$C39,'Base File'!$AX:$AX,"Met")+COUNTIFS('Base File'!$G:$G,"Contractual SLA",'Base File'!$H:$H,"yes",'Base File'!$B:$B,'Account Summary'!$C39,'Base File'!$AX:$AX,"Not Met")),"-")</f>
        <v>0.5</v>
      </c>
      <c r="W39" s="99">
        <f>IFERROR(COUNTIFS('Base File'!$G:$G,"Internal KPI",'Base File'!$B:$B,'Account Summary'!$C39,'Base File'!$AX:$AX,"Met")/SUM(COUNTIFS('Base File'!$G:$G,"Internal KPI",'Base File'!$B:$B,'Account Summary'!$C39,'Base File'!$AX:$AX,"Met")+COUNTIFS('Base File'!$G:$G,"Internal KPI",'Base File'!$B:$B,'Account Summary'!$C39,'Base File'!$AX:$AX,"Not Met")),"-")</f>
        <v>0.77777777777777779</v>
      </c>
      <c r="X39" s="106">
        <f>IFERROR(COUNTIFS('Base File'!$AZ:$AZ,"Met",'Base File'!$B:$B,'Account Summary'!C39)/(COUNTIFS('Base File'!$AZ:$AZ,"Met",'Base File'!$B:$B,'Account Summary'!C39)+COUNTIFS('Base File'!$AZ:$AZ,"Not Met",'Base File'!$B:$B,'Account Summary'!C39)),"NR")</f>
        <v>0.55555555555555558</v>
      </c>
      <c r="Y39" s="101" t="str">
        <f>IFERROR(COUNTIFS('Base File'!$G:$G,"Contractual SLA",'Base File'!$H:$H,"No",'Base File'!$B:$B,'Account Summary'!$C39,'Base File'!$AZ:$AZ,"Met")/SUM(COUNTIFS('Base File'!$G:$G,"Contractual SLA",'Base File'!$H:$H,"No",'Base File'!$B:$B,'Account Summary'!$C39,'Base File'!$AZ:$AZ,"Met")+COUNTIFS('Base File'!$G:$G,"Contractual SLA",'Base File'!$H:$H,"No",'Base File'!$B:$B,'Account Summary'!$C39,'Base File'!$AZ:$AZ,"Not Met")),"-")</f>
        <v>-</v>
      </c>
      <c r="Z39" s="110">
        <f>IFERROR(COUNTIFS('Base File'!$G:$G,"Contractual SLA",'Base File'!$H:$H,"Yes",'Base File'!$B:$B,'Account Summary'!$C39,'Base File'!$AZ:$AZ,"Met")/SUM(COUNTIFS('Base File'!$G:$G,"Contractual SLA",'Base File'!$H:$H,"yes",'Base File'!$B:$B,'Account Summary'!$C39,'Base File'!$AZ:$AZ,"Met")+COUNTIFS('Base File'!$G:$G,"Contractual SLA",'Base File'!$H:$H,"yes",'Base File'!$B:$B,'Account Summary'!$C39,'Base File'!$AZ:$AZ,"Not Met")),"-")</f>
        <v>0</v>
      </c>
      <c r="AA39" s="106">
        <f>IFERROR(COUNTIFS('Base File'!$G:$G,"Internal KPI",'Base File'!$B:$B,'Account Summary'!$C39,'Base File'!$AZ:$AZ,"Met")/SUM(COUNTIFS('Base File'!$G:$G,"Internal KPI",'Base File'!$B:$B,'Account Summary'!$C39,'Base File'!$AZ:$AZ,"Met")+COUNTIFS('Base File'!$G:$G,"Internal KPI",'Base File'!$B:$B,'Account Summary'!$C39,'Base File'!$AZ:$AZ,"Not Met")),"-")</f>
        <v>0.7142857142857143</v>
      </c>
      <c r="AB39" s="107">
        <f>IFERROR(COUNTIFS('Base File'!$BB:$BB,"Met",'Base File'!$B:$B,'Account Summary'!C39)/(COUNTIFS('Base File'!$BB:$BB,"Met",'Base File'!$B:$B,'Account Summary'!C39)+COUNTIFS('Base File'!$BB:$BB,"Not Met",'Base File'!$B:$B,'Account Summary'!C39)),"NR")</f>
        <v>0.55555555555555558</v>
      </c>
      <c r="AC39" s="101" t="str">
        <f>IFERROR(COUNTIFS('Base File'!$G:$G,"Contractual SLA",'Base File'!$H:$H,"No",'Base File'!$B:$B,'Account Summary'!$C39,'Base File'!$BB:$BB,"Met")/SUM(COUNTIFS('Base File'!$G:$G,"Contractual SLA",'Base File'!$H:$H,"No",'Base File'!$B:$B,'Account Summary'!$C39,'Base File'!$BB:$BB,"Met")+COUNTIFS('Base File'!$G:$G,"Contractual SLA",'Base File'!$H:$H,"No",'Base File'!$B:$B,'Account Summary'!$C39,'Base File'!$BB:$BB,"Not Met")),"-")</f>
        <v>-</v>
      </c>
      <c r="AD39" s="110">
        <f>IFERROR(COUNTIFS('Base File'!$G:$G,"Contractual SLA",'Base File'!$H:$H,"Yes",'Base File'!$B:$B,'Account Summary'!$C39,'Base File'!$BB:$BB,"Met")/SUM(COUNTIFS('Base File'!$G:$G,"Contractual SLA",'Base File'!$H:$H,"yes",'Base File'!$B:$B,'Account Summary'!$C39,'Base File'!$BB:$BB,"Met")+COUNTIFS('Base File'!$G:$G,"Contractual SLA",'Base File'!$H:$H,"yes",'Base File'!$B:$B,'Account Summary'!$C39,'Base File'!$BB:$BB,"Not Met")),"-")</f>
        <v>0.5</v>
      </c>
      <c r="AE39" s="106">
        <f>IFERROR(COUNTIFS('Base File'!$G:$G,"Internal KPI",'Base File'!$B:$B,'Account Summary'!$C39,'Base File'!$BB:$BB,"Met")/SUM(COUNTIFS('Base File'!$G:$G,"Internal KPI",'Base File'!$B:$B,'Account Summary'!$C39,'Base File'!$BB:$BB,"Met")+COUNTIFS('Base File'!$G:$G,"Internal KPI",'Base File'!$B:$B,'Account Summary'!$C39,'Base File'!$BB:$BB,"Not Met")),"-")</f>
        <v>0.5714285714285714</v>
      </c>
      <c r="AF39" s="106">
        <f>IFERROR(COUNTIFS('Base File'!$BD:$BD,"Met",'Base File'!$B:$B,'Account Summary'!C39)/(COUNTIFS('Base File'!$BD:$BD,"Met",'Base File'!$B:$B,'Account Summary'!C39)+COUNTIFS('Base File'!$BD:$BD,"Not Met",'Base File'!$B:$B,'Account Summary'!C39)),"NR")</f>
        <v>0.63636363636363635</v>
      </c>
      <c r="AG39" s="100" t="str">
        <f>IFERROR(COUNTIFS('Base File'!$G:$G,"Contractual SLA",'Base File'!$H:$H,"No",'Base File'!$B:$B,'Account Summary'!$C39,'Base File'!$BD:$BD,"Met")/SUM(COUNTIFS('Base File'!$G:$G,"Contractual SLA",'Base File'!$H:$H,"No",'Base File'!$B:$B,'Account Summary'!$C39,'Base File'!$BD:$BD,"Met")+COUNTIFS('Base File'!$G:$G,"Contractual SLA",'Base File'!$H:$H,"No",'Base File'!$B:$B,'Account Summary'!$C39,'Base File'!$BD:$BD,"Not Met")),"-")</f>
        <v>-</v>
      </c>
      <c r="AH39" s="110">
        <f>IFERROR(COUNTIFS('Base File'!$G:$G,"Contractual SLA",'Base File'!$H:$H,"Yes",'Base File'!$B:$B,'Account Summary'!$C39,'Base File'!$BD:$BD,"Met")/SUM(COUNTIFS('Base File'!$G:$G,"Contractual SLA",'Base File'!$H:$H,"yes",'Base File'!$B:$B,'Account Summary'!$C39,'Base File'!$BD:$BD,"Met")+COUNTIFS('Base File'!$G:$G,"Contractual SLA",'Base File'!$H:$H,"yes",'Base File'!$B:$B,'Account Summary'!$C39,'Base File'!$BD:$BD,"Not Met")),"-")</f>
        <v>0</v>
      </c>
      <c r="AI39" s="99">
        <f>IFERROR(COUNTIFS('Base File'!$G:$G,"Internal KPI",'Base File'!$B:$B,'Account Summary'!$C39,'Base File'!$BD:$BD,"Met")/SUM(COUNTIFS('Base File'!$G:$G,"Internal KPI",'Base File'!$B:$B,'Account Summary'!$C39,'Base File'!$BD:$BD,"Met")+COUNTIFS('Base File'!$G:$G,"Internal KPI",'Base File'!$B:$B,'Account Summary'!$C39,'Base File'!$BD:$BD,"Not Met")),"-")</f>
        <v>0.77777777777777779</v>
      </c>
      <c r="AJ39" s="106">
        <f>IFERROR(COUNTIFS('Base File'!$BF:$BF,"Met",'Base File'!$B:$B,'Account Summary'!C39)/(COUNTIFS('Base File'!$BF:$BF,"Met",'Base File'!$B:$B,'Account Summary'!C39)+COUNTIFS('Base File'!$BF:$BF,"Not Met",'Base File'!$B:$B,'Account Summary'!C39)),"NR")</f>
        <v>0.54545454545454541</v>
      </c>
      <c r="AK39" s="100" t="str">
        <f>IFERROR(COUNTIFS('Base File'!$G:$G,"Contractual SLA",'Base File'!$H:$H,"No",'Base File'!$B:$B,'Account Summary'!$C39,'Base File'!$BF:$BF,"Met")/SUM(COUNTIFS('Base File'!$G:$G,"Contractual SLA",'Base File'!$H:$H,"No",'Base File'!$B:$B,'Account Summary'!$C39,'Base File'!$BF:$BF,"Met")+COUNTIFS('Base File'!$G:$G,"Contractual SLA",'Base File'!$H:$H,"No",'Base File'!$B:$B,'Account Summary'!$C39,'Base File'!$BF:$BF,"Not Met")),"-")</f>
        <v>-</v>
      </c>
      <c r="AL39" s="110">
        <f>IFERROR(COUNTIFS('Base File'!$G:$G,"Contractual SLA",'Base File'!$H:$H,"Yes",'Base File'!$B:$B,'Account Summary'!$C39,'Base File'!$BF:$BF,"Met")/SUM(COUNTIFS('Base File'!$G:$G,"Contractual SLA",'Base File'!$H:$H,"yes",'Base File'!$B:$B,'Account Summary'!$C39,'Base File'!$BF:$BF,"Met")+COUNTIFS('Base File'!$G:$G,"Contractual SLA",'Base File'!$H:$H,"yes",'Base File'!$B:$B,'Account Summary'!$C39,'Base File'!$BF:$BF,"Not Met")),"-")</f>
        <v>0</v>
      </c>
      <c r="AM39" s="106">
        <f>IFERROR(COUNTIFS('Base File'!$G:$G,"Internal KPI",'Base File'!$B:$B,'Account Summary'!$C39,'Base File'!$BF:$BF,"Met")/SUM(COUNTIFS('Base File'!$G:$G,"Internal KPI",'Base File'!$B:$B,'Account Summary'!$C39,'Base File'!$BF:$BF,"Met")+COUNTIFS('Base File'!$G:$G,"Internal KPI",'Base File'!$B:$B,'Account Summary'!$C39,'Base File'!$BF:$BF,"Not Met")),"-")</f>
        <v>0.66666666666666663</v>
      </c>
      <c r="AN39" s="106">
        <f>IFERROR(COUNTIFS('Base File'!$BH:$BH,"Met",'Base File'!$B:$B,'Account Summary'!C39)/(COUNTIFS('Base File'!$BH:$BH,"Met",'Base File'!$B:$B,'Account Summary'!C39)+COUNTIFS('Base File'!$BH:$BH,"Not Met",'Base File'!$B:$B,'Account Summary'!C39)),"NR")</f>
        <v>0.72727272727272729</v>
      </c>
      <c r="AO39" s="100" t="str">
        <f>IFERROR(COUNTIFS('Base File'!$G:$G,"Contractual SLA",'Base File'!$H:$H,"No",'Base File'!$B:$B,'Account Summary'!$C39,'Base File'!$BH:$BH,"Met")/SUM(COUNTIFS('Base File'!$G:$G,"Contractual SLA",'Base File'!$H:$H,"No",'Base File'!$B:$B,'Account Summary'!$C39,'Base File'!$BH:$BH,"Met")+COUNTIFS('Base File'!$G:$G,"Contractual SLA",'Base File'!$H:$H,"No",'Base File'!$B:$B,'Account Summary'!$C39,'Base File'!$BH:$BH,"Not Met")),"-")</f>
        <v>-</v>
      </c>
      <c r="AP39" s="110">
        <f>IFERROR(COUNTIFS('Base File'!$G:$G,"Contractual SLA",'Base File'!$H:$H,"Yes",'Base File'!$B:$B,'Account Summary'!$C39,'Base File'!$BH:$BH,"Met")/SUM(COUNTIFS('Base File'!$G:$G,"Contractual SLA",'Base File'!$H:$H,"yes",'Base File'!$B:$B,'Account Summary'!$C39,'Base File'!$BH:$BH,"Met")+COUNTIFS('Base File'!$G:$G,"Contractual SLA",'Base File'!$H:$H,"yes",'Base File'!$B:$B,'Account Summary'!$C39,'Base File'!$BH:$BH,"Not Met")),"-")</f>
        <v>0</v>
      </c>
      <c r="AQ39" s="99">
        <f>IFERROR(COUNTIFS('Base File'!$G:$G,"Internal KPI",'Base File'!$B:$B,'Account Summary'!$C39,'Base File'!$BH:$BH,"Met")/SUM(COUNTIFS('Base File'!$G:$G,"Internal KPI",'Base File'!$B:$B,'Account Summary'!$C39,'Base File'!$BH:$BH,"Met")+COUNTIFS('Base File'!$G:$G,"Internal KPI",'Base File'!$B:$B,'Account Summary'!$C39,'Base File'!$BH:$BH,"Not Met")),"-")</f>
        <v>0.88888888888888884</v>
      </c>
      <c r="AR39" s="100" t="str">
        <f>IFERROR(COUNTIFS('Base File'!$BJ:$BJ,"Met",'Base File'!$B:$B,'Account Summary'!C39)/(COUNTIFS('Base File'!$BJ:$BJ,"Met",'Base File'!$B:$B,'Account Summary'!C39)+COUNTIFS('Base File'!$BJ:$BJ,"Not Met",'Base File'!$B:$B,'Account Summary'!C39)),"NR")</f>
        <v>NR</v>
      </c>
      <c r="AS39" s="101" t="str">
        <f>IFERROR(COUNTIFS('Base File'!$G:$G,"Contractual SLA",'Base File'!$H:$H,"No",'Base File'!$B:$B,'Account Summary'!$C39,'Base File'!$BJ:$BJ,"Met")/SUM(COUNTIFS('Base File'!$G:$G,"Contractual SLA",'Base File'!$H:$H,"No",'Base File'!$B:$B,'Account Summary'!$C39,'Base File'!$BJ:$BJ,"Met")+COUNTIFS('Base File'!$G:$G,"Contractual SLA",'Base File'!$H:$H,"No",'Base File'!$B:$B,'Account Summary'!$C39,'Base File'!$BJ:$BJ,"Not Met")),"-")</f>
        <v>-</v>
      </c>
      <c r="AT39" s="100" t="str">
        <f>IFERROR(COUNTIFS('Base File'!$BJ:$BJ,"Met",'Base File'!$B:$B,'Account Summary'!F39)/(COUNTIFS('Base File'!$BJ:$BJ,"Met",'Base File'!$B:$B,'Account Summary'!F39)+COUNTIFS('Base File'!$BJ:$BJ,"Not Met",'Base File'!$B:$B,'Account Summary'!F39)),"NR")</f>
        <v>NR</v>
      </c>
      <c r="AU39" s="100" t="str">
        <f>IFERROR(COUNTIFS('Base File'!$BJ:$BJ,"Met",'Base File'!$B:$B,'Account Summary'!G39)/(COUNTIFS('Base File'!$BJ:$BJ,"Met",'Base File'!$B:$B,'Account Summary'!G39)+COUNTIFS('Base File'!$BJ:$BJ,"Not Met",'Base File'!$B:$B,'Account Summary'!G39)),"NR")</f>
        <v>NR</v>
      </c>
      <c r="AV39" s="100">
        <f>IFERROR(COUNTIFS('Base File'!$BL:$BL,"Met",'Base File'!$B:$B,'Account Summary'!C39)/(COUNTIFS('Base File'!$BL:$BL,"Met",'Base File'!$B:$B,'Account Summary'!C39)+COUNTIFS('Base File'!$BL:$BL,"Not Met",'Base File'!$B:$B,'Account Summary'!C39)),"NR")</f>
        <v>0.72727272727272729</v>
      </c>
      <c r="AW39" s="100" t="str">
        <f>IFERROR(COUNTIFS('Base File'!$G:$G,"Contractual SLA",'Base File'!$H:$H,"No",'Base File'!$B:$B,'Account Summary'!$C39,'Base File'!$BL:$BL,"Met")/SUM(COUNTIFS('Base File'!$G:$G,"Contractual SLA",'Base File'!$H:$H,"No",'Base File'!$B:$B,'Account Summary'!$C39,'Base File'!$BL:$BL,"Met")+COUNTIFS('Base File'!$G:$G,"Contractual SLA",'Base File'!$H:$H,"No",'Base File'!$B:$B,'Account Summary'!$C39,'Base File'!$BL:$BL,"Not Met")),"-")</f>
        <v>-</v>
      </c>
      <c r="AX39" s="100">
        <f>IFERROR(COUNTIFS('Base File'!$G:$G,"Contractual SLA",'Base File'!$H:$H,"Yes",'Base File'!$B:$B,'Account Summary'!$C39,'Base File'!$BL:$BL,"Met")/SUM(COUNTIFS('Base File'!$G:$G,"Contractual SLA",'Base File'!$H:$H,"yes",'Base File'!$B:$B,'Account Summary'!$C39,'Base File'!$BL:$BL,"Met")+COUNTIFS('Base File'!$G:$G,"Contractual SLA",'Base File'!$H:$H,"yes",'Base File'!$B:$B,'Account Summary'!$C39,'Base File'!$BL:$BL,"Not Met")),"-")</f>
        <v>0.5</v>
      </c>
      <c r="AY39" s="100">
        <f>IFERROR(COUNTIFS('Base File'!$G:$G,"Internal KPI",'Base File'!$B:$B,'Account Summary'!$C39,'Base File'!$BL:$BL,"Met")/SUM(COUNTIFS('Base File'!$G:$G,"Internal KPI",'Base File'!$B:$B,'Account Summary'!$C39,'Base File'!$BL:$BL,"Met")+COUNTIFS('Base File'!$G:$G,"Internal KPI",'Base File'!$B:$B,'Account Summary'!$C39,'Base File'!$BL:$BL,"Not Met")),"-")</f>
        <v>0.77777777777777779</v>
      </c>
      <c r="AZ39" s="100">
        <v>0.81818181818181823</v>
      </c>
      <c r="BA39" s="100" t="s">
        <v>107</v>
      </c>
      <c r="BB39" s="100">
        <v>0.5</v>
      </c>
      <c r="BC39" s="100">
        <v>0.88888888888888884</v>
      </c>
      <c r="BD39" s="106">
        <f>IFERROR(COUNTIFS('Base File'!$BP:$BP,"Met",'Base File'!$B:$B,'Account Summary'!C39)/(COUNTIFS('Base File'!$BP:$BP,"Met",'Base File'!$B:$B,'Account Summary'!C39)+COUNTIFS('Base File'!$BP:$BP,"Not Met",'Base File'!$B:$B,'Account Summary'!C39)),"NR")</f>
        <v>0.63636363636363635</v>
      </c>
      <c r="BE39" s="100" t="str">
        <f>IFERROR(COUNTIFS('Base File'!$G:$G,"Contractual SLA",'Base File'!$H:$H,"No",'Base File'!$B:$B,'Account Summary'!$C39,'Base File'!$BP:$BP,"Met")/SUM(COUNTIFS('Base File'!$G:$G,"Contractual SLA",'Base File'!$H:$H,"No",'Base File'!$B:$B,'Account Summary'!$C39,'Base File'!$BP:$BP,"Met")+COUNTIFS('Base File'!$G:$G,"Contractual SLA",'Base File'!$H:$H,"No",'Base File'!$B:$B,'Account Summary'!$C39,'Base File'!$BP:$BP,"Not Met")),"-")</f>
        <v>-</v>
      </c>
      <c r="BF39" s="110">
        <f>IFERROR(COUNTIFS('Base File'!$G:$G,"Contractual SLA",'Base File'!$H:$H,"Yes",'Base File'!$B:$B,'Account Summary'!$C39,'Base File'!$BP:$BP,"Met")/SUM(COUNTIFS('Base File'!$G:$G,"Contractual SLA",'Base File'!$H:$H,"yes",'Base File'!$B:$B,'Account Summary'!$C39,'Base File'!$BP:$BP,"Met")+COUNTIFS('Base File'!$G:$G,"Contractual SLA",'Base File'!$H:$H,"yes",'Base File'!$B:$B,'Account Summary'!$C39,'Base File'!$BP:$BP,"Not Met")),"-")</f>
        <v>0</v>
      </c>
      <c r="BG39" s="99">
        <f>IFERROR(COUNTIFS('Base File'!$G:$G,"Internal KPI",'Base File'!$B:$B,'Account Summary'!$C39,'Base File'!$BP:$BP,"Met")/SUM(COUNTIFS('Base File'!$G:$G,"Internal KPI",'Base File'!$B:$B,'Account Summary'!$C39,'Base File'!$BP:$BP,"Met")+COUNTIFS('Base File'!$G:$G,"Internal KPI",'Base File'!$B:$B,'Account Summary'!$C39,'Base File'!$BP:$BP,"Not Met")),"-")</f>
        <v>0.77777777777777779</v>
      </c>
      <c r="BH39" s="106">
        <f>IFERROR(COUNTIFS('Base File'!$BR:$BR,"Met",'Base File'!$B:$B,'Account Summary'!C39)/(COUNTIFS('Base File'!$BR:$BR,"Met",'Base File'!$B:$B,'Account Summary'!C39)+COUNTIFS('Base File'!$BR:$BR,"Not Met",'Base File'!$B:$B,'Account Summary'!C39)),"NR")</f>
        <v>0.72727272727272729</v>
      </c>
      <c r="BI39" s="101" t="str">
        <f>IFERROR(COUNTIFS('Base File'!$G:$G,"Contractual SLA",'Base File'!$H:$H,"No",'Base File'!$B:$B,'Account Summary'!$C39,'Base File'!$BR:$BR,"Met")/SUM(COUNTIFS('Base File'!$G:$G,"Contractual SLA",'Base File'!$H:$H,"No",'Base File'!$B:$B,'Account Summary'!$C39,'Base File'!$BR:$BR,"Met")+COUNTIFS('Base File'!$G:$G,"Contractual SLA",'Base File'!$H:$H,"No",'Base File'!$B:$B,'Account Summary'!$C39,'Base File'!$BR:$BR,"Not Met")),"-")</f>
        <v>-</v>
      </c>
      <c r="BJ39" s="110">
        <v>0</v>
      </c>
      <c r="BK39" s="99">
        <f>IFERROR(COUNTIFS('Base File'!$G:$G,"Internal KPI",'Base File'!$B:$B,'Account Summary'!$C39,'Base File'!$BR:$BR,"Met")/SUM(COUNTIFS('Base File'!$G:$G,"Internal KPI",'Base File'!$B:$B,'Account Summary'!$C39,'Base File'!$BR:$BR,"Met")+COUNTIFS('Base File'!$G:$G,"Internal KPI",'Base File'!$B:$B,'Account Summary'!$C39,'Base File'!$BR:$BR,"Not Met")),"-")</f>
        <v>0.88888888888888884</v>
      </c>
      <c r="BL39" s="100">
        <f>IFERROR(COUNTIFS('Base File'!$BT:$BT,"Met",'Base File'!$B:$B,'Account Summary'!C39)/(COUNTIFS('Base File'!$BT:$BT,"Met",'Base File'!$B:$B,'Account Summary'!C39)+COUNTIFS('Base File'!$BT:$BT,"Not Met",'Base File'!$B:$B,'Account Summary'!C39)),"NR")</f>
        <v>0.81818181818181823</v>
      </c>
      <c r="BM39" s="100" t="str">
        <f>IFERROR(COUNTIFS('Base File'!$G:$G,"Contractual SLA",'Base File'!$H:$H,"No",'Base File'!$B:$B,'Account Summary'!$C39,'Base File'!$BT:$BT,"Met")/SUM(COUNTIFS('Base File'!$G:$G,"Contractual SLA",'Base File'!$H:$H,"No",'Base File'!$B:$B,'Account Summary'!$C39,'Base File'!$BT:$BT,"Met")+COUNTIFS('Base File'!$G:$G,"Contractual SLA",'Base File'!$H:$H,"No",'Base File'!$B:$B,'Account Summary'!$C39,'Base File'!$BT:$BT,"Not Met")),"-")</f>
        <v>-</v>
      </c>
      <c r="BN39" s="100">
        <f>IFERROR(COUNTIFS('Base File'!$G:$G,"Contractual SLA",'Base File'!$H:$H,"Yes",'Base File'!$B:$B,'Account Summary'!$C39,'Base File'!$BT:$BT,"Met")/SUM(COUNTIFS('Base File'!$G:$G,"Contractual SLA",'Base File'!$H:$H,"yes",'Base File'!$B:$B,'Account Summary'!$C39,'Base File'!$BT:$BT,"Met")+COUNTIFS('Base File'!$G:$G,"Contractual SLA",'Base File'!$H:$H,"yes",'Base File'!$B:$B,'Account Summary'!$C39,'Base File'!$BT:$BT,"Not Met")),"-")</f>
        <v>0.5</v>
      </c>
      <c r="BO39" s="100">
        <f>IFERROR(COUNTIFS('Base File'!$G:$G,"Internal KPI",'Base File'!$B:$B,'Account Summary'!$C39,'Base File'!$BT:$BT,"Met")/SUM(COUNTIFS('Base File'!$G:$G,"Internal KPI",'Base File'!$B:$B,'Account Summary'!$C39,'Base File'!$BT:$BT,"Met")+COUNTIFS('Base File'!$G:$G,"Internal KPI",'Base File'!$B:$B,'Account Summary'!$C39,'Base File'!$BT:$BT,"Not Met")),"-")</f>
        <v>0.88888888888888884</v>
      </c>
      <c r="BP39" s="100">
        <f>IFERROR(COUNTIFS('Base File'!$BV:$BV,"Met",'Base File'!$B:$B,'Account Summary'!C39)/(COUNTIFS('Base File'!$BV:$BV,"Met",'Base File'!$B:$B,'Account Summary'!C39)+COUNTIFS('Base File'!$BV:$BV,"Not Met",'Base File'!$B:$B,'Account Summary'!C39)),"NR")</f>
        <v>0.72727272727272729</v>
      </c>
      <c r="BQ39" s="102" t="s">
        <v>107</v>
      </c>
      <c r="BR39" s="100">
        <f>IFERROR(COUNTIFS('Base File'!$G:$G,"Contractual SLA",'Base File'!$H:$H,"Yes",'Base File'!$B:$B,'Account Summary'!$C39,'Base File'!$BV:$BV,"Met")/SUM(COUNTIFS('Base File'!$G:$G,"Contractual SLA",'Base File'!$H:$H,"Yes",'Base File'!$B:$B,'Account Summary'!$C39,'Base File'!$BV:$BV,"Met")+COUNTIFS('Base File'!$G:$G,"Contractual SLA",'Base File'!$H:$H,"Yes",'Base File'!$B:$B,'Account Summary'!$C39,'Base File'!$BV:$BV,"Not Met")),"-")</f>
        <v>0</v>
      </c>
      <c r="BS39" s="100">
        <v>0.89</v>
      </c>
      <c r="BT39" s="12"/>
      <c r="BU39" s="12"/>
      <c r="BV39" s="12"/>
      <c r="BW39" s="12"/>
    </row>
    <row r="40" spans="1:75" x14ac:dyDescent="0.25">
      <c r="A40" s="389"/>
      <c r="B40" s="94">
        <v>37</v>
      </c>
      <c r="C40" s="94" t="s">
        <v>52</v>
      </c>
      <c r="D40" s="95" t="s">
        <v>110</v>
      </c>
      <c r="E40" s="95" t="s">
        <v>903</v>
      </c>
      <c r="F40" s="94" t="s">
        <v>899</v>
      </c>
      <c r="G40" s="89"/>
      <c r="H40" s="89"/>
      <c r="I40" s="94" t="s">
        <v>133</v>
      </c>
      <c r="J40" s="89" t="s">
        <v>67</v>
      </c>
      <c r="K40" s="89" t="s">
        <v>65</v>
      </c>
      <c r="L40" s="107">
        <f>IFERROR(COUNTIFS('Base File'!$AR:$AR,"Met",'Base File'!$B:$B,'Account Summary'!C40)/(COUNTIFS('Base File'!$AR:$AR,"Met",'Base File'!$B:$B,'Account Summary'!C40)+COUNTIFS('Base File'!$AR:$AR,"Not Met",'Base File'!$B:$B,'Account Summary'!C40)),"NR")</f>
        <v>0.55882352941176472</v>
      </c>
      <c r="M40" s="98" t="str">
        <f>IFERROR(COUNTIFS('Base File'!$G:$G,"Contractual SLA",'Base File'!$H:$H,"No",'Base File'!$B:$B,'Account Summary'!$C40,'Base File'!$AR:$AR,"Met")/SUM(COUNTIFS('Base File'!$G:$G,"Contractual SLA",'Base File'!$H:$H,"No",'Base File'!$B:$B,'Account Summary'!$C40,'Base File'!$AR:$AR,"Met")+COUNTIFS('Base File'!$G:$G,"Contractual SLA",'Base File'!$H:$H,"No",'Base File'!$B:$B,'Account Summary'!$C40,'Base File'!$AR:$AR,"Not Met")),"-")</f>
        <v>-</v>
      </c>
      <c r="N40" s="98" t="str">
        <f>IFERROR(COUNTIFS('Base File'!$G:$G,"Contractual SLA",'Base File'!$H:$H,"Yes",'Base File'!$B:$B,'Account Summary'!$C40,'Base File'!$AR:$AR,"Met")/SUM(COUNTIFS('Base File'!$G:$G,"Contractual SLA",'Base File'!$H:$H,"yes",'Base File'!$B:$B,'Account Summary'!$C40,'Base File'!$AR:$AR,"Met")+COUNTIFS('Base File'!$G:$G,"Contractual SLA",'Base File'!$H:$H,"yes",'Base File'!$B:$B,'Account Summary'!$C40,'Base File'!$AR:$AR,"Not Met")),"-")</f>
        <v>-</v>
      </c>
      <c r="O40" s="107">
        <f>IFERROR(COUNTIFS('Base File'!$G:$G,"Internal KPI",'Base File'!$B:$B,'Account Summary'!$C40,'Base File'!$AR:$AR,"Met")/SUM(COUNTIFS('Base File'!$G:$G,"Internal KPI",'Base File'!$B:$B,'Account Summary'!$C40,'Base File'!$AR:$AR,"Met")+COUNTIFS('Base File'!$G:$G,"Internal KPI",'Base File'!$B:$B,'Account Summary'!$C40,'Base File'!$AR:$AR,"Not Met")),"-")</f>
        <v>0.55882352941176472</v>
      </c>
      <c r="P40" s="110">
        <f>IFERROR(COUNTIFS('Base File'!$AV:$AV,"Met",'Base File'!$B:$B,'Account Summary'!C40)/(COUNTIFS('Base File'!$AV:$AV,"Met",'Base File'!$B:$B,'Account Summary'!C40)+COUNTIFS('Base File'!$AV:$AV,"Not Met",'Base File'!$B:$B,'Account Summary'!C40)),"NR")</f>
        <v>0.47499999999999998</v>
      </c>
      <c r="Q40" s="98" t="str">
        <f>IFERROR(COUNTIFS('Base File'!$G:$G,"Contractual SLA",'Base File'!$H:$H,"No",'Base File'!$B:$B,'Account Summary'!$C40,'Base File'!$AV:$AV,"Met")/SUM(COUNTIFS('Base File'!$G:$G,"Contractual SLA",'Base File'!$H:$H,"No",'Base File'!$B:$B,'Account Summary'!$C40,'Base File'!$AV:$AV,"Met")+COUNTIFS('Base File'!$G:$G,"Contractual SLA",'Base File'!$H:$H,"No",'Base File'!$B:$B,'Account Summary'!$C40,'Base File'!$AV:$AV,"Not Met")),"-")</f>
        <v>-</v>
      </c>
      <c r="R40" s="103" t="str">
        <f>IFERROR(COUNTIFS('Base File'!$G:$G,"Contractual SLA",'Base File'!$H:$H,"Yes",'Base File'!$B:$B,'Account Summary'!$C40,'Base File'!$AV:$AV,"Met")/SUM(COUNTIFS('Base File'!$G:$G,"Contractual SLA",'Base File'!$H:$H,"yes",'Base File'!$B:$B,'Account Summary'!$C40,'Base File'!$AV:$AV,"Met")+COUNTIFS('Base File'!$G:$G,"Contractual SLA",'Base File'!$H:$H,"yes",'Base File'!$B:$B,'Account Summary'!$C40,'Base File'!$AV:$AV,"Not Met")),"-")</f>
        <v>-</v>
      </c>
      <c r="S40" s="110">
        <f>IFERROR(COUNTIFS('Base File'!$G:$G,"Internal KPI",'Base File'!$B:$B,'Account Summary'!$C40,'Base File'!$AV:$AV,"Met")/SUM(COUNTIFS('Base File'!$G:$G,"Internal KPI",'Base File'!$B:$B,'Account Summary'!$C40,'Base File'!$AV:$AV,"Met")+COUNTIFS('Base File'!$G:$G,"Internal KPI",'Base File'!$B:$B,'Account Summary'!$C40,'Base File'!$AV:$AV,"Not Met")),"-")</f>
        <v>0.47499999999999998</v>
      </c>
      <c r="T40" s="110">
        <f>IFERROR(COUNTIFS('Base File'!$AX:$AX,"Met",'Base File'!$B:$B,'Account Summary'!C40)/(COUNTIFS('Base File'!$AX:$AX,"Met",'Base File'!$B:$B,'Account Summary'!C40)+COUNTIFS('Base File'!$AX:$AX,"Not Met",'Base File'!$B:$B,'Account Summary'!C40)),"NR")</f>
        <v>0.4642857142857143</v>
      </c>
      <c r="U40" s="101" t="s">
        <v>11</v>
      </c>
      <c r="V40" s="100" t="s">
        <v>11</v>
      </c>
      <c r="W40" s="110">
        <f>IFERROR(COUNTIFS('Base File'!$G:$G,"Internal KPI",'Base File'!$B:$B,'Account Summary'!$C40,'Base File'!$AX:$AX,"Met")/SUM(COUNTIFS('Base File'!$G:$G,"Internal KPI",'Base File'!$B:$B,'Account Summary'!$C40,'Base File'!$AX:$AX,"Met")+COUNTIFS('Base File'!$G:$G,"Internal KPI",'Base File'!$B:$B,'Account Summary'!$C40,'Base File'!$AX:$AX,"Not Met")),"-")</f>
        <v>0.4642857142857143</v>
      </c>
      <c r="X40" s="106">
        <f>IFERROR(COUNTIFS('Base File'!$AZ:$AZ,"Met",'Base File'!$B:$B,'Account Summary'!C40)/(COUNTIFS('Base File'!$AZ:$AZ,"Met",'Base File'!$B:$B,'Account Summary'!C40)+COUNTIFS('Base File'!$AZ:$AZ,"Not Met",'Base File'!$B:$B,'Account Summary'!C40)),"NR")</f>
        <v>0.54838709677419351</v>
      </c>
      <c r="Y40" s="101" t="str">
        <f>IFERROR(COUNTIFS('Base File'!$G:$G,"Contractual SLA",'Base File'!$H:$H,"No",'Base File'!$B:$B,'Account Summary'!$C40,'Base File'!$AZ:$AZ,"Met")/SUM(COUNTIFS('Base File'!$G:$G,"Contractual SLA",'Base File'!$H:$H,"No",'Base File'!$B:$B,'Account Summary'!$C40,'Base File'!$AZ:$AZ,"Met")+COUNTIFS('Base File'!$G:$G,"Contractual SLA",'Base File'!$H:$H,"No",'Base File'!$B:$B,'Account Summary'!$C40,'Base File'!$AZ:$AZ,"Not Met")),"-")</f>
        <v>-</v>
      </c>
      <c r="Z40" s="100" t="str">
        <f>IFERROR(COUNTIFS('Base File'!$G:$G,"Contractual SLA",'Base File'!$H:$H,"Yes",'Base File'!$B:$B,'Account Summary'!$C40,'Base File'!$AZ:$AZ,"Met")/SUM(COUNTIFS('Base File'!$G:$G,"Contractual SLA",'Base File'!$H:$H,"yes",'Base File'!$B:$B,'Account Summary'!$C40,'Base File'!$AZ:$AZ,"Met")+COUNTIFS('Base File'!$G:$G,"Contractual SLA",'Base File'!$H:$H,"yes",'Base File'!$B:$B,'Account Summary'!$C40,'Base File'!$AZ:$AZ,"Not Met")),"-")</f>
        <v>-</v>
      </c>
      <c r="AA40" s="106">
        <f>IFERROR(COUNTIFS('Base File'!$G:$G,"Internal KPI",'Base File'!$B:$B,'Account Summary'!$C40,'Base File'!$AZ:$AZ,"Met")/SUM(COUNTIFS('Base File'!$G:$G,"Internal KPI",'Base File'!$B:$B,'Account Summary'!$C40,'Base File'!$AZ:$AZ,"Met")+COUNTIFS('Base File'!$G:$G,"Internal KPI",'Base File'!$B:$B,'Account Summary'!$C40,'Base File'!$AZ:$AZ,"Not Met")),"-")</f>
        <v>0.54838709677419351</v>
      </c>
      <c r="AB40" s="107">
        <f>IFERROR(COUNTIFS('Base File'!$BB:$BB,"Met",'Base File'!$B:$B,'Account Summary'!C40)/(COUNTIFS('Base File'!$BB:$BB,"Met",'Base File'!$B:$B,'Account Summary'!C40)+COUNTIFS('Base File'!$BB:$BB,"Not Met",'Base File'!$B:$B,'Account Summary'!C40)),"NR")</f>
        <v>0.51282051282051277</v>
      </c>
      <c r="AC40" s="101" t="str">
        <f>IFERROR(COUNTIFS('Base File'!$G:$G,"Contractual SLA",'Base File'!$H:$H,"No",'Base File'!$B:$B,'Account Summary'!$C40,'Base File'!$BB:$BB,"Met")/SUM(COUNTIFS('Base File'!$G:$G,"Contractual SLA",'Base File'!$H:$H,"No",'Base File'!$B:$B,'Account Summary'!$C40,'Base File'!$BB:$BB,"Met")+COUNTIFS('Base File'!$G:$G,"Contractual SLA",'Base File'!$H:$H,"No",'Base File'!$B:$B,'Account Summary'!$C40,'Base File'!$BB:$BB,"Not Met")),"-")</f>
        <v>-</v>
      </c>
      <c r="AD40" s="100" t="str">
        <f>IFERROR(COUNTIFS('Base File'!$G:$G,"Contractual SLA",'Base File'!$H:$H,"Yes",'Base File'!$B:$B,'Account Summary'!$C40,'Base File'!$BB:$BB,"Met")/SUM(COUNTIFS('Base File'!$G:$G,"Contractual SLA",'Base File'!$H:$H,"yes",'Base File'!$B:$B,'Account Summary'!$C40,'Base File'!$BB:$BB,"Met")+COUNTIFS('Base File'!$G:$G,"Contractual SLA",'Base File'!$H:$H,"yes",'Base File'!$B:$B,'Account Summary'!$C40,'Base File'!$BB:$BB,"Not Met")),"-")</f>
        <v>-</v>
      </c>
      <c r="AE40" s="106">
        <f>IFERROR(COUNTIFS('Base File'!$G:$G,"Internal KPI",'Base File'!$B:$B,'Account Summary'!$C40,'Base File'!$BB:$BB,"Met")/SUM(COUNTIFS('Base File'!$G:$G,"Internal KPI",'Base File'!$B:$B,'Account Summary'!$C40,'Base File'!$BB:$BB,"Met")+COUNTIFS('Base File'!$G:$G,"Internal KPI",'Base File'!$B:$B,'Account Summary'!$C40,'Base File'!$BB:$BB,"Not Met")),"-")</f>
        <v>0.51282051282051277</v>
      </c>
      <c r="AF40" s="106">
        <f>IFERROR(COUNTIFS('Base File'!$BD:$BD,"Met",'Base File'!$B:$B,'Account Summary'!C40)/(COUNTIFS('Base File'!$BD:$BD,"Met",'Base File'!$B:$B,'Account Summary'!C40)+COUNTIFS('Base File'!$BD:$BD,"Not Met",'Base File'!$B:$B,'Account Summary'!C40)),"NR")</f>
        <v>0.5</v>
      </c>
      <c r="AG40" s="100" t="str">
        <f>IFERROR(COUNTIFS('Base File'!$G:$G,"Contractual SLA",'Base File'!$H:$H,"No",'Base File'!$B:$B,'Account Summary'!$C40,'Base File'!$BD:$BD,"Met")/SUM(COUNTIFS('Base File'!$G:$G,"Contractual SLA",'Base File'!$H:$H,"No",'Base File'!$B:$B,'Account Summary'!$C40,'Base File'!$BD:$BD,"Met")+COUNTIFS('Base File'!$G:$G,"Contractual SLA",'Base File'!$H:$H,"No",'Base File'!$B:$B,'Account Summary'!$C40,'Base File'!$BD:$BD,"Not Met")),"-")</f>
        <v>-</v>
      </c>
      <c r="AH40" s="100" t="str">
        <f>IFERROR(COUNTIFS('Base File'!$G:$G,"Contractual SLA",'Base File'!$H:$H,"Yes",'Base File'!$B:$B,'Account Summary'!$C40,'Base File'!$BD:$BD,"Met")/SUM(COUNTIFS('Base File'!$G:$G,"Contractual SLA",'Base File'!$H:$H,"yes",'Base File'!$B:$B,'Account Summary'!$C40,'Base File'!$BD:$BD,"Met")+COUNTIFS('Base File'!$G:$G,"Contractual SLA",'Base File'!$H:$H,"yes",'Base File'!$B:$B,'Account Summary'!$C40,'Base File'!$BD:$BD,"Not Met")),"-")</f>
        <v>-</v>
      </c>
      <c r="AI40" s="106">
        <f>IFERROR(COUNTIFS('Base File'!$G:$G,"Internal KPI",'Base File'!$B:$B,'Account Summary'!$C40,'Base File'!$BD:$BD,"Met")/SUM(COUNTIFS('Base File'!$G:$G,"Internal KPI",'Base File'!$B:$B,'Account Summary'!$C40,'Base File'!$BD:$BD,"Met")+COUNTIFS('Base File'!$G:$G,"Internal KPI",'Base File'!$B:$B,'Account Summary'!$C40,'Base File'!$BD:$BD,"Not Met")),"-")</f>
        <v>0.5</v>
      </c>
      <c r="AJ40" s="106">
        <f>IFERROR(COUNTIFS('Base File'!$BF:$BF,"Met",'Base File'!$B:$B,'Account Summary'!C40)/(COUNTIFS('Base File'!$BF:$BF,"Met",'Base File'!$B:$B,'Account Summary'!C40)+COUNTIFS('Base File'!$BF:$BF,"Not Met",'Base File'!$B:$B,'Account Summary'!C40)),"NR")</f>
        <v>0.51428571428571423</v>
      </c>
      <c r="AK40" s="100" t="str">
        <f>IFERROR(COUNTIFS('Base File'!$G:$G,"Contractual SLA",'Base File'!$H:$H,"No",'Base File'!$B:$B,'Account Summary'!$C40,'Base File'!$BF:$BF,"Met")/SUM(COUNTIFS('Base File'!$G:$G,"Contractual SLA",'Base File'!$H:$H,"No",'Base File'!$B:$B,'Account Summary'!$C40,'Base File'!$BF:$BF,"Met")+COUNTIFS('Base File'!$G:$G,"Contractual SLA",'Base File'!$H:$H,"No",'Base File'!$B:$B,'Account Summary'!$C40,'Base File'!$BF:$BF,"Not Met")),"-")</f>
        <v>-</v>
      </c>
      <c r="AL40" s="100" t="str">
        <f>IFERROR(COUNTIFS('Base File'!$G:$G,"Contractual SLA",'Base File'!$H:$H,"Yes",'Base File'!$B:$B,'Account Summary'!$C40,'Base File'!$BF:$BF,"Met")/SUM(COUNTIFS('Base File'!$G:$G,"Contractual SLA",'Base File'!$H:$H,"yes",'Base File'!$B:$B,'Account Summary'!$C40,'Base File'!$BF:$BF,"Met")+COUNTIFS('Base File'!$G:$G,"Contractual SLA",'Base File'!$H:$H,"yes",'Base File'!$B:$B,'Account Summary'!$C40,'Base File'!$BF:$BF,"Not Met")),"-")</f>
        <v>-</v>
      </c>
      <c r="AM40" s="106">
        <f>IFERROR(COUNTIFS('Base File'!$G:$G,"Internal KPI",'Base File'!$B:$B,'Account Summary'!$C40,'Base File'!$BF:$BF,"Met")/SUM(COUNTIFS('Base File'!$G:$G,"Internal KPI",'Base File'!$B:$B,'Account Summary'!$C40,'Base File'!$BF:$BF,"Met")+COUNTIFS('Base File'!$G:$G,"Internal KPI",'Base File'!$B:$B,'Account Summary'!$C40,'Base File'!$BF:$BF,"Not Met")),"-")</f>
        <v>0.51428571428571423</v>
      </c>
      <c r="AN40" s="106">
        <f>IFERROR(COUNTIFS('Base File'!$BH:$BH,"Met",'Base File'!$B:$B,'Account Summary'!C40)/(COUNTIFS('Base File'!$BH:$BH,"Met",'Base File'!$B:$B,'Account Summary'!C40)+COUNTIFS('Base File'!$BH:$BH,"Not Met",'Base File'!$B:$B,'Account Summary'!C40)),"NR")</f>
        <v>0.7</v>
      </c>
      <c r="AO40" s="100" t="str">
        <f>IFERROR(COUNTIFS('Base File'!$G:$G,"Contractual SLA",'Base File'!$H:$H,"No",'Base File'!$B:$B,'Account Summary'!$C40,'Base File'!$BH:$BH,"Met")/SUM(COUNTIFS('Base File'!$G:$G,"Contractual SLA",'Base File'!$H:$H,"No",'Base File'!$B:$B,'Account Summary'!$C40,'Base File'!$BH:$BH,"Met")+COUNTIFS('Base File'!$G:$G,"Contractual SLA",'Base File'!$H:$H,"No",'Base File'!$B:$B,'Account Summary'!$C40,'Base File'!$BH:$BH,"Not Met")),"-")</f>
        <v>-</v>
      </c>
      <c r="AP40" s="100" t="str">
        <f>IFERROR(COUNTIFS('Base File'!$G:$G,"Contractual SLA",'Base File'!$H:$H,"Yes",'Base File'!$B:$B,'Account Summary'!$C40,'Base File'!$BH:$BH,"Met")/SUM(COUNTIFS('Base File'!$G:$G,"Contractual SLA",'Base File'!$H:$H,"yes",'Base File'!$B:$B,'Account Summary'!$C40,'Base File'!$BH:$BH,"Met")+COUNTIFS('Base File'!$G:$G,"Contractual SLA",'Base File'!$H:$H,"yes",'Base File'!$B:$B,'Account Summary'!$C40,'Base File'!$BH:$BH,"Not Met")),"-")</f>
        <v>-</v>
      </c>
      <c r="AQ40" s="106">
        <f>IFERROR(COUNTIFS('Base File'!$G:$G,"Internal KPI",'Base File'!$B:$B,'Account Summary'!$C40,'Base File'!$BH:$BH,"Met")/SUM(COUNTIFS('Base File'!$G:$G,"Internal KPI",'Base File'!$B:$B,'Account Summary'!$C40,'Base File'!$BH:$BH,"Met")+COUNTIFS('Base File'!$G:$G,"Internal KPI",'Base File'!$B:$B,'Account Summary'!$C40,'Base File'!$BH:$BH,"Not Met")),"-")</f>
        <v>0.7</v>
      </c>
      <c r="AR40" s="100" t="str">
        <f>IFERROR(COUNTIFS('Base File'!$BJ:$BJ,"Met",'Base File'!$B:$B,'Account Summary'!C40)/(COUNTIFS('Base File'!$BJ:$BJ,"Met",'Base File'!$B:$B,'Account Summary'!C40)+COUNTIFS('Base File'!$BJ:$BJ,"Not Met",'Base File'!$B:$B,'Account Summary'!C40)),"NR")</f>
        <v>NR</v>
      </c>
      <c r="AS40" s="101" t="str">
        <f>IFERROR(COUNTIFS('Base File'!$G:$G,"Contractual SLA",'Base File'!$H:$H,"No",'Base File'!$B:$B,'Account Summary'!$C40,'Base File'!$BJ:$BJ,"Met")/SUM(COUNTIFS('Base File'!$G:$G,"Contractual SLA",'Base File'!$H:$H,"No",'Base File'!$B:$B,'Account Summary'!$C40,'Base File'!$BJ:$BJ,"Met")+COUNTIFS('Base File'!$G:$G,"Contractual SLA",'Base File'!$H:$H,"No",'Base File'!$B:$B,'Account Summary'!$C40,'Base File'!$BJ:$BJ,"Not Met")),"-")</f>
        <v>-</v>
      </c>
      <c r="AT40" s="100" t="str">
        <f>IFERROR(COUNTIFS('Base File'!$G:$G,"Contractual SLA",'Base File'!$H:$H,"Yes",'Base File'!$B:$B,'Account Summary'!$C40,'Base File'!$BJ:$BJ,"Met")/SUM(COUNTIFS('Base File'!$G:$G,"Contractual SLA",'Base File'!$H:$H,"yes",'Base File'!$B:$B,'Account Summary'!$C40,'Base File'!$BJ:$BJ,"Met")+COUNTIFS('Base File'!$G:$G,"Contractual SLA",'Base File'!$H:$H,"yes",'Base File'!$B:$B,'Account Summary'!$C40,'Base File'!$BJ:$BJ,"Not Met")),"-")</f>
        <v>-</v>
      </c>
      <c r="AU40" s="100" t="str">
        <f>IFERROR(COUNTIFS('Base File'!$BJ:$BJ,"Met",'Base File'!$B:$B,'Account Summary'!G40)/(COUNTIFS('Base File'!$BJ:$BJ,"Met",'Base File'!$B:$B,'Account Summary'!G40)+COUNTIFS('Base File'!$BJ:$BJ,"Not Met",'Base File'!$B:$B,'Account Summary'!G40)),"NR")</f>
        <v>NR</v>
      </c>
      <c r="AV40" s="100">
        <f>IFERROR(COUNTIFS('Base File'!$BL:$BL,"Met",'Base File'!$B:$B,'Account Summary'!C40)/(COUNTIFS('Base File'!$BL:$BL,"Met",'Base File'!$B:$B,'Account Summary'!C40)+COUNTIFS('Base File'!$BL:$BL,"Not Met",'Base File'!$B:$B,'Account Summary'!C40)),"NR")</f>
        <v>0.5714285714285714</v>
      </c>
      <c r="AW40" s="100" t="str">
        <f>IFERROR(COUNTIFS('Base File'!$G:$G,"Contractual SLA",'Base File'!$H:$H,"No",'Base File'!$B:$B,'Account Summary'!$C40,'Base File'!$BL:$BL,"Met")/SUM(COUNTIFS('Base File'!$G:$G,"Contractual SLA",'Base File'!$H:$H,"No",'Base File'!$B:$B,'Account Summary'!$C40,'Base File'!$BL:$BL,"Met")+COUNTIFS('Base File'!$G:$G,"Contractual SLA",'Base File'!$H:$H,"No",'Base File'!$B:$B,'Account Summary'!$C40,'Base File'!$BL:$BL,"Not Met")),"-")</f>
        <v>-</v>
      </c>
      <c r="AX40" s="100" t="str">
        <f>IFERROR(COUNTIFS('Base File'!$G:$G,"Contractual SLA",'Base File'!$H:$H,"Yes",'Base File'!$B:$B,'Account Summary'!$C40,'Base File'!$BL:$BL,"Met")/SUM(COUNTIFS('Base File'!$G:$G,"Contractual SLA",'Base File'!$H:$H,"yes",'Base File'!$B:$B,'Account Summary'!$C40,'Base File'!$BL:$BL,"Met")+COUNTIFS('Base File'!$G:$G,"Contractual SLA",'Base File'!$H:$H,"yes",'Base File'!$B:$B,'Account Summary'!$C40,'Base File'!$BL:$BL,"Not Met")),"-")</f>
        <v>-</v>
      </c>
      <c r="AY40" s="100">
        <f>IFERROR(COUNTIFS('Base File'!$G:$G,"Internal KPI",'Base File'!$B:$B,'Account Summary'!$C40,'Base File'!$BL:$BL,"Met")/SUM(COUNTIFS('Base File'!$G:$G,"Internal KPI",'Base File'!$B:$B,'Account Summary'!$C40,'Base File'!$BL:$BL,"Met")+COUNTIFS('Base File'!$G:$G,"Internal KPI",'Base File'!$B:$B,'Account Summary'!$C40,'Base File'!$BL:$BL,"Not Met")),"-")</f>
        <v>0.5714285714285714</v>
      </c>
      <c r="AZ40" s="106">
        <v>0.66666666666666663</v>
      </c>
      <c r="BA40" s="100" t="s">
        <v>107</v>
      </c>
      <c r="BB40" s="100" t="s">
        <v>107</v>
      </c>
      <c r="BC40" s="106">
        <v>0.66666666666666663</v>
      </c>
      <c r="BD40" s="110">
        <f>IFERROR(COUNTIFS('Base File'!$BP:$BP,"Met",'Base File'!$B:$B,'Account Summary'!C40)/(COUNTIFS('Base File'!$BP:$BP,"Met",'Base File'!$B:$B,'Account Summary'!C40)+COUNTIFS('Base File'!$BP:$BP,"Not Met",'Base File'!$B:$B,'Account Summary'!C40)),"NR")</f>
        <v>0.46341463414634149</v>
      </c>
      <c r="BE40" s="100" t="str">
        <f>IFERROR(COUNTIFS('Base File'!$G:$G,"Contractual SLA",'Base File'!$H:$H,"No",'Base File'!$B:$B,'Account Summary'!$C40,'Base File'!$BP:$BP,"Met")/SUM(COUNTIFS('Base File'!$G:$G,"Contractual SLA",'Base File'!$H:$H,"No",'Base File'!$B:$B,'Account Summary'!$C40,'Base File'!$BP:$BP,"Met")+COUNTIFS('Base File'!$G:$G,"Contractual SLA",'Base File'!$H:$H,"No",'Base File'!$B:$B,'Account Summary'!$C40,'Base File'!$BP:$BP,"Not Met")),"-")</f>
        <v>-</v>
      </c>
      <c r="BF40" s="100" t="str">
        <f>IFERROR(COUNTIFS('Base File'!$G:$G,"Contractual SLA",'Base File'!$H:$H,"Yes",'Base File'!$B:$B,'Account Summary'!$C40,'Base File'!$BP:$BP,"Met")/SUM(COUNTIFS('Base File'!$G:$G,"Contractual SLA",'Base File'!$H:$H,"yes",'Base File'!$B:$B,'Account Summary'!$C40,'Base File'!$BP:$BP,"Met")+COUNTIFS('Base File'!$G:$G,"Contractual SLA",'Base File'!$H:$H,"yes",'Base File'!$B:$B,'Account Summary'!$C40,'Base File'!$BP:$BP,"Not Met")),"-")</f>
        <v>-</v>
      </c>
      <c r="BG40" s="110">
        <f>IFERROR(COUNTIFS('Base File'!$G:$G,"Internal KPI",'Base File'!$B:$B,'Account Summary'!$C40,'Base File'!$BP:$BP,"Met")/SUM(COUNTIFS('Base File'!$G:$G,"Internal KPI",'Base File'!$B:$B,'Account Summary'!$C40,'Base File'!$BP:$BP,"Met")+COUNTIFS('Base File'!$G:$G,"Internal KPI",'Base File'!$B:$B,'Account Summary'!$C40,'Base File'!$BP:$BP,"Not Met")),"-")</f>
        <v>0.46341463414634149</v>
      </c>
      <c r="BH40" s="100" t="str">
        <f>IFERROR(COUNTIFS('Base File'!$BR:$BR,"Met",'Base File'!$B:$B,'Account Summary'!C40)/(COUNTIFS('Base File'!$BR:$BR,"Met",'Base File'!$B:$B,'Account Summary'!C40)+COUNTIFS('Base File'!$BR:$BR,"Not Met",'Base File'!$B:$B,'Account Summary'!C40)),"NR")</f>
        <v>NR</v>
      </c>
      <c r="BI40" s="101" t="str">
        <f>IFERROR(COUNTIFS('Base File'!$G:$G,"Contractual SLA",'Base File'!$H:$H,"No",'Base File'!$B:$B,'Account Summary'!$C40,'Base File'!$BR:$BR,"Met")/SUM(COUNTIFS('Base File'!$G:$G,"Contractual SLA",'Base File'!$H:$H,"No",'Base File'!$B:$B,'Account Summary'!$C40,'Base File'!$BR:$BR,"Met")+COUNTIFS('Base File'!$G:$G,"Contractual SLA",'Base File'!$H:$H,"No",'Base File'!$B:$B,'Account Summary'!$C40,'Base File'!$BR:$BR,"Not Met")),"-")</f>
        <v>-</v>
      </c>
      <c r="BJ40" s="100" t="str">
        <f>IFERROR(COUNTIFS('Base File'!$G:$G,"Contractual SLA",'Base File'!$H:$H,"No",'Base File'!$B:$B,'Account Summary'!$C40,'Base File'!$BR:$BR,"Met")/SUM(COUNTIFS('Base File'!$G:$G,"Contractual SLA",'Base File'!$H:$H,"No",'Base File'!$B:$B,'Account Summary'!$C40,'Base File'!$BR:$BR,"Met")+COUNTIFS('Base File'!$G:$G,"Contractual SLA",'Base File'!$H:$H,"No",'Base File'!$B:$B,'Account Summary'!$C40,'Base File'!$BR:$BR,"Not Met")),"-")</f>
        <v>-</v>
      </c>
      <c r="BK40" s="100" t="s">
        <v>103</v>
      </c>
      <c r="BL40" s="100">
        <f>IFERROR(COUNTIFS('Base File'!$BT:$BT,"Met",'Base File'!$B:$B,'Account Summary'!C40)/(COUNTIFS('Base File'!$BT:$BT,"Met",'Base File'!$B:$B,'Account Summary'!C40)+COUNTIFS('Base File'!$BT:$BT,"Not Met",'Base File'!$B:$B,'Account Summary'!C40)),"NR")</f>
        <v>0.48780487804878048</v>
      </c>
      <c r="BM40" s="100" t="str">
        <f>IFERROR(COUNTIFS('Base File'!$G:$G,"Contractual SLA",'Base File'!$H:$H,"No",'Base File'!$B:$B,'Account Summary'!$C40,'Base File'!$BT:$BT,"Met")/SUM(COUNTIFS('Base File'!$G:$G,"Contractual SLA",'Base File'!$H:$H,"No",'Base File'!$B:$B,'Account Summary'!$C40,'Base File'!$BT:$BT,"Met")+COUNTIFS('Base File'!$G:$G,"Contractual SLA",'Base File'!$H:$H,"No",'Base File'!$B:$B,'Account Summary'!$C40,'Base File'!$BT:$BT,"Not Met")),"-")</f>
        <v>-</v>
      </c>
      <c r="BN40" s="100" t="str">
        <f>IFERROR(COUNTIFS('Base File'!$G:$G,"Contractual SLA",'Base File'!$H:$H,"Yes",'Base File'!$B:$B,'Account Summary'!$C40,'Base File'!$BT:$BT,"Met")/SUM(COUNTIFS('Base File'!$G:$G,"Contractual SLA",'Base File'!$H:$H,"yes",'Base File'!$B:$B,'Account Summary'!$C40,'Base File'!$BT:$BT,"Met")+COUNTIFS('Base File'!$G:$G,"Contractual SLA",'Base File'!$H:$H,"yes",'Base File'!$B:$B,'Account Summary'!$C40,'Base File'!$BT:$BT,"Not Met")),"-")</f>
        <v>-</v>
      </c>
      <c r="BO40" s="100">
        <f>IFERROR(COUNTIFS('Base File'!$G:$G,"Internal KPI",'Base File'!$B:$B,'Account Summary'!$C40,'Base File'!$BT:$BT,"Met")/SUM(COUNTIFS('Base File'!$G:$G,"Internal KPI",'Base File'!$B:$B,'Account Summary'!$C40,'Base File'!$BT:$BT,"Met")+COUNTIFS('Base File'!$G:$G,"Internal KPI",'Base File'!$B:$B,'Account Summary'!$C40,'Base File'!$BT:$BT,"Not Met")),"-")</f>
        <v>0.48780487804878048</v>
      </c>
      <c r="BP40" s="100">
        <f>IFERROR(COUNTIFS('Base File'!$BV:$BV,"Met",'Base File'!$B:$B,'Account Summary'!C40)/(COUNTIFS('Base File'!$BV:$BV,"Met",'Base File'!$B:$B,'Account Summary'!C40)+COUNTIFS('Base File'!$BV:$BV,"Not Met",'Base File'!$B:$B,'Account Summary'!C40)),"NR")</f>
        <v>0.44897959183673469</v>
      </c>
      <c r="BQ40" s="102" t="s">
        <v>107</v>
      </c>
      <c r="BR40" s="100" t="str">
        <f>IFERROR(COUNTIFS('Base File'!$G:$G,"Contractual SLA",'Base File'!$H:$H,"Yes",'Base File'!$B:$B,'Account Summary'!$C40,'Base File'!$BV:$BV,"Met")/SUM(COUNTIFS('Base File'!$G:$G,"Contractual SLA",'Base File'!$H:$H,"Yes",'Base File'!$B:$B,'Account Summary'!$C40,'Base File'!$BV:$BV,"Met")+COUNTIFS('Base File'!$G:$G,"Contractual SLA",'Base File'!$H:$H,"Yes",'Base File'!$B:$B,'Account Summary'!$C40,'Base File'!$BV:$BV,"Not Met")),"-")</f>
        <v>-</v>
      </c>
      <c r="BS40" s="100">
        <v>0.45</v>
      </c>
      <c r="BT40" s="12"/>
      <c r="BU40" s="12"/>
      <c r="BV40" s="12"/>
      <c r="BW40" s="12"/>
    </row>
    <row r="41" spans="1:75" x14ac:dyDescent="0.25">
      <c r="A41" s="389"/>
      <c r="B41" s="94">
        <v>38</v>
      </c>
      <c r="C41" s="94" t="s">
        <v>53</v>
      </c>
      <c r="D41" s="95" t="s">
        <v>106</v>
      </c>
      <c r="E41" s="95" t="s">
        <v>106</v>
      </c>
      <c r="F41" s="94" t="s">
        <v>894</v>
      </c>
      <c r="G41" s="89"/>
      <c r="H41" s="89"/>
      <c r="I41" s="94" t="s">
        <v>920</v>
      </c>
      <c r="J41" s="89" t="s">
        <v>67</v>
      </c>
      <c r="K41" s="89" t="s">
        <v>68</v>
      </c>
      <c r="L41" s="107">
        <f>IFERROR(COUNTIFS('Base File'!$AR:$AR,"Met",'Base File'!$B:$B,'Account Summary'!C41)/(COUNTIFS('Base File'!$AR:$AR,"Met",'Base File'!$B:$B,'Account Summary'!C41)+COUNTIFS('Base File'!$AR:$AR,"Not Met",'Base File'!$B:$B,'Account Summary'!C41)),"NR")</f>
        <v>0.5</v>
      </c>
      <c r="M41" s="98" t="str">
        <f>IFERROR(COUNTIFS('Base File'!$G:$G,"Contractual SLA",'Base File'!$H:$H,"No",'Base File'!$B:$B,'Account Summary'!$C41,'Base File'!$AR:$AR,"Met")/SUM(COUNTIFS('Base File'!$G:$G,"Contractual SLA",'Base File'!$H:$H,"No",'Base File'!$B:$B,'Account Summary'!$C41,'Base File'!$AR:$AR,"Met")+COUNTIFS('Base File'!$G:$G,"Contractual SLA",'Base File'!$H:$H,"No",'Base File'!$B:$B,'Account Summary'!$C41,'Base File'!$AR:$AR,"Not Met")),"-")</f>
        <v>-</v>
      </c>
      <c r="N41" s="98" t="str">
        <f>IFERROR(COUNTIFS('Base File'!$G:$G,"Contractual SLA",'Base File'!$H:$H,"Yes",'Base File'!$B:$B,'Account Summary'!$C41,'Base File'!$AR:$AR,"Met")/SUM(COUNTIFS('Base File'!$G:$G,"Contractual SLA",'Base File'!$H:$H,"yes",'Base File'!$B:$B,'Account Summary'!$C41,'Base File'!$AR:$AR,"Met")+COUNTIFS('Base File'!$G:$G,"Contractual SLA",'Base File'!$H:$H,"yes",'Base File'!$B:$B,'Account Summary'!$C41,'Base File'!$AR:$AR,"Not Met")),"-")</f>
        <v>-</v>
      </c>
      <c r="O41" s="107">
        <f>IFERROR(COUNTIFS('Base File'!$G:$G,"Internal KPI",'Base File'!$B:$B,'Account Summary'!$C41,'Base File'!$AR:$AR,"Met")/SUM(COUNTIFS('Base File'!$G:$G,"Internal KPI",'Base File'!$B:$B,'Account Summary'!$C41,'Base File'!$AR:$AR,"Met")+COUNTIFS('Base File'!$G:$G,"Internal KPI",'Base File'!$B:$B,'Account Summary'!$C41,'Base File'!$AR:$AR,"Not Met")),"-")</f>
        <v>0.5</v>
      </c>
      <c r="P41" s="110">
        <f>IFERROR(COUNTIFS('Base File'!$AV:$AV,"Met",'Base File'!$B:$B,'Account Summary'!C41)/(COUNTIFS('Base File'!$AV:$AV,"Met",'Base File'!$B:$B,'Account Summary'!C41)+COUNTIFS('Base File'!$AV:$AV,"Not Met",'Base File'!$B:$B,'Account Summary'!C41)),"NR")</f>
        <v>0.375</v>
      </c>
      <c r="Q41" s="98" t="str">
        <f>IFERROR(COUNTIFS('Base File'!$G:$G,"Contractual SLA",'Base File'!$H:$H,"No",'Base File'!$B:$B,'Account Summary'!$C41,'Base File'!$AV:$AV,"Met")/SUM(COUNTIFS('Base File'!$G:$G,"Contractual SLA",'Base File'!$H:$H,"No",'Base File'!$B:$B,'Account Summary'!$C41,'Base File'!$AV:$AV,"Met")+COUNTIFS('Base File'!$G:$G,"Contractual SLA",'Base File'!$H:$H,"No",'Base File'!$B:$B,'Account Summary'!$C41,'Base File'!$AV:$AV,"Not Met")),"-")</f>
        <v>-</v>
      </c>
      <c r="R41" s="103" t="str">
        <f>IFERROR(COUNTIFS('Base File'!$G:$G,"Contractual SLA",'Base File'!$H:$H,"Yes",'Base File'!$B:$B,'Account Summary'!$C41,'Base File'!$AV:$AV,"Met")/SUM(COUNTIFS('Base File'!$G:$G,"Contractual SLA",'Base File'!$H:$H,"yes",'Base File'!$B:$B,'Account Summary'!$C41,'Base File'!$AV:$AV,"Met")+COUNTIFS('Base File'!$G:$G,"Contractual SLA",'Base File'!$H:$H,"yes",'Base File'!$B:$B,'Account Summary'!$C41,'Base File'!$AV:$AV,"Not Met")),"-")</f>
        <v>-</v>
      </c>
      <c r="S41" s="110">
        <f>IFERROR(COUNTIFS('Base File'!$G:$G,"Internal KPI",'Base File'!$B:$B,'Account Summary'!$C41,'Base File'!$AV:$AV,"Met")/SUM(COUNTIFS('Base File'!$G:$G,"Internal KPI",'Base File'!$B:$B,'Account Summary'!$C41,'Base File'!$AV:$AV,"Met")+COUNTIFS('Base File'!$G:$G,"Internal KPI",'Base File'!$B:$B,'Account Summary'!$C41,'Base File'!$AV:$AV,"Not Met")),"-")</f>
        <v>0.375</v>
      </c>
      <c r="T41" s="110">
        <f>IFERROR(COUNTIFS('Base File'!$AX:$AX,"Met",'Base File'!$B:$B,'Account Summary'!C41)/(COUNTIFS('Base File'!$AX:$AX,"Met",'Base File'!$B:$B,'Account Summary'!C41)+COUNTIFS('Base File'!$AX:$AX,"Not Met",'Base File'!$B:$B,'Account Summary'!C41)),"NR")</f>
        <v>0.16666666666666666</v>
      </c>
      <c r="U41" s="101" t="s">
        <v>11</v>
      </c>
      <c r="V41" s="100" t="s">
        <v>11</v>
      </c>
      <c r="W41" s="110">
        <f>IFERROR(COUNTIFS('Base File'!$G:$G,"Internal KPI",'Base File'!$B:$B,'Account Summary'!$C41,'Base File'!$AX:$AX,"Met")/SUM(COUNTIFS('Base File'!$G:$G,"Internal KPI",'Base File'!$B:$B,'Account Summary'!$C41,'Base File'!$AX:$AX,"Met")+COUNTIFS('Base File'!$G:$G,"Internal KPI",'Base File'!$B:$B,'Account Summary'!$C41,'Base File'!$AX:$AX,"Not Met")),"-")</f>
        <v>0.16666666666666666</v>
      </c>
      <c r="X41" s="110">
        <f>IFERROR(COUNTIFS('Base File'!$AZ:$AZ,"Met",'Base File'!$B:$B,'Account Summary'!C41)/(COUNTIFS('Base File'!$AZ:$AZ,"Met",'Base File'!$B:$B,'Account Summary'!C41)+COUNTIFS('Base File'!$AZ:$AZ,"Not Met",'Base File'!$B:$B,'Account Summary'!C41)),"NR")</f>
        <v>0.375</v>
      </c>
      <c r="Y41" s="101" t="str">
        <f>IFERROR(COUNTIFS('Base File'!$G:$G,"Contractual SLA",'Base File'!$H:$H,"No",'Base File'!$B:$B,'Account Summary'!$C41,'Base File'!$AZ:$AZ,"Met")/SUM(COUNTIFS('Base File'!$G:$G,"Contractual SLA",'Base File'!$H:$H,"No",'Base File'!$B:$B,'Account Summary'!$C41,'Base File'!$AZ:$AZ,"Met")+COUNTIFS('Base File'!$G:$G,"Contractual SLA",'Base File'!$H:$H,"No",'Base File'!$B:$B,'Account Summary'!$C41,'Base File'!$AZ:$AZ,"Not Met")),"-")</f>
        <v>-</v>
      </c>
      <c r="Z41" s="100" t="str">
        <f>IFERROR(COUNTIFS('Base File'!$G:$G,"Contractual SLA",'Base File'!$H:$H,"Yes",'Base File'!$B:$B,'Account Summary'!$C41,'Base File'!$AZ:$AZ,"Met")/SUM(COUNTIFS('Base File'!$G:$G,"Contractual SLA",'Base File'!$H:$H,"yes",'Base File'!$B:$B,'Account Summary'!$C41,'Base File'!$AZ:$AZ,"Met")+COUNTIFS('Base File'!$G:$G,"Contractual SLA",'Base File'!$H:$H,"yes",'Base File'!$B:$B,'Account Summary'!$C41,'Base File'!$AZ:$AZ,"Not Met")),"-")</f>
        <v>-</v>
      </c>
      <c r="AA41" s="110">
        <f>IFERROR(COUNTIFS('Base File'!$G:$G,"Internal KPI",'Base File'!$B:$B,'Account Summary'!$C41,'Base File'!$AZ:$AZ,"Met")/SUM(COUNTIFS('Base File'!$G:$G,"Internal KPI",'Base File'!$B:$B,'Account Summary'!$C41,'Base File'!$AZ:$AZ,"Met")+COUNTIFS('Base File'!$G:$G,"Internal KPI",'Base File'!$B:$B,'Account Summary'!$C41,'Base File'!$AZ:$AZ,"Not Met")),"-")</f>
        <v>0.375</v>
      </c>
      <c r="AB41" s="108">
        <f>IFERROR(COUNTIFS('Base File'!$BB:$BB,"Met",'Base File'!$B:$B,'Account Summary'!C41)/(COUNTIFS('Base File'!$BB:$BB,"Met",'Base File'!$B:$B,'Account Summary'!C41)+COUNTIFS('Base File'!$BB:$BB,"Not Met",'Base File'!$B:$B,'Account Summary'!C41)),"NR")</f>
        <v>0.375</v>
      </c>
      <c r="AC41" s="101" t="str">
        <f>IFERROR(COUNTIFS('Base File'!$G:$G,"Contractual SLA",'Base File'!$H:$H,"No",'Base File'!$B:$B,'Account Summary'!$C41,'Base File'!$BB:$BB,"Met")/SUM(COUNTIFS('Base File'!$G:$G,"Contractual SLA",'Base File'!$H:$H,"No",'Base File'!$B:$B,'Account Summary'!$C41,'Base File'!$BB:$BB,"Met")+COUNTIFS('Base File'!$G:$G,"Contractual SLA",'Base File'!$H:$H,"No",'Base File'!$B:$B,'Account Summary'!$C41,'Base File'!$BB:$BB,"Not Met")),"-")</f>
        <v>-</v>
      </c>
      <c r="AD41" s="100" t="str">
        <f>IFERROR(COUNTIFS('Base File'!$G:$G,"Contractual SLA",'Base File'!$H:$H,"Yes",'Base File'!$B:$B,'Account Summary'!$C41,'Base File'!$BB:$BB,"Met")/SUM(COUNTIFS('Base File'!$G:$G,"Contractual SLA",'Base File'!$H:$H,"yes",'Base File'!$B:$B,'Account Summary'!$C41,'Base File'!$BB:$BB,"Met")+COUNTIFS('Base File'!$G:$G,"Contractual SLA",'Base File'!$H:$H,"yes",'Base File'!$B:$B,'Account Summary'!$C41,'Base File'!$BB:$BB,"Not Met")),"-")</f>
        <v>-</v>
      </c>
      <c r="AE41" s="110">
        <f>IFERROR(COUNTIFS('Base File'!$G:$G,"Internal KPI",'Base File'!$B:$B,'Account Summary'!$C41,'Base File'!$BB:$BB,"Met")/SUM(COUNTIFS('Base File'!$G:$G,"Internal KPI",'Base File'!$B:$B,'Account Summary'!$C41,'Base File'!$BB:$BB,"Met")+COUNTIFS('Base File'!$G:$G,"Internal KPI",'Base File'!$B:$B,'Account Summary'!$C41,'Base File'!$BB:$BB,"Not Met")),"-")</f>
        <v>0.375</v>
      </c>
      <c r="AF41" s="110">
        <f>IFERROR(COUNTIFS('Base File'!$BD:$BD,"Met",'Base File'!$B:$B,'Account Summary'!C41)/(COUNTIFS('Base File'!$BD:$BD,"Met",'Base File'!$B:$B,'Account Summary'!C41)+COUNTIFS('Base File'!$BD:$BD,"Not Met",'Base File'!$B:$B,'Account Summary'!C41)),"NR")</f>
        <v>0.25</v>
      </c>
      <c r="AG41" s="100" t="str">
        <f>IFERROR(COUNTIFS('Base File'!$G:$G,"Contractual SLA",'Base File'!$H:$H,"No",'Base File'!$B:$B,'Account Summary'!$C41,'Base File'!$BD:$BD,"Met")/SUM(COUNTIFS('Base File'!$G:$G,"Contractual SLA",'Base File'!$H:$H,"No",'Base File'!$B:$B,'Account Summary'!$C41,'Base File'!$BD:$BD,"Met")+COUNTIFS('Base File'!$G:$G,"Contractual SLA",'Base File'!$H:$H,"No",'Base File'!$B:$B,'Account Summary'!$C41,'Base File'!$BD:$BD,"Not Met")),"-")</f>
        <v>-</v>
      </c>
      <c r="AH41" s="100" t="str">
        <f>IFERROR(COUNTIFS('Base File'!$G:$G,"Contractual SLA",'Base File'!$H:$H,"Yes",'Base File'!$B:$B,'Account Summary'!$C41,'Base File'!$BD:$BD,"Met")/SUM(COUNTIFS('Base File'!$G:$G,"Contractual SLA",'Base File'!$H:$H,"yes",'Base File'!$B:$B,'Account Summary'!$C41,'Base File'!$BD:$BD,"Met")+COUNTIFS('Base File'!$G:$G,"Contractual SLA",'Base File'!$H:$H,"yes",'Base File'!$B:$B,'Account Summary'!$C41,'Base File'!$BD:$BD,"Not Met")),"-")</f>
        <v>-</v>
      </c>
      <c r="AI41" s="110">
        <f>IFERROR(COUNTIFS('Base File'!$G:$G,"Internal KPI",'Base File'!$B:$B,'Account Summary'!$C41,'Base File'!$BD:$BD,"Met")/SUM(COUNTIFS('Base File'!$G:$G,"Internal KPI",'Base File'!$B:$B,'Account Summary'!$C41,'Base File'!$BD:$BD,"Met")+COUNTIFS('Base File'!$G:$G,"Internal KPI",'Base File'!$B:$B,'Account Summary'!$C41,'Base File'!$BD:$BD,"Not Met")),"-")</f>
        <v>0.25</v>
      </c>
      <c r="AJ41" s="110">
        <f>IFERROR(COUNTIFS('Base File'!$BF:$BF,"Met",'Base File'!$B:$B,'Account Summary'!C41)/(COUNTIFS('Base File'!$BF:$BF,"Met",'Base File'!$B:$B,'Account Summary'!C41)+COUNTIFS('Base File'!$BF:$BF,"Not Met",'Base File'!$B:$B,'Account Summary'!C41)),"NR")</f>
        <v>0.25</v>
      </c>
      <c r="AK41" s="100" t="str">
        <f>IFERROR(COUNTIFS('Base File'!$G:$G,"Contractual SLA",'Base File'!$H:$H,"No",'Base File'!$B:$B,'Account Summary'!$C41,'Base File'!$BF:$BF,"Met")/SUM(COUNTIFS('Base File'!$G:$G,"Contractual SLA",'Base File'!$H:$H,"No",'Base File'!$B:$B,'Account Summary'!$C41,'Base File'!$BF:$BF,"Met")+COUNTIFS('Base File'!$G:$G,"Contractual SLA",'Base File'!$H:$H,"No",'Base File'!$B:$B,'Account Summary'!$C41,'Base File'!$BF:$BF,"Not Met")),"-")</f>
        <v>-</v>
      </c>
      <c r="AL41" s="100" t="str">
        <f>IFERROR(COUNTIFS('Base File'!$G:$G,"Contractual SLA",'Base File'!$H:$H,"Yes",'Base File'!$B:$B,'Account Summary'!$C41,'Base File'!$BF:$BF,"Met")/SUM(COUNTIFS('Base File'!$G:$G,"Contractual SLA",'Base File'!$H:$H,"yes",'Base File'!$B:$B,'Account Summary'!$C41,'Base File'!$BF:$BF,"Met")+COUNTIFS('Base File'!$G:$G,"Contractual SLA",'Base File'!$H:$H,"yes",'Base File'!$B:$B,'Account Summary'!$C41,'Base File'!$BF:$BF,"Not Met")),"-")</f>
        <v>-</v>
      </c>
      <c r="AM41" s="110">
        <f>IFERROR(COUNTIFS('Base File'!$G:$G,"Internal KPI",'Base File'!$B:$B,'Account Summary'!$C41,'Base File'!$BF:$BF,"Met")/SUM(COUNTIFS('Base File'!$G:$G,"Internal KPI",'Base File'!$B:$B,'Account Summary'!$C41,'Base File'!$BF:$BF,"Met")+COUNTIFS('Base File'!$G:$G,"Internal KPI",'Base File'!$B:$B,'Account Summary'!$C41,'Base File'!$BF:$BF,"Not Met")),"-")</f>
        <v>0.25</v>
      </c>
      <c r="AN41" s="100" t="str">
        <f>IFERROR(COUNTIFS('Base File'!$BH:$BH,"Met",'Base File'!$B:$B,'Account Summary'!C41)/(COUNTIFS('Base File'!$BH:$BH,"Met",'Base File'!$B:$B,'Account Summary'!C41)+COUNTIFS('Base File'!$BH:$BH,"Not Met",'Base File'!$B:$B,'Account Summary'!C41)),"NR")</f>
        <v>NR</v>
      </c>
      <c r="AO41" s="100" t="str">
        <f>IFERROR(COUNTIFS('Base File'!$G:$G,"Contractual SLA",'Base File'!$H:$H,"No",'Base File'!$B:$B,'Account Summary'!$C41,'Base File'!$BH:$BH,"Met")/SUM(COUNTIFS('Base File'!$G:$G,"Contractual SLA",'Base File'!$H:$H,"No",'Base File'!$B:$B,'Account Summary'!$C41,'Base File'!$BH:$BH,"Met")+COUNTIFS('Base File'!$G:$G,"Contractual SLA",'Base File'!$H:$H,"No",'Base File'!$B:$B,'Account Summary'!$C41,'Base File'!$BH:$BH,"Not Met")),"-")</f>
        <v>-</v>
      </c>
      <c r="AP41" s="100" t="str">
        <f>IFERROR(COUNTIFS('Base File'!$G:$G,"Contractual SLA",'Base File'!$H:$H,"Yes",'Base File'!$B:$B,'Account Summary'!$C41,'Base File'!$BH:$BH,"Met")/SUM(COUNTIFS('Base File'!$G:$G,"Contractual SLA",'Base File'!$H:$H,"yes",'Base File'!$B:$B,'Account Summary'!$C41,'Base File'!$BH:$BH,"Met")+COUNTIFS('Base File'!$G:$G,"Contractual SLA",'Base File'!$H:$H,"yes",'Base File'!$B:$B,'Account Summary'!$C41,'Base File'!$BH:$BH,"Not Met")),"-")</f>
        <v>-</v>
      </c>
      <c r="AQ41" s="100" t="str">
        <f>IFERROR(COUNTIFS('Base File'!$BH:$BH,"Met",'Base File'!$B:$B,'Account Summary'!G41)/(COUNTIFS('Base File'!$BH:$BH,"Met",'Base File'!$B:$B,'Account Summary'!G41)+COUNTIFS('Base File'!$BH:$BH,"Not Met",'Base File'!$B:$B,'Account Summary'!G41)),"NR")</f>
        <v>NR</v>
      </c>
      <c r="AR41" s="100" t="str">
        <f>IFERROR(COUNTIFS('Base File'!$BJ:$BJ,"Met",'Base File'!$B:$B,'Account Summary'!C41)/(COUNTIFS('Base File'!$BJ:$BJ,"Met",'Base File'!$B:$B,'Account Summary'!C41)+COUNTIFS('Base File'!$BJ:$BJ,"Not Met",'Base File'!$B:$B,'Account Summary'!C41)),"NR")</f>
        <v>NR</v>
      </c>
      <c r="AS41" s="101" t="str">
        <f>IFERROR(COUNTIFS('Base File'!$G:$G,"Contractual SLA",'Base File'!$H:$H,"No",'Base File'!$B:$B,'Account Summary'!$C41,'Base File'!$BJ:$BJ,"Met")/SUM(COUNTIFS('Base File'!$G:$G,"Contractual SLA",'Base File'!$H:$H,"No",'Base File'!$B:$B,'Account Summary'!$C41,'Base File'!$BJ:$BJ,"Met")+COUNTIFS('Base File'!$G:$G,"Contractual SLA",'Base File'!$H:$H,"No",'Base File'!$B:$B,'Account Summary'!$C41,'Base File'!$BJ:$BJ,"Not Met")),"-")</f>
        <v>-</v>
      </c>
      <c r="AT41" s="100" t="str">
        <f>IFERROR(COUNTIFS('Base File'!$G:$G,"Contractual SLA",'Base File'!$H:$H,"Yes",'Base File'!$B:$B,'Account Summary'!$C41,'Base File'!$BJ:$BJ,"Met")/SUM(COUNTIFS('Base File'!$G:$G,"Contractual SLA",'Base File'!$H:$H,"yes",'Base File'!$B:$B,'Account Summary'!$C41,'Base File'!$BJ:$BJ,"Met")+COUNTIFS('Base File'!$G:$G,"Contractual SLA",'Base File'!$H:$H,"yes",'Base File'!$B:$B,'Account Summary'!$C41,'Base File'!$BJ:$BJ,"Not Met")),"-")</f>
        <v>-</v>
      </c>
      <c r="AU41" s="100" t="str">
        <f>IFERROR(COUNTIFS('Base File'!$BH:$BH,"Met",'Base File'!$B:$B,'Account Summary'!K41)/(COUNTIFS('Base File'!$BH:$BH,"Met",'Base File'!$B:$B,'Account Summary'!K41)+COUNTIFS('Base File'!$BH:$BH,"Not Met",'Base File'!$B:$B,'Account Summary'!K41)),"NR")</f>
        <v>NR</v>
      </c>
      <c r="AV41" s="100">
        <f>IFERROR(COUNTIFS('Base File'!$BL:$BL,"Met",'Base File'!$B:$B,'Account Summary'!C41)/(COUNTIFS('Base File'!$BL:$BL,"Met",'Base File'!$B:$B,'Account Summary'!C41)+COUNTIFS('Base File'!$BL:$BL,"Not Met",'Base File'!$B:$B,'Account Summary'!C41)),"NR")</f>
        <v>0.125</v>
      </c>
      <c r="AW41" s="100" t="str">
        <f>IFERROR(COUNTIFS('Base File'!$G:$G,"Contractual SLA",'Base File'!$H:$H,"No",'Base File'!$B:$B,'Account Summary'!$C41,'Base File'!$BL:$BL,"Met")/SUM(COUNTIFS('Base File'!$G:$G,"Contractual SLA",'Base File'!$H:$H,"No",'Base File'!$B:$B,'Account Summary'!$C41,'Base File'!$BL:$BL,"Met")+COUNTIFS('Base File'!$G:$G,"Contractual SLA",'Base File'!$H:$H,"No",'Base File'!$B:$B,'Account Summary'!$C41,'Base File'!$BL:$BL,"Not Met")),"-")</f>
        <v>-</v>
      </c>
      <c r="AX41" s="100" t="str">
        <f>IFERROR(COUNTIFS('Base File'!$G:$G,"Contractual SLA",'Base File'!$H:$H,"Yes",'Base File'!$B:$B,'Account Summary'!$C41,'Base File'!$BL:$BL,"Met")/SUM(COUNTIFS('Base File'!$G:$G,"Contractual SLA",'Base File'!$H:$H,"yes",'Base File'!$B:$B,'Account Summary'!$C41,'Base File'!$BL:$BL,"Met")+COUNTIFS('Base File'!$G:$G,"Contractual SLA",'Base File'!$H:$H,"yes",'Base File'!$B:$B,'Account Summary'!$C41,'Base File'!$BL:$BL,"Not Met")),"-")</f>
        <v>-</v>
      </c>
      <c r="AY41" s="100">
        <f>IFERROR(COUNTIFS('Base File'!$G:$G,"Internal KPI",'Base File'!$B:$B,'Account Summary'!$C41,'Base File'!$BL:$BL,"Met")/SUM(COUNTIFS('Base File'!$G:$G,"Internal KPI",'Base File'!$B:$B,'Account Summary'!$C41,'Base File'!$BL:$BL,"Met")+COUNTIFS('Base File'!$G:$G,"Internal KPI",'Base File'!$B:$B,'Account Summary'!$C41,'Base File'!$BL:$BL,"Not Met")),"-")</f>
        <v>0.125</v>
      </c>
      <c r="AZ41" s="100">
        <v>0.25</v>
      </c>
      <c r="BA41" s="100" t="s">
        <v>107</v>
      </c>
      <c r="BB41" s="100" t="s">
        <v>107</v>
      </c>
      <c r="BC41" s="100">
        <v>0.25</v>
      </c>
      <c r="BD41" s="110">
        <f>IFERROR(COUNTIFS('Base File'!$BP:$BP,"Met",'Base File'!$B:$B,'Account Summary'!C41)/(COUNTIFS('Base File'!$BP:$BP,"Met",'Base File'!$B:$B,'Account Summary'!C41)+COUNTIFS('Base File'!$BP:$BP,"Not Met",'Base File'!$B:$B,'Account Summary'!C41)),"NR")</f>
        <v>0.2857142857142857</v>
      </c>
      <c r="BE41" s="100" t="str">
        <f>IFERROR(COUNTIFS('Base File'!$G:$G,"Contractual SLA",'Base File'!$H:$H,"No",'Base File'!$B:$B,'Account Summary'!$C41,'Base File'!$BP:$BP,"Met")/SUM(COUNTIFS('Base File'!$G:$G,"Contractual SLA",'Base File'!$H:$H,"No",'Base File'!$B:$B,'Account Summary'!$C41,'Base File'!$BP:$BP,"Met")+COUNTIFS('Base File'!$G:$G,"Contractual SLA",'Base File'!$H:$H,"No",'Base File'!$B:$B,'Account Summary'!$C41,'Base File'!$BP:$BP,"Not Met")),"-")</f>
        <v>-</v>
      </c>
      <c r="BF41" s="100" t="str">
        <f>IFERROR(COUNTIFS('Base File'!$G:$G,"Contractual SLA",'Base File'!$H:$H,"Yes",'Base File'!$B:$B,'Account Summary'!$C41,'Base File'!$BP:$BP,"Met")/SUM(COUNTIFS('Base File'!$G:$G,"Contractual SLA",'Base File'!$H:$H,"yes",'Base File'!$B:$B,'Account Summary'!$C41,'Base File'!$BP:$BP,"Met")+COUNTIFS('Base File'!$G:$G,"Contractual SLA",'Base File'!$H:$H,"yes",'Base File'!$B:$B,'Account Summary'!$C41,'Base File'!$BP:$BP,"Not Met")),"-")</f>
        <v>-</v>
      </c>
      <c r="BG41" s="110">
        <f>IFERROR(COUNTIFS('Base File'!$G:$G,"Internal KPI",'Base File'!$B:$B,'Account Summary'!$C41,'Base File'!$BP:$BP,"Met")/SUM(COUNTIFS('Base File'!$G:$G,"Internal KPI",'Base File'!$B:$B,'Account Summary'!$C41,'Base File'!$BP:$BP,"Met")+COUNTIFS('Base File'!$G:$G,"Internal KPI",'Base File'!$B:$B,'Account Summary'!$C41,'Base File'!$BP:$BP,"Not Met")),"-")</f>
        <v>0.2857142857142857</v>
      </c>
      <c r="BH41" s="110">
        <f>IFERROR(COUNTIFS('Base File'!$BR:$BR,"Met",'Base File'!$B:$B,'Account Summary'!C41)/(COUNTIFS('Base File'!$BR:$BR,"Met",'Base File'!$B:$B,'Account Summary'!C41)+COUNTIFS('Base File'!$BR:$BR,"Not Met",'Base File'!$B:$B,'Account Summary'!C41)),"NR")</f>
        <v>0.2857142857142857</v>
      </c>
      <c r="BI41" s="101" t="str">
        <f>IFERROR(COUNTIFS('Base File'!$G:$G,"Contractual SLA",'Base File'!$H:$H,"No",'Base File'!$B:$B,'Account Summary'!$C41,'Base File'!$BR:$BR,"Met")/SUM(COUNTIFS('Base File'!$G:$G,"Contractual SLA",'Base File'!$H:$H,"No",'Base File'!$B:$B,'Account Summary'!$C41,'Base File'!$BR:$BR,"Met")+COUNTIFS('Base File'!$G:$G,"Contractual SLA",'Base File'!$H:$H,"No",'Base File'!$B:$B,'Account Summary'!$C41,'Base File'!$BR:$BR,"Not Met")),"-")</f>
        <v>-</v>
      </c>
      <c r="BJ41" s="100" t="str">
        <f>IFERROR(COUNTIFS('Base File'!$G:$G,"Contractual SLA",'Base File'!$H:$H,"No",'Base File'!$B:$B,'Account Summary'!$C41,'Base File'!$BR:$BR,"Met")/SUM(COUNTIFS('Base File'!$G:$G,"Contractual SLA",'Base File'!$H:$H,"No",'Base File'!$B:$B,'Account Summary'!$C41,'Base File'!$BR:$BR,"Met")+COUNTIFS('Base File'!$G:$G,"Contractual SLA",'Base File'!$H:$H,"No",'Base File'!$B:$B,'Account Summary'!$C41,'Base File'!$BR:$BR,"Not Met")),"-")</f>
        <v>-</v>
      </c>
      <c r="BK41" s="110">
        <f>IFERROR(COUNTIFS('Base File'!$G:$G,"Internal KPI",'Base File'!$B:$B,'Account Summary'!$C41,'Base File'!$BR:$BR,"Met")/SUM(COUNTIFS('Base File'!$G:$G,"Internal KPI",'Base File'!$B:$B,'Account Summary'!$C41,'Base File'!$BR:$BR,"Met")+COUNTIFS('Base File'!$G:$G,"Internal KPI",'Base File'!$B:$B,'Account Summary'!$C41,'Base File'!$BR:$BR,"Not Met")),"-")</f>
        <v>0.2857142857142857</v>
      </c>
      <c r="BL41" s="100">
        <f>IFERROR(COUNTIFS('Base File'!$BT:$BT,"Met",'Base File'!$B:$B,'Account Summary'!C41)/(COUNTIFS('Base File'!$BT:$BT,"Met",'Base File'!$B:$B,'Account Summary'!C41)+COUNTIFS('Base File'!$BT:$BT,"Not Met",'Base File'!$B:$B,'Account Summary'!C41)),"NR")</f>
        <v>0.42857142857142855</v>
      </c>
      <c r="BM41" s="100" t="str">
        <f>IFERROR(COUNTIFS('Base File'!$G:$G,"Contractual SLA",'Base File'!$H:$H,"No",'Base File'!$B:$B,'Account Summary'!$C41,'Base File'!$BT:$BT,"Met")/SUM(COUNTIFS('Base File'!$G:$G,"Contractual SLA",'Base File'!$H:$H,"No",'Base File'!$B:$B,'Account Summary'!$C41,'Base File'!$BT:$BT,"Met")+COUNTIFS('Base File'!$G:$G,"Contractual SLA",'Base File'!$H:$H,"No",'Base File'!$B:$B,'Account Summary'!$C41,'Base File'!$BT:$BT,"Not Met")),"-")</f>
        <v>-</v>
      </c>
      <c r="BN41" s="100" t="str">
        <f>IFERROR(COUNTIFS('Base File'!$G:$G,"Contractual SLA",'Base File'!$H:$H,"Yes",'Base File'!$B:$B,'Account Summary'!$C41,'Base File'!$BT:$BT,"Met")/SUM(COUNTIFS('Base File'!$G:$G,"Contractual SLA",'Base File'!$H:$H,"yes",'Base File'!$B:$B,'Account Summary'!$C41,'Base File'!$BT:$BT,"Met")+COUNTIFS('Base File'!$G:$G,"Contractual SLA",'Base File'!$H:$H,"yes",'Base File'!$B:$B,'Account Summary'!$C41,'Base File'!$BT:$BT,"Not Met")),"-")</f>
        <v>-</v>
      </c>
      <c r="BO41" s="100">
        <f>IFERROR(COUNTIFS('Base File'!$G:$G,"Internal KPI",'Base File'!$B:$B,'Account Summary'!$C41,'Base File'!$BT:$BT,"Met")/SUM(COUNTIFS('Base File'!$G:$G,"Internal KPI",'Base File'!$B:$B,'Account Summary'!$C41,'Base File'!$BT:$BT,"Met")+COUNTIFS('Base File'!$G:$G,"Internal KPI",'Base File'!$B:$B,'Account Summary'!$C41,'Base File'!$BT:$BT,"Not Met")),"-")</f>
        <v>0.42857142857142855</v>
      </c>
      <c r="BP41" s="100">
        <f>IFERROR(COUNTIFS('Base File'!$BV:$BV,"Met",'Base File'!$B:$B,'Account Summary'!C41)/(COUNTIFS('Base File'!$BV:$BV,"Met",'Base File'!$B:$B,'Account Summary'!C41)+COUNTIFS('Base File'!$BV:$BV,"Not Met",'Base File'!$B:$B,'Account Summary'!C41)),"NR")</f>
        <v>0.42857142857142855</v>
      </c>
      <c r="BQ41" s="102" t="s">
        <v>107</v>
      </c>
      <c r="BR41" s="100" t="str">
        <f>IFERROR(COUNTIFS('Base File'!$G:$G,"Contractual SLA",'Base File'!$H:$H,"Yes",'Base File'!$B:$B,'Account Summary'!$C41,'Base File'!$BV:$BV,"Met")/SUM(COUNTIFS('Base File'!$G:$G,"Contractual SLA",'Base File'!$H:$H,"Yes",'Base File'!$B:$B,'Account Summary'!$C41,'Base File'!$BV:$BV,"Met")+COUNTIFS('Base File'!$G:$G,"Contractual SLA",'Base File'!$H:$H,"Yes",'Base File'!$B:$B,'Account Summary'!$C41,'Base File'!$BV:$BV,"Not Met")),"-")</f>
        <v>-</v>
      </c>
      <c r="BS41" s="100">
        <v>0.43</v>
      </c>
      <c r="BT41" s="12"/>
      <c r="BU41" s="12"/>
      <c r="BV41" s="12"/>
      <c r="BW41" s="12"/>
    </row>
    <row r="42" spans="1:75" x14ac:dyDescent="0.25">
      <c r="A42" s="389"/>
      <c r="B42" s="94">
        <v>39</v>
      </c>
      <c r="C42" s="94" t="s">
        <v>54</v>
      </c>
      <c r="D42" s="95" t="s">
        <v>110</v>
      </c>
      <c r="E42" s="95" t="s">
        <v>903</v>
      </c>
      <c r="F42" s="94" t="s">
        <v>899</v>
      </c>
      <c r="G42" s="89"/>
      <c r="H42" s="89"/>
      <c r="I42" s="94" t="s">
        <v>133</v>
      </c>
      <c r="J42" s="89" t="s">
        <v>11</v>
      </c>
      <c r="K42" s="89" t="s">
        <v>11</v>
      </c>
      <c r="L42" s="108">
        <f>IFERROR(COUNTIFS('Base File'!$AR:$AR,"Met",'Base File'!$B:$B,'Account Summary'!C42)/(COUNTIFS('Base File'!$AR:$AR,"Met",'Base File'!$B:$B,'Account Summary'!C42)+COUNTIFS('Base File'!$AR:$AR,"Not Met",'Base File'!$B:$B,'Account Summary'!C42)),"NR")</f>
        <v>0.16666666666666666</v>
      </c>
      <c r="M42" s="98" t="str">
        <f>IFERROR(COUNTIFS('Base File'!$G:$G,"Contractual SLA",'Base File'!$H:$H,"No",'Base File'!$B:$B,'Account Summary'!$C42,'Base File'!$AR:$AR,"Met")/SUM(COUNTIFS('Base File'!$G:$G,"Contractual SLA",'Base File'!$H:$H,"No",'Base File'!$B:$B,'Account Summary'!$C42,'Base File'!$AR:$AR,"Met")+COUNTIFS('Base File'!$G:$G,"Contractual SLA",'Base File'!$H:$H,"No",'Base File'!$B:$B,'Account Summary'!$C42,'Base File'!$AR:$AR,"Not Met")),"-")</f>
        <v>-</v>
      </c>
      <c r="N42" s="98" t="str">
        <f>IFERROR(COUNTIFS('Base File'!$G:$G,"Contractual SLA",'Base File'!$H:$H,"Yes",'Base File'!$B:$B,'Account Summary'!$C42,'Base File'!$AR:$AR,"Met")/SUM(COUNTIFS('Base File'!$G:$G,"Contractual SLA",'Base File'!$H:$H,"yes",'Base File'!$B:$B,'Account Summary'!$C42,'Base File'!$AR:$AR,"Met")+COUNTIFS('Base File'!$G:$G,"Contractual SLA",'Base File'!$H:$H,"yes",'Base File'!$B:$B,'Account Summary'!$C42,'Base File'!$AR:$AR,"Not Met")),"-")</f>
        <v>-</v>
      </c>
      <c r="O42" s="108">
        <f>IFERROR(COUNTIFS('Base File'!$G:$G,"Internal KPI",'Base File'!$B:$B,'Account Summary'!$C42,'Base File'!$AR:$AR,"Met")/SUM(COUNTIFS('Base File'!$G:$G,"Internal KPI",'Base File'!$B:$B,'Account Summary'!$C42,'Base File'!$AR:$AR,"Met")+COUNTIFS('Base File'!$G:$G,"Internal KPI",'Base File'!$B:$B,'Account Summary'!$C42,'Base File'!$AR:$AR,"Not Met")),"-")</f>
        <v>0.16666666666666666</v>
      </c>
      <c r="P42" s="98">
        <f>IFERROR(COUNTIFS('Base File'!$AV:$AV,"Met",'Base File'!$B:$B,'Account Summary'!C42)/(COUNTIFS('Base File'!$AV:$AV,"Met",'Base File'!$B:$B,'Account Summary'!C42)+COUNTIFS('Base File'!$AV:$AV,"Not Met",'Base File'!$B:$B,'Account Summary'!C42)),"NR")</f>
        <v>0.42857142857142855</v>
      </c>
      <c r="Q42" s="98" t="str">
        <f>IFERROR(COUNTIFS('Base File'!$G:$G,"Contractual SLA",'Base File'!$H:$H,"No",'Base File'!$B:$B,'Account Summary'!$C42,'Base File'!$AV:$AV,"Met")/SUM(COUNTIFS('Base File'!$G:$G,"Contractual SLA",'Base File'!$H:$H,"No",'Base File'!$B:$B,'Account Summary'!$C42,'Base File'!$AV:$AV,"Met")+COUNTIFS('Base File'!$G:$G,"Contractual SLA",'Base File'!$H:$H,"No",'Base File'!$B:$B,'Account Summary'!$C42,'Base File'!$AV:$AV,"Not Met")),"-")</f>
        <v>-</v>
      </c>
      <c r="R42" s="103" t="str">
        <f>IFERROR(COUNTIFS('Base File'!$G:$G,"Contractual SLA",'Base File'!$H:$H,"Yes",'Base File'!$B:$B,'Account Summary'!$C42,'Base File'!$AV:$AV,"Met")/SUM(COUNTIFS('Base File'!$G:$G,"Contractual SLA",'Base File'!$H:$H,"yes",'Base File'!$B:$B,'Account Summary'!$C42,'Base File'!$AV:$AV,"Met")+COUNTIFS('Base File'!$G:$G,"Contractual SLA",'Base File'!$H:$H,"yes",'Base File'!$B:$B,'Account Summary'!$C42,'Base File'!$AV:$AV,"Not Met")),"-")</f>
        <v>-</v>
      </c>
      <c r="S42" s="98" t="s">
        <v>103</v>
      </c>
      <c r="T42" s="110">
        <f>IFERROR(COUNTIFS('Base File'!$AX:$AX,"Met",'Base File'!$B:$B,'Account Summary'!C42)/(COUNTIFS('Base File'!$AX:$AX,"Met",'Base File'!$B:$B,'Account Summary'!C42)+COUNTIFS('Base File'!$AX:$AX,"Not Met",'Base File'!$B:$B,'Account Summary'!C42)),"NR")</f>
        <v>0.2857142857142857</v>
      </c>
      <c r="U42" s="101" t="s">
        <v>11</v>
      </c>
      <c r="V42" s="100" t="s">
        <v>11</v>
      </c>
      <c r="W42" s="110">
        <f>IFERROR(COUNTIFS('Base File'!$G:$G,"Internal KPI",'Base File'!$B:$B,'Account Summary'!$C42,'Base File'!$AX:$AX,"Met")/SUM(COUNTIFS('Base File'!$G:$G,"Internal KPI",'Base File'!$B:$B,'Account Summary'!$C42,'Base File'!$AX:$AX,"Met")+COUNTIFS('Base File'!$G:$G,"Internal KPI",'Base File'!$B:$B,'Account Summary'!$C42,'Base File'!$AX:$AX,"Not Met")),"-")</f>
        <v>0.2857142857142857</v>
      </c>
      <c r="X42" s="106">
        <f>IFERROR(COUNTIFS('Base File'!$AZ:$AZ,"Met",'Base File'!$B:$B,'Account Summary'!C42)/(COUNTIFS('Base File'!$AZ:$AZ,"Met",'Base File'!$B:$B,'Account Summary'!C42)+COUNTIFS('Base File'!$AZ:$AZ,"Not Met",'Base File'!$B:$B,'Account Summary'!C42)),"NR")</f>
        <v>0.5714285714285714</v>
      </c>
      <c r="Y42" s="101" t="str">
        <f>IFERROR(COUNTIFS('Base File'!$G:$G,"Contractual SLA",'Base File'!$H:$H,"No",'Base File'!$B:$B,'Account Summary'!$C42,'Base File'!$AZ:$AZ,"Met")/SUM(COUNTIFS('Base File'!$G:$G,"Contractual SLA",'Base File'!$H:$H,"No",'Base File'!$B:$B,'Account Summary'!$C42,'Base File'!$AZ:$AZ,"Met")+COUNTIFS('Base File'!$G:$G,"Contractual SLA",'Base File'!$H:$H,"No",'Base File'!$B:$B,'Account Summary'!$C42,'Base File'!$AZ:$AZ,"Not Met")),"-")</f>
        <v>-</v>
      </c>
      <c r="Z42" s="100" t="str">
        <f>IFERROR(COUNTIFS('Base File'!$G:$G,"Contractual SLA",'Base File'!$H:$H,"Yes",'Base File'!$B:$B,'Account Summary'!$C42,'Base File'!$AZ:$AZ,"Met")/SUM(COUNTIFS('Base File'!$G:$G,"Contractual SLA",'Base File'!$H:$H,"yes",'Base File'!$B:$B,'Account Summary'!$C42,'Base File'!$AZ:$AZ,"Met")+COUNTIFS('Base File'!$G:$G,"Contractual SLA",'Base File'!$H:$H,"yes",'Base File'!$B:$B,'Account Summary'!$C42,'Base File'!$AZ:$AZ,"Not Met")),"-")</f>
        <v>-</v>
      </c>
      <c r="AA42" s="106">
        <f>IFERROR(COUNTIFS('Base File'!$G:$G,"Internal KPI",'Base File'!$B:$B,'Account Summary'!$C42,'Base File'!$AZ:$AZ,"Met")/SUM(COUNTIFS('Base File'!$G:$G,"Internal KPI",'Base File'!$B:$B,'Account Summary'!$C42,'Base File'!$AZ:$AZ,"Met")+COUNTIFS('Base File'!$G:$G,"Internal KPI",'Base File'!$B:$B,'Account Summary'!$C42,'Base File'!$AZ:$AZ,"Not Met")),"-")</f>
        <v>0.5714285714285714</v>
      </c>
      <c r="AB42" s="101" t="str">
        <f>IFERROR(COUNTIFS('Base File'!$BB:$BB,"Met",'Base File'!$B:$B,'Account Summary'!C42)/(COUNTIFS('Base File'!$BB:$BB,"Met",'Base File'!$B:$B,'Account Summary'!C42)+COUNTIFS('Base File'!$BB:$BB,"Not Met",'Base File'!$B:$B,'Account Summary'!C42)),"NR")</f>
        <v>NR</v>
      </c>
      <c r="AC42" s="101" t="str">
        <f>IFERROR(COUNTIFS('Base File'!$G:$G,"Contractual SLA",'Base File'!$H:$H,"No",'Base File'!$B:$B,'Account Summary'!$C42,'Base File'!$BB:$BB,"Met")/SUM(COUNTIFS('Base File'!$G:$G,"Contractual SLA",'Base File'!$H:$H,"No",'Base File'!$B:$B,'Account Summary'!$C42,'Base File'!$BB:$BB,"Met")+COUNTIFS('Base File'!$G:$G,"Contractual SLA",'Base File'!$H:$H,"No",'Base File'!$B:$B,'Account Summary'!$C42,'Base File'!$BB:$BB,"Not Met")),"-")</f>
        <v>-</v>
      </c>
      <c r="AD42" s="100" t="str">
        <f>IFERROR(COUNTIFS('Base File'!$G:$G,"Contractual SLA",'Base File'!$H:$H,"Yes",'Base File'!$B:$B,'Account Summary'!$C42,'Base File'!$BB:$BB,"Met")/SUM(COUNTIFS('Base File'!$G:$G,"Contractual SLA",'Base File'!$H:$H,"yes",'Base File'!$B:$B,'Account Summary'!$C42,'Base File'!$BB:$BB,"Met")+COUNTIFS('Base File'!$G:$G,"Contractual SLA",'Base File'!$H:$H,"yes",'Base File'!$B:$B,'Account Summary'!$C42,'Base File'!$BB:$BB,"Not Met")),"-")</f>
        <v>-</v>
      </c>
      <c r="AE42" s="100" t="s">
        <v>103</v>
      </c>
      <c r="AF42" s="100" t="s">
        <v>11</v>
      </c>
      <c r="AG42" s="100" t="str">
        <f>IFERROR(COUNTIFS('Base File'!$G:$G,"Contractual SLA",'Base File'!$H:$H,"No",'Base File'!$B:$B,'Account Summary'!$C42,'Base File'!$BD:$BD,"Met")/SUM(COUNTIFS('Base File'!$G:$G,"Contractual SLA",'Base File'!$H:$H,"No",'Base File'!$B:$B,'Account Summary'!$C42,'Base File'!$BD:$BD,"Met")+COUNTIFS('Base File'!$G:$G,"Contractual SLA",'Base File'!$H:$H,"No",'Base File'!$B:$B,'Account Summary'!$C42,'Base File'!$BD:$BD,"Not Met")),"-")</f>
        <v>-</v>
      </c>
      <c r="AH42" s="100" t="str">
        <f>IFERROR(COUNTIFS('Base File'!$G:$G,"Contractual SLA",'Base File'!$H:$H,"Yes",'Base File'!$B:$B,'Account Summary'!$C42,'Base File'!$BD:$BD,"Met")/SUM(COUNTIFS('Base File'!$G:$G,"Contractual SLA",'Base File'!$H:$H,"yes",'Base File'!$B:$B,'Account Summary'!$C42,'Base File'!$BD:$BD,"Met")+COUNTIFS('Base File'!$G:$G,"Contractual SLA",'Base File'!$H:$H,"yes",'Base File'!$B:$B,'Account Summary'!$C42,'Base File'!$BD:$BD,"Not Met")),"-")</f>
        <v>-</v>
      </c>
      <c r="AI42" s="100" t="s">
        <v>11</v>
      </c>
      <c r="AJ42" s="100" t="s">
        <v>11</v>
      </c>
      <c r="AK42" s="100" t="str">
        <f>IFERROR(COUNTIFS('Base File'!$G:$G,"Contractual SLA",'Base File'!$H:$H,"No",'Base File'!$B:$B,'Account Summary'!$C42,'Base File'!$BF:$BF,"Met")/SUM(COUNTIFS('Base File'!$G:$G,"Contractual SLA",'Base File'!$H:$H,"No",'Base File'!$B:$B,'Account Summary'!$C42,'Base File'!$BF:$BF,"Met")+COUNTIFS('Base File'!$G:$G,"Contractual SLA",'Base File'!$H:$H,"No",'Base File'!$B:$B,'Account Summary'!$C42,'Base File'!$BF:$BF,"Not Met")),"-")</f>
        <v>-</v>
      </c>
      <c r="AL42" s="100" t="str">
        <f>IFERROR(COUNTIFS('Base File'!$G:$G,"Contractual SLA",'Base File'!$H:$H,"Yes",'Base File'!$B:$B,'Account Summary'!$C42,'Base File'!$BF:$BF,"Met")/SUM(COUNTIFS('Base File'!$G:$G,"Contractual SLA",'Base File'!$H:$H,"yes",'Base File'!$B:$B,'Account Summary'!$C42,'Base File'!$BF:$BF,"Met")+COUNTIFS('Base File'!$G:$G,"Contractual SLA",'Base File'!$H:$H,"yes",'Base File'!$B:$B,'Account Summary'!$C42,'Base File'!$BF:$BF,"Not Met")),"-")</f>
        <v>-</v>
      </c>
      <c r="AM42" s="100" t="s">
        <v>11</v>
      </c>
      <c r="AN42" s="100" t="s">
        <v>11</v>
      </c>
      <c r="AO42" s="100" t="str">
        <f>IFERROR(COUNTIFS('Base File'!$G:$G,"Contractual SLA",'Base File'!$H:$H,"No",'Base File'!$B:$B,'Account Summary'!$C42,'Base File'!$BH:$BH,"Met")/SUM(COUNTIFS('Base File'!$G:$G,"Contractual SLA",'Base File'!$H:$H,"No",'Base File'!$B:$B,'Account Summary'!$C42,'Base File'!$BH:$BH,"Met")+COUNTIFS('Base File'!$G:$G,"Contractual SLA",'Base File'!$H:$H,"No",'Base File'!$B:$B,'Account Summary'!$C42,'Base File'!$BH:$BH,"Not Met")),"-")</f>
        <v>-</v>
      </c>
      <c r="AP42" s="100" t="str">
        <f>IFERROR(COUNTIFS('Base File'!$G:$G,"Contractual SLA",'Base File'!$H:$H,"Yes",'Base File'!$B:$B,'Account Summary'!$C42,'Base File'!$BH:$BH,"Met")/SUM(COUNTIFS('Base File'!$G:$G,"Contractual SLA",'Base File'!$H:$H,"yes",'Base File'!$B:$B,'Account Summary'!$C42,'Base File'!$BH:$BH,"Met")+COUNTIFS('Base File'!$G:$G,"Contractual SLA",'Base File'!$H:$H,"yes",'Base File'!$B:$B,'Account Summary'!$C42,'Base File'!$BH:$BH,"Not Met")),"-")</f>
        <v>-</v>
      </c>
      <c r="AQ42" s="100" t="s">
        <v>11</v>
      </c>
      <c r="AR42" s="100" t="s">
        <v>11</v>
      </c>
      <c r="AS42" s="101" t="str">
        <f>IFERROR(COUNTIFS('Base File'!$G:$G,"Contractual SLA",'Base File'!$H:$H,"No",'Base File'!$B:$B,'Account Summary'!$C42,'Base File'!$BJ:$BJ,"Met")/SUM(COUNTIFS('Base File'!$G:$G,"Contractual SLA",'Base File'!$H:$H,"No",'Base File'!$B:$B,'Account Summary'!$C42,'Base File'!$BJ:$BJ,"Met")+COUNTIFS('Base File'!$G:$G,"Contractual SLA",'Base File'!$H:$H,"No",'Base File'!$B:$B,'Account Summary'!$C42,'Base File'!$BJ:$BJ,"Not Met")),"-")</f>
        <v>-</v>
      </c>
      <c r="AT42" s="100" t="str">
        <f>IFERROR(COUNTIFS('Base File'!$G:$G,"Contractual SLA",'Base File'!$H:$H,"Yes",'Base File'!$B:$B,'Account Summary'!$C42,'Base File'!$BJ:$BJ,"Met")/SUM(COUNTIFS('Base File'!$G:$G,"Contractual SLA",'Base File'!$H:$H,"yes",'Base File'!$B:$B,'Account Summary'!$C42,'Base File'!$BJ:$BJ,"Met")+COUNTIFS('Base File'!$G:$G,"Contractual SLA",'Base File'!$H:$H,"yes",'Base File'!$B:$B,'Account Summary'!$C42,'Base File'!$BJ:$BJ,"Not Met")),"-")</f>
        <v>-</v>
      </c>
      <c r="AU42" s="100" t="s">
        <v>11</v>
      </c>
      <c r="AV42" s="100" t="s">
        <v>11</v>
      </c>
      <c r="AW42" s="100" t="str">
        <f>IFERROR(COUNTIFS('Base File'!$G:$G,"Contractual SLA",'Base File'!$H:$H,"No",'Base File'!$B:$B,'Account Summary'!$C42,'Base File'!$BL:$BL,"Met")/SUM(COUNTIFS('Base File'!$G:$G,"Contractual SLA",'Base File'!$H:$H,"No",'Base File'!$B:$B,'Account Summary'!$C42,'Base File'!$BL:$BL,"Met")+COUNTIFS('Base File'!$G:$G,"Contractual SLA",'Base File'!$H:$H,"No",'Base File'!$B:$B,'Account Summary'!$C42,'Base File'!$BL:$BL,"Not Met")),"-")</f>
        <v>-</v>
      </c>
      <c r="AX42" s="100" t="str">
        <f>IFERROR(COUNTIFS('Base File'!$G:$G,"Contractual SLA",'Base File'!$H:$H,"Yes",'Base File'!$B:$B,'Account Summary'!$C42,'Base File'!$BL:$BL,"Met")/SUM(COUNTIFS('Base File'!$G:$G,"Contractual SLA",'Base File'!$H:$H,"yes",'Base File'!$B:$B,'Account Summary'!$C42,'Base File'!$BL:$BL,"Met")+COUNTIFS('Base File'!$G:$G,"Contractual SLA",'Base File'!$H:$H,"yes",'Base File'!$B:$B,'Account Summary'!$C42,'Base File'!$BL:$BL,"Not Met")),"-")</f>
        <v>-</v>
      </c>
      <c r="AY42" s="100" t="s">
        <v>11</v>
      </c>
      <c r="AZ42" s="100" t="s">
        <v>919</v>
      </c>
      <c r="BA42" s="100" t="s">
        <v>107</v>
      </c>
      <c r="BB42" s="100" t="s">
        <v>107</v>
      </c>
      <c r="BC42" s="100" t="s">
        <v>919</v>
      </c>
      <c r="BD42" s="100" t="s">
        <v>11</v>
      </c>
      <c r="BE42" s="100" t="str">
        <f>IFERROR(COUNTIFS('Base File'!$G:$G,"Contractual SLA",'Base File'!$H:$H,"No",'Base File'!$B:$B,'Account Summary'!$C42,'Base File'!$BP:$BP,"Met")/SUM(COUNTIFS('Base File'!$G:$G,"Contractual SLA",'Base File'!$H:$H,"No",'Base File'!$B:$B,'Account Summary'!$C42,'Base File'!$BP:$BP,"Met")+COUNTIFS('Base File'!$G:$G,"Contractual SLA",'Base File'!$H:$H,"No",'Base File'!$B:$B,'Account Summary'!$C42,'Base File'!$BP:$BP,"Not Met")),"-")</f>
        <v>-</v>
      </c>
      <c r="BF42" s="100" t="str">
        <f>IFERROR(COUNTIFS('Base File'!$G:$G,"Contractual SLA",'Base File'!$H:$H,"Yes",'Base File'!$B:$B,'Account Summary'!$C42,'Base File'!$BP:$BP,"Met")/SUM(COUNTIFS('Base File'!$G:$G,"Contractual SLA",'Base File'!$H:$H,"yes",'Base File'!$B:$B,'Account Summary'!$C42,'Base File'!$BP:$BP,"Met")+COUNTIFS('Base File'!$G:$G,"Contractual SLA",'Base File'!$H:$H,"yes",'Base File'!$B:$B,'Account Summary'!$C42,'Base File'!$BP:$BP,"Not Met")),"-")</f>
        <v>-</v>
      </c>
      <c r="BG42" s="100" t="s">
        <v>11</v>
      </c>
      <c r="BH42" s="100" t="s">
        <v>11</v>
      </c>
      <c r="BI42" s="101" t="str">
        <f>IFERROR(COUNTIFS('Base File'!$G:$G,"Contractual SLA",'Base File'!$H:$H,"No",'Base File'!$B:$B,'Account Summary'!$C42,'Base File'!$BR:$BR,"Met")/SUM(COUNTIFS('Base File'!$G:$G,"Contractual SLA",'Base File'!$H:$H,"No",'Base File'!$B:$B,'Account Summary'!$C42,'Base File'!$BR:$BR,"Met")+COUNTIFS('Base File'!$G:$G,"Contractual SLA",'Base File'!$H:$H,"No",'Base File'!$B:$B,'Account Summary'!$C42,'Base File'!$BR:$BR,"Not Met")),"-")</f>
        <v>-</v>
      </c>
      <c r="BJ42" s="100" t="str">
        <f>IFERROR(COUNTIFS('Base File'!$G:$G,"Contractual SLA",'Base File'!$H:$H,"No",'Base File'!$B:$B,'Account Summary'!$C42,'Base File'!$BR:$BR,"Met")/SUM(COUNTIFS('Base File'!$G:$G,"Contractual SLA",'Base File'!$H:$H,"No",'Base File'!$B:$B,'Account Summary'!$C42,'Base File'!$BR:$BR,"Met")+COUNTIFS('Base File'!$G:$G,"Contractual SLA",'Base File'!$H:$H,"No",'Base File'!$B:$B,'Account Summary'!$C42,'Base File'!$BR:$BR,"Not Met")),"-")</f>
        <v>-</v>
      </c>
      <c r="BK42" s="100" t="s">
        <v>11</v>
      </c>
      <c r="BL42" s="100" t="s">
        <v>11</v>
      </c>
      <c r="BM42" s="100" t="str">
        <f>IFERROR(COUNTIFS('Base File'!$G:$G,"Contractual SLA",'Base File'!$H:$H,"No",'Base File'!$B:$B,'Account Summary'!$C42,'Base File'!$BT:$BT,"Met")/SUM(COUNTIFS('Base File'!$G:$G,"Contractual SLA",'Base File'!$H:$H,"No",'Base File'!$B:$B,'Account Summary'!$C42,'Base File'!$BT:$BT,"Met")+COUNTIFS('Base File'!$G:$G,"Contractual SLA",'Base File'!$H:$H,"No",'Base File'!$B:$B,'Account Summary'!$C42,'Base File'!$BT:$BT,"Not Met")),"-")</f>
        <v>-</v>
      </c>
      <c r="BN42" s="100" t="str">
        <f>IFERROR(COUNTIFS('Base File'!$G:$G,"Contractual SLA",'Base File'!$H:$H,"Yes",'Base File'!$B:$B,'Account Summary'!$C42,'Base File'!$BT:$BT,"Met")/SUM(COUNTIFS('Base File'!$G:$G,"Contractual SLA",'Base File'!$H:$H,"yes",'Base File'!$B:$B,'Account Summary'!$C42,'Base File'!$BT:$BT,"Met")+COUNTIFS('Base File'!$G:$G,"Contractual SLA",'Base File'!$H:$H,"yes",'Base File'!$B:$B,'Account Summary'!$C42,'Base File'!$BT:$BT,"Not Met")),"-")</f>
        <v>-</v>
      </c>
      <c r="BO42" s="100" t="s">
        <v>11</v>
      </c>
      <c r="BP42" s="100" t="s">
        <v>11</v>
      </c>
      <c r="BQ42" s="100" t="str">
        <f>IFERROR(COUNTIFS('Base File'!$G:$G,"Internal KPI",'Base File'!$B:$B,'Account Summary'!$C42,'Base File'!$BV:$BV,"Met")/SUM(COUNTIFS('Base File'!$G:$G,"Internal KPI",'Base File'!$B:$B,'Account Summary'!$C42,'Base File'!$BV:$BV,"Met")+COUNTIFS('Base File'!$G:$G,"Internal KPI",'Base File'!$B:$B,'Account Summary'!$C42,'Base File'!$BV:$BV,"Not Met")),"-")</f>
        <v>-</v>
      </c>
      <c r="BR42" s="100" t="str">
        <f>IFERROR(COUNTIFS('Base File'!$G:$G,"Contractual SLA",'Base File'!$H:$H,"Yes",'Base File'!$B:$B,'Account Summary'!$C42,'Base File'!$BV:$BV,"Met")/SUM(COUNTIFS('Base File'!$G:$G,"Contractual SLA",'Base File'!$H:$H,"Yes",'Base File'!$B:$B,'Account Summary'!$C42,'Base File'!$BV:$BV,"Met")+COUNTIFS('Base File'!$G:$G,"Contractual SLA",'Base File'!$H:$H,"Yes",'Base File'!$B:$B,'Account Summary'!$C42,'Base File'!$BV:$BV,"Not Met")),"-")</f>
        <v>-</v>
      </c>
      <c r="BS42" s="100" t="s">
        <v>11</v>
      </c>
      <c r="BT42" s="12"/>
      <c r="BU42" s="12"/>
      <c r="BV42" s="12"/>
      <c r="BW42" s="12"/>
    </row>
    <row r="43" spans="1:75" x14ac:dyDescent="0.25">
      <c r="A43" s="389"/>
      <c r="B43" s="94">
        <v>40</v>
      </c>
      <c r="C43" s="94" t="s">
        <v>55</v>
      </c>
      <c r="D43" s="95" t="s">
        <v>104</v>
      </c>
      <c r="E43" s="95" t="s">
        <v>902</v>
      </c>
      <c r="F43" s="94" t="s">
        <v>132</v>
      </c>
      <c r="G43" s="89"/>
      <c r="H43" s="89"/>
      <c r="I43" s="94" t="s">
        <v>105</v>
      </c>
      <c r="J43" s="89" t="s">
        <v>61</v>
      </c>
      <c r="K43" s="89" t="s">
        <v>11</v>
      </c>
      <c r="L43" s="98" t="s">
        <v>11</v>
      </c>
      <c r="M43" s="98" t="str">
        <f>IFERROR(COUNTIFS('Base File'!$G:$G,"Contractual SLA",'Base File'!$H:$H,"No",'Base File'!$B:$B,'Account Summary'!$C43,'Base File'!$AR:$AR,"Met")/SUM(COUNTIFS('Base File'!$G:$G,"Contractual SLA",'Base File'!$H:$H,"No",'Base File'!$B:$B,'Account Summary'!$C43,'Base File'!$AR:$AR,"Met")+COUNTIFS('Base File'!$G:$G,"Contractual SLA",'Base File'!$H:$H,"No",'Base File'!$B:$B,'Account Summary'!$C43,'Base File'!$AR:$AR,"Not Met")),"-")</f>
        <v>-</v>
      </c>
      <c r="N43" s="98" t="s">
        <v>11</v>
      </c>
      <c r="O43" s="98" t="s">
        <v>11</v>
      </c>
      <c r="P43" s="98" t="s">
        <v>11</v>
      </c>
      <c r="Q43" s="98" t="str">
        <f>IFERROR(COUNTIFS('Base File'!$G:$G,"Contractual SLA",'Base File'!$H:$H,"No",'Base File'!$B:$B,'Account Summary'!$C43,'Base File'!$AV:$AV,"Met")/SUM(COUNTIFS('Base File'!$G:$G,"Contractual SLA",'Base File'!$H:$H,"No",'Base File'!$B:$B,'Account Summary'!$C43,'Base File'!$AV:$AV,"Met")+COUNTIFS('Base File'!$G:$G,"Contractual SLA",'Base File'!$H:$H,"No",'Base File'!$B:$B,'Account Summary'!$C43,'Base File'!$AV:$AV,"Not Met")),"-")</f>
        <v>-</v>
      </c>
      <c r="R43" s="103" t="s">
        <v>11</v>
      </c>
      <c r="S43" s="98" t="s">
        <v>11</v>
      </c>
      <c r="T43" s="98" t="s">
        <v>11</v>
      </c>
      <c r="U43" s="104" t="s">
        <v>107</v>
      </c>
      <c r="V43" s="103" t="s">
        <v>11</v>
      </c>
      <c r="W43" s="98" t="s">
        <v>11</v>
      </c>
      <c r="X43" s="100" t="s">
        <v>11</v>
      </c>
      <c r="Y43" s="101" t="str">
        <f>IFERROR(COUNTIFS('Base File'!$G:$G,"Contractual SLA",'Base File'!$H:$H,"No",'Base File'!$B:$B,'Account Summary'!$C43,'Base File'!$AZ:$AZ,"Met")/SUM(COUNTIFS('Base File'!$G:$G,"Contractual SLA",'Base File'!$H:$H,"No",'Base File'!$B:$B,'Account Summary'!$C43,'Base File'!$AZ:$AZ,"Met")+COUNTIFS('Base File'!$G:$G,"Contractual SLA",'Base File'!$H:$H,"No",'Base File'!$B:$B,'Account Summary'!$C43,'Base File'!$AZ:$AZ,"Not Met")),"-")</f>
        <v>-</v>
      </c>
      <c r="Z43" s="100" t="s">
        <v>11</v>
      </c>
      <c r="AA43" s="100" t="s">
        <v>11</v>
      </c>
      <c r="AB43" s="101" t="s">
        <v>11</v>
      </c>
      <c r="AC43" s="101" t="str">
        <f>IFERROR(COUNTIFS('Base File'!$G:$G,"Contractual SLA",'Base File'!$H:$H,"No",'Base File'!$B:$B,'Account Summary'!$C43,'Base File'!$BB:$BB,"Met")/SUM(COUNTIFS('Base File'!$G:$G,"Contractual SLA",'Base File'!$H:$H,"No",'Base File'!$B:$B,'Account Summary'!$C43,'Base File'!$BB:$BB,"Met")+COUNTIFS('Base File'!$G:$G,"Contractual SLA",'Base File'!$H:$H,"No",'Base File'!$B:$B,'Account Summary'!$C43,'Base File'!$BB:$BB,"Not Met")),"-")</f>
        <v>-</v>
      </c>
      <c r="AD43" s="100" t="s">
        <v>11</v>
      </c>
      <c r="AE43" s="100" t="s">
        <v>11</v>
      </c>
      <c r="AF43" s="100" t="s">
        <v>11</v>
      </c>
      <c r="AG43" s="100" t="str">
        <f>IFERROR(COUNTIFS('Base File'!$G:$G,"Contractual SLA",'Base File'!$H:$H,"No",'Base File'!$B:$B,'Account Summary'!$C43,'Base File'!$BD:$BD,"Met")/SUM(COUNTIFS('Base File'!$G:$G,"Contractual SLA",'Base File'!$H:$H,"No",'Base File'!$B:$B,'Account Summary'!$C43,'Base File'!$BD:$BD,"Met")+COUNTIFS('Base File'!$G:$G,"Contractual SLA",'Base File'!$H:$H,"No",'Base File'!$B:$B,'Account Summary'!$C43,'Base File'!$BD:$BD,"Not Met")),"-")</f>
        <v>-</v>
      </c>
      <c r="AH43" s="100" t="s">
        <v>11</v>
      </c>
      <c r="AI43" s="100" t="s">
        <v>11</v>
      </c>
      <c r="AJ43" s="100" t="s">
        <v>11</v>
      </c>
      <c r="AK43" s="100" t="str">
        <f>IFERROR(COUNTIFS('Base File'!$G:$G,"Contractual SLA",'Base File'!$H:$H,"No",'Base File'!$B:$B,'Account Summary'!$C43,'Base File'!$BD:$BD,"Met")/SUM(COUNTIFS('Base File'!$G:$G,"Contractual SLA",'Base File'!$H:$H,"No",'Base File'!$B:$B,'Account Summary'!$C43,'Base File'!$BD:$BD,"Met")+COUNTIFS('Base File'!$G:$G,"Contractual SLA",'Base File'!$H:$H,"No",'Base File'!$B:$B,'Account Summary'!$C43,'Base File'!$BD:$BD,"Not Met")),"-")</f>
        <v>-</v>
      </c>
      <c r="AL43" s="100" t="s">
        <v>11</v>
      </c>
      <c r="AM43" s="100" t="s">
        <v>11</v>
      </c>
      <c r="AN43" s="100" t="str">
        <f>IFERROR(COUNTIFS('Base File'!$BH:$BH,"Met",'Base File'!$B:$B,'Account Summary'!C43)/(COUNTIFS('Base File'!$BH:$BH,"Met",'Base File'!$B:$B,'Account Summary'!C43)+COUNTIFS('Base File'!$BH:$BH,"Not Met",'Base File'!$B:$B,'Account Summary'!C43)),"NR")</f>
        <v>NR</v>
      </c>
      <c r="AO43" s="100" t="str">
        <f>IFERROR(COUNTIFS('Base File'!$G:$G,"Contractual SLA",'Base File'!$H:$H,"No",'Base File'!$B:$B,'Account Summary'!$C43,'Base File'!$BH:$BH,"Met")/SUM(COUNTIFS('Base File'!$G:$G,"Contractual SLA",'Base File'!$H:$H,"No",'Base File'!$B:$B,'Account Summary'!$C43,'Base File'!$BH:$BH,"Met")+COUNTIFS('Base File'!$G:$G,"Contractual SLA",'Base File'!$H:$H,"No",'Base File'!$B:$B,'Account Summary'!$C43,'Base File'!$BH:$BH,"Not Met")),"-")</f>
        <v>-</v>
      </c>
      <c r="AP43" s="100" t="str">
        <f>IFERROR(COUNTIFS('Base File'!$BH:$BH,"Met",'Base File'!$B:$B,'Account Summary'!F43)/(COUNTIFS('Base File'!$BH:$BH,"Met",'Base File'!$B:$B,'Account Summary'!F43)+COUNTIFS('Base File'!$BH:$BH,"Not Met",'Base File'!$B:$B,'Account Summary'!F43)),"NR")</f>
        <v>NR</v>
      </c>
      <c r="AQ43" s="100" t="str">
        <f>IFERROR(COUNTIFS('Base File'!$BH:$BH,"Met",'Base File'!$B:$B,'Account Summary'!G43)/(COUNTIFS('Base File'!$BH:$BH,"Met",'Base File'!$B:$B,'Account Summary'!G43)+COUNTIFS('Base File'!$BH:$BH,"Not Met",'Base File'!$B:$B,'Account Summary'!G43)),"NR")</f>
        <v>NR</v>
      </c>
      <c r="AR43" s="100" t="str">
        <f>IFERROR(COUNTIFS('Base File'!$BJ:$BJ,"Met",'Base File'!$B:$B,'Account Summary'!C43)/(COUNTIFS('Base File'!$BJ:$BJ,"Met",'Base File'!$B:$B,'Account Summary'!C43)+COUNTIFS('Base File'!$BJ:$BJ,"Not Met",'Base File'!$B:$B,'Account Summary'!C43)),"NR")</f>
        <v>NR</v>
      </c>
      <c r="AS43" s="101" t="str">
        <f>IFERROR(COUNTIFS('Base File'!$G:$G,"Contractual SLA",'Base File'!$H:$H,"No",'Base File'!$B:$B,'Account Summary'!$C43,'Base File'!$BJ:$BJ,"Met")/SUM(COUNTIFS('Base File'!$G:$G,"Contractual SLA",'Base File'!$H:$H,"No",'Base File'!$B:$B,'Account Summary'!$C43,'Base File'!$BJ:$BJ,"Met")+COUNTIFS('Base File'!$G:$G,"Contractual SLA",'Base File'!$H:$H,"No",'Base File'!$B:$B,'Account Summary'!$C43,'Base File'!$BJ:$BJ,"Not Met")),"-")</f>
        <v>-</v>
      </c>
      <c r="AT43" s="100" t="str">
        <f>IFERROR(COUNTIFS('Base File'!$BH:$BH,"Met",'Base File'!$B:$B,'Account Summary'!J43)/(COUNTIFS('Base File'!$BH:$BH,"Met",'Base File'!$B:$B,'Account Summary'!J43)+COUNTIFS('Base File'!$BH:$BH,"Not Met",'Base File'!$B:$B,'Account Summary'!J43)),"NR")</f>
        <v>NR</v>
      </c>
      <c r="AU43" s="100" t="str">
        <f>IFERROR(COUNTIFS('Base File'!$BH:$BH,"Met",'Base File'!$B:$B,'Account Summary'!K43)/(COUNTIFS('Base File'!$BH:$BH,"Met",'Base File'!$B:$B,'Account Summary'!K43)+COUNTIFS('Base File'!$BH:$BH,"Not Met",'Base File'!$B:$B,'Account Summary'!K43)),"NR")</f>
        <v>NR</v>
      </c>
      <c r="AV43" s="100" t="str">
        <f>IFERROR(COUNTIFS('Base File'!$BL:$BL,"Met",'Base File'!$B:$B,'Account Summary'!C43)/(COUNTIFS('Base File'!$BL:$BL,"Met",'Base File'!$B:$B,'Account Summary'!C43)+COUNTIFS('Base File'!$BL:$BL,"Not Met",'Base File'!$B:$B,'Account Summary'!C43)),"NR")</f>
        <v>NR</v>
      </c>
      <c r="AW43" s="100" t="str">
        <f>IFERROR(COUNTIFS('Base File'!$G:$G,"Contractual SLA",'Base File'!$H:$H,"No",'Base File'!$B:$B,'Account Summary'!$C43,'Base File'!$BL:$BL,"Met")/SUM(COUNTIFS('Base File'!$G:$G,"Contractual SLA",'Base File'!$H:$H,"No",'Base File'!$B:$B,'Account Summary'!$C43,'Base File'!$BL:$BL,"Met")+COUNTIFS('Base File'!$G:$G,"Contractual SLA",'Base File'!$H:$H,"No",'Base File'!$B:$B,'Account Summary'!$C43,'Base File'!$BL:$BL,"Not Met")),"-")</f>
        <v>-</v>
      </c>
      <c r="AX43" s="100" t="str">
        <f>IFERROR(COUNTIFS('Base File'!$BL:$BL,"Met",'Base File'!$B:$B,'Account Summary'!F43)/(COUNTIFS('Base File'!$BL:$BL,"Met",'Base File'!$B:$B,'Account Summary'!F43)+COUNTIFS('Base File'!$BL:$BL,"Not Met",'Base File'!$B:$B,'Account Summary'!F43)),"NR")</f>
        <v>NR</v>
      </c>
      <c r="AY43" s="100" t="str">
        <f>IFERROR(COUNTIFS('Base File'!$BL:$BL,"Met",'Base File'!$B:$B,'Account Summary'!G43)/(COUNTIFS('Base File'!$BL:$BL,"Met",'Base File'!$B:$B,'Account Summary'!G43)+COUNTIFS('Base File'!$BL:$BL,"Not Met",'Base File'!$B:$B,'Account Summary'!G43)),"NR")</f>
        <v>NR</v>
      </c>
      <c r="AZ43" s="100" t="s">
        <v>103</v>
      </c>
      <c r="BA43" s="100" t="s">
        <v>107</v>
      </c>
      <c r="BB43" s="100" t="s">
        <v>103</v>
      </c>
      <c r="BC43" s="100" t="s">
        <v>103</v>
      </c>
      <c r="BD43" s="100" t="s">
        <v>103</v>
      </c>
      <c r="BE43" s="100" t="str">
        <f>IFERROR(COUNTIFS('Base File'!$G:$G,"Contractual SLA",'Base File'!$H:$H,"No",'Base File'!$B:$B,'Account Summary'!$C43,'Base File'!$BP:$BP,"Met")/SUM(COUNTIFS('Base File'!$G:$G,"Contractual SLA",'Base File'!$H:$H,"No",'Base File'!$B:$B,'Account Summary'!$C43,'Base File'!$BP:$BP,"Met")+COUNTIFS('Base File'!$G:$G,"Contractual SLA",'Base File'!$H:$H,"No",'Base File'!$B:$B,'Account Summary'!$C43,'Base File'!$BP:$BP,"Not Met")),"-")</f>
        <v>-</v>
      </c>
      <c r="BF43" s="100" t="s">
        <v>103</v>
      </c>
      <c r="BG43" s="100" t="s">
        <v>103</v>
      </c>
      <c r="BH43" s="100" t="str">
        <f>IFERROR(COUNTIFS('Base File'!$BR:$BR,"Met",'Base File'!$B:$B,'Account Summary'!C43)/(COUNTIFS('Base File'!$BR:$BR,"Met",'Base File'!$B:$B,'Account Summary'!C43)+COUNTIFS('Base File'!$BR:$BR,"Not Met",'Base File'!$B:$B,'Account Summary'!C43)),"NR")</f>
        <v>NR</v>
      </c>
      <c r="BI43" s="101" t="str">
        <f>IFERROR(COUNTIFS('Base File'!$G:$G,"Contractual SLA",'Base File'!$H:$H,"No",'Base File'!$B:$B,'Account Summary'!$C43,'Base File'!$BR:$BR,"Met")/SUM(COUNTIFS('Base File'!$G:$G,"Contractual SLA",'Base File'!$H:$H,"No",'Base File'!$B:$B,'Account Summary'!$C43,'Base File'!$BR:$BR,"Met")+COUNTIFS('Base File'!$G:$G,"Contractual SLA",'Base File'!$H:$H,"No",'Base File'!$B:$B,'Account Summary'!$C43,'Base File'!$BR:$BR,"Not Met")),"-")</f>
        <v>-</v>
      </c>
      <c r="BJ43" s="100" t="s">
        <v>103</v>
      </c>
      <c r="BK43" s="100" t="s">
        <v>103</v>
      </c>
      <c r="BL43" s="100" t="str">
        <f>IFERROR(COUNTIFS('Base File'!$BT:$BT,"Met",'Base File'!$B:$B,'Account Summary'!C43)/(COUNTIFS('Base File'!$BT:$BT,"Met",'Base File'!$B:$B,'Account Summary'!C43)+COUNTIFS('Base File'!$BT:$BT,"Not Met",'Base File'!$B:$B,'Account Summary'!C43)),"NR")</f>
        <v>NR</v>
      </c>
      <c r="BM43" s="100" t="s">
        <v>103</v>
      </c>
      <c r="BN43" s="100" t="str">
        <f>IFERROR(COUNTIFS('Base File'!$G:$G,"Contractual SLA",'Base File'!$H:$H,"Yes",'Base File'!$B:$B,'Account Summary'!$C43,'Base File'!$BT:$BT,"Met")/SUM(COUNTIFS('Base File'!$G:$G,"Contractual SLA",'Base File'!$H:$H,"yes",'Base File'!$B:$B,'Account Summary'!$C43,'Base File'!$BT:$BT,"Met")+COUNTIFS('Base File'!$G:$G,"Contractual SLA",'Base File'!$H:$H,"yes",'Base File'!$B:$B,'Account Summary'!$C43,'Base File'!$BT:$BT,"Not Met")),"-")</f>
        <v>-</v>
      </c>
      <c r="BO43" s="100" t="s">
        <v>103</v>
      </c>
      <c r="BP43" s="100" t="str">
        <f>IFERROR(COUNTIFS('Base File'!$BV:$BV,"Met",'Base File'!$B:$B,'Account Summary'!C43)/(COUNTIFS('Base File'!$BV:$BV,"Met",'Base File'!$B:$B,'Account Summary'!C43)+COUNTIFS('Base File'!$BV:$BV,"Not Met",'Base File'!$B:$B,'Account Summary'!C43)),"NR")</f>
        <v>NR</v>
      </c>
      <c r="BQ43" s="100" t="s">
        <v>103</v>
      </c>
      <c r="BR43" s="100" t="str">
        <f>IFERROR(COUNTIFS('Base File'!$G:$G,"Contractual SLA",'Base File'!$H:$H,"Yes",'Base File'!$B:$B,'Account Summary'!$C43,'Base File'!$BV:$BV,"Met")/SUM(COUNTIFS('Base File'!$G:$G,"Contractual SLA",'Base File'!$H:$H,"Yes",'Base File'!$B:$B,'Account Summary'!$C43,'Base File'!$BV:$BV,"Met")+COUNTIFS('Base File'!$G:$G,"Contractual SLA",'Base File'!$H:$H,"Yes",'Base File'!$B:$B,'Account Summary'!$C43,'Base File'!$BV:$BV,"Not Met")),"-")</f>
        <v>-</v>
      </c>
      <c r="BS43" s="100" t="s">
        <v>103</v>
      </c>
      <c r="BT43" s="12"/>
      <c r="BU43" s="12"/>
      <c r="BV43" s="12"/>
      <c r="BW43" s="12"/>
    </row>
    <row r="44" spans="1:75" x14ac:dyDescent="0.25">
      <c r="A44" s="389"/>
      <c r="B44" s="94">
        <v>41</v>
      </c>
      <c r="C44" s="94" t="s">
        <v>56</v>
      </c>
      <c r="D44" s="95" t="s">
        <v>106</v>
      </c>
      <c r="E44" s="95" t="s">
        <v>106</v>
      </c>
      <c r="F44" s="94" t="s">
        <v>894</v>
      </c>
      <c r="G44" s="89"/>
      <c r="H44" s="89"/>
      <c r="I44" s="94" t="s">
        <v>920</v>
      </c>
      <c r="J44" s="89" t="s">
        <v>67</v>
      </c>
      <c r="K44" s="89" t="s">
        <v>68</v>
      </c>
      <c r="L44" s="98" t="str">
        <f>IFERROR(COUNTIFS('Base File'!$AR:$AR,"Met",'Base File'!$B:$B,'Account Summary'!C44)/(COUNTIFS('Base File'!$AR:$AR,"Met",'Base File'!$B:$B,'Account Summary'!C44)+COUNTIFS('Base File'!$AR:$AR,"Not Met",'Base File'!$B:$B,'Account Summary'!C44)),"NR")</f>
        <v>NR</v>
      </c>
      <c r="M44" s="98" t="str">
        <f>IFERROR(COUNTIFS('Base File'!$G:$G,"Contractual SLA",'Base File'!$H:$H,"No",'Base File'!$B:$B,'Account Summary'!$C44,'Base File'!$AR:$AR,"Met")/SUM(COUNTIFS('Base File'!$G:$G,"Contractual SLA",'Base File'!$H:$H,"No",'Base File'!$B:$B,'Account Summary'!$C44,'Base File'!$AR:$AR,"Met")+COUNTIFS('Base File'!$G:$G,"Contractual SLA",'Base File'!$H:$H,"No",'Base File'!$B:$B,'Account Summary'!$C44,'Base File'!$AR:$AR,"Not Met")),"-")</f>
        <v>-</v>
      </c>
      <c r="N44" s="98" t="str">
        <f>IFERROR(COUNTIFS('Base File'!$G:$G,"Contractual SLA",'Base File'!$H:$H,"Yes",'Base File'!$B:$B,'Account Summary'!$C44,'Base File'!$AR:$AR,"Met")/SUM(COUNTIFS('Base File'!$G:$G,"Contractual SLA",'Base File'!$H:$H,"yes",'Base File'!$B:$B,'Account Summary'!$C44,'Base File'!$AR:$AR,"Met")+COUNTIFS('Base File'!$G:$G,"Contractual SLA",'Base File'!$H:$H,"yes",'Base File'!$B:$B,'Account Summary'!$C44,'Base File'!$AR:$AR,"Not Met")),"-")</f>
        <v>-</v>
      </c>
      <c r="O44" s="98" t="s">
        <v>103</v>
      </c>
      <c r="P44" s="98" t="str">
        <f>IFERROR(COUNTIFS('Base File'!$AV:$AV,"Met",'Base File'!$B:$B,'Account Summary'!C44)/(COUNTIFS('Base File'!$AV:$AV,"Met",'Base File'!$B:$B,'Account Summary'!C44)+COUNTIFS('Base File'!$AV:$AV,"Not Met",'Base File'!$B:$B,'Account Summary'!C44)),"NR")</f>
        <v>NR</v>
      </c>
      <c r="Q44" s="98" t="str">
        <f>IFERROR(COUNTIFS('Base File'!$G:$G,"Contractual SLA",'Base File'!$H:$H,"No",'Base File'!$B:$B,'Account Summary'!$C44,'Base File'!$AV:$AV,"Met")/SUM(COUNTIFS('Base File'!$G:$G,"Contractual SLA",'Base File'!$H:$H,"No",'Base File'!$B:$B,'Account Summary'!$C44,'Base File'!$AV:$AV,"Met")+COUNTIFS('Base File'!$G:$G,"Contractual SLA",'Base File'!$H:$H,"No",'Base File'!$B:$B,'Account Summary'!$C44,'Base File'!$AV:$AV,"Not Met")),"-")</f>
        <v>-</v>
      </c>
      <c r="R44" s="103" t="str">
        <f>IFERROR(COUNTIFS('Base File'!$G:$G,"Contractual SLA",'Base File'!$H:$H,"Yes",'Base File'!$B:$B,'Account Summary'!$C44,'Base File'!$AV:$AV,"Met")/SUM(COUNTIFS('Base File'!$G:$G,"Contractual SLA",'Base File'!$H:$H,"yes",'Base File'!$B:$B,'Account Summary'!$C44,'Base File'!$AV:$AV,"Met")+COUNTIFS('Base File'!$G:$G,"Contractual SLA",'Base File'!$H:$H,"yes",'Base File'!$B:$B,'Account Summary'!$C44,'Base File'!$AV:$AV,"Not Met")),"-")</f>
        <v>-</v>
      </c>
      <c r="S44" s="98" t="str">
        <f>IFERROR(COUNTIFS('Base File'!$AV:$AV,"Met",'Base File'!$B:$B,'Account Summary'!G44)/(COUNTIFS('Base File'!$AV:$AV,"Met",'Base File'!$B:$B,'Account Summary'!G44)+COUNTIFS('Base File'!$AV:$AV,"Not Met",'Base File'!$B:$B,'Account Summary'!G44)),"NR")</f>
        <v>NR</v>
      </c>
      <c r="T44" s="100" t="str">
        <f>IFERROR(COUNTIFS('Base File'!$AX:$AX,"Met",'Base File'!$B:$B,'Account Summary'!C44)/(COUNTIFS('Base File'!$AX:$AX,"Met",'Base File'!$B:$B,'Account Summary'!C44)+COUNTIFS('Base File'!$AX:$AX,"Not Met",'Base File'!$B:$B,'Account Summary'!C44)),"NR")</f>
        <v>NR</v>
      </c>
      <c r="U44" s="101" t="str">
        <f>IFERROR(COUNTIFS('Base File'!$G:$G,"Contractual SLA",'Base File'!$H:$H,"No",'Base File'!$B:$B,'Account Summary'!$C44,'Base File'!$AX:$AX,"Met")/SUM(COUNTIFS('Base File'!$G:$G,"Contractual SLA",'Base File'!$H:$H,"No",'Base File'!$B:$B,'Account Summary'!$C44,'Base File'!$AX:$AX,"Met")+COUNTIFS('Base File'!$G:$G,"Contractual SLA",'Base File'!$H:$H,"No",'Base File'!$B:$B,'Account Summary'!$C44,'Base File'!$AX:$AX,"Not Met")),"NA")</f>
        <v>NA</v>
      </c>
      <c r="V44" s="100" t="str">
        <f>IFERROR(COUNTIFS('Base File'!$G:$G,"Contractual SLA",'Base File'!$H:$H,"Yes",'Base File'!$B:$B,'Account Summary'!$C44,'Base File'!$AX:$AX,"Met")/SUM(COUNTIFS('Base File'!$G:$G,"Contractual SLA",'Base File'!$H:$H,"yes",'Base File'!$B:$B,'Account Summary'!$C44,'Base File'!$AX:$AX,"Met")+COUNTIFS('Base File'!$G:$G,"Contractual SLA",'Base File'!$H:$H,"yes",'Base File'!$B:$B,'Account Summary'!$C44,'Base File'!$AX:$AX,"Not Met")),"NA")</f>
        <v>NA</v>
      </c>
      <c r="W44" s="100" t="s">
        <v>103</v>
      </c>
      <c r="X44" s="100" t="str">
        <f>IFERROR(COUNTIFS('Base File'!$AZ:$AZ,"Met",'Base File'!$B:$B,'Account Summary'!C44)/(COUNTIFS('Base File'!$AZ:$AZ,"Met",'Base File'!$B:$B,'Account Summary'!C44)+COUNTIFS('Base File'!$AZ:$AZ,"Not Met",'Base File'!$B:$B,'Account Summary'!C44)),"NR")</f>
        <v>NR</v>
      </c>
      <c r="Y44" s="101" t="str">
        <f>IFERROR(COUNTIFS('Base File'!$G:$G,"Contractual SLA",'Base File'!$H:$H,"No",'Base File'!$B:$B,'Account Summary'!$C44,'Base File'!$AZ:$AZ,"Met")/SUM(COUNTIFS('Base File'!$G:$G,"Contractual SLA",'Base File'!$H:$H,"No",'Base File'!$B:$B,'Account Summary'!$C44,'Base File'!$AZ:$AZ,"Met")+COUNTIFS('Base File'!$G:$G,"Contractual SLA",'Base File'!$H:$H,"No",'Base File'!$B:$B,'Account Summary'!$C44,'Base File'!$AZ:$AZ,"Not Met")),"-")</f>
        <v>-</v>
      </c>
      <c r="Z44" s="100" t="str">
        <f>IFERROR(COUNTIFS('Base File'!$G:$G,"Contractual SLA",'Base File'!$H:$H,"Yes",'Base File'!$B:$B,'Account Summary'!$C44,'Base File'!$AZ:$AZ,"Met")/SUM(COUNTIFS('Base File'!$G:$G,"Contractual SLA",'Base File'!$H:$H,"yes",'Base File'!$B:$B,'Account Summary'!$C44,'Base File'!$AZ:$AZ,"Met")+COUNTIFS('Base File'!$G:$G,"Contractual SLA",'Base File'!$H:$H,"yes",'Base File'!$B:$B,'Account Summary'!$C44,'Base File'!$AZ:$AZ,"Not Met")),"-")</f>
        <v>-</v>
      </c>
      <c r="AA44" s="100" t="s">
        <v>103</v>
      </c>
      <c r="AB44" s="101" t="str">
        <f>IFERROR(COUNTIFS('Base File'!$BB:$BB,"Met",'Base File'!$B:$B,'Account Summary'!C44)/(COUNTIFS('Base File'!$BB:$BB,"Met",'Base File'!$B:$B,'Account Summary'!C44)+COUNTIFS('Base File'!$BB:$BB,"Not Met",'Base File'!$B:$B,'Account Summary'!C44)),"NR")</f>
        <v>NR</v>
      </c>
      <c r="AC44" s="101" t="str">
        <f>IFERROR(COUNTIFS('Base File'!$G:$G,"Contractual SLA",'Base File'!$H:$H,"No",'Base File'!$B:$B,'Account Summary'!$C44,'Base File'!$BB:$BB,"Met")/SUM(COUNTIFS('Base File'!$G:$G,"Contractual SLA",'Base File'!$H:$H,"No",'Base File'!$B:$B,'Account Summary'!$C44,'Base File'!$BB:$BB,"Met")+COUNTIFS('Base File'!$G:$G,"Contractual SLA",'Base File'!$H:$H,"No",'Base File'!$B:$B,'Account Summary'!$C44,'Base File'!$BB:$BB,"Not Met")),"-")</f>
        <v>-</v>
      </c>
      <c r="AD44" s="100" t="str">
        <f>IFERROR(COUNTIFS('Base File'!$G:$G,"Contractual SLA",'Base File'!$H:$H,"Yes",'Base File'!$B:$B,'Account Summary'!$C44,'Base File'!$BB:$BB,"Met")/SUM(COUNTIFS('Base File'!$G:$G,"Contractual SLA",'Base File'!$H:$H,"yes",'Base File'!$B:$B,'Account Summary'!$C44,'Base File'!$BB:$BB,"Met")+COUNTIFS('Base File'!$G:$G,"Contractual SLA",'Base File'!$H:$H,"yes",'Base File'!$B:$B,'Account Summary'!$C44,'Base File'!$BB:$BB,"Not Met")),"-")</f>
        <v>-</v>
      </c>
      <c r="AE44" s="100" t="str">
        <f>IFERROR(COUNTIFS('Base File'!$G:$G,"Internal KPI",'Base File'!$B:$B,'Account Summary'!$C44,'Base File'!$BB:$BB,"Met")/SUM(COUNTIFS('Base File'!$G:$G,"Internal KPI",'Base File'!$B:$B,'Account Summary'!$C44,'Base File'!$BB:$BB,"Met")+COUNTIFS('Base File'!$G:$G,"Internal KPI",'Base File'!$B:$B,'Account Summary'!$C44,'Base File'!$BB:$BB,"Not Met")),"-")</f>
        <v>-</v>
      </c>
      <c r="AF44" s="100" t="str">
        <f>IFERROR(COUNTIFS('Base File'!$BD:$BD,"Met",'Base File'!$B:$B,'Account Summary'!C44)/(COUNTIFS('Base File'!$BD:$BD,"Met",'Base File'!$B:$B,'Account Summary'!C44)+COUNTIFS('Base File'!$BD:$BD,"Not Met",'Base File'!$B:$B,'Account Summary'!C44)),"NR")</f>
        <v>NR</v>
      </c>
      <c r="AG44" s="100" t="str">
        <f>IFERROR(COUNTIFS('Base File'!$G:$G,"Contractual SLA",'Base File'!$H:$H,"No",'Base File'!$B:$B,'Account Summary'!$C44,'Base File'!$BD:$BD,"Met")/SUM(COUNTIFS('Base File'!$G:$G,"Contractual SLA",'Base File'!$H:$H,"No",'Base File'!$B:$B,'Account Summary'!$C44,'Base File'!$BD:$BD,"Met")+COUNTIFS('Base File'!$G:$G,"Contractual SLA",'Base File'!$H:$H,"No",'Base File'!$B:$B,'Account Summary'!$C44,'Base File'!$BD:$BD,"Not Met")),"-")</f>
        <v>-</v>
      </c>
      <c r="AH44" s="100" t="str">
        <f>IFERROR(COUNTIFS('Base File'!$G:$G,"Contractual SLA",'Base File'!$H:$H,"Yes",'Base File'!$B:$B,'Account Summary'!$C44,'Base File'!$BD:$BD,"Met")/SUM(COUNTIFS('Base File'!$G:$G,"Contractual SLA",'Base File'!$H:$H,"yes",'Base File'!$B:$B,'Account Summary'!$C44,'Base File'!$BD:$BD,"Met")+COUNTIFS('Base File'!$G:$G,"Contractual SLA",'Base File'!$H:$H,"yes",'Base File'!$B:$B,'Account Summary'!$C44,'Base File'!$BD:$BD,"Not Met")),"-")</f>
        <v>-</v>
      </c>
      <c r="AI44" s="100" t="str">
        <f>IFERROR(COUNTIFS('Base File'!$BD:$BD,"Met",'Base File'!$B:$B,'Account Summary'!G44)/(COUNTIFS('Base File'!$BD:$BD,"Met",'Base File'!$B:$B,'Account Summary'!G44)+COUNTIFS('Base File'!$BD:$BD,"Not Met",'Base File'!$B:$B,'Account Summary'!G44)),"NR")</f>
        <v>NR</v>
      </c>
      <c r="AJ44" s="99">
        <f>IFERROR(COUNTIFS('Base File'!$BF:$BF,"Met",'Base File'!$B:$B,'Account Summary'!C44)/(COUNTIFS('Base File'!$BF:$BF,"Met",'Base File'!$B:$B,'Account Summary'!C44)+COUNTIFS('Base File'!$BF:$BF,"Not Met",'Base File'!$B:$B,'Account Summary'!C44)),"NR")</f>
        <v>0.83333333333333337</v>
      </c>
      <c r="AK44" s="100" t="str">
        <f>IFERROR(COUNTIFS('Base File'!$G:$G,"Contractual SLA",'Base File'!$H:$H,"No",'Base File'!$B:$B,'Account Summary'!$C44,'Base File'!$BF:$BF,"Met")/SUM(COUNTIFS('Base File'!$G:$G,"Contractual SLA",'Base File'!$H:$H,"No",'Base File'!$B:$B,'Account Summary'!$C44,'Base File'!$BF:$BF,"Met")+COUNTIFS('Base File'!$G:$G,"Contractual SLA",'Base File'!$H:$H,"No",'Base File'!$B:$B,'Account Summary'!$C44,'Base File'!$BF:$BF,"Not Met")),"-")</f>
        <v>-</v>
      </c>
      <c r="AL44" s="100" t="str">
        <f>IFERROR(COUNTIFS('Base File'!$G:$G,"Contractual SLA",'Base File'!$H:$H,"Yes",'Base File'!$B:$B,'Account Summary'!$C44,'Base File'!$BF:$BF,"Met")/SUM(COUNTIFS('Base File'!$G:$G,"Contractual SLA",'Base File'!$H:$H,"yes",'Base File'!$B:$B,'Account Summary'!$C44,'Base File'!$BF:$BF,"Met")+COUNTIFS('Base File'!$G:$G,"Contractual SLA",'Base File'!$H:$H,"yes",'Base File'!$B:$B,'Account Summary'!$C44,'Base File'!$BF:$BF,"Not Met")),"-")</f>
        <v>-</v>
      </c>
      <c r="AM44" s="99">
        <f>IFERROR(COUNTIFS('Base File'!$G:$G,"Internal KPI",'Base File'!$B:$B,'Account Summary'!$C44,'Base File'!$BF:$BF,"Met")/SUM(COUNTIFS('Base File'!$G:$G,"Internal KPI",'Base File'!$B:$B,'Account Summary'!$C44,'Base File'!$BF:$BF,"Met")+COUNTIFS('Base File'!$G:$G,"Internal KPI",'Base File'!$B:$B,'Account Summary'!$C44,'Base File'!$BF:$BF,"Not Met")),"-")</f>
        <v>0.83333333333333337</v>
      </c>
      <c r="AN44" s="99">
        <f>IFERROR(COUNTIFS('Base File'!$BH:$BH,"Met",'Base File'!$B:$B,'Account Summary'!C44)/(COUNTIFS('Base File'!$BH:$BH,"Met",'Base File'!$B:$B,'Account Summary'!C44)+COUNTIFS('Base File'!$BH:$BH,"Not Met",'Base File'!$B:$B,'Account Summary'!C44)),"NR")</f>
        <v>0.83333333333333337</v>
      </c>
      <c r="AO44" s="100" t="str">
        <f>IFERROR(COUNTIFS('Base File'!$G:$G,"Contractual SLA",'Base File'!$H:$H,"No",'Base File'!$B:$B,'Account Summary'!$C44,'Base File'!$BH:$BH,"Met")/SUM(COUNTIFS('Base File'!$G:$G,"Contractual SLA",'Base File'!$H:$H,"No",'Base File'!$B:$B,'Account Summary'!$C44,'Base File'!$BH:$BH,"Met")+COUNTIFS('Base File'!$G:$G,"Contractual SLA",'Base File'!$H:$H,"No",'Base File'!$B:$B,'Account Summary'!$C44,'Base File'!$BH:$BH,"Not Met")),"-")</f>
        <v>-</v>
      </c>
      <c r="AP44" s="100" t="str">
        <f>IFERROR(COUNTIFS('Base File'!$G:$G,"Contractual SLA",'Base File'!$H:$H,"Yes",'Base File'!$B:$B,'Account Summary'!$C44,'Base File'!$BH:$BH,"Met")/SUM(COUNTIFS('Base File'!$G:$G,"Contractual SLA",'Base File'!$H:$H,"yes",'Base File'!$B:$B,'Account Summary'!$C44,'Base File'!$BH:$BH,"Met")+COUNTIFS('Base File'!$G:$G,"Contractual SLA",'Base File'!$H:$H,"yes",'Base File'!$B:$B,'Account Summary'!$C44,'Base File'!$BH:$BH,"Not Met")),"-")</f>
        <v>-</v>
      </c>
      <c r="AQ44" s="99">
        <f>IFERROR(COUNTIFS('Base File'!$G:$G,"Internal KPI",'Base File'!$B:$B,'Account Summary'!$C44,'Base File'!$BH:$BH,"Met")/SUM(COUNTIFS('Base File'!$G:$G,"Internal KPI",'Base File'!$B:$B,'Account Summary'!$C44,'Base File'!$BH:$BH,"Met")+COUNTIFS('Base File'!$G:$G,"Internal KPI",'Base File'!$B:$B,'Account Summary'!$C44,'Base File'!$BH:$BH,"Not Met")),"-")</f>
        <v>0.83333333333333337</v>
      </c>
      <c r="AR44" s="106">
        <f>IFERROR(COUNTIFS('Base File'!$BJ:$BJ,"Met",'Base File'!$B:$B,'Account Summary'!C44)/(COUNTIFS('Base File'!$BJ:$BJ,"Met",'Base File'!$B:$B,'Account Summary'!C44)+COUNTIFS('Base File'!$BJ:$BJ,"Not Met",'Base File'!$B:$B,'Account Summary'!C44)),"NR")</f>
        <v>0.66666666666666663</v>
      </c>
      <c r="AS44" s="101" t="str">
        <f>IFERROR(COUNTIFS('Base File'!$G:$G,"Contractual SLA",'Base File'!$H:$H,"No",'Base File'!$B:$B,'Account Summary'!$C44,'Base File'!$BJ:$BJ,"Met")/SUM(COUNTIFS('Base File'!$G:$G,"Contractual SLA",'Base File'!$H:$H,"No",'Base File'!$B:$B,'Account Summary'!$C44,'Base File'!$BJ:$BJ,"Met")+COUNTIFS('Base File'!$G:$G,"Contractual SLA",'Base File'!$H:$H,"No",'Base File'!$B:$B,'Account Summary'!$C44,'Base File'!$BJ:$BJ,"Not Met")),"-")</f>
        <v>-</v>
      </c>
      <c r="AT44" s="100" t="str">
        <f>IFERROR(COUNTIFS('Base File'!$G:$G,"Contractual SLA",'Base File'!$H:$H,"Yes",'Base File'!$B:$B,'Account Summary'!$C44,'Base File'!$BJ:$BJ,"Met")/SUM(COUNTIFS('Base File'!$G:$G,"Contractual SLA",'Base File'!$H:$H,"yes",'Base File'!$B:$B,'Account Summary'!$C44,'Base File'!$BJ:$BJ,"Met")+COUNTIFS('Base File'!$G:$G,"Contractual SLA",'Base File'!$H:$H,"yes",'Base File'!$B:$B,'Account Summary'!$C44,'Base File'!$BJ:$BJ,"Not Met")),"-")</f>
        <v>-</v>
      </c>
      <c r="AU44" s="106">
        <f>IFERROR(COUNTIFS('Base File'!$G:$G,"Internal KPI",'Base File'!$B:$B,'Account Summary'!$C44,'Base File'!$BJ:$BJ,"Met")/SUM(COUNTIFS('Base File'!$G:$G,"Internal KPI",'Base File'!$B:$B,'Account Summary'!$C44,'Base File'!$BJ:$BJ,"Met")+COUNTIFS('Base File'!$G:$G,"Internal KPI",'Base File'!$B:$B,'Account Summary'!$C44,'Base File'!$BJ:$BJ,"Not Met")),"-")</f>
        <v>0.66666666666666663</v>
      </c>
      <c r="AV44" s="100">
        <f>IFERROR(COUNTIFS('Base File'!$BL:$BL,"Met",'Base File'!$B:$B,'Account Summary'!C44)/(COUNTIFS('Base File'!$BL:$BL,"Met",'Base File'!$B:$B,'Account Summary'!C44)+COUNTIFS('Base File'!$BL:$BL,"Not Met",'Base File'!$B:$B,'Account Summary'!C44)),"NR")</f>
        <v>0.5</v>
      </c>
      <c r="AW44" s="100" t="str">
        <f>IFERROR(COUNTIFS('Base File'!$G:$G,"Contractual SLA",'Base File'!$H:$H,"No",'Base File'!$B:$B,'Account Summary'!$C44,'Base File'!$BL:$BL,"Met")/SUM(COUNTIFS('Base File'!$G:$G,"Contractual SLA",'Base File'!$H:$H,"No",'Base File'!$B:$B,'Account Summary'!$C44,'Base File'!$BL:$BL,"Met")+COUNTIFS('Base File'!$G:$G,"Contractual SLA",'Base File'!$H:$H,"No",'Base File'!$B:$B,'Account Summary'!$C44,'Base File'!$BL:$BL,"Not Met")),"-")</f>
        <v>-</v>
      </c>
      <c r="AX44" s="100" t="str">
        <f>IFERROR(COUNTIFS('Base File'!$G:$G,"Contractual SLA",'Base File'!$H:$H,"Yes",'Base File'!$B:$B,'Account Summary'!$C44,'Base File'!$BL:$BL,"Met")/SUM(COUNTIFS('Base File'!$G:$G,"Contractual SLA",'Base File'!$H:$H,"yes",'Base File'!$B:$B,'Account Summary'!$C44,'Base File'!$BL:$BL,"Met")+COUNTIFS('Base File'!$G:$G,"Contractual SLA",'Base File'!$H:$H,"yes",'Base File'!$B:$B,'Account Summary'!$C44,'Base File'!$BL:$BL,"Not Met")),"-")</f>
        <v>-</v>
      </c>
      <c r="AY44" s="100">
        <f>IFERROR(COUNTIFS('Base File'!$G:$G,"Internal KPI",'Base File'!$B:$B,'Account Summary'!$C44,'Base File'!$BL:$BL,"Met")/SUM(COUNTIFS('Base File'!$G:$G,"Internal KPI",'Base File'!$B:$B,'Account Summary'!$C44,'Base File'!$BL:$BL,"Met")+COUNTIFS('Base File'!$G:$G,"Internal KPI",'Base File'!$B:$B,'Account Summary'!$C44,'Base File'!$BL:$BL,"Not Met")),"-")</f>
        <v>0.5</v>
      </c>
      <c r="AZ44" s="100">
        <v>0.83333333333333337</v>
      </c>
      <c r="BA44" s="100" t="s">
        <v>107</v>
      </c>
      <c r="BB44" s="100" t="s">
        <v>107</v>
      </c>
      <c r="BC44" s="100">
        <v>0.83333333333333337</v>
      </c>
      <c r="BD44" s="99">
        <f>IFERROR(COUNTIFS('Base File'!$BP:$BP,"Met",'Base File'!$B:$B,'Account Summary'!C44)/(COUNTIFS('Base File'!$BP:$BP,"Met",'Base File'!$B:$B,'Account Summary'!C44)+COUNTIFS('Base File'!$BP:$BP,"Not Met",'Base File'!$B:$B,'Account Summary'!C44)),"NR")</f>
        <v>0.83333333333333337</v>
      </c>
      <c r="BE44" s="100" t="str">
        <f>IFERROR(COUNTIFS('Base File'!$G:$G,"Contractual SLA",'Base File'!$H:$H,"No",'Base File'!$B:$B,'Account Summary'!$C44,'Base File'!$BP:$BP,"Met")/SUM(COUNTIFS('Base File'!$G:$G,"Contractual SLA",'Base File'!$H:$H,"No",'Base File'!$B:$B,'Account Summary'!$C44,'Base File'!$BP:$BP,"Met")+COUNTIFS('Base File'!$G:$G,"Contractual SLA",'Base File'!$H:$H,"No",'Base File'!$B:$B,'Account Summary'!$C44,'Base File'!$BP:$BP,"Not Met")),"-")</f>
        <v>-</v>
      </c>
      <c r="BF44" s="100" t="str">
        <f>IFERROR(COUNTIFS('Base File'!$G:$G,"Contractual SLA",'Base File'!$H:$H,"Yes",'Base File'!$B:$B,'Account Summary'!$C44,'Base File'!$BP:$BP,"Met")/SUM(COUNTIFS('Base File'!$G:$G,"Contractual SLA",'Base File'!$H:$H,"yes",'Base File'!$B:$B,'Account Summary'!$C44,'Base File'!$BP:$BP,"Met")+COUNTIFS('Base File'!$G:$G,"Contractual SLA",'Base File'!$H:$H,"yes",'Base File'!$B:$B,'Account Summary'!$C44,'Base File'!$BP:$BP,"Not Met")),"-")</f>
        <v>-</v>
      </c>
      <c r="BG44" s="99">
        <f>IFERROR(COUNTIFS('Base File'!$G:$G,"Internal KPI",'Base File'!$B:$B,'Account Summary'!$C44,'Base File'!$BP:$BP,"Met")/SUM(COUNTIFS('Base File'!$G:$G,"Internal KPI",'Base File'!$B:$B,'Account Summary'!$C44,'Base File'!$BP:$BP,"Met")+COUNTIFS('Base File'!$G:$G,"Internal KPI",'Base File'!$B:$B,'Account Summary'!$C44,'Base File'!$BP:$BP,"Not Met")),"-")</f>
        <v>0.83333333333333337</v>
      </c>
      <c r="BH44" s="99">
        <f>IFERROR(COUNTIFS('Base File'!$BR:$BR,"Met",'Base File'!$B:$B,'Account Summary'!C44)/(COUNTIFS('Base File'!$BR:$BR,"Met",'Base File'!$B:$B,'Account Summary'!C44)+COUNTIFS('Base File'!$BR:$BR,"Not Met",'Base File'!$B:$B,'Account Summary'!C44)),"NR")</f>
        <v>0.83333333333333337</v>
      </c>
      <c r="BI44" s="101" t="str">
        <f>IFERROR(COUNTIFS('Base File'!$G:$G,"Contractual SLA",'Base File'!$H:$H,"No",'Base File'!$B:$B,'Account Summary'!$C44,'Base File'!$BR:$BR,"Met")/SUM(COUNTIFS('Base File'!$G:$G,"Contractual SLA",'Base File'!$H:$H,"No",'Base File'!$B:$B,'Account Summary'!$C44,'Base File'!$BR:$BR,"Met")+COUNTIFS('Base File'!$G:$G,"Contractual SLA",'Base File'!$H:$H,"No",'Base File'!$B:$B,'Account Summary'!$C44,'Base File'!$BR:$BR,"Not Met")),"-")</f>
        <v>-</v>
      </c>
      <c r="BJ44" s="100" t="str">
        <f>IFERROR(COUNTIFS('Base File'!$G:$G,"Contractual SLA",'Base File'!$H:$H,"No",'Base File'!$B:$B,'Account Summary'!$C44,'Base File'!$BR:$BR,"Met")/SUM(COUNTIFS('Base File'!$G:$G,"Contractual SLA",'Base File'!$H:$H,"No",'Base File'!$B:$B,'Account Summary'!$C44,'Base File'!$BR:$BR,"Met")+COUNTIFS('Base File'!$G:$G,"Contractual SLA",'Base File'!$H:$H,"No",'Base File'!$B:$B,'Account Summary'!$C44,'Base File'!$BR:$BR,"Not Met")),"-")</f>
        <v>-</v>
      </c>
      <c r="BK44" s="99">
        <f>IFERROR(COUNTIFS('Base File'!$G:$G,"Internal KPI",'Base File'!$B:$B,'Account Summary'!$C44,'Base File'!$BR:$BR,"Met")/SUM(COUNTIFS('Base File'!$G:$G,"Internal KPI",'Base File'!$B:$B,'Account Summary'!$C44,'Base File'!$BR:$BR,"Met")+COUNTIFS('Base File'!$G:$G,"Internal KPI",'Base File'!$B:$B,'Account Summary'!$C44,'Base File'!$BR:$BR,"Not Met")),"-")</f>
        <v>0.83333333333333337</v>
      </c>
      <c r="BL44" s="100">
        <f>IFERROR(COUNTIFS('Base File'!$BT:$BT,"Met",'Base File'!$B:$B,'Account Summary'!C44)/(COUNTIFS('Base File'!$BT:$BT,"Met",'Base File'!$B:$B,'Account Summary'!C44)+COUNTIFS('Base File'!$BT:$BT,"Not Met",'Base File'!$B:$B,'Account Summary'!C44)),"NR")</f>
        <v>0.83333333333333337</v>
      </c>
      <c r="BM44" s="100" t="str">
        <f>IFERROR(COUNTIFS('Base File'!$G:$G,"Contractual SLA",'Base File'!$H:$H,"No",'Base File'!$B:$B,'Account Summary'!$C44,'Base File'!$BT:$BT,"Met")/SUM(COUNTIFS('Base File'!$G:$G,"Contractual SLA",'Base File'!$H:$H,"No",'Base File'!$B:$B,'Account Summary'!$C44,'Base File'!$BT:$BT,"Met")+COUNTIFS('Base File'!$G:$G,"Contractual SLA",'Base File'!$H:$H,"No",'Base File'!$B:$B,'Account Summary'!$C44,'Base File'!$BT:$BT,"Not Met")),"-")</f>
        <v>-</v>
      </c>
      <c r="BN44" s="100" t="str">
        <f>IFERROR(COUNTIFS('Base File'!$G:$G,"Contractual SLA",'Base File'!$H:$H,"Yes",'Base File'!$B:$B,'Account Summary'!$C44,'Base File'!$BT:$BT,"Met")/SUM(COUNTIFS('Base File'!$G:$G,"Contractual SLA",'Base File'!$H:$H,"yes",'Base File'!$B:$B,'Account Summary'!$C44,'Base File'!$BT:$BT,"Met")+COUNTIFS('Base File'!$G:$G,"Contractual SLA",'Base File'!$H:$H,"yes",'Base File'!$B:$B,'Account Summary'!$C44,'Base File'!$BT:$BT,"Not Met")),"-")</f>
        <v>-</v>
      </c>
      <c r="BO44" s="100">
        <f>IFERROR(COUNTIFS('Base File'!$G:$G,"Internal KPI",'Base File'!$B:$B,'Account Summary'!$C44,'Base File'!$BT:$BT,"Met")/SUM(COUNTIFS('Base File'!$G:$G,"Internal KPI",'Base File'!$B:$B,'Account Summary'!$C44,'Base File'!$BT:$BT,"Met")+COUNTIFS('Base File'!$G:$G,"Internal KPI",'Base File'!$B:$B,'Account Summary'!$C44,'Base File'!$BT:$BT,"Not Met")),"-")</f>
        <v>0.83333333333333337</v>
      </c>
      <c r="BP44" s="100">
        <f>IFERROR(COUNTIFS('Base File'!$BV:$BV,"Met",'Base File'!$B:$B,'Account Summary'!C44)/(COUNTIFS('Base File'!$BV:$BV,"Met",'Base File'!$B:$B,'Account Summary'!C44)+COUNTIFS('Base File'!$BV:$BV,"Not Met",'Base File'!$B:$B,'Account Summary'!C44)),"NR")</f>
        <v>0.83333333333333337</v>
      </c>
      <c r="BQ44" s="102" t="s">
        <v>107</v>
      </c>
      <c r="BR44" s="100" t="str">
        <f>IFERROR(COUNTIFS('Base File'!$G:$G,"Contractual SLA",'Base File'!$H:$H,"Yes",'Base File'!$B:$B,'Account Summary'!$C44,'Base File'!$BV:$BV,"Met")/SUM(COUNTIFS('Base File'!$G:$G,"Contractual SLA",'Base File'!$H:$H,"Yes",'Base File'!$B:$B,'Account Summary'!$C44,'Base File'!$BV:$BV,"Met")+COUNTIFS('Base File'!$G:$G,"Contractual SLA",'Base File'!$H:$H,"Yes",'Base File'!$B:$B,'Account Summary'!$C44,'Base File'!$BV:$BV,"Not Met")),"-")</f>
        <v>-</v>
      </c>
      <c r="BS44" s="100">
        <v>0.83</v>
      </c>
      <c r="BT44" s="12"/>
      <c r="BU44" s="12"/>
      <c r="BV44" s="12"/>
      <c r="BW44" s="12"/>
    </row>
    <row r="45" spans="1:75" x14ac:dyDescent="0.25">
      <c r="A45" s="389"/>
      <c r="B45" s="94">
        <v>42</v>
      </c>
      <c r="C45" s="94" t="s">
        <v>136</v>
      </c>
      <c r="D45" s="95" t="s">
        <v>108</v>
      </c>
      <c r="E45" s="95" t="s">
        <v>904</v>
      </c>
      <c r="F45" s="94" t="s">
        <v>900</v>
      </c>
      <c r="G45" s="89"/>
      <c r="H45" s="89"/>
      <c r="I45" s="94" t="s">
        <v>109</v>
      </c>
      <c r="J45" s="89" t="s">
        <v>61</v>
      </c>
      <c r="K45" s="89" t="s">
        <v>11</v>
      </c>
      <c r="L45" s="98"/>
      <c r="M45" s="98"/>
      <c r="N45" s="98"/>
      <c r="O45" s="98"/>
      <c r="P45" s="98" t="s">
        <v>11</v>
      </c>
      <c r="Q45" s="98" t="s">
        <v>11</v>
      </c>
      <c r="R45" s="112"/>
      <c r="S45" s="98" t="s">
        <v>11</v>
      </c>
      <c r="T45" s="99">
        <f>IFERROR(COUNTIFS('Base File'!$AX:$AX,"Met",'Base File'!$B:$B,'Account Summary'!C45)/(COUNTIFS('Base File'!$AX:$AX,"Met",'Base File'!$B:$B,'Account Summary'!C45)+COUNTIFS('Base File'!$AX:$AX,"Not Met",'Base File'!$B:$B,'Account Summary'!C45)),"NR")</f>
        <v>1</v>
      </c>
      <c r="U45" s="99">
        <f>IFERROR(COUNTIFS('Base File'!$G:$G,"Contractual SLA",'Base File'!$H:$H,"No",'Base File'!$B:$B,'Account Summary'!$C45,'Base File'!$AX:$AX,"Met")/SUM(COUNTIFS('Base File'!$G:$G,"Contractual SLA",'Base File'!$H:$H,"No",'Base File'!$B:$B,'Account Summary'!$C45,'Base File'!$AX:$AX,"Met")+COUNTIFS('Base File'!$G:$G,"Contractual SLA",'Base File'!$H:$H,"No",'Base File'!$B:$B,'Account Summary'!$C45,'Base File'!$AX:$AX,"Not Met")),"NA")</f>
        <v>1</v>
      </c>
      <c r="V45" s="100" t="str">
        <f>IFERROR(COUNTIFS('Base File'!$G:$G,"Contractual SLA",'Base File'!$H:$H,"Yes",'Base File'!$B:$B,'Account Summary'!$C45,'Base File'!$AX:$AX,"Met")/SUM(COUNTIFS('Base File'!$G:$G,"Contractual SLA",'Base File'!$H:$H,"yes",'Base File'!$B:$B,'Account Summary'!$C45,'Base File'!$AX:$AX,"Met")+COUNTIFS('Base File'!$G:$G,"Contractual SLA",'Base File'!$H:$H,"yes",'Base File'!$B:$B,'Account Summary'!$C45,'Base File'!$AX:$AX,"Not Met")),"NA")</f>
        <v>NA</v>
      </c>
      <c r="W45" s="99">
        <f>IFERROR(COUNTIFS('Base File'!$G:$G,"Internal KPI",'Base File'!$B:$B,'Account Summary'!$C45,'Base File'!$AX:$AX,"Met")/SUM(COUNTIFS('Base File'!$G:$G,"Internal KPI",'Base File'!$B:$B,'Account Summary'!$C45,'Base File'!$AX:$AX,"Met")+COUNTIFS('Base File'!$G:$G,"Internal KPI",'Base File'!$B:$B,'Account Summary'!$C45,'Base File'!$AX:$AX,"Not Met")),"NA")</f>
        <v>1</v>
      </c>
      <c r="X45" s="99">
        <f>IFERROR(COUNTIFS('Base File'!$AZ:$AZ,"Met",'Base File'!$B:$B,'Account Summary'!C45)/(COUNTIFS('Base File'!$AZ:$AZ,"Met",'Base File'!$B:$B,'Account Summary'!C45)+COUNTIFS('Base File'!$AZ:$AZ,"Not Met",'Base File'!$B:$B,'Account Summary'!C45)),"NR")</f>
        <v>0.83333333333333337</v>
      </c>
      <c r="Y45" s="99">
        <f>IFERROR(COUNTIFS('Base File'!$G:$G,"Contractual SLA",'Base File'!$H:$H,"No",'Base File'!$B:$B,'Account Summary'!$C45,'Base File'!$AZ:$AZ,"Met")/SUM(COUNTIFS('Base File'!$G:$G,"Contractual SLA",'Base File'!$H:$H,"No",'Base File'!$B:$B,'Account Summary'!$C45,'Base File'!$AZ:$AZ,"Met")+COUNTIFS('Base File'!$G:$G,"Contractual SLA",'Base File'!$H:$H,"No",'Base File'!$B:$B,'Account Summary'!$C45,'Base File'!$AZ:$AZ,"Not Met")),"-")</f>
        <v>0.75</v>
      </c>
      <c r="Z45" s="100" t="str">
        <f>IFERROR(COUNTIFS('Base File'!$G:$G,"Contractual SLA",'Base File'!$H:$H,"Yes",'Base File'!$B:$B,'Account Summary'!$C45,'Base File'!$AZ:$AZ,"Met")/SUM(COUNTIFS('Base File'!$G:$G,"Contractual SLA",'Base File'!$H:$H,"yes",'Base File'!$B:$B,'Account Summary'!$C45,'Base File'!$AZ:$AZ,"Met")+COUNTIFS('Base File'!$G:$G,"Contractual SLA",'Base File'!$H:$H,"yes",'Base File'!$B:$B,'Account Summary'!$C45,'Base File'!$AZ:$AZ,"Not Met")),"-")</f>
        <v>-</v>
      </c>
      <c r="AA45" s="99">
        <f>IFERROR(COUNTIFS('Base File'!$G:$G,"Internal KPI",'Base File'!$B:$B,'Account Summary'!$C45,'Base File'!$AZ:$AZ,"Met")/SUM(COUNTIFS('Base File'!$G:$G,"Internal KPI",'Base File'!$B:$B,'Account Summary'!$C45,'Base File'!$AZ:$AZ,"Met")+COUNTIFS('Base File'!$G:$G,"Internal KPI",'Base File'!$B:$B,'Account Summary'!$C45,'Base File'!$AZ:$AZ,"Not Met")),"-")</f>
        <v>1</v>
      </c>
      <c r="AB45" s="99">
        <f>IFERROR(COUNTIFS('Base File'!$BB:$BB,"Met",'Base File'!$B:$B,'Account Summary'!C45)/(COUNTIFS('Base File'!$BB:$BB,"Met",'Base File'!$B:$B,'Account Summary'!C45)+COUNTIFS('Base File'!$BB:$BB,"Not Met",'Base File'!$B:$B,'Account Summary'!C45)),"NR")</f>
        <v>1</v>
      </c>
      <c r="AC45" s="99">
        <f>IFERROR(COUNTIFS('Base File'!$G:$G,"Contractual SLA",'Base File'!$H:$H,"No",'Base File'!$B:$B,'Account Summary'!$C45,'Base File'!$BB:$BB,"Met")/SUM(COUNTIFS('Base File'!$G:$G,"Contractual SLA",'Base File'!$H:$H,"No",'Base File'!$B:$B,'Account Summary'!$C45,'Base File'!$BB:$BB,"Met")+COUNTIFS('Base File'!$G:$G,"Contractual SLA",'Base File'!$H:$H,"No",'Base File'!$B:$B,'Account Summary'!$C45,'Base File'!$BB:$BB,"Not Met")),"-")</f>
        <v>1</v>
      </c>
      <c r="AD45" s="100" t="str">
        <f>IFERROR(COUNTIFS('Base File'!$G:$G,"Contractual SLA",'Base File'!$H:$H,"Yes",'Base File'!$B:$B,'Account Summary'!$C45,'Base File'!$BB:$BB,"Met")/SUM(COUNTIFS('Base File'!$G:$G,"Contractual SLA",'Base File'!$H:$H,"yes",'Base File'!$B:$B,'Account Summary'!$C45,'Base File'!$BB:$BB,"Met")+COUNTIFS('Base File'!$G:$G,"Contractual SLA",'Base File'!$H:$H,"yes",'Base File'!$B:$B,'Account Summary'!$C45,'Base File'!$BB:$BB,"Not Met")),"-")</f>
        <v>-</v>
      </c>
      <c r="AE45" s="99">
        <f>IFERROR(COUNTIFS('Base File'!$G:$G,"Internal KPI",'Base File'!$B:$B,'Account Summary'!$C45,'Base File'!$BB:$BB,"Met")/SUM(COUNTIFS('Base File'!$G:$G,"Internal KPI",'Base File'!$B:$B,'Account Summary'!$C45,'Base File'!$BB:$BB,"Met")+COUNTIFS('Base File'!$G:$G,"Internal KPI",'Base File'!$B:$B,'Account Summary'!$C45,'Base File'!$BB:$BB,"Not Met")),"-")</f>
        <v>1</v>
      </c>
      <c r="AF45" s="99">
        <f>IFERROR(COUNTIFS('Base File'!$BD:$BD,"Met",'Base File'!$B:$B,'Account Summary'!C45)/(COUNTIFS('Base File'!$BD:$BD,"Met",'Base File'!$B:$B,'Account Summary'!C45)+COUNTIFS('Base File'!$BD:$BD,"Not Met",'Base File'!$B:$B,'Account Summary'!C45)),"NR")</f>
        <v>0.83333333333333337</v>
      </c>
      <c r="AG45" s="99">
        <f>IFERROR(COUNTIFS('Base File'!$G:$G,"Contractual SLA",'Base File'!$H:$H,"No",'Base File'!$B:$B,'Account Summary'!$C45,'Base File'!$BD:$BD,"Met")/SUM(COUNTIFS('Base File'!$G:$G,"Contractual SLA",'Base File'!$H:$H,"No",'Base File'!$B:$B,'Account Summary'!$C45,'Base File'!$BD:$BD,"Met")+COUNTIFS('Base File'!$G:$G,"Contractual SLA",'Base File'!$H:$H,"No",'Base File'!$B:$B,'Account Summary'!$C45,'Base File'!$BD:$BD,"Not Met")),"-")</f>
        <v>0.75</v>
      </c>
      <c r="AH45" s="100" t="str">
        <f>IFERROR(COUNTIFS('Base File'!$G:$G,"Contractual SLA",'Base File'!$H:$H,"Yes",'Base File'!$B:$B,'Account Summary'!$C45,'Base File'!$BD:$BD,"Met")/SUM(COUNTIFS('Base File'!$G:$G,"Contractual SLA",'Base File'!$H:$H,"yes",'Base File'!$B:$B,'Account Summary'!$C45,'Base File'!$BD:$BD,"Met")+COUNTIFS('Base File'!$G:$G,"Contractual SLA",'Base File'!$H:$H,"yes",'Base File'!$B:$B,'Account Summary'!$C45,'Base File'!$BD:$BD,"Not Met")),"-")</f>
        <v>-</v>
      </c>
      <c r="AI45" s="99">
        <f>IFERROR(COUNTIFS('Base File'!$G:$G,"Internal KPI",'Base File'!$B:$B,'Account Summary'!$C45,'Base File'!$BD:$BD,"Met")/SUM(COUNTIFS('Base File'!$G:$G,"Internal KPI",'Base File'!$B:$B,'Account Summary'!$C45,'Base File'!$BD:$BD,"Met")+COUNTIFS('Base File'!$G:$G,"Internal KPI",'Base File'!$B:$B,'Account Summary'!$C45,'Base File'!$BD:$BD,"Not Met")),"-")</f>
        <v>1</v>
      </c>
      <c r="AJ45" s="99">
        <f>IFERROR(COUNTIFS('Base File'!$BF:$BF,"Met",'Base File'!$B:$B,'Account Summary'!C45)/(COUNTIFS('Base File'!$BF:$BF,"Met",'Base File'!$B:$B,'Account Summary'!C45)+COUNTIFS('Base File'!$BF:$BF,"Not Met",'Base File'!$B:$B,'Account Summary'!C45)),"NR")</f>
        <v>0.83333333333333337</v>
      </c>
      <c r="AK45" s="99">
        <f>IFERROR(COUNTIFS('Base File'!$G:$G,"Contractual SLA",'Base File'!$H:$H,"No",'Base File'!$B:$B,'Account Summary'!$C45,'Base File'!$BF:$BF,"Met")/SUM(COUNTIFS('Base File'!$G:$G,"Contractual SLA",'Base File'!$H:$H,"No",'Base File'!$B:$B,'Account Summary'!$C45,'Base File'!$BF:$BF,"Met")+COUNTIFS('Base File'!$G:$G,"Contractual SLA",'Base File'!$H:$H,"No",'Base File'!$B:$B,'Account Summary'!$C45,'Base File'!$BF:$BF,"Not Met")),"-")</f>
        <v>0.75</v>
      </c>
      <c r="AL45" s="100" t="str">
        <f>IFERROR(COUNTIFS('Base File'!$G:$G,"Contractual SLA",'Base File'!$H:$H,"Yes",'Base File'!$B:$B,'Account Summary'!$C45,'Base File'!$BF:$BF,"Met")/SUM(COUNTIFS('Base File'!$G:$G,"Contractual SLA",'Base File'!$H:$H,"yes",'Base File'!$B:$B,'Account Summary'!$C45,'Base File'!$BF:$BF,"Met")+COUNTIFS('Base File'!$G:$G,"Contractual SLA",'Base File'!$H:$H,"yes",'Base File'!$B:$B,'Account Summary'!$C45,'Base File'!$BF:$BF,"Not Met")),"-")</f>
        <v>-</v>
      </c>
      <c r="AM45" s="99">
        <f>IFERROR(COUNTIFS('Base File'!$G:$G,"Internal KPI",'Base File'!$B:$B,'Account Summary'!$C45,'Base File'!$BF:$BF,"Met")/SUM(COUNTIFS('Base File'!$G:$G,"Internal KPI",'Base File'!$B:$B,'Account Summary'!$C45,'Base File'!$BF:$BF,"Met")+COUNTIFS('Base File'!$G:$G,"Internal KPI",'Base File'!$B:$B,'Account Summary'!$C45,'Base File'!$BF:$BF,"Not Met")),"-")</f>
        <v>1</v>
      </c>
      <c r="AN45" s="106">
        <f>IFERROR(COUNTIFS('Base File'!$BH:$BH,"Met",'Base File'!$B:$B,'Account Summary'!C45)/(COUNTIFS('Base File'!$BH:$BH,"Met",'Base File'!$B:$B,'Account Summary'!C45)+COUNTIFS('Base File'!$BH:$BH,"Not Met",'Base File'!$B:$B,'Account Summary'!C45)),"NR")</f>
        <v>0.66666666666666663</v>
      </c>
      <c r="AO45" s="99">
        <f>IFERROR(COUNTIFS('Base File'!$G:$G,"Contractual SLA",'Base File'!$H:$H,"No",'Base File'!$B:$B,'Account Summary'!$C45,'Base File'!$BH:$BH,"Met")/SUM(COUNTIFS('Base File'!$G:$G,"Contractual SLA",'Base File'!$H:$H,"No",'Base File'!$B:$B,'Account Summary'!$C45,'Base File'!$BH:$BH,"Met")+COUNTIFS('Base File'!$G:$G,"Contractual SLA",'Base File'!$H:$H,"No",'Base File'!$B:$B,'Account Summary'!$C45,'Base File'!$BH:$BH,"Not Met")),"-")</f>
        <v>0.75</v>
      </c>
      <c r="AP45" s="100" t="str">
        <f>IFERROR(COUNTIFS('Base File'!$G:$G,"Contractual SLA",'Base File'!$H:$H,"Yes",'Base File'!$B:$B,'Account Summary'!$C45,'Base File'!$BH:$BH,"Met")/SUM(COUNTIFS('Base File'!$G:$G,"Contractual SLA",'Base File'!$H:$H,"yes",'Base File'!$B:$B,'Account Summary'!$C45,'Base File'!$BH:$BH,"Met")+COUNTIFS('Base File'!$G:$G,"Contractual SLA",'Base File'!$H:$H,"yes",'Base File'!$B:$B,'Account Summary'!$C45,'Base File'!$BH:$BH,"Not Met")),"-")</f>
        <v>-</v>
      </c>
      <c r="AQ45" s="106">
        <f>IFERROR(COUNTIFS('Base File'!$G:$G,"Internal KPI",'Base File'!$B:$B,'Account Summary'!$C45,'Base File'!$BH:$BH,"Met")/SUM(COUNTIFS('Base File'!$G:$G,"Internal KPI",'Base File'!$B:$B,'Account Summary'!$C45,'Base File'!$BH:$BH,"Met")+COUNTIFS('Base File'!$G:$G,"Internal KPI",'Base File'!$B:$B,'Account Summary'!$C45,'Base File'!$BH:$BH,"Not Met")),"-")</f>
        <v>0.5</v>
      </c>
      <c r="AR45" s="100" t="str">
        <f>IFERROR(COUNTIFS('Base File'!$BJ:$BJ,"Met",'Base File'!$B:$B,'Account Summary'!C45)/(COUNTIFS('Base File'!$BJ:$BJ,"Met",'Base File'!$B:$B,'Account Summary'!C45)+COUNTIFS('Base File'!$BJ:$BJ,"Not Met",'Base File'!$B:$B,'Account Summary'!C45)),"NR")</f>
        <v>NR</v>
      </c>
      <c r="AS45" s="100" t="str">
        <f>IFERROR(COUNTIFS('Base File'!$BJ:$BJ,"Met",'Base File'!$B:$B,'Account Summary'!D45)/(COUNTIFS('Base File'!$BJ:$BJ,"Met",'Base File'!$B:$B,'Account Summary'!D45)+COUNTIFS('Base File'!$BJ:$BJ,"Not Met",'Base File'!$B:$B,'Account Summary'!D45)),"NR")</f>
        <v>NR</v>
      </c>
      <c r="AT45" s="100" t="str">
        <f>IFERROR(COUNTIFS('Base File'!$G:$G,"Contractual SLA",'Base File'!$H:$H,"Yes",'Base File'!$B:$B,'Account Summary'!$C45,'Base File'!$BJ:$BJ,"Met")/SUM(COUNTIFS('Base File'!$G:$G,"Contractual SLA",'Base File'!$H:$H,"yes",'Base File'!$B:$B,'Account Summary'!$C45,'Base File'!$BJ:$BJ,"Met")+COUNTIFS('Base File'!$G:$G,"Contractual SLA",'Base File'!$H:$H,"yes",'Base File'!$B:$B,'Account Summary'!$C45,'Base File'!$BJ:$BJ,"Not Met")),"-")</f>
        <v>-</v>
      </c>
      <c r="AU45" s="100" t="str">
        <f>IFERROR(COUNTIFS('Base File'!$BJ:$BJ,"Met",'Base File'!$B:$B,'Account Summary'!G45)/(COUNTIFS('Base File'!$BJ:$BJ,"Met",'Base File'!$B:$B,'Account Summary'!G45)+COUNTIFS('Base File'!$BJ:$BJ,"Not Met",'Base File'!$B:$B,'Account Summary'!G45)),"NR")</f>
        <v>NR</v>
      </c>
      <c r="AV45" s="100">
        <f>IFERROR(COUNTIFS('Base File'!$BL:$BL,"Met",'Base File'!$B:$B,'Account Summary'!C45)/(COUNTIFS('Base File'!$BL:$BL,"Met",'Base File'!$B:$B,'Account Summary'!C45)+COUNTIFS('Base File'!$BL:$BL,"Not Met",'Base File'!$B:$B,'Account Summary'!C45)),"NR")</f>
        <v>0.66666666666666663</v>
      </c>
      <c r="AW45" s="100">
        <f>IFERROR(COUNTIFS('Base File'!$G:$G,"Contractual SLA",'Base File'!$H:$H,"No",'Base File'!$B:$B,'Account Summary'!$C45,'Base File'!$BL:$BL,"Met")/SUM(COUNTIFS('Base File'!$G:$G,"Contractual SLA",'Base File'!$H:$H,"No",'Base File'!$B:$B,'Account Summary'!$C45,'Base File'!$BL:$BL,"Met")+COUNTIFS('Base File'!$G:$G,"Contractual SLA",'Base File'!$H:$H,"No",'Base File'!$B:$B,'Account Summary'!$C45,'Base File'!$BL:$BL,"Not Met")),"-")</f>
        <v>0.75</v>
      </c>
      <c r="AX45" s="100" t="str">
        <f>IFERROR(COUNTIFS('Base File'!$G:$G,"Contractual SLA",'Base File'!$H:$H,"Yes",'Base File'!$B:$B,'Account Summary'!$C45,'Base File'!$BL:$BL,"Met")/SUM(COUNTIFS('Base File'!$G:$G,"Contractual SLA",'Base File'!$H:$H,"yes",'Base File'!$B:$B,'Account Summary'!$C45,'Base File'!$BL:$BL,"Met")+COUNTIFS('Base File'!$G:$G,"Contractual SLA",'Base File'!$H:$H,"yes",'Base File'!$B:$B,'Account Summary'!$C45,'Base File'!$BL:$BL,"Not Met")),"-")</f>
        <v>-</v>
      </c>
      <c r="AY45" s="100">
        <f>IFERROR(COUNTIFS('Base File'!$G:$G,"Internal KPI",'Base File'!$B:$B,'Account Summary'!$C45,'Base File'!$BL:$BL,"Met")/SUM(COUNTIFS('Base File'!$G:$G,"Internal KPI",'Base File'!$B:$B,'Account Summary'!$C45,'Base File'!$BL:$BL,"Met")+COUNTIFS('Base File'!$G:$G,"Internal KPI",'Base File'!$B:$B,'Account Summary'!$C45,'Base File'!$BL:$BL,"Not Met")),"-")</f>
        <v>0.5</v>
      </c>
      <c r="AZ45" s="100">
        <v>0.83333333333333337</v>
      </c>
      <c r="BA45" s="100">
        <v>1</v>
      </c>
      <c r="BB45" s="100" t="s">
        <v>107</v>
      </c>
      <c r="BC45" s="106">
        <v>0.5</v>
      </c>
      <c r="BD45" s="99">
        <f>IFERROR(COUNTIFS('Base File'!$BP:$BP,"Met",'Base File'!$B:$B,'Account Summary'!C45)/(COUNTIFS('Base File'!$BP:$BP,"Met",'Base File'!$B:$B,'Account Summary'!C45)+COUNTIFS('Base File'!$BP:$BP,"Not Met",'Base File'!$B:$B,'Account Summary'!C45)),"NR")</f>
        <v>0.83333333333333337</v>
      </c>
      <c r="BE45" s="99">
        <f>IFERROR(COUNTIFS('Base File'!$G:$G,"Contractual SLA",'Base File'!$H:$H,"No",'Base File'!$B:$B,'Account Summary'!$C45,'Base File'!$BP:$BP,"Met")/SUM(COUNTIFS('Base File'!$G:$G,"Contractual SLA",'Base File'!$H:$H,"No",'Base File'!$B:$B,'Account Summary'!$C45,'Base File'!$BP:$BP,"Met")+COUNTIFS('Base File'!$G:$G,"Contractual SLA",'Base File'!$H:$H,"No",'Base File'!$B:$B,'Account Summary'!$C45,'Base File'!$BP:$BP,"Not Met")),"-")</f>
        <v>0.75</v>
      </c>
      <c r="BF45" s="100" t="str">
        <f>IFERROR(COUNTIFS('Base File'!$G:$G,"Contractual SLA",'Base File'!$H:$H,"Yes",'Base File'!$B:$B,'Account Summary'!$C45,'Base File'!$BP:$BP,"Met")/SUM(COUNTIFS('Base File'!$G:$G,"Contractual SLA",'Base File'!$H:$H,"yes",'Base File'!$B:$B,'Account Summary'!$C45,'Base File'!$BP:$BP,"Met")+COUNTIFS('Base File'!$G:$G,"Contractual SLA",'Base File'!$H:$H,"yes",'Base File'!$B:$B,'Account Summary'!$C45,'Base File'!$BP:$BP,"Not Met")),"-")</f>
        <v>-</v>
      </c>
      <c r="BG45" s="99">
        <f>IFERROR(COUNTIFS('Base File'!$G:$G,"Internal KPI",'Base File'!$B:$B,'Account Summary'!$C45,'Base File'!$BP:$BP,"Met")/SUM(COUNTIFS('Base File'!$G:$G,"Internal KPI",'Base File'!$B:$B,'Account Summary'!$C45,'Base File'!$BP:$BP,"Met")+COUNTIFS('Base File'!$G:$G,"Internal KPI",'Base File'!$B:$B,'Account Summary'!$C45,'Base File'!$BP:$BP,"Not Met")),"-")</f>
        <v>1</v>
      </c>
      <c r="BH45" s="100" t="str">
        <f>IFERROR(COUNTIFS('Base File'!$BR:$BR,"Met",'Base File'!$B:$B,'Account Summary'!C45)/(COUNTIFS('Base File'!$BR:$BR,"Met",'Base File'!$B:$B,'Account Summary'!C45)+COUNTIFS('Base File'!$BR:$BR,"Not Met",'Base File'!$B:$B,'Account Summary'!C45)),"NR")</f>
        <v>NR</v>
      </c>
      <c r="BI45" s="101" t="s">
        <v>103</v>
      </c>
      <c r="BJ45" s="100" t="str">
        <f>IFERROR(COUNTIFS('Base File'!$G:$G,"Contractual SLA",'Base File'!$H:$H,"No",'Base File'!$B:$B,'Account Summary'!$C45,'Base File'!$BR:$BR,"Met")/SUM(COUNTIFS('Base File'!$G:$G,"Contractual SLA",'Base File'!$H:$H,"No",'Base File'!$B:$B,'Account Summary'!$C45,'Base File'!$BR:$BR,"Met")+COUNTIFS('Base File'!$G:$G,"Contractual SLA",'Base File'!$H:$H,"No",'Base File'!$B:$B,'Account Summary'!$C45,'Base File'!$BR:$BR,"Not Met")),"-")</f>
        <v>-</v>
      </c>
      <c r="BK45" s="100" t="s">
        <v>103</v>
      </c>
      <c r="BL45" s="100" t="str">
        <f>IFERROR(COUNTIFS('Base File'!$BT:$BT,"Met",'Base File'!$B:$B,'Account Summary'!C45)/(COUNTIFS('Base File'!$BT:$BT,"Met",'Base File'!$B:$B,'Account Summary'!C45)+COUNTIFS('Base File'!$BT:$BT,"Not Met",'Base File'!$B:$B,'Account Summary'!C45)),"NR")</f>
        <v>NR</v>
      </c>
      <c r="BM45" s="100" t="s">
        <v>103</v>
      </c>
      <c r="BN45" s="100" t="str">
        <f>IFERROR(COUNTIFS('Base File'!$G:$G,"Contractual SLA",'Base File'!$H:$H,"Yes",'Base File'!$B:$B,'Account Summary'!$C45,'Base File'!$BT:$BT,"Met")/SUM(COUNTIFS('Base File'!$G:$G,"Contractual SLA",'Base File'!$H:$H,"yes",'Base File'!$B:$B,'Account Summary'!$C45,'Base File'!$BT:$BT,"Met")+COUNTIFS('Base File'!$G:$G,"Contractual SLA",'Base File'!$H:$H,"yes",'Base File'!$B:$B,'Account Summary'!$C45,'Base File'!$BT:$BT,"Not Met")),"-")</f>
        <v>-</v>
      </c>
      <c r="BO45" s="100" t="s">
        <v>103</v>
      </c>
      <c r="BP45" s="100" t="str">
        <f>IFERROR(COUNTIFS('Base File'!$BV:$BV,"Met",'Base File'!$B:$B,'Account Summary'!C45)/(COUNTIFS('Base File'!$BV:$BV,"Met",'Base File'!$B:$B,'Account Summary'!C45)+COUNTIFS('Base File'!$BV:$BV,"Not Met",'Base File'!$B:$B,'Account Summary'!C45)),"NR")</f>
        <v>NR</v>
      </c>
      <c r="BQ45" s="100" t="s">
        <v>103</v>
      </c>
      <c r="BR45" s="100" t="str">
        <f>IFERROR(COUNTIFS('Base File'!$G:$G,"Contractual SLA",'Base File'!$H:$H,"Yes",'Base File'!$B:$B,'Account Summary'!$C45,'Base File'!$BV:$BV,"Met")/SUM(COUNTIFS('Base File'!$G:$G,"Contractual SLA",'Base File'!$H:$H,"Yes",'Base File'!$B:$B,'Account Summary'!$C45,'Base File'!$BV:$BV,"Met")+COUNTIFS('Base File'!$G:$G,"Contractual SLA",'Base File'!$H:$H,"Yes",'Base File'!$B:$B,'Account Summary'!$C45,'Base File'!$BV:$BV,"Not Met")),"-")</f>
        <v>-</v>
      </c>
      <c r="BS45" s="100" t="s">
        <v>103</v>
      </c>
      <c r="BT45" s="12"/>
      <c r="BU45" s="12"/>
      <c r="BV45" s="12"/>
      <c r="BW45" s="12"/>
    </row>
    <row r="46" spans="1:75" x14ac:dyDescent="0.25">
      <c r="A46" s="389"/>
      <c r="B46" s="94">
        <v>43</v>
      </c>
      <c r="C46" s="94" t="s">
        <v>896</v>
      </c>
      <c r="D46" s="112"/>
      <c r="E46" s="95" t="s">
        <v>903</v>
      </c>
      <c r="F46" s="94" t="s">
        <v>899</v>
      </c>
      <c r="G46" s="389"/>
      <c r="H46" s="389"/>
      <c r="I46" s="94" t="s">
        <v>926</v>
      </c>
      <c r="J46" s="89" t="s">
        <v>67</v>
      </c>
      <c r="K46" s="89" t="s">
        <v>65</v>
      </c>
      <c r="L46" s="389"/>
      <c r="M46" s="389"/>
      <c r="N46" s="389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M46" s="389"/>
      <c r="AN46" s="389"/>
      <c r="AO46" s="389"/>
      <c r="AP46" s="389"/>
      <c r="AQ46" s="389"/>
      <c r="AR46" s="389"/>
      <c r="AS46" s="389"/>
      <c r="AT46" s="389"/>
      <c r="AU46" s="389"/>
      <c r="AV46" s="100" t="s">
        <v>11</v>
      </c>
      <c r="AW46" s="389"/>
      <c r="AX46" s="389"/>
      <c r="AY46" s="389"/>
      <c r="AZ46" s="100" t="str">
        <f>IFERROR(COUNTIFS('Base File'!$BN:$BN,"Met",'Base File'!$B:$B,'Account Summary'!C46)/(COUNTIFS('Base File'!$BN:$BN,"Met",'Base File'!$B:$B,'Account Summary'!C46)+COUNTIFS('Base File'!$BN:$BN,"Not Met",'Base File'!$B:$B,'Account Summary'!C46)),"NR")</f>
        <v>NR</v>
      </c>
      <c r="BA46" s="100" t="str">
        <f>IFERROR(COUNTIFS('Base File'!$G:$G,"Contractual SLA",'Base File'!$H:$H,"No",'Base File'!$B:$B,'Account Summary'!$C46,'Base File'!$BN:$BN,"Met")/SUM(COUNTIFS('Base File'!$G:$G,"Contractual SLA",'Base File'!$H:$H,"No",'Base File'!$B:$B,'Account Summary'!$C46,'Base File'!$BN:$BN,"Met")+COUNTIFS('Base File'!$G:$G,"Contractual SLA",'Base File'!$H:$H,"No",'Base File'!$B:$B,'Account Summary'!$C46,'Base File'!$BN:$BN,"Not Met")),"-")</f>
        <v>-</v>
      </c>
      <c r="BB46" s="100" t="str">
        <f>IFERROR(COUNTIFS('Base File'!$G:$G,"Contractual SLA",'Base File'!$H:$H,"Yes",'Base File'!$B:$B,'Account Summary'!$C46,'Base File'!$BN:$BN,"Met")/SUM(COUNTIFS('Base File'!$G:$G,"Contractual SLA",'Base File'!$H:$H,"yes",'Base File'!$B:$B,'Account Summary'!$C46,'Base File'!$BN:$BN,"Met")+COUNTIFS('Base File'!$G:$G,"Contractual SLA",'Base File'!$H:$H,"yes",'Base File'!$B:$B,'Account Summary'!$C46,'Base File'!$BN:$BN,"Not Met")),"-")</f>
        <v>-</v>
      </c>
      <c r="BC46" s="100" t="s">
        <v>103</v>
      </c>
      <c r="BD46" s="110" t="str">
        <f>IFERROR(COUNTIFS('Base File'!$BP:$BP,"Met",'Base File'!$B:$B,'Account Summary'!C46)/(COUNTIFS('Base File'!$BP:$BP,"Met",'Base File'!$B:$B,'Account Summary'!C46)+COUNTIFS('Base File'!$BP:$BP,"Not Met",'Base File'!$B:$B,'Account Summary'!C46)),"NR")</f>
        <v>NR</v>
      </c>
      <c r="BE46" s="100" t="str">
        <f>IFERROR(COUNTIFS('Base File'!$G:$G,"Contractual SLA",'Base File'!$H:$H,"No",'Base File'!$B:$B,'Account Summary'!$C46,'Base File'!$BP:$BP,"Met")/SUM(COUNTIFS('Base File'!$G:$G,"Contractual SLA",'Base File'!$H:$H,"No",'Base File'!$B:$B,'Account Summary'!$C46,'Base File'!$BP:$BP,"Met")+COUNTIFS('Base File'!$G:$G,"Contractual SLA",'Base File'!$H:$H,"No",'Base File'!$B:$B,'Account Summary'!$C46,'Base File'!$BP:$BP,"Not Met")),"-")</f>
        <v>-</v>
      </c>
      <c r="BF46" s="100" t="str">
        <f>IFERROR(COUNTIFS('Base File'!$G:$G,"Contractual SLA",'Base File'!$H:$H,"Yes",'Base File'!$B:$B,'Account Summary'!$C46,'Base File'!$BP:$BP,"Met")/SUM(COUNTIFS('Base File'!$G:$G,"Contractual SLA",'Base File'!$H:$H,"yes",'Base File'!$B:$B,'Account Summary'!$C46,'Base File'!$BP:$BP,"Met")+COUNTIFS('Base File'!$G:$G,"Contractual SLA",'Base File'!$H:$H,"yes",'Base File'!$B:$B,'Account Summary'!$C46,'Base File'!$BP:$BP,"Not Met")),"-")</f>
        <v>-</v>
      </c>
      <c r="BG46" s="110" t="str">
        <f>IFERROR(COUNTIFS('Base File'!$G:$G,"Internal KPI",'Base File'!$B:$B,'Account Summary'!$C46,'Base File'!$BP:$BP,"Met")/SUM(COUNTIFS('Base File'!$G:$G,"Internal KPI",'Base File'!$B:$B,'Account Summary'!$C46,'Base File'!$BP:$BP,"Met")+COUNTIFS('Base File'!$G:$G,"Internal KPI",'Base File'!$B:$B,'Account Summary'!$C46,'Base File'!$BP:$BP,"Not Met")),"-")</f>
        <v>-</v>
      </c>
      <c r="BH46" s="100" t="str">
        <f>IFERROR(COUNTIFS('Base File'!$BR:$BR,"Met",'Base File'!$B:$B,'Account Summary'!C46)/(COUNTIFS('Base File'!$BR:$BR,"Met",'Base File'!$B:$B,'Account Summary'!C46)+COUNTIFS('Base File'!$BR:$BR,"Not Met",'Base File'!$B:$B,'Account Summary'!C46)),"NR")</f>
        <v>NR</v>
      </c>
      <c r="BI46" s="101" t="str">
        <f>IFERROR(COUNTIFS('Base File'!$G:$G,"Contractual SLA",'Base File'!$H:$H,"No",'Base File'!$B:$B,'Account Summary'!$C46,'Base File'!$BR:$BR,"Met")/SUM(COUNTIFS('Base File'!$G:$G,"Contractual SLA",'Base File'!$H:$H,"No",'Base File'!$B:$B,'Account Summary'!$C46,'Base File'!$BR:$BR,"Met")+COUNTIFS('Base File'!$G:$G,"Contractual SLA",'Base File'!$H:$H,"No",'Base File'!$B:$B,'Account Summary'!$C46,'Base File'!$BR:$BR,"Not Met")),"-")</f>
        <v>-</v>
      </c>
      <c r="BJ46" s="100" t="str">
        <f>IFERROR(COUNTIFS('Base File'!$G:$G,"Contractual SLA",'Base File'!$H:$H,"No",'Base File'!$B:$B,'Account Summary'!$C46,'Base File'!$BR:$BR,"Met")/SUM(COUNTIFS('Base File'!$G:$G,"Contractual SLA",'Base File'!$H:$H,"No",'Base File'!$B:$B,'Account Summary'!$C46,'Base File'!$BR:$BR,"Met")+COUNTIFS('Base File'!$G:$G,"Contractual SLA",'Base File'!$H:$H,"No",'Base File'!$B:$B,'Account Summary'!$C46,'Base File'!$BR:$BR,"Not Met")),"-")</f>
        <v>-</v>
      </c>
      <c r="BK46" s="100" t="s">
        <v>103</v>
      </c>
      <c r="BL46" s="100">
        <v>1</v>
      </c>
      <c r="BM46" s="100" t="str">
        <f>IFERROR(COUNTIFS('Base File'!$G:$G,"Contractual SLA",'Base File'!$H:$H,"No",'Base File'!$B:$B,'Account Summary'!$C46,'Base File'!$BT:$BT,"Met")/SUM(COUNTIFS('Base File'!$G:$G,"Contractual SLA",'Base File'!$H:$H,"No",'Base File'!$B:$B,'Account Summary'!$C46,'Base File'!$BT:$BT,"Met")+COUNTIFS('Base File'!$G:$G,"Contractual SLA",'Base File'!$H:$H,"No",'Base File'!$B:$B,'Account Summary'!$C46,'Base File'!$BT:$BT,"Not Met")),"-")</f>
        <v>-</v>
      </c>
      <c r="BN46" s="100" t="str">
        <f>IFERROR(COUNTIFS('Base File'!$G:$G,"Contractual SLA",'Base File'!$H:$H,"Yes",'Base File'!$B:$B,'Account Summary'!$C46,'Base File'!$BT:$BT,"Met")/SUM(COUNTIFS('Base File'!$G:$G,"Contractual SLA",'Base File'!$H:$H,"yes",'Base File'!$B:$B,'Account Summary'!$C46,'Base File'!$BT:$BT,"Met")+COUNTIFS('Base File'!$G:$G,"Contractual SLA",'Base File'!$H:$H,"yes",'Base File'!$B:$B,'Account Summary'!$C46,'Base File'!$BT:$BT,"Not Met")),"-")</f>
        <v>-</v>
      </c>
      <c r="BO46" s="100">
        <v>1</v>
      </c>
      <c r="BP46" s="100">
        <v>0.5</v>
      </c>
      <c r="BQ46" s="100" t="str">
        <f>IFERROR(COUNTIFS('Base File'!$G:$G,"Internal KPI",'Base File'!$B:$B,'Account Summary'!$C46,'Base File'!$BV:$BV,"Met")/SUM(COUNTIFS('Base File'!$G:$G,"Internal KPI",'Base File'!$B:$B,'Account Summary'!$C46,'Base File'!$BV:$BV,"Met")+COUNTIFS('Base File'!$G:$G,"Internal KPI",'Base File'!$B:$B,'Account Summary'!$C46,'Base File'!$BV:$BV,"Not Met")),"-")</f>
        <v>-</v>
      </c>
      <c r="BR46" s="100" t="str">
        <f>IFERROR(COUNTIFS('Base File'!$G:$G,"Contractual SLA",'Base File'!$H:$H,"Yes",'Base File'!$B:$B,'Account Summary'!$C46,'Base File'!$BV:$BV,"Met")/SUM(COUNTIFS('Base File'!$G:$G,"Contractual SLA",'Base File'!$H:$H,"Yes",'Base File'!$B:$B,'Account Summary'!$C46,'Base File'!$BV:$BV,"Met")+COUNTIFS('Base File'!$G:$G,"Contractual SLA",'Base File'!$H:$H,"Yes",'Base File'!$B:$B,'Account Summary'!$C46,'Base File'!$BV:$BV,"Not Met")),"-")</f>
        <v>-</v>
      </c>
      <c r="BS46" s="100">
        <v>0.5</v>
      </c>
    </row>
    <row r="47" spans="1:75" x14ac:dyDescent="0.25">
      <c r="A47" s="389"/>
      <c r="B47" s="94">
        <v>44</v>
      </c>
      <c r="C47" s="94" t="s">
        <v>897</v>
      </c>
      <c r="D47" s="112"/>
      <c r="E47" s="95" t="s">
        <v>903</v>
      </c>
      <c r="F47" s="94" t="s">
        <v>899</v>
      </c>
      <c r="G47" s="389"/>
      <c r="H47" s="389"/>
      <c r="I47" s="94" t="s">
        <v>133</v>
      </c>
      <c r="J47" s="89" t="s">
        <v>67</v>
      </c>
      <c r="K47" s="89" t="s">
        <v>65</v>
      </c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89"/>
      <c r="AQ47" s="389"/>
      <c r="AR47" s="389"/>
      <c r="AS47" s="389"/>
      <c r="AT47" s="389"/>
      <c r="AU47" s="389"/>
      <c r="AV47" s="100" t="s">
        <v>11</v>
      </c>
      <c r="AW47" s="389"/>
      <c r="AX47" s="389"/>
      <c r="AY47" s="389"/>
      <c r="AZ47" s="106">
        <f>IFERROR(COUNTIFS('Base File'!$BN:$BN,"Met",'Base File'!$B:$B,'Account Summary'!C47)/(COUNTIFS('Base File'!$BN:$BN,"Met",'Base File'!$B:$B,'Account Summary'!C47)+COUNTIFS('Base File'!$BN:$BN,"Not Met",'Base File'!$B:$B,'Account Summary'!C47)),"NR")</f>
        <v>0.5</v>
      </c>
      <c r="BA47" s="100" t="str">
        <f>IFERROR(COUNTIFS('Base File'!$G:$G,"Contractual SLA",'Base File'!$H:$H,"No",'Base File'!$B:$B,'Account Summary'!$C47,'Base File'!$BN:$BN,"Met")/SUM(COUNTIFS('Base File'!$G:$G,"Contractual SLA",'Base File'!$H:$H,"No",'Base File'!$B:$B,'Account Summary'!$C47,'Base File'!$BN:$BN,"Met")+COUNTIFS('Base File'!$G:$G,"Contractual SLA",'Base File'!$H:$H,"No",'Base File'!$B:$B,'Account Summary'!$C47,'Base File'!$BN:$BN,"Not Met")),"-")</f>
        <v>-</v>
      </c>
      <c r="BB47" s="100" t="str">
        <f>IFERROR(COUNTIFS('Base File'!$G:$G,"Contractual SLA",'Base File'!$H:$H,"Yes",'Base File'!$B:$B,'Account Summary'!$C47,'Base File'!$BN:$BN,"Met")/SUM(COUNTIFS('Base File'!$G:$G,"Contractual SLA",'Base File'!$H:$H,"yes",'Base File'!$B:$B,'Account Summary'!$C47,'Base File'!$BN:$BN,"Met")+COUNTIFS('Base File'!$G:$G,"Contractual SLA",'Base File'!$H:$H,"yes",'Base File'!$B:$B,'Account Summary'!$C47,'Base File'!$BN:$BN,"Not Met")),"-")</f>
        <v>-</v>
      </c>
      <c r="BC47" s="106">
        <f>IFERROR(COUNTIFS('Base File'!$G:$G,"Internal KPI",'Base File'!$B:$B,'Account Summary'!$C47,'Base File'!$BN:$BN,"Met")/SUM(COUNTIFS('Base File'!$G:$G,"Internal KPI",'Base File'!$B:$B,'Account Summary'!$C47,'Base File'!$BN:$BN,"Met")+COUNTIFS('Base File'!$G:$G,"Internal KPI",'Base File'!$B:$B,'Account Summary'!$C47,'Base File'!$BN:$BN,"Not Met")),"-")</f>
        <v>0.5</v>
      </c>
      <c r="BD47" s="100" t="str">
        <f>IFERROR(COUNTIFS('Base File'!$BP:$BP,"Met",'Base File'!$B:$B,'Account Summary'!C47)/(COUNTIFS('Base File'!$BP:$BP,"Met",'Base File'!$B:$B,'Account Summary'!C47)+COUNTIFS('Base File'!$BP:$BP,"Not Met",'Base File'!$B:$B,'Account Summary'!C47)),"NR")</f>
        <v>NR</v>
      </c>
      <c r="BE47" s="100" t="str">
        <f>IFERROR(COUNTIFS('Base File'!$G:$G,"Contractual SLA",'Base File'!$H:$H,"No",'Base File'!$B:$B,'Account Summary'!$C47,'Base File'!$BP:$BP,"Met")/SUM(COUNTIFS('Base File'!$G:$G,"Contractual SLA",'Base File'!$H:$H,"No",'Base File'!$B:$B,'Account Summary'!$C47,'Base File'!$BP:$BP,"Met")+COUNTIFS('Base File'!$G:$G,"Contractual SLA",'Base File'!$H:$H,"No",'Base File'!$B:$B,'Account Summary'!$C47,'Base File'!$BP:$BP,"Not Met")),"-")</f>
        <v>-</v>
      </c>
      <c r="BF47" s="100" t="str">
        <f>IFERROR(COUNTIFS('Base File'!$G:$G,"Contractual SLA",'Base File'!$H:$H,"Yes",'Base File'!$B:$B,'Account Summary'!$C47,'Base File'!$BP:$BP,"Met")/SUM(COUNTIFS('Base File'!$G:$G,"Contractual SLA",'Base File'!$H:$H,"yes",'Base File'!$B:$B,'Account Summary'!$C47,'Base File'!$BP:$BP,"Met")+COUNTIFS('Base File'!$G:$G,"Contractual SLA",'Base File'!$H:$H,"yes",'Base File'!$B:$B,'Account Summary'!$C47,'Base File'!$BP:$BP,"Not Met")),"-")</f>
        <v>-</v>
      </c>
      <c r="BG47" s="100" t="s">
        <v>103</v>
      </c>
      <c r="BH47" s="100" t="str">
        <f>IFERROR(COUNTIFS('Base File'!$BR:$BR,"Met",'Base File'!$B:$B,'Account Summary'!C47)/(COUNTIFS('Base File'!$BR:$BR,"Met",'Base File'!$B:$B,'Account Summary'!C47)+COUNTIFS('Base File'!$BR:$BR,"Not Met",'Base File'!$B:$B,'Account Summary'!C47)),"NR")</f>
        <v>NR</v>
      </c>
      <c r="BI47" s="101" t="str">
        <f>IFERROR(COUNTIFS('Base File'!$G:$G,"Contractual SLA",'Base File'!$H:$H,"No",'Base File'!$B:$B,'Account Summary'!$C47,'Base File'!$BR:$BR,"Met")/SUM(COUNTIFS('Base File'!$G:$G,"Contractual SLA",'Base File'!$H:$H,"No",'Base File'!$B:$B,'Account Summary'!$C47,'Base File'!$BR:$BR,"Met")+COUNTIFS('Base File'!$G:$G,"Contractual SLA",'Base File'!$H:$H,"No",'Base File'!$B:$B,'Account Summary'!$C47,'Base File'!$BR:$BR,"Not Met")),"-")</f>
        <v>-</v>
      </c>
      <c r="BJ47" s="100" t="str">
        <f>IFERROR(COUNTIFS('Base File'!$G:$G,"Contractual SLA",'Base File'!$H:$H,"No",'Base File'!$B:$B,'Account Summary'!$C47,'Base File'!$BR:$BR,"Met")/SUM(COUNTIFS('Base File'!$G:$G,"Contractual SLA",'Base File'!$H:$H,"No",'Base File'!$B:$B,'Account Summary'!$C47,'Base File'!$BR:$BR,"Met")+COUNTIFS('Base File'!$G:$G,"Contractual SLA",'Base File'!$H:$H,"No",'Base File'!$B:$B,'Account Summary'!$C47,'Base File'!$BR:$BR,"Not Met")),"-")</f>
        <v>-</v>
      </c>
      <c r="BK47" s="100" t="s">
        <v>103</v>
      </c>
      <c r="BL47" s="100">
        <f>IFERROR(COUNTIFS('Base File'!$BT:$BT,"Met",'Base File'!$B:$B,'Account Summary'!C47)/(COUNTIFS('Base File'!$BT:$BT,"Met",'Base File'!$B:$B,'Account Summary'!C47)+COUNTIFS('Base File'!$BT:$BT,"Not Met",'Base File'!$B:$B,'Account Summary'!C47)),"NR")</f>
        <v>0.5</v>
      </c>
      <c r="BM47" s="100" t="str">
        <f>IFERROR(COUNTIFS('Base File'!$G:$G,"Contractual SLA",'Base File'!$H:$H,"No",'Base File'!$B:$B,'Account Summary'!$C47,'Base File'!$BT:$BT,"Met")/SUM(COUNTIFS('Base File'!$G:$G,"Contractual SLA",'Base File'!$H:$H,"No",'Base File'!$B:$B,'Account Summary'!$C47,'Base File'!$BT:$BT,"Met")+COUNTIFS('Base File'!$G:$G,"Contractual SLA",'Base File'!$H:$H,"No",'Base File'!$B:$B,'Account Summary'!$C47,'Base File'!$BT:$BT,"Not Met")),"-")</f>
        <v>-</v>
      </c>
      <c r="BN47" s="100" t="str">
        <f>IFERROR(COUNTIFS('Base File'!$G:$G,"Contractual SLA",'Base File'!$H:$H,"Yes",'Base File'!$B:$B,'Account Summary'!$C47,'Base File'!$BT:$BT,"Met")/SUM(COUNTIFS('Base File'!$G:$G,"Contractual SLA",'Base File'!$H:$H,"yes",'Base File'!$B:$B,'Account Summary'!$C47,'Base File'!$BT:$BT,"Met")+COUNTIFS('Base File'!$G:$G,"Contractual SLA",'Base File'!$H:$H,"yes",'Base File'!$B:$B,'Account Summary'!$C47,'Base File'!$BT:$BT,"Not Met")),"-")</f>
        <v>-</v>
      </c>
      <c r="BO47" s="100">
        <f>IFERROR(COUNTIFS('Base File'!$G:$G,"Internal KPI",'Base File'!$B:$B,'Account Summary'!$C47,'Base File'!$BT:$BT,"Met")/SUM(COUNTIFS('Base File'!$G:$G,"Internal KPI",'Base File'!$B:$B,'Account Summary'!$C47,'Base File'!$BT:$BT,"Met")+COUNTIFS('Base File'!$G:$G,"Internal KPI",'Base File'!$B:$B,'Account Summary'!$C47,'Base File'!$BT:$BT,"Not Met")),"-")</f>
        <v>0.5</v>
      </c>
      <c r="BP47" s="100" t="str">
        <f>IFERROR(COUNTIFS('Base File'!$BV:$BV,"Met",'Base File'!$B:$B,'Account Summary'!C47)/(COUNTIFS('Base File'!$BV:$BV,"Met",'Base File'!$B:$B,'Account Summary'!C47)+COUNTIFS('Base File'!$BV:$BV,"Not Met",'Base File'!$B:$B,'Account Summary'!C47)),"NR")</f>
        <v>NR</v>
      </c>
      <c r="BQ47" s="100" t="str">
        <f>IFERROR(COUNTIFS('Base File'!$G:$G,"Internal KPI",'Base File'!$B:$B,'Account Summary'!$C47,'Base File'!$BV:$BV,"Met")/SUM(COUNTIFS('Base File'!$G:$G,"Internal KPI",'Base File'!$B:$B,'Account Summary'!$C47,'Base File'!$BV:$BV,"Met")+COUNTIFS('Base File'!$G:$G,"Internal KPI",'Base File'!$B:$B,'Account Summary'!$C47,'Base File'!$BV:$BV,"Not Met")),"-")</f>
        <v>-</v>
      </c>
      <c r="BR47" s="100" t="str">
        <f>IFERROR(COUNTIFS('Base File'!$G:$G,"Contractual SLA",'Base File'!$H:$H,"Yes",'Base File'!$B:$B,'Account Summary'!$C47,'Base File'!$BV:$BV,"Met")/SUM(COUNTIFS('Base File'!$G:$G,"Contractual SLA",'Base File'!$H:$H,"Yes",'Base File'!$B:$B,'Account Summary'!$C47,'Base File'!$BV:$BV,"Met")+COUNTIFS('Base File'!$G:$G,"Contractual SLA",'Base File'!$H:$H,"Yes",'Base File'!$B:$B,'Account Summary'!$C47,'Base File'!$BV:$BV,"Not Met")),"-")</f>
        <v>-</v>
      </c>
      <c r="BS47" s="100" t="s">
        <v>103</v>
      </c>
    </row>
    <row r="48" spans="1:75" x14ac:dyDescent="0.25">
      <c r="A48" s="389"/>
      <c r="B48" s="94">
        <v>45</v>
      </c>
      <c r="C48" s="94" t="s">
        <v>893</v>
      </c>
      <c r="D48" s="112"/>
      <c r="E48" s="95" t="s">
        <v>106</v>
      </c>
      <c r="F48" s="94" t="s">
        <v>894</v>
      </c>
      <c r="G48" s="389"/>
      <c r="H48" s="389"/>
      <c r="I48" s="94" t="s">
        <v>920</v>
      </c>
      <c r="J48" s="89" t="s">
        <v>67</v>
      </c>
      <c r="K48" s="89" t="s">
        <v>68</v>
      </c>
      <c r="L48" s="389"/>
      <c r="M48" s="389"/>
      <c r="N48" s="389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  <c r="AM48" s="389"/>
      <c r="AN48" s="389"/>
      <c r="AO48" s="389"/>
      <c r="AP48" s="389"/>
      <c r="AQ48" s="389"/>
      <c r="AR48" s="389"/>
      <c r="AS48" s="389"/>
      <c r="AT48" s="389"/>
      <c r="AU48" s="389"/>
      <c r="AV48" s="389"/>
      <c r="AW48" s="389"/>
      <c r="AX48" s="389"/>
      <c r="AY48" s="389"/>
      <c r="AZ48" s="100" t="str">
        <f>IFERROR(COUNTIFS('[1]Base File'!$BP:$BP,"Met",'[1]Base File'!$B:$B,'[1]Account Summary'!C48)/(COUNTIFS('[1]Base File'!$BP:$BP,"Met",'[1]Base File'!$B:$B,'[1]Account Summary'!C48)+COUNTIFS('[1]Base File'!$BP:$BP,"Not Met",'[1]Base File'!$B:$B,'[1]Account Summary'!C48)),"NR")</f>
        <v>NR</v>
      </c>
      <c r="BA48" s="100" t="str">
        <f>IFERROR(COUNTIFS('[1]Base File'!$G:$G,"Contractual SLA",'[1]Base File'!$H:$H,"No",'[1]Base File'!$B:$B,'[1]Account Summary'!$C48,'[1]Base File'!$BP:$BP,"Met")/SUM(COUNTIFS('[1]Base File'!$G:$G,"Contractual SLA",'[1]Base File'!$H:$H,"No",'[1]Base File'!$B:$B,'[1]Account Summary'!$C48,'[1]Base File'!$BP:$BP,"Met")+COUNTIFS('[1]Base File'!$G:$G,"Contractual SLA",'[1]Base File'!$H:$H,"No",'[1]Base File'!$B:$B,'[1]Account Summary'!$C48,'[1]Base File'!$BP:$BP,"Not Met")),"-")</f>
        <v>-</v>
      </c>
      <c r="BB48" s="100" t="str">
        <f>IFERROR(COUNTIFS('[1]Base File'!$G:$G,"Contractual SLA",'[1]Base File'!$H:$H,"Yes",'[1]Base File'!$B:$B,'[1]Account Summary'!$C48,'[1]Base File'!$BP:$BP,"Met")/SUM(COUNTIFS('[1]Base File'!$G:$G,"Contractual SLA",'[1]Base File'!$H:$H,"yes",'[1]Base File'!$B:$B,'[1]Account Summary'!$C48,'[1]Base File'!$BP:$BP,"Met")+COUNTIFS('[1]Base File'!$G:$G,"Contractual SLA",'[1]Base File'!$H:$H,"yes",'[1]Base File'!$B:$B,'[1]Account Summary'!$C48,'[1]Base File'!$BP:$BP,"Not Met")),"-")</f>
        <v>-</v>
      </c>
      <c r="BC48" s="100" t="str">
        <f>IFERROR(COUNTIFS('[1]Base File'!$G:$G,"Internal KPI",'[1]Base File'!$B:$B,'[1]Account Summary'!$C48,'[1]Base File'!$BP:$BP,"Met")/SUM(COUNTIFS('[1]Base File'!$G:$G,"Internal KPI",'[1]Base File'!$B:$B,'[1]Account Summary'!$C48,'[1]Base File'!$BP:$BP,"Met")+COUNTIFS('[1]Base File'!$G:$G,"Internal KPI",'[1]Base File'!$B:$B,'[1]Account Summary'!$C48,'[1]Base File'!$BP:$BP,"Not Met")),"-")</f>
        <v>-</v>
      </c>
      <c r="BD48" s="99">
        <f>IFERROR(COUNTIFS('Base File'!$BP:$BP,"Met",'Base File'!$B:$B,'Account Summary'!C48)/(COUNTIFS('Base File'!$BP:$BP,"Met",'Base File'!$B:$B,'Account Summary'!C48)+COUNTIFS('Base File'!$BP:$BP,"Not Met",'Base File'!$B:$B,'Account Summary'!C48)),"NR")</f>
        <v>0.8571428571428571</v>
      </c>
      <c r="BE48" s="100" t="str">
        <f>IFERROR(COUNTIFS('Base File'!$G:$G,"Contractual SLA",'Base File'!$H:$H,"No",'Base File'!$B:$B,'Account Summary'!$C48,'Base File'!$BP:$BP,"Met")/SUM(COUNTIFS('Base File'!$G:$G,"Contractual SLA",'Base File'!$H:$H,"No",'Base File'!$B:$B,'Account Summary'!$C48,'Base File'!$BP:$BP,"Met")+COUNTIFS('Base File'!$G:$G,"Contractual SLA",'Base File'!$H:$H,"No",'Base File'!$B:$B,'Account Summary'!$C48,'Base File'!$BP:$BP,"Not Met")),"-")</f>
        <v>-</v>
      </c>
      <c r="BF48" s="100" t="str">
        <f>IFERROR(COUNTIFS('Base File'!$G:$G,"Contractual SLA",'Base File'!$H:$H,"Yes",'Base File'!$B:$B,'Account Summary'!$C48,'Base File'!$BP:$BP,"Met")/SUM(COUNTIFS('Base File'!$G:$G,"Contractual SLA",'Base File'!$H:$H,"yes",'Base File'!$B:$B,'Account Summary'!$C48,'Base File'!$BP:$BP,"Met")+COUNTIFS('Base File'!$G:$G,"Contractual SLA",'Base File'!$H:$H,"yes",'Base File'!$B:$B,'Account Summary'!$C48,'Base File'!$BP:$BP,"Not Met")),"-")</f>
        <v>-</v>
      </c>
      <c r="BG48" s="99">
        <f>IFERROR(COUNTIFS('Base File'!$G:$G,"Internal KPI",'Base File'!$B:$B,'Account Summary'!$C48,'Base File'!$BP:$BP,"Met")/SUM(COUNTIFS('Base File'!$G:$G,"Internal KPI",'Base File'!$B:$B,'Account Summary'!$C48,'Base File'!$BP:$BP,"Met")+COUNTIFS('Base File'!$G:$G,"Internal KPI",'Base File'!$B:$B,'Account Summary'!$C48,'Base File'!$BP:$BP,"Not Met")),"-")</f>
        <v>0.8571428571428571</v>
      </c>
      <c r="BH48" s="100" t="str">
        <f>IFERROR(COUNTIFS('Base File'!$BR:$BR,"Met",'Base File'!$B:$B,'Account Summary'!C48)/(COUNTIFS('Base File'!$BR:$BR,"Met",'Base File'!$B:$B,'Account Summary'!C48)+COUNTIFS('Base File'!$BR:$BR,"Not Met",'Base File'!$B:$B,'Account Summary'!C48)),"NR")</f>
        <v>NR</v>
      </c>
      <c r="BI48" s="101" t="str">
        <f>IFERROR(COUNTIFS('Base File'!$G:$G,"Contractual SLA",'Base File'!$H:$H,"No",'Base File'!$B:$B,'Account Summary'!$C48,'Base File'!$BR:$BR,"Met")/SUM(COUNTIFS('Base File'!$G:$G,"Contractual SLA",'Base File'!$H:$H,"No",'Base File'!$B:$B,'Account Summary'!$C48,'Base File'!$BR:$BR,"Met")+COUNTIFS('Base File'!$G:$G,"Contractual SLA",'Base File'!$H:$H,"No",'Base File'!$B:$B,'Account Summary'!$C48,'Base File'!$BR:$BR,"Not Met")),"-")</f>
        <v>-</v>
      </c>
      <c r="BJ48" s="100" t="str">
        <f>IFERROR(COUNTIFS('Base File'!$G:$G,"Contractual SLA",'Base File'!$H:$H,"No",'Base File'!$B:$B,'Account Summary'!$C48,'Base File'!$BR:$BR,"Met")/SUM(COUNTIFS('Base File'!$G:$G,"Contractual SLA",'Base File'!$H:$H,"No",'Base File'!$B:$B,'Account Summary'!$C48,'Base File'!$BR:$BR,"Met")+COUNTIFS('Base File'!$G:$G,"Contractual SLA",'Base File'!$H:$H,"No",'Base File'!$B:$B,'Account Summary'!$C48,'Base File'!$BR:$BR,"Not Met")),"-")</f>
        <v>-</v>
      </c>
      <c r="BK48" s="100" t="s">
        <v>103</v>
      </c>
      <c r="BL48" s="100">
        <f>IFERROR(COUNTIFS('Base File'!$BT:$BT,"Met",'Base File'!$B:$B,'Account Summary'!C48)/(COUNTIFS('Base File'!$BT:$BT,"Met",'Base File'!$B:$B,'Account Summary'!C48)+COUNTIFS('Base File'!$BT:$BT,"Not Met",'Base File'!$B:$B,'Account Summary'!C48)),"NR")</f>
        <v>0.75</v>
      </c>
      <c r="BM48" s="100" t="str">
        <f>IFERROR(COUNTIFS('Base File'!$G:$G,"Contractual SLA",'Base File'!$H:$H,"No",'Base File'!$B:$B,'Account Summary'!$C48,'Base File'!$BT:$BT,"Met")/SUM(COUNTIFS('Base File'!$G:$G,"Contractual SLA",'Base File'!$H:$H,"No",'Base File'!$B:$B,'Account Summary'!$C48,'Base File'!$BT:$BT,"Met")+COUNTIFS('Base File'!$G:$G,"Contractual SLA",'Base File'!$H:$H,"No",'Base File'!$B:$B,'Account Summary'!$C48,'Base File'!$BT:$BT,"Not Met")),"-")</f>
        <v>-</v>
      </c>
      <c r="BN48" s="100" t="str">
        <f>IFERROR(COUNTIFS('Base File'!$G:$G,"Contractual SLA",'Base File'!$H:$H,"Yes",'Base File'!$B:$B,'Account Summary'!$C48,'Base File'!$BT:$BT,"Met")/SUM(COUNTIFS('Base File'!$G:$G,"Contractual SLA",'Base File'!$H:$H,"yes",'Base File'!$B:$B,'Account Summary'!$C48,'Base File'!$BT:$BT,"Met")+COUNTIFS('Base File'!$G:$G,"Contractual SLA",'Base File'!$H:$H,"yes",'Base File'!$B:$B,'Account Summary'!$C48,'Base File'!$BT:$BT,"Not Met")),"-")</f>
        <v>-</v>
      </c>
      <c r="BO48" s="100">
        <f>IFERROR(COUNTIFS('Base File'!$G:$G,"Internal KPI",'Base File'!$B:$B,'Account Summary'!$C48,'Base File'!$BT:$BT,"Met")/SUM(COUNTIFS('Base File'!$G:$G,"Internal KPI",'Base File'!$B:$B,'Account Summary'!$C48,'Base File'!$BT:$BT,"Met")+COUNTIFS('Base File'!$G:$G,"Internal KPI",'Base File'!$B:$B,'Account Summary'!$C48,'Base File'!$BT:$BT,"Not Met")),"-")</f>
        <v>0.75</v>
      </c>
      <c r="BP48" s="100">
        <f>IFERROR(COUNTIFS('Base File'!$BV:$BV,"Met",'Base File'!$B:$B,'Account Summary'!C48)/(COUNTIFS('Base File'!$BV:$BV,"Met",'Base File'!$B:$B,'Account Summary'!C48)+COUNTIFS('Base File'!$BV:$BV,"Not Met",'Base File'!$B:$B,'Account Summary'!C48)),"NR")</f>
        <v>0.875</v>
      </c>
      <c r="BQ48" s="102" t="s">
        <v>107</v>
      </c>
      <c r="BR48" s="100" t="str">
        <f>IFERROR(COUNTIFS('Base File'!$G:$G,"Contractual SLA",'Base File'!$H:$H,"Yes",'Base File'!$B:$B,'Account Summary'!$C48,'Base File'!$BV:$BV,"Met")/SUM(COUNTIFS('Base File'!$G:$G,"Contractual SLA",'Base File'!$H:$H,"Yes",'Base File'!$B:$B,'Account Summary'!$C48,'Base File'!$BV:$BV,"Met")+COUNTIFS('Base File'!$G:$G,"Contractual SLA",'Base File'!$H:$H,"Yes",'Base File'!$B:$B,'Account Summary'!$C48,'Base File'!$BV:$BV,"Not Met")),"-")</f>
        <v>-</v>
      </c>
      <c r="BS48" s="100">
        <v>0.88</v>
      </c>
    </row>
    <row r="49" spans="39:70" x14ac:dyDescent="0.25">
      <c r="BP49" s="428"/>
      <c r="BQ49" s="430" t="s">
        <v>962</v>
      </c>
    </row>
    <row r="50" spans="39:70" x14ac:dyDescent="0.25">
      <c r="AM50" s="428"/>
      <c r="AN50" s="428"/>
      <c r="AS50" s="428"/>
      <c r="BL50" s="428"/>
      <c r="BP50" s="428"/>
      <c r="BQ50" s="428"/>
      <c r="BR50" s="428"/>
    </row>
  </sheetData>
  <dataConsolidate/>
  <mergeCells count="1">
    <mergeCell ref="B2:K2"/>
  </mergeCells>
  <conditionalFormatting sqref="C5:C10">
    <cfRule type="containsText" dxfId="4324" priority="54" operator="containsText" text="Not Met">
      <formula>NOT(ISERROR(SEARCH("Not Met",C5)))</formula>
    </cfRule>
  </conditionalFormatting>
  <conditionalFormatting sqref="C12:C20 G13:G36">
    <cfRule type="containsText" dxfId="4323" priority="52" operator="containsText" text="Not Met">
      <formula>NOT(ISERROR(SEARCH("Not Met",C12)))</formula>
    </cfRule>
    <cfRule type="containsText" dxfId="4322" priority="53" operator="containsText" text="Met">
      <formula>NOT(ISERROR(SEARCH("Met",C12)))</formula>
    </cfRule>
  </conditionalFormatting>
  <conditionalFormatting sqref="C26:C27">
    <cfRule type="containsText" dxfId="4321" priority="50" operator="containsText" text="Not Met">
      <formula>NOT(ISERROR(SEARCH("Not Met",C26)))</formula>
    </cfRule>
    <cfRule type="containsText" dxfId="4320" priority="51" operator="containsText" text="Met">
      <formula>NOT(ISERROR(SEARCH("Met",C26)))</formula>
    </cfRule>
  </conditionalFormatting>
  <conditionalFormatting sqref="C4:E4 C5:C10">
    <cfRule type="containsText" dxfId="4319" priority="56" operator="containsText" text="Met">
      <formula>NOT(ISERROR(SEARCH("Met",C4)))</formula>
    </cfRule>
  </conditionalFormatting>
  <conditionalFormatting sqref="C4:E4">
    <cfRule type="containsText" dxfId="4318" priority="55" operator="containsText" text="Not Met">
      <formula>NOT(ISERROR(SEARCH("Not Met",C4)))</formula>
    </cfRule>
  </conditionalFormatting>
  <conditionalFormatting sqref="D5:D45">
    <cfRule type="containsText" dxfId="4317" priority="30" operator="containsText" text="Not Met">
      <formula>NOT(ISERROR(SEARCH("Not Met",D5)))</formula>
    </cfRule>
    <cfRule type="containsText" dxfId="4316" priority="31" operator="containsText" text="Met">
      <formula>NOT(ISERROR(SEARCH("Met",D5)))</formula>
    </cfRule>
  </conditionalFormatting>
  <conditionalFormatting sqref="E5:E48">
    <cfRule type="containsText" dxfId="4315" priority="24" operator="containsText" text="Not Met">
      <formula>NOT(ISERROR(SEARCH("Not Met",E5)))</formula>
    </cfRule>
    <cfRule type="containsText" dxfId="4314" priority="25" operator="containsText" text="Met">
      <formula>NOT(ISERROR(SEARCH("Met",E5)))</formula>
    </cfRule>
  </conditionalFormatting>
  <conditionalFormatting sqref="G4:G11">
    <cfRule type="containsText" dxfId="4313" priority="46" operator="containsText" text="Not Met">
      <formula>NOT(ISERROR(SEARCH("Not Met",G4)))</formula>
    </cfRule>
    <cfRule type="containsText" dxfId="4312" priority="47" operator="containsText" text="Met">
      <formula>NOT(ISERROR(SEARCH("Met",G4)))</formula>
    </cfRule>
  </conditionalFormatting>
  <conditionalFormatting sqref="L3:BS3">
    <cfRule type="cellIs" dxfId="4311" priority="57" operator="equal">
      <formula>0.75</formula>
    </cfRule>
  </conditionalFormatting>
  <conditionalFormatting sqref="AZ4 AZ6:BA7 BC6:BC7 BC9 AZ9:BA10 AZ13:BA14 AZ15 BC15:BC16 AZ16:BA16 AZ19:AZ25 BC19:BC25 AZ28 BC28 AZ30:BA30 BC30 AZ34 BC34 AZ37 BC37 AZ39:AZ41 BC39:BC41 AZ44 BC44:BC45 AZ45:BA45 AZ47 BC47">
    <cfRule type="cellIs" dxfId="4310" priority="26" operator="greaterThanOrEqual">
      <formula>0.75</formula>
    </cfRule>
  </conditionalFormatting>
  <conditionalFormatting sqref="AZ4 AZ6:BA7 BC6:BC7 BC9 AZ9:BA10 AZ13:BA14 AZ15 BC15:BC16 AZ16:BA16 AZ19:AZ25 BC19:BC25 AZ28 BC28 AZ30:BA30 BC30 AZ34 BC34 AZ37 BC37 AZ39:AZ41 BC39:BC41 AZ44 BC44:BC45 AZ45:BA45">
    <cfRule type="cellIs" dxfId="4309" priority="27" operator="lessThan">
      <formula>0.5</formula>
    </cfRule>
  </conditionalFormatting>
  <conditionalFormatting sqref="AZ47:AZ48">
    <cfRule type="cellIs" dxfId="4308" priority="21" operator="lessThan">
      <formula>0.5</formula>
    </cfRule>
  </conditionalFormatting>
  <conditionalFormatting sqref="AZ48">
    <cfRule type="cellIs" dxfId="4307" priority="20" operator="greaterThanOrEqual">
      <formula>0.75</formula>
    </cfRule>
  </conditionalFormatting>
  <conditionalFormatting sqref="BB4:BB48">
    <cfRule type="cellIs" dxfId="4306" priority="22" operator="equal">
      <formula>1</formula>
    </cfRule>
    <cfRule type="cellIs" dxfId="4305" priority="23" operator="lessThan">
      <formula>1</formula>
    </cfRule>
  </conditionalFormatting>
  <conditionalFormatting sqref="BC47:BC48">
    <cfRule type="cellIs" dxfId="4304" priority="19" operator="lessThan">
      <formula>0.5</formula>
    </cfRule>
  </conditionalFormatting>
  <conditionalFormatting sqref="BC48">
    <cfRule type="cellIs" dxfId="4303" priority="18" operator="greaterThanOrEqual">
      <formula>0.75</formula>
    </cfRule>
  </conditionalFormatting>
  <conditionalFormatting sqref="BL4:BS48">
    <cfRule type="cellIs" dxfId="4302" priority="1" operator="between">
      <formula>0.75</formula>
      <formula>1</formula>
    </cfRule>
    <cfRule type="cellIs" dxfId="4301" priority="2" operator="between">
      <formula>0.5</formula>
      <formula>0.75</formula>
    </cfRule>
    <cfRule type="cellIs" dxfId="4300" priority="3" operator="lessThan">
      <formula>0.5</formula>
    </cfRule>
  </conditionalFormatting>
  <pageMargins left="0.7" right="0.7" top="0.75" bottom="0.75" header="0.3" footer="0.3"/>
  <pageSetup paperSize="9" orientation="portrait" r:id="rId1"/>
  <ignoredErrors>
    <ignoredError sqref="AC6:AC7 AD23:AD26 AC32 AD44:AD45 AC27:AC28 AD28:AD32 AC35:AC45 AC23:AC25 AD34:AD42 AC9:AC21 AD6:AD2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97BD-F090-491C-921A-3E24288AC91E}">
  <dimension ref="A1:XEH508"/>
  <sheetViews>
    <sheetView showGridLines="0" tabSelected="1" zoomScale="95" zoomScaleNormal="95" workbookViewId="0"/>
  </sheetViews>
  <sheetFormatPr defaultColWidth="9.140625" defaultRowHeight="15" x14ac:dyDescent="0.25"/>
  <cols>
    <col min="1" max="1" width="3.7109375" style="2" bestFit="1" customWidth="1"/>
    <col min="2" max="2" width="22" style="2" bestFit="1" customWidth="1"/>
    <col min="3" max="3" width="6.7109375" style="2" bestFit="1" customWidth="1"/>
    <col min="4" max="4" width="13.85546875" style="2" bestFit="1" customWidth="1"/>
    <col min="5" max="5" width="29.85546875" style="2" bestFit="1" customWidth="1"/>
    <col min="6" max="6" width="11" style="1" bestFit="1" customWidth="1"/>
    <col min="7" max="7" width="15" style="1" customWidth="1"/>
    <col min="8" max="8" width="6.7109375" style="2" bestFit="1" customWidth="1"/>
    <col min="9" max="9" width="47.42578125" style="2" bestFit="1" customWidth="1"/>
    <col min="10" max="10" width="9.85546875" style="2" bestFit="1" customWidth="1"/>
    <col min="11" max="11" width="78.5703125" style="4" bestFit="1" customWidth="1"/>
    <col min="12" max="12" width="45.42578125" style="1" bestFit="1" customWidth="1"/>
    <col min="13" max="13" width="63" style="1" bestFit="1" customWidth="1"/>
    <col min="14" max="14" width="139" style="4" bestFit="1" customWidth="1"/>
    <col min="15" max="15" width="131" style="2" bestFit="1" customWidth="1"/>
    <col min="16" max="16" width="29.42578125" style="2" bestFit="1" customWidth="1"/>
    <col min="17" max="18" width="15.28515625" style="1" bestFit="1" customWidth="1"/>
    <col min="19" max="19" width="11.7109375" style="1" bestFit="1" customWidth="1"/>
    <col min="20" max="20" width="15.7109375" style="1" bestFit="1" customWidth="1"/>
    <col min="21" max="21" width="13.140625" style="1" bestFit="1" customWidth="1"/>
    <col min="22" max="22" width="16.140625" style="1" bestFit="1" customWidth="1"/>
    <col min="23" max="23" width="11.7109375" style="1" bestFit="1" customWidth="1"/>
    <col min="24" max="24" width="15.42578125" style="1" bestFit="1" customWidth="1"/>
    <col min="25" max="25" width="11.7109375" style="1" bestFit="1" customWidth="1"/>
    <col min="26" max="26" width="15.42578125" style="1" bestFit="1" customWidth="1"/>
    <col min="27" max="27" width="11.7109375" style="1" bestFit="1" customWidth="1"/>
    <col min="28" max="28" width="15.42578125" style="1" bestFit="1" customWidth="1"/>
    <col min="29" max="29" width="11.7109375" style="1" bestFit="1" customWidth="1"/>
    <col min="30" max="30" width="15" style="1" bestFit="1" customWidth="1"/>
    <col min="31" max="31" width="11.7109375" style="1" bestFit="1" customWidth="1"/>
    <col min="32" max="32" width="15" style="1" bestFit="1" customWidth="1"/>
    <col min="33" max="33" width="11.28515625" style="1" bestFit="1" customWidth="1"/>
    <col min="34" max="34" width="15.42578125" style="1" bestFit="1" customWidth="1"/>
    <col min="35" max="35" width="11.7109375" style="1" bestFit="1" customWidth="1"/>
    <col min="36" max="36" width="15.42578125" style="1" bestFit="1" customWidth="1"/>
    <col min="37" max="37" width="11.7109375" style="1" bestFit="1" customWidth="1"/>
    <col min="38" max="38" width="16" style="1" bestFit="1" customWidth="1"/>
    <col min="39" max="39" width="11.7109375" style="1" bestFit="1" customWidth="1"/>
    <col min="40" max="40" width="15.140625" style="1" bestFit="1" customWidth="1"/>
    <col min="41" max="41" width="11.28515625" style="1" bestFit="1" customWidth="1"/>
    <col min="42" max="42" width="15.42578125" style="1" bestFit="1" customWidth="1"/>
    <col min="43" max="43" width="12" style="1" bestFit="1" customWidth="1"/>
    <col min="44" max="44" width="17.42578125" style="1" bestFit="1" customWidth="1"/>
    <col min="45" max="45" width="11.7109375" style="1" bestFit="1" customWidth="1"/>
    <col min="46" max="46" width="15.42578125" style="1" bestFit="1" customWidth="1"/>
    <col min="47" max="47" width="11.7109375" style="1" bestFit="1" customWidth="1"/>
    <col min="48" max="48" width="16.28515625" style="1" bestFit="1" customWidth="1"/>
    <col min="49" max="49" width="11.7109375" style="1" bestFit="1" customWidth="1"/>
    <col min="50" max="50" width="15.7109375" style="1" bestFit="1" customWidth="1"/>
    <col min="51" max="51" width="11.7109375" style="1" bestFit="1" customWidth="1"/>
    <col min="52" max="52" width="16.140625" style="1" bestFit="1" customWidth="1"/>
    <col min="53" max="53" width="11.7109375" style="1" bestFit="1" customWidth="1"/>
    <col min="54" max="54" width="15.5703125" style="1" bestFit="1" customWidth="1"/>
    <col min="55" max="55" width="11.28515625" style="1" bestFit="1" customWidth="1"/>
    <col min="56" max="56" width="15.42578125" style="1" bestFit="1" customWidth="1"/>
    <col min="57" max="57" width="11.7109375" style="1" bestFit="1" customWidth="1"/>
    <col min="58" max="58" width="15.42578125" style="1" bestFit="1" customWidth="1"/>
    <col min="59" max="59" width="11.28515625" style="1" bestFit="1" customWidth="1"/>
    <col min="60" max="60" width="15.42578125" style="1" bestFit="1" customWidth="1"/>
    <col min="61" max="61" width="11.7109375" style="1" bestFit="1" customWidth="1"/>
    <col min="62" max="62" width="15" style="1" bestFit="1" customWidth="1"/>
    <col min="63" max="63" width="11.28515625" style="1" bestFit="1" customWidth="1"/>
    <col min="64" max="64" width="15" style="1" bestFit="1" customWidth="1"/>
    <col min="65" max="65" width="11.28515625" style="1" bestFit="1" customWidth="1"/>
    <col min="66" max="66" width="17.7109375" style="1" bestFit="1" customWidth="1"/>
    <col min="67" max="67" width="11.28515625" style="1" bestFit="1" customWidth="1"/>
    <col min="68" max="68" width="17.7109375" style="1" bestFit="1" customWidth="1"/>
    <col min="69" max="69" width="11.7109375" style="1" bestFit="1" customWidth="1"/>
    <col min="70" max="70" width="18.28515625" style="1" bestFit="1" customWidth="1"/>
    <col min="71" max="71" width="11.7109375" style="1" bestFit="1" customWidth="1"/>
    <col min="72" max="72" width="17.42578125" style="1" bestFit="1" customWidth="1"/>
    <col min="73" max="73" width="11.7109375" style="1" bestFit="1" customWidth="1"/>
    <col min="74" max="74" width="15.42578125" style="1" bestFit="1" customWidth="1"/>
    <col min="75" max="16384" width="9.140625" style="2"/>
  </cols>
  <sheetData>
    <row r="1" spans="1:77" s="1" customFormat="1" ht="24" x14ac:dyDescent="0.25">
      <c r="A1" s="113" t="s">
        <v>137</v>
      </c>
      <c r="B1" s="113" t="s">
        <v>138</v>
      </c>
      <c r="C1" s="113" t="s">
        <v>124</v>
      </c>
      <c r="D1" s="114" t="s">
        <v>139</v>
      </c>
      <c r="E1" s="114" t="s">
        <v>125</v>
      </c>
      <c r="F1" s="114" t="s">
        <v>140</v>
      </c>
      <c r="G1" s="114" t="s">
        <v>141</v>
      </c>
      <c r="H1" s="114" t="s">
        <v>142</v>
      </c>
      <c r="I1" s="115" t="s">
        <v>143</v>
      </c>
      <c r="J1" s="115" t="s">
        <v>144</v>
      </c>
      <c r="K1" s="116" t="s">
        <v>145</v>
      </c>
      <c r="L1" s="114" t="s">
        <v>146</v>
      </c>
      <c r="M1" s="114" t="s">
        <v>146</v>
      </c>
      <c r="N1" s="117" t="s">
        <v>147</v>
      </c>
      <c r="O1" s="114" t="s">
        <v>148</v>
      </c>
      <c r="P1" s="114" t="s">
        <v>149</v>
      </c>
      <c r="Q1" s="118" t="s">
        <v>150</v>
      </c>
      <c r="R1" s="118" t="s">
        <v>151</v>
      </c>
      <c r="S1" s="118" t="s">
        <v>152</v>
      </c>
      <c r="T1" s="118" t="s">
        <v>153</v>
      </c>
      <c r="U1" s="118" t="s">
        <v>154</v>
      </c>
      <c r="V1" s="118" t="s">
        <v>155</v>
      </c>
      <c r="W1" s="118" t="s">
        <v>156</v>
      </c>
      <c r="X1" s="118" t="s">
        <v>157</v>
      </c>
      <c r="Y1" s="118" t="s">
        <v>158</v>
      </c>
      <c r="Z1" s="118" t="s">
        <v>159</v>
      </c>
      <c r="AA1" s="118" t="s">
        <v>160</v>
      </c>
      <c r="AB1" s="118" t="s">
        <v>161</v>
      </c>
      <c r="AC1" s="119" t="s">
        <v>162</v>
      </c>
      <c r="AD1" s="119" t="s">
        <v>163</v>
      </c>
      <c r="AE1" s="118" t="s">
        <v>164</v>
      </c>
      <c r="AF1" s="118" t="s">
        <v>165</v>
      </c>
      <c r="AG1" s="118" t="s">
        <v>166</v>
      </c>
      <c r="AH1" s="118" t="s">
        <v>167</v>
      </c>
      <c r="AI1" s="118" t="s">
        <v>168</v>
      </c>
      <c r="AJ1" s="118" t="s">
        <v>169</v>
      </c>
      <c r="AK1" s="120" t="s">
        <v>170</v>
      </c>
      <c r="AL1" s="120" t="s">
        <v>171</v>
      </c>
      <c r="AM1" s="118" t="s">
        <v>172</v>
      </c>
      <c r="AN1" s="118" t="s">
        <v>173</v>
      </c>
      <c r="AO1" s="118" t="s">
        <v>174</v>
      </c>
      <c r="AP1" s="118" t="s">
        <v>175</v>
      </c>
      <c r="AQ1" s="118" t="s">
        <v>176</v>
      </c>
      <c r="AR1" s="118" t="s">
        <v>177</v>
      </c>
      <c r="AS1" s="118" t="s">
        <v>178</v>
      </c>
      <c r="AT1" s="118" t="s">
        <v>179</v>
      </c>
      <c r="AU1" s="118" t="s">
        <v>180</v>
      </c>
      <c r="AV1" s="118" t="s">
        <v>181</v>
      </c>
      <c r="AW1" s="118" t="s">
        <v>182</v>
      </c>
      <c r="AX1" s="118" t="s">
        <v>153</v>
      </c>
      <c r="AY1" s="118" t="s">
        <v>183</v>
      </c>
      <c r="AZ1" s="118" t="s">
        <v>155</v>
      </c>
      <c r="BA1" s="118" t="s">
        <v>184</v>
      </c>
      <c r="BB1" s="118" t="s">
        <v>185</v>
      </c>
      <c r="BC1" s="118" t="s">
        <v>186</v>
      </c>
      <c r="BD1" s="118" t="s">
        <v>157</v>
      </c>
      <c r="BE1" s="118" t="s">
        <v>187</v>
      </c>
      <c r="BF1" s="118" t="s">
        <v>159</v>
      </c>
      <c r="BG1" s="118" t="s">
        <v>844</v>
      </c>
      <c r="BH1" s="118" t="s">
        <v>161</v>
      </c>
      <c r="BI1" s="118" t="s">
        <v>843</v>
      </c>
      <c r="BJ1" s="118" t="s">
        <v>163</v>
      </c>
      <c r="BK1" s="118" t="s">
        <v>851</v>
      </c>
      <c r="BL1" s="118" t="s">
        <v>165</v>
      </c>
      <c r="BM1" s="118" t="s">
        <v>891</v>
      </c>
      <c r="BN1" s="118" t="s">
        <v>892</v>
      </c>
      <c r="BO1" s="118" t="s">
        <v>922</v>
      </c>
      <c r="BP1" s="118" t="s">
        <v>923</v>
      </c>
      <c r="BQ1" s="118" t="s">
        <v>925</v>
      </c>
      <c r="BR1" s="118" t="s">
        <v>924</v>
      </c>
      <c r="BS1" s="118" t="s">
        <v>957</v>
      </c>
      <c r="BT1" s="118" t="s">
        <v>958</v>
      </c>
      <c r="BU1" s="114" t="s">
        <v>188</v>
      </c>
      <c r="BV1" s="114" t="s">
        <v>189</v>
      </c>
    </row>
    <row r="2" spans="1:77" x14ac:dyDescent="0.25">
      <c r="A2" s="121">
        <v>1</v>
      </c>
      <c r="B2" s="122" t="s">
        <v>16</v>
      </c>
      <c r="C2" s="122" t="s">
        <v>902</v>
      </c>
      <c r="D2" s="123" t="s">
        <v>105</v>
      </c>
      <c r="E2" s="123" t="s">
        <v>132</v>
      </c>
      <c r="F2" s="123" t="s">
        <v>190</v>
      </c>
      <c r="G2" s="123" t="s">
        <v>191</v>
      </c>
      <c r="H2" s="123" t="s">
        <v>192</v>
      </c>
      <c r="I2" s="124"/>
      <c r="J2" s="125" t="s">
        <v>107</v>
      </c>
      <c r="K2" s="123" t="s">
        <v>193</v>
      </c>
      <c r="L2" s="126">
        <v>1</v>
      </c>
      <c r="M2" s="126">
        <v>1</v>
      </c>
      <c r="N2" s="123" t="s">
        <v>194</v>
      </c>
      <c r="O2" s="123" t="s">
        <v>195</v>
      </c>
      <c r="P2" s="123" t="s">
        <v>196</v>
      </c>
      <c r="Q2" s="127" t="s">
        <v>197</v>
      </c>
      <c r="R2" s="121" t="s">
        <v>198</v>
      </c>
      <c r="S2" s="127" t="s">
        <v>197</v>
      </c>
      <c r="T2" s="121" t="s">
        <v>198</v>
      </c>
      <c r="U2" s="127" t="s">
        <v>197</v>
      </c>
      <c r="V2" s="121" t="s">
        <v>198</v>
      </c>
      <c r="W2" s="127" t="s">
        <v>197</v>
      </c>
      <c r="X2" s="121" t="s">
        <v>198</v>
      </c>
      <c r="Y2" s="127" t="s">
        <v>197</v>
      </c>
      <c r="Z2" s="121" t="s">
        <v>198</v>
      </c>
      <c r="AA2" s="127" t="s">
        <v>197</v>
      </c>
      <c r="AB2" s="121" t="s">
        <v>198</v>
      </c>
      <c r="AC2" s="127" t="s">
        <v>197</v>
      </c>
      <c r="AD2" s="121" t="s">
        <v>198</v>
      </c>
      <c r="AE2" s="127" t="s">
        <v>197</v>
      </c>
      <c r="AF2" s="121" t="s">
        <v>198</v>
      </c>
      <c r="AG2" s="127" t="s">
        <v>197</v>
      </c>
      <c r="AH2" s="121" t="s">
        <v>198</v>
      </c>
      <c r="AI2" s="127" t="s">
        <v>197</v>
      </c>
      <c r="AJ2" s="121" t="s">
        <v>198</v>
      </c>
      <c r="AK2" s="127" t="s">
        <v>197</v>
      </c>
      <c r="AL2" s="121" t="s">
        <v>198</v>
      </c>
      <c r="AM2" s="127" t="s">
        <v>197</v>
      </c>
      <c r="AN2" s="121" t="s">
        <v>198</v>
      </c>
      <c r="AO2" s="127" t="s">
        <v>197</v>
      </c>
      <c r="AP2" s="121" t="s">
        <v>198</v>
      </c>
      <c r="AQ2" s="127" t="s">
        <v>197</v>
      </c>
      <c r="AR2" s="121" t="s">
        <v>198</v>
      </c>
      <c r="AS2" s="127" t="s">
        <v>197</v>
      </c>
      <c r="AT2" s="121" t="s">
        <v>198</v>
      </c>
      <c r="AU2" s="127" t="s">
        <v>197</v>
      </c>
      <c r="AV2" s="121" t="s">
        <v>198</v>
      </c>
      <c r="AW2" s="127" t="s">
        <v>197</v>
      </c>
      <c r="AX2" s="121" t="s">
        <v>198</v>
      </c>
      <c r="AY2" s="127" t="s">
        <v>197</v>
      </c>
      <c r="AZ2" s="121" t="s">
        <v>198</v>
      </c>
      <c r="BA2" s="127" t="s">
        <v>197</v>
      </c>
      <c r="BB2" s="121" t="s">
        <v>198</v>
      </c>
      <c r="BC2" s="127" t="s">
        <v>197</v>
      </c>
      <c r="BD2" s="121" t="s">
        <v>198</v>
      </c>
      <c r="BE2" s="127" t="s">
        <v>197</v>
      </c>
      <c r="BF2" s="121" t="s">
        <v>198</v>
      </c>
      <c r="BG2" s="127" t="s">
        <v>197</v>
      </c>
      <c r="BH2" s="121" t="s">
        <v>198</v>
      </c>
      <c r="BI2" s="127" t="s">
        <v>197</v>
      </c>
      <c r="BJ2" s="121" t="s">
        <v>198</v>
      </c>
      <c r="BK2" s="127" t="s">
        <v>197</v>
      </c>
      <c r="BL2" s="128" t="str">
        <f>IF(BK2="NA","NA",IF(BK2="Not Reported","Not Reported",IF(BK2&lt;$L$2,"Not Met","Met")))</f>
        <v>Met</v>
      </c>
      <c r="BM2" s="257" t="s">
        <v>197</v>
      </c>
      <c r="BN2" s="128" t="str">
        <f>IF(BM2="NA","NA",IF(BM2="Not Reported","Not Reported",IF(BM2&lt;$L$2,"Not Met","Met")))</f>
        <v>Met</v>
      </c>
      <c r="BO2" s="338" t="s">
        <v>197</v>
      </c>
      <c r="BP2" s="128" t="s">
        <v>198</v>
      </c>
      <c r="BQ2" s="338" t="s">
        <v>197</v>
      </c>
      <c r="BR2" s="128" t="s">
        <v>198</v>
      </c>
      <c r="BS2" s="347" t="s">
        <v>197</v>
      </c>
      <c r="BT2" s="128" t="str">
        <f>IF(BS2="NA","NA",IF(BS2="Not Reported","Not Reported",IF(BS2&lt;$L$2,"Not Met","Met")))</f>
        <v>Met</v>
      </c>
      <c r="BU2" s="347" t="s">
        <v>197</v>
      </c>
      <c r="BV2" s="128" t="str">
        <f>IF(BU2="NA","NA",IF(BU2="Not Reported","Not Reported",IF(BU2&lt;$L$2,"Not Met","Met")))</f>
        <v>Met</v>
      </c>
    </row>
    <row r="3" spans="1:77" x14ac:dyDescent="0.25">
      <c r="A3" s="121">
        <v>2</v>
      </c>
      <c r="B3" s="123" t="s">
        <v>16</v>
      </c>
      <c r="C3" s="122" t="s">
        <v>902</v>
      </c>
      <c r="D3" s="123" t="s">
        <v>105</v>
      </c>
      <c r="E3" s="123" t="s">
        <v>132</v>
      </c>
      <c r="F3" s="123" t="s">
        <v>190</v>
      </c>
      <c r="G3" s="123" t="s">
        <v>191</v>
      </c>
      <c r="H3" s="123" t="s">
        <v>192</v>
      </c>
      <c r="I3" s="124"/>
      <c r="J3" s="125" t="s">
        <v>107</v>
      </c>
      <c r="K3" s="123" t="s">
        <v>199</v>
      </c>
      <c r="L3" s="126">
        <v>1</v>
      </c>
      <c r="M3" s="126">
        <v>1</v>
      </c>
      <c r="N3" s="123" t="s">
        <v>200</v>
      </c>
      <c r="O3" s="123" t="s">
        <v>201</v>
      </c>
      <c r="P3" s="123" t="s">
        <v>196</v>
      </c>
      <c r="Q3" s="127" t="s">
        <v>197</v>
      </c>
      <c r="R3" s="121" t="s">
        <v>198</v>
      </c>
      <c r="S3" s="127" t="s">
        <v>197</v>
      </c>
      <c r="T3" s="121" t="s">
        <v>198</v>
      </c>
      <c r="U3" s="127" t="s">
        <v>197</v>
      </c>
      <c r="V3" s="121" t="s">
        <v>198</v>
      </c>
      <c r="W3" s="127" t="s">
        <v>197</v>
      </c>
      <c r="X3" s="121" t="s">
        <v>198</v>
      </c>
      <c r="Y3" s="127" t="s">
        <v>197</v>
      </c>
      <c r="Z3" s="121" t="s">
        <v>198</v>
      </c>
      <c r="AA3" s="127" t="s">
        <v>197</v>
      </c>
      <c r="AB3" s="121" t="s">
        <v>198</v>
      </c>
      <c r="AC3" s="127" t="s">
        <v>197</v>
      </c>
      <c r="AD3" s="121" t="s">
        <v>198</v>
      </c>
      <c r="AE3" s="127" t="s">
        <v>197</v>
      </c>
      <c r="AF3" s="121" t="s">
        <v>198</v>
      </c>
      <c r="AG3" s="127" t="s">
        <v>197</v>
      </c>
      <c r="AH3" s="121" t="s">
        <v>198</v>
      </c>
      <c r="AI3" s="127" t="s">
        <v>197</v>
      </c>
      <c r="AJ3" s="121" t="s">
        <v>198</v>
      </c>
      <c r="AK3" s="127" t="s">
        <v>197</v>
      </c>
      <c r="AL3" s="121" t="s">
        <v>198</v>
      </c>
      <c r="AM3" s="127" t="s">
        <v>197</v>
      </c>
      <c r="AN3" s="121" t="s">
        <v>198</v>
      </c>
      <c r="AO3" s="127" t="s">
        <v>197</v>
      </c>
      <c r="AP3" s="121" t="s">
        <v>198</v>
      </c>
      <c r="AQ3" s="127" t="s">
        <v>197</v>
      </c>
      <c r="AR3" s="121" t="s">
        <v>198</v>
      </c>
      <c r="AS3" s="127" t="s">
        <v>197</v>
      </c>
      <c r="AT3" s="121" t="s">
        <v>198</v>
      </c>
      <c r="AU3" s="127" t="s">
        <v>197</v>
      </c>
      <c r="AV3" s="121" t="s">
        <v>198</v>
      </c>
      <c r="AW3" s="127" t="s">
        <v>197</v>
      </c>
      <c r="AX3" s="121" t="s">
        <v>198</v>
      </c>
      <c r="AY3" s="127" t="s">
        <v>197</v>
      </c>
      <c r="AZ3" s="121" t="s">
        <v>198</v>
      </c>
      <c r="BA3" s="127" t="s">
        <v>197</v>
      </c>
      <c r="BB3" s="121" t="s">
        <v>198</v>
      </c>
      <c r="BC3" s="127" t="s">
        <v>197</v>
      </c>
      <c r="BD3" s="121" t="s">
        <v>198</v>
      </c>
      <c r="BE3" s="127" t="s">
        <v>197</v>
      </c>
      <c r="BF3" s="121" t="s">
        <v>198</v>
      </c>
      <c r="BG3" s="127" t="s">
        <v>197</v>
      </c>
      <c r="BH3" s="121" t="s">
        <v>198</v>
      </c>
      <c r="BI3" s="127" t="s">
        <v>197</v>
      </c>
      <c r="BJ3" s="121" t="s">
        <v>198</v>
      </c>
      <c r="BK3" s="127" t="s">
        <v>197</v>
      </c>
      <c r="BL3" s="128" t="str">
        <f>IF(BK3="NA","NA",IF(BK3="Not Reported","Not Reported",IF(BK3&lt;$L$3,"Not Met","Met")))</f>
        <v>Met</v>
      </c>
      <c r="BM3" s="257" t="s">
        <v>197</v>
      </c>
      <c r="BN3" s="128" t="str">
        <f>IF(BM3="NA","NA",IF(BM3="Not Reported","Not Reported",IF(BM3&lt;$L$3,"Not Met","Met")))</f>
        <v>Met</v>
      </c>
      <c r="BO3" s="338" t="s">
        <v>197</v>
      </c>
      <c r="BP3" s="128" t="s">
        <v>198</v>
      </c>
      <c r="BQ3" s="338" t="s">
        <v>197</v>
      </c>
      <c r="BR3" s="128" t="s">
        <v>198</v>
      </c>
      <c r="BS3" s="338" t="s">
        <v>197</v>
      </c>
      <c r="BT3" s="128" t="str">
        <f>IF(BS3="NA","NA",IF(BS3="Not Reported","Not Reported",IF(BS3&lt;$L$3,"Not Met","Met")))</f>
        <v>Met</v>
      </c>
      <c r="BU3" s="338" t="s">
        <v>197</v>
      </c>
      <c r="BV3" s="128" t="str">
        <f>IF(BU3="NA","NA",IF(BU3="Not Reported","Not Reported",IF(BU3&lt;$L$3,"Not Met","Met")))</f>
        <v>Met</v>
      </c>
    </row>
    <row r="4" spans="1:77" x14ac:dyDescent="0.25">
      <c r="A4" s="121">
        <v>3</v>
      </c>
      <c r="B4" s="123" t="s">
        <v>16</v>
      </c>
      <c r="C4" s="122" t="s">
        <v>902</v>
      </c>
      <c r="D4" s="123" t="s">
        <v>105</v>
      </c>
      <c r="E4" s="123" t="s">
        <v>132</v>
      </c>
      <c r="F4" s="123" t="s">
        <v>190</v>
      </c>
      <c r="G4" s="123" t="s">
        <v>191</v>
      </c>
      <c r="H4" s="123" t="s">
        <v>192</v>
      </c>
      <c r="I4" s="124"/>
      <c r="J4" s="125" t="s">
        <v>107</v>
      </c>
      <c r="K4" s="123" t="s">
        <v>202</v>
      </c>
      <c r="L4" s="126">
        <v>1</v>
      </c>
      <c r="M4" s="126">
        <v>1</v>
      </c>
      <c r="N4" s="123" t="s">
        <v>203</v>
      </c>
      <c r="O4" s="123" t="s">
        <v>204</v>
      </c>
      <c r="P4" s="123" t="s">
        <v>196</v>
      </c>
      <c r="Q4" s="127" t="s">
        <v>197</v>
      </c>
      <c r="R4" s="121" t="s">
        <v>198</v>
      </c>
      <c r="S4" s="127" t="s">
        <v>197</v>
      </c>
      <c r="T4" s="121" t="s">
        <v>198</v>
      </c>
      <c r="U4" s="127" t="s">
        <v>197</v>
      </c>
      <c r="V4" s="121" t="s">
        <v>198</v>
      </c>
      <c r="W4" s="127" t="s">
        <v>197</v>
      </c>
      <c r="X4" s="121" t="s">
        <v>198</v>
      </c>
      <c r="Y4" s="127" t="s">
        <v>197</v>
      </c>
      <c r="Z4" s="121" t="s">
        <v>198</v>
      </c>
      <c r="AA4" s="127" t="s">
        <v>197</v>
      </c>
      <c r="AB4" s="121" t="s">
        <v>198</v>
      </c>
      <c r="AC4" s="127" t="s">
        <v>197</v>
      </c>
      <c r="AD4" s="121" t="s">
        <v>198</v>
      </c>
      <c r="AE4" s="127" t="s">
        <v>197</v>
      </c>
      <c r="AF4" s="121" t="s">
        <v>198</v>
      </c>
      <c r="AG4" s="127" t="s">
        <v>197</v>
      </c>
      <c r="AH4" s="121" t="s">
        <v>198</v>
      </c>
      <c r="AI4" s="127" t="s">
        <v>197</v>
      </c>
      <c r="AJ4" s="121" t="s">
        <v>198</v>
      </c>
      <c r="AK4" s="127" t="s">
        <v>197</v>
      </c>
      <c r="AL4" s="121" t="s">
        <v>198</v>
      </c>
      <c r="AM4" s="127" t="s">
        <v>197</v>
      </c>
      <c r="AN4" s="121" t="s">
        <v>198</v>
      </c>
      <c r="AO4" s="127" t="s">
        <v>197</v>
      </c>
      <c r="AP4" s="121" t="s">
        <v>198</v>
      </c>
      <c r="AQ4" s="127" t="s">
        <v>197</v>
      </c>
      <c r="AR4" s="121" t="s">
        <v>198</v>
      </c>
      <c r="AS4" s="127" t="s">
        <v>197</v>
      </c>
      <c r="AT4" s="121" t="s">
        <v>198</v>
      </c>
      <c r="AU4" s="127" t="s">
        <v>197</v>
      </c>
      <c r="AV4" s="121" t="s">
        <v>198</v>
      </c>
      <c r="AW4" s="127" t="s">
        <v>197</v>
      </c>
      <c r="AX4" s="121" t="s">
        <v>198</v>
      </c>
      <c r="AY4" s="127" t="s">
        <v>197</v>
      </c>
      <c r="AZ4" s="121" t="s">
        <v>198</v>
      </c>
      <c r="BA4" s="127" t="s">
        <v>197</v>
      </c>
      <c r="BB4" s="121" t="s">
        <v>198</v>
      </c>
      <c r="BC4" s="127" t="s">
        <v>197</v>
      </c>
      <c r="BD4" s="121" t="s">
        <v>198</v>
      </c>
      <c r="BE4" s="127" t="s">
        <v>197</v>
      </c>
      <c r="BF4" s="121" t="s">
        <v>198</v>
      </c>
      <c r="BG4" s="127" t="s">
        <v>197</v>
      </c>
      <c r="BH4" s="121" t="s">
        <v>198</v>
      </c>
      <c r="BI4" s="127" t="s">
        <v>197</v>
      </c>
      <c r="BJ4" s="121" t="s">
        <v>198</v>
      </c>
      <c r="BK4" s="127" t="s">
        <v>197</v>
      </c>
      <c r="BL4" s="128" t="str">
        <f>IF(BK4="NA","NA",IF(BK4="Not Reported","Not Reported",IF(BK4&lt;$L$4,"Not Met","Met")))</f>
        <v>Met</v>
      </c>
      <c r="BM4" s="257" t="s">
        <v>197</v>
      </c>
      <c r="BN4" s="128" t="str">
        <f>IF(BM4="NA","NA",IF(BM4="Not Reported","Not Reported",IF(BM4&lt;$L$4,"Not Met","Met")))</f>
        <v>Met</v>
      </c>
      <c r="BO4" s="338" t="s">
        <v>197</v>
      </c>
      <c r="BP4" s="128" t="s">
        <v>198</v>
      </c>
      <c r="BQ4" s="338" t="s">
        <v>197</v>
      </c>
      <c r="BR4" s="128" t="s">
        <v>198</v>
      </c>
      <c r="BS4" s="338" t="s">
        <v>197</v>
      </c>
      <c r="BT4" s="128" t="str">
        <f>IF(BS4="NA","NA",IF(BS4="Not Reported","Not Reported",IF(BS4&lt;$L$4,"Not Met","Met")))</f>
        <v>Met</v>
      </c>
      <c r="BU4" s="338" t="s">
        <v>197</v>
      </c>
      <c r="BV4" s="128" t="str">
        <f>IF(BU4="NA","NA",IF(BU4="Not Reported","Not Reported",IF(BU4&lt;$L$4,"Not Met","Met")))</f>
        <v>Met</v>
      </c>
      <c r="BY4" s="29"/>
    </row>
    <row r="5" spans="1:77" x14ac:dyDescent="0.25">
      <c r="A5" s="121">
        <v>4</v>
      </c>
      <c r="B5" s="123" t="s">
        <v>16</v>
      </c>
      <c r="C5" s="122" t="s">
        <v>902</v>
      </c>
      <c r="D5" s="123" t="s">
        <v>105</v>
      </c>
      <c r="E5" s="123" t="s">
        <v>132</v>
      </c>
      <c r="F5" s="123" t="s">
        <v>190</v>
      </c>
      <c r="G5" s="123" t="s">
        <v>191</v>
      </c>
      <c r="H5" s="123" t="s">
        <v>192</v>
      </c>
      <c r="I5" s="124"/>
      <c r="J5" s="125" t="s">
        <v>107</v>
      </c>
      <c r="K5" s="123" t="s">
        <v>205</v>
      </c>
      <c r="L5" s="126">
        <v>1</v>
      </c>
      <c r="M5" s="126">
        <v>1</v>
      </c>
      <c r="N5" s="123" t="s">
        <v>203</v>
      </c>
      <c r="O5" s="123" t="s">
        <v>206</v>
      </c>
      <c r="P5" s="123" t="s">
        <v>207</v>
      </c>
      <c r="Q5" s="127" t="s">
        <v>11</v>
      </c>
      <c r="R5" s="128" t="s">
        <v>11</v>
      </c>
      <c r="S5" s="127" t="s">
        <v>11</v>
      </c>
      <c r="T5" s="128" t="s">
        <v>11</v>
      </c>
      <c r="U5" s="127" t="s">
        <v>11</v>
      </c>
      <c r="V5" s="128" t="s">
        <v>11</v>
      </c>
      <c r="W5" s="127" t="s">
        <v>11</v>
      </c>
      <c r="X5" s="128" t="s">
        <v>11</v>
      </c>
      <c r="Y5" s="127" t="s">
        <v>11</v>
      </c>
      <c r="Z5" s="128" t="s">
        <v>11</v>
      </c>
      <c r="AA5" s="127" t="s">
        <v>11</v>
      </c>
      <c r="AB5" s="128" t="s">
        <v>11</v>
      </c>
      <c r="AC5" s="127" t="s">
        <v>11</v>
      </c>
      <c r="AD5" s="128" t="s">
        <v>11</v>
      </c>
      <c r="AE5" s="127" t="s">
        <v>11</v>
      </c>
      <c r="AF5" s="128" t="s">
        <v>11</v>
      </c>
      <c r="AG5" s="127" t="s">
        <v>11</v>
      </c>
      <c r="AH5" s="128" t="s">
        <v>11</v>
      </c>
      <c r="AI5" s="127" t="s">
        <v>11</v>
      </c>
      <c r="AJ5" s="128" t="s">
        <v>11</v>
      </c>
      <c r="AK5" s="127" t="s">
        <v>11</v>
      </c>
      <c r="AL5" s="128" t="s">
        <v>11</v>
      </c>
      <c r="AM5" s="127" t="s">
        <v>11</v>
      </c>
      <c r="AN5" s="128" t="s">
        <v>11</v>
      </c>
      <c r="AO5" s="127" t="s">
        <v>11</v>
      </c>
      <c r="AP5" s="128" t="s">
        <v>11</v>
      </c>
      <c r="AQ5" s="127" t="s">
        <v>11</v>
      </c>
      <c r="AR5" s="128" t="s">
        <v>11</v>
      </c>
      <c r="AS5" s="127" t="s">
        <v>11</v>
      </c>
      <c r="AT5" s="128" t="s">
        <v>11</v>
      </c>
      <c r="AU5" s="127" t="s">
        <v>11</v>
      </c>
      <c r="AV5" s="128" t="s">
        <v>11</v>
      </c>
      <c r="AW5" s="127" t="s">
        <v>11</v>
      </c>
      <c r="AX5" s="128" t="s">
        <v>11</v>
      </c>
      <c r="AY5" s="127" t="s">
        <v>11</v>
      </c>
      <c r="AZ5" s="128" t="s">
        <v>11</v>
      </c>
      <c r="BA5" s="127" t="s">
        <v>11</v>
      </c>
      <c r="BB5" s="128" t="s">
        <v>11</v>
      </c>
      <c r="BC5" s="127" t="s">
        <v>11</v>
      </c>
      <c r="BD5" s="128" t="s">
        <v>11</v>
      </c>
      <c r="BE5" s="127" t="s">
        <v>11</v>
      </c>
      <c r="BF5" s="128" t="s">
        <v>11</v>
      </c>
      <c r="BG5" s="127" t="s">
        <v>11</v>
      </c>
      <c r="BH5" s="128" t="s">
        <v>11</v>
      </c>
      <c r="BI5" s="127" t="s">
        <v>11</v>
      </c>
      <c r="BJ5" s="128" t="s">
        <v>11</v>
      </c>
      <c r="BK5" s="127" t="s">
        <v>11</v>
      </c>
      <c r="BL5" s="128" t="str">
        <f>IF(BK5="NA","NA",IF(BK5="Not Reported","Not Reported",IF(BK5&lt;$L$5,"Not Met","Met")))</f>
        <v>NA</v>
      </c>
      <c r="BM5" s="257" t="s">
        <v>11</v>
      </c>
      <c r="BN5" s="128" t="str">
        <f>IF(BM5="NA","NA",IF(BM5="Not Reported","Not Reported",IF(BM5&lt;$L$5,"Not Met","Met")))</f>
        <v>NA</v>
      </c>
      <c r="BO5" s="338" t="s">
        <v>11</v>
      </c>
      <c r="BP5" s="128" t="s">
        <v>11</v>
      </c>
      <c r="BQ5" s="338" t="s">
        <v>11</v>
      </c>
      <c r="BR5" s="128" t="s">
        <v>11</v>
      </c>
      <c r="BS5" s="338" t="s">
        <v>11</v>
      </c>
      <c r="BT5" s="128" t="str">
        <f>IF(BS5="NA","NA",IF(BS5="Not Reported","Not Reported",IF(BS5&lt;$L$5,"Not Met","Met")))</f>
        <v>NA</v>
      </c>
      <c r="BU5" s="338" t="s">
        <v>11</v>
      </c>
      <c r="BV5" s="128" t="str">
        <f>IF(BU5="NA","NA",IF(BU5="Not Reported","Not Reported",IF(BU5&lt;$L$5,"Not Met","Met")))</f>
        <v>NA</v>
      </c>
    </row>
    <row r="6" spans="1:77" x14ac:dyDescent="0.25">
      <c r="A6" s="121">
        <v>5</v>
      </c>
      <c r="B6" s="123" t="s">
        <v>16</v>
      </c>
      <c r="C6" s="122" t="s">
        <v>902</v>
      </c>
      <c r="D6" s="123" t="s">
        <v>105</v>
      </c>
      <c r="E6" s="123" t="s">
        <v>132</v>
      </c>
      <c r="F6" s="123" t="s">
        <v>190</v>
      </c>
      <c r="G6" s="123" t="s">
        <v>191</v>
      </c>
      <c r="H6" s="123" t="s">
        <v>192</v>
      </c>
      <c r="I6" s="124"/>
      <c r="J6" s="125" t="s">
        <v>107</v>
      </c>
      <c r="K6" s="123" t="s">
        <v>208</v>
      </c>
      <c r="L6" s="126">
        <v>1</v>
      </c>
      <c r="M6" s="126">
        <v>1</v>
      </c>
      <c r="N6" s="123" t="s">
        <v>209</v>
      </c>
      <c r="O6" s="123" t="s">
        <v>210</v>
      </c>
      <c r="P6" s="123" t="s">
        <v>211</v>
      </c>
      <c r="Q6" s="127" t="s">
        <v>197</v>
      </c>
      <c r="R6" s="121" t="s">
        <v>198</v>
      </c>
      <c r="S6" s="127" t="s">
        <v>197</v>
      </c>
      <c r="T6" s="121" t="s">
        <v>198</v>
      </c>
      <c r="U6" s="127" t="s">
        <v>197</v>
      </c>
      <c r="V6" s="121" t="s">
        <v>198</v>
      </c>
      <c r="W6" s="127" t="s">
        <v>197</v>
      </c>
      <c r="X6" s="121" t="s">
        <v>198</v>
      </c>
      <c r="Y6" s="127" t="s">
        <v>197</v>
      </c>
      <c r="Z6" s="121" t="s">
        <v>198</v>
      </c>
      <c r="AA6" s="127" t="s">
        <v>197</v>
      </c>
      <c r="AB6" s="121" t="s">
        <v>198</v>
      </c>
      <c r="AC6" s="127" t="s">
        <v>197</v>
      </c>
      <c r="AD6" s="121" t="s">
        <v>198</v>
      </c>
      <c r="AE6" s="127" t="s">
        <v>197</v>
      </c>
      <c r="AF6" s="121" t="s">
        <v>198</v>
      </c>
      <c r="AG6" s="127" t="s">
        <v>197</v>
      </c>
      <c r="AH6" s="121" t="s">
        <v>198</v>
      </c>
      <c r="AI6" s="127" t="s">
        <v>197</v>
      </c>
      <c r="AJ6" s="121" t="s">
        <v>198</v>
      </c>
      <c r="AK6" s="127" t="s">
        <v>197</v>
      </c>
      <c r="AL6" s="121" t="s">
        <v>198</v>
      </c>
      <c r="AM6" s="127" t="s">
        <v>197</v>
      </c>
      <c r="AN6" s="121" t="s">
        <v>198</v>
      </c>
      <c r="AO6" s="127" t="s">
        <v>197</v>
      </c>
      <c r="AP6" s="121" t="s">
        <v>198</v>
      </c>
      <c r="AQ6" s="127" t="s">
        <v>197</v>
      </c>
      <c r="AR6" s="121" t="s">
        <v>198</v>
      </c>
      <c r="AS6" s="127" t="s">
        <v>197</v>
      </c>
      <c r="AT6" s="121" t="s">
        <v>198</v>
      </c>
      <c r="AU6" s="127" t="s">
        <v>197</v>
      </c>
      <c r="AV6" s="121" t="s">
        <v>198</v>
      </c>
      <c r="AW6" s="127" t="s">
        <v>197</v>
      </c>
      <c r="AX6" s="121" t="s">
        <v>198</v>
      </c>
      <c r="AY6" s="127" t="s">
        <v>197</v>
      </c>
      <c r="AZ6" s="121" t="s">
        <v>198</v>
      </c>
      <c r="BA6" s="127" t="s">
        <v>197</v>
      </c>
      <c r="BB6" s="121" t="s">
        <v>198</v>
      </c>
      <c r="BC6" s="127" t="s">
        <v>197</v>
      </c>
      <c r="BD6" s="121" t="s">
        <v>198</v>
      </c>
      <c r="BE6" s="127" t="s">
        <v>197</v>
      </c>
      <c r="BF6" s="121" t="s">
        <v>198</v>
      </c>
      <c r="BG6" s="127" t="s">
        <v>197</v>
      </c>
      <c r="BH6" s="121" t="s">
        <v>198</v>
      </c>
      <c r="BI6" s="127" t="s">
        <v>197</v>
      </c>
      <c r="BJ6" s="121" t="s">
        <v>198</v>
      </c>
      <c r="BK6" s="127" t="s">
        <v>197</v>
      </c>
      <c r="BL6" s="128" t="str">
        <f>IF(BK6="NA","NA",IF(BK6="Not Reported","Not Reported",IF(BK6&lt;$L$6,"Not Met","Met")))</f>
        <v>Met</v>
      </c>
      <c r="BM6" s="257" t="s">
        <v>197</v>
      </c>
      <c r="BN6" s="128" t="str">
        <f>IF(BM6="NA","NA",IF(BM6="Not Reported","Not Reported",IF(BM6&lt;$L$6,"Not Met","Met")))</f>
        <v>Met</v>
      </c>
      <c r="BO6" s="338" t="s">
        <v>197</v>
      </c>
      <c r="BP6" s="128" t="s">
        <v>198</v>
      </c>
      <c r="BQ6" s="338" t="s">
        <v>197</v>
      </c>
      <c r="BR6" s="128" t="s">
        <v>198</v>
      </c>
      <c r="BS6" s="338" t="s">
        <v>197</v>
      </c>
      <c r="BT6" s="128" t="str">
        <f>IF(BS6="NA","NA",IF(BS6="Not Reported","Not Reported",IF(BS6&lt;$L$6,"Not Met","Met")))</f>
        <v>Met</v>
      </c>
      <c r="BU6" s="338" t="s">
        <v>197</v>
      </c>
      <c r="BV6" s="128" t="str">
        <f>IF(BU6="NA","NA",IF(BU6="Not Reported","Not Reported",IF(BU6&lt;$L$6,"Not Met","Met")))</f>
        <v>Met</v>
      </c>
    </row>
    <row r="7" spans="1:77" x14ac:dyDescent="0.25">
      <c r="A7" s="121">
        <v>6</v>
      </c>
      <c r="B7" s="123" t="s">
        <v>4</v>
      </c>
      <c r="C7" s="122" t="s">
        <v>901</v>
      </c>
      <c r="D7" s="123" t="s">
        <v>131</v>
      </c>
      <c r="E7" s="123" t="s">
        <v>900</v>
      </c>
      <c r="F7" s="123" t="s">
        <v>190</v>
      </c>
      <c r="G7" s="123" t="s">
        <v>191</v>
      </c>
      <c r="H7" s="123" t="s">
        <v>212</v>
      </c>
      <c r="I7" s="129" t="s">
        <v>213</v>
      </c>
      <c r="J7" s="129" t="s">
        <v>214</v>
      </c>
      <c r="K7" s="122" t="s">
        <v>215</v>
      </c>
      <c r="L7" s="130">
        <v>33</v>
      </c>
      <c r="M7" s="128" t="s">
        <v>216</v>
      </c>
      <c r="N7" s="123" t="s">
        <v>217</v>
      </c>
      <c r="O7" s="122" t="s">
        <v>218</v>
      </c>
      <c r="P7" s="122" t="s">
        <v>219</v>
      </c>
      <c r="Q7" s="131" t="s">
        <v>220</v>
      </c>
      <c r="R7" s="131" t="s">
        <v>198</v>
      </c>
      <c r="S7" s="131" t="s">
        <v>221</v>
      </c>
      <c r="T7" s="121" t="s">
        <v>198</v>
      </c>
      <c r="U7" s="131" t="s">
        <v>61</v>
      </c>
      <c r="V7" s="131" t="s">
        <v>61</v>
      </c>
      <c r="W7" s="121" t="s">
        <v>222</v>
      </c>
      <c r="X7" s="121" t="s">
        <v>198</v>
      </c>
      <c r="Y7" s="121" t="s">
        <v>220</v>
      </c>
      <c r="Z7" s="121" t="s">
        <v>198</v>
      </c>
      <c r="AA7" s="121" t="s">
        <v>221</v>
      </c>
      <c r="AB7" s="121" t="s">
        <v>198</v>
      </c>
      <c r="AC7" s="121" t="s">
        <v>223</v>
      </c>
      <c r="AD7" s="121" t="s">
        <v>198</v>
      </c>
      <c r="AE7" s="121" t="s">
        <v>221</v>
      </c>
      <c r="AF7" s="121" t="s">
        <v>198</v>
      </c>
      <c r="AG7" s="121" t="s">
        <v>224</v>
      </c>
      <c r="AH7" s="121" t="s">
        <v>198</v>
      </c>
      <c r="AI7" s="126" t="s">
        <v>225</v>
      </c>
      <c r="AJ7" s="121" t="s">
        <v>198</v>
      </c>
      <c r="AK7" s="126" t="s">
        <v>226</v>
      </c>
      <c r="AL7" s="121" t="s">
        <v>198</v>
      </c>
      <c r="AM7" s="126" t="s">
        <v>227</v>
      </c>
      <c r="AN7" s="121" t="s">
        <v>198</v>
      </c>
      <c r="AO7" s="126" t="s">
        <v>227</v>
      </c>
      <c r="AP7" s="121" t="s">
        <v>198</v>
      </c>
      <c r="AQ7" s="126" t="s">
        <v>224</v>
      </c>
      <c r="AR7" s="121" t="s">
        <v>198</v>
      </c>
      <c r="AS7" s="126" t="s">
        <v>221</v>
      </c>
      <c r="AT7" s="121" t="s">
        <v>198</v>
      </c>
      <c r="AU7" s="126" t="s">
        <v>224</v>
      </c>
      <c r="AV7" s="121" t="s">
        <v>198</v>
      </c>
      <c r="AW7" s="121" t="s">
        <v>11</v>
      </c>
      <c r="AX7" s="128" t="s">
        <v>11</v>
      </c>
      <c r="AY7" s="121" t="s">
        <v>11</v>
      </c>
      <c r="AZ7" s="128" t="s">
        <v>11</v>
      </c>
      <c r="BA7" s="121" t="s">
        <v>11</v>
      </c>
      <c r="BB7" s="128" t="s">
        <v>11</v>
      </c>
      <c r="BC7" s="127" t="s">
        <v>11</v>
      </c>
      <c r="BD7" s="128" t="s">
        <v>11</v>
      </c>
      <c r="BE7" s="128" t="s">
        <v>228</v>
      </c>
      <c r="BF7" s="121" t="s">
        <v>198</v>
      </c>
      <c r="BG7" s="121" t="s">
        <v>228</v>
      </c>
      <c r="BH7" s="121" t="s">
        <v>198</v>
      </c>
      <c r="BI7" s="121" t="s">
        <v>228</v>
      </c>
      <c r="BJ7" s="121" t="s">
        <v>198</v>
      </c>
      <c r="BK7" s="121">
        <v>33</v>
      </c>
      <c r="BL7" s="128" t="str">
        <f>IF(BK7="NA","NA",IF(BK7="Not Reported","Not Reported",IF(BK7&gt;$L$7,"Not Met","Met")))</f>
        <v>Met</v>
      </c>
      <c r="BM7" s="258">
        <v>22</v>
      </c>
      <c r="BN7" s="128" t="str">
        <f>IF(BM7="NA","NA",IF(BM7="Not Reported","Not Reported",IF(BM7&gt;$L$7,"Not Met","Met")))</f>
        <v>Met</v>
      </c>
      <c r="BO7" s="357">
        <v>24</v>
      </c>
      <c r="BP7" s="128" t="s">
        <v>198</v>
      </c>
      <c r="BQ7" s="357">
        <v>25</v>
      </c>
      <c r="BR7" s="128" t="s">
        <v>198</v>
      </c>
      <c r="BS7" s="26">
        <v>24</v>
      </c>
      <c r="BT7" s="128" t="str">
        <f>IF(BS7="NA","NA",IF(BS7="Not Reported","Not Reported",IF(BS7&gt;$L$7,"Not Met","Met")))</f>
        <v>Met</v>
      </c>
      <c r="BU7" s="26">
        <v>26</v>
      </c>
      <c r="BV7" s="128" t="str">
        <f>IF(BU7="NA","NA",IF(BU7="Not Reported","Not Reported",IF(BU7&gt;$L$7,"Not Met","Met")))</f>
        <v>Met</v>
      </c>
    </row>
    <row r="8" spans="1:77" x14ac:dyDescent="0.25">
      <c r="A8" s="121">
        <v>7</v>
      </c>
      <c r="B8" s="123" t="s">
        <v>4</v>
      </c>
      <c r="C8" s="122" t="s">
        <v>901</v>
      </c>
      <c r="D8" s="123" t="s">
        <v>131</v>
      </c>
      <c r="E8" s="123" t="s">
        <v>900</v>
      </c>
      <c r="F8" s="123" t="s">
        <v>190</v>
      </c>
      <c r="G8" s="123" t="s">
        <v>191</v>
      </c>
      <c r="H8" s="123" t="s">
        <v>212</v>
      </c>
      <c r="I8" s="129" t="s">
        <v>213</v>
      </c>
      <c r="J8" s="129" t="s">
        <v>214</v>
      </c>
      <c r="K8" s="122" t="s">
        <v>229</v>
      </c>
      <c r="L8" s="130">
        <v>27</v>
      </c>
      <c r="M8" s="128" t="s">
        <v>230</v>
      </c>
      <c r="N8" s="123" t="s">
        <v>217</v>
      </c>
      <c r="O8" s="122" t="s">
        <v>218</v>
      </c>
      <c r="P8" s="122" t="s">
        <v>219</v>
      </c>
      <c r="Q8" s="131" t="s">
        <v>231</v>
      </c>
      <c r="R8" s="131" t="s">
        <v>198</v>
      </c>
      <c r="S8" s="131" t="s">
        <v>232</v>
      </c>
      <c r="T8" s="121" t="s">
        <v>198</v>
      </c>
      <c r="U8" s="131" t="s">
        <v>61</v>
      </c>
      <c r="V8" s="131" t="s">
        <v>61</v>
      </c>
      <c r="W8" s="121">
        <v>20</v>
      </c>
      <c r="X8" s="121" t="s">
        <v>198</v>
      </c>
      <c r="Y8" s="121" t="s">
        <v>233</v>
      </c>
      <c r="Z8" s="121" t="s">
        <v>198</v>
      </c>
      <c r="AA8" s="121" t="s">
        <v>232</v>
      </c>
      <c r="AB8" s="121" t="s">
        <v>198</v>
      </c>
      <c r="AC8" s="121" t="s">
        <v>234</v>
      </c>
      <c r="AD8" s="121" t="s">
        <v>198</v>
      </c>
      <c r="AE8" s="121" t="s">
        <v>233</v>
      </c>
      <c r="AF8" s="121" t="s">
        <v>198</v>
      </c>
      <c r="AG8" s="121" t="s">
        <v>235</v>
      </c>
      <c r="AH8" s="121" t="s">
        <v>198</v>
      </c>
      <c r="AI8" s="126" t="s">
        <v>236</v>
      </c>
      <c r="AJ8" s="121" t="s">
        <v>198</v>
      </c>
      <c r="AK8" s="126" t="s">
        <v>237</v>
      </c>
      <c r="AL8" s="121" t="s">
        <v>198</v>
      </c>
      <c r="AM8" s="126" t="s">
        <v>235</v>
      </c>
      <c r="AN8" s="121" t="s">
        <v>198</v>
      </c>
      <c r="AO8" s="126" t="s">
        <v>238</v>
      </c>
      <c r="AP8" s="121" t="s">
        <v>198</v>
      </c>
      <c r="AQ8" s="126" t="s">
        <v>235</v>
      </c>
      <c r="AR8" s="121" t="s">
        <v>198</v>
      </c>
      <c r="AS8" s="121" t="s">
        <v>236</v>
      </c>
      <c r="AT8" s="121" t="s">
        <v>198</v>
      </c>
      <c r="AU8" s="126" t="s">
        <v>235</v>
      </c>
      <c r="AV8" s="121" t="s">
        <v>198</v>
      </c>
      <c r="AW8" s="121" t="s">
        <v>11</v>
      </c>
      <c r="AX8" s="128" t="s">
        <v>11</v>
      </c>
      <c r="AY8" s="121" t="s">
        <v>11</v>
      </c>
      <c r="AZ8" s="128" t="s">
        <v>11</v>
      </c>
      <c r="BA8" s="121" t="s">
        <v>11</v>
      </c>
      <c r="BB8" s="128" t="s">
        <v>11</v>
      </c>
      <c r="BC8" s="127" t="s">
        <v>11</v>
      </c>
      <c r="BD8" s="128" t="s">
        <v>11</v>
      </c>
      <c r="BE8" s="128" t="s">
        <v>239</v>
      </c>
      <c r="BF8" s="121" t="s">
        <v>198</v>
      </c>
      <c r="BG8" s="121" t="s">
        <v>239</v>
      </c>
      <c r="BH8" s="121" t="s">
        <v>198</v>
      </c>
      <c r="BI8" s="121" t="s">
        <v>234</v>
      </c>
      <c r="BJ8" s="121" t="s">
        <v>198</v>
      </c>
      <c r="BK8" s="121" t="s">
        <v>239</v>
      </c>
      <c r="BL8" s="128" t="str">
        <f>IF(BK8="NA","NA",IF(BK8="Not Reported","Not Reported",IF(BK8&gt;=$L$8,"Not Met","Met")))</f>
        <v>Not Met</v>
      </c>
      <c r="BM8" s="258">
        <v>16</v>
      </c>
      <c r="BN8" s="128" t="str">
        <f>IF(BM8="NA","NA",IF(BM8="Not Reported","Not Reported",IF(BM8&gt;=$L$8,"Not Met","Met")))</f>
        <v>Met</v>
      </c>
      <c r="BO8" s="357">
        <v>19</v>
      </c>
      <c r="BP8" s="128" t="s">
        <v>198</v>
      </c>
      <c r="BQ8" s="357">
        <v>20</v>
      </c>
      <c r="BR8" s="128" t="s">
        <v>198</v>
      </c>
      <c r="BS8" s="26">
        <v>19</v>
      </c>
      <c r="BT8" s="128" t="str">
        <f>IF(BS8="NA","NA",IF(BS8="Not Reported","Not Reported",IF(BS8&gt;=$L$8,"Not Met","Met")))</f>
        <v>Met</v>
      </c>
      <c r="BU8" s="26">
        <v>19</v>
      </c>
      <c r="BV8" s="128" t="str">
        <f>IF(BU8="NA","NA",IF(BU8="Not Reported","Not Reported",IF(BU8&gt;=$L$8,"Not Met","Met")))</f>
        <v>Met</v>
      </c>
    </row>
    <row r="9" spans="1:77" ht="38.450000000000003" customHeight="1" x14ac:dyDescent="0.25">
      <c r="A9" s="121">
        <v>8</v>
      </c>
      <c r="B9" s="132" t="s">
        <v>4</v>
      </c>
      <c r="C9" s="122" t="s">
        <v>901</v>
      </c>
      <c r="D9" s="132" t="s">
        <v>131</v>
      </c>
      <c r="E9" s="123" t="s">
        <v>900</v>
      </c>
      <c r="F9" s="132" t="s">
        <v>190</v>
      </c>
      <c r="G9" s="132" t="s">
        <v>191</v>
      </c>
      <c r="H9" s="132" t="s">
        <v>212</v>
      </c>
      <c r="I9" s="134" t="s">
        <v>213</v>
      </c>
      <c r="J9" s="134" t="s">
        <v>214</v>
      </c>
      <c r="K9" s="133" t="s">
        <v>240</v>
      </c>
      <c r="L9" s="135" t="s">
        <v>885</v>
      </c>
      <c r="M9" s="135" t="s">
        <v>952</v>
      </c>
      <c r="N9" s="132" t="s">
        <v>217</v>
      </c>
      <c r="O9" s="133" t="s">
        <v>218</v>
      </c>
      <c r="P9" s="133" t="s">
        <v>219</v>
      </c>
      <c r="Q9" s="136" t="s">
        <v>241</v>
      </c>
      <c r="R9" s="136" t="s">
        <v>198</v>
      </c>
      <c r="S9" s="136" t="s">
        <v>242</v>
      </c>
      <c r="T9" s="137" t="s">
        <v>198</v>
      </c>
      <c r="U9" s="136" t="s">
        <v>61</v>
      </c>
      <c r="V9" s="136" t="s">
        <v>61</v>
      </c>
      <c r="W9" s="137">
        <v>13</v>
      </c>
      <c r="X9" s="137" t="s">
        <v>198</v>
      </c>
      <c r="Y9" s="137" t="s">
        <v>243</v>
      </c>
      <c r="Z9" s="137" t="s">
        <v>198</v>
      </c>
      <c r="AA9" s="137" t="s">
        <v>242</v>
      </c>
      <c r="AB9" s="137" t="s">
        <v>198</v>
      </c>
      <c r="AC9" s="137" t="s">
        <v>244</v>
      </c>
      <c r="AD9" s="137" t="s">
        <v>198</v>
      </c>
      <c r="AE9" s="137" t="s">
        <v>241</v>
      </c>
      <c r="AF9" s="137" t="s">
        <v>198</v>
      </c>
      <c r="AG9" s="137" t="s">
        <v>244</v>
      </c>
      <c r="AH9" s="137" t="s">
        <v>198</v>
      </c>
      <c r="AI9" s="138" t="s">
        <v>244</v>
      </c>
      <c r="AJ9" s="137" t="s">
        <v>198</v>
      </c>
      <c r="AK9" s="138" t="s">
        <v>244</v>
      </c>
      <c r="AL9" s="137" t="s">
        <v>198</v>
      </c>
      <c r="AM9" s="138" t="s">
        <v>244</v>
      </c>
      <c r="AN9" s="137" t="s">
        <v>198</v>
      </c>
      <c r="AO9" s="138" t="s">
        <v>245</v>
      </c>
      <c r="AP9" s="137" t="s">
        <v>198</v>
      </c>
      <c r="AQ9" s="138" t="s">
        <v>244</v>
      </c>
      <c r="AR9" s="137" t="s">
        <v>198</v>
      </c>
      <c r="AS9" s="137" t="s">
        <v>244</v>
      </c>
      <c r="AT9" s="137" t="s">
        <v>198</v>
      </c>
      <c r="AU9" s="138" t="s">
        <v>244</v>
      </c>
      <c r="AV9" s="137" t="s">
        <v>198</v>
      </c>
      <c r="AW9" s="137" t="s">
        <v>11</v>
      </c>
      <c r="AX9" s="139" t="s">
        <v>11</v>
      </c>
      <c r="AY9" s="137" t="s">
        <v>11</v>
      </c>
      <c r="AZ9" s="139" t="s">
        <v>11</v>
      </c>
      <c r="BA9" s="137" t="s">
        <v>11</v>
      </c>
      <c r="BB9" s="139" t="s">
        <v>11</v>
      </c>
      <c r="BC9" s="140" t="s">
        <v>11</v>
      </c>
      <c r="BD9" s="139" t="s">
        <v>11</v>
      </c>
      <c r="BE9" s="139" t="s">
        <v>244</v>
      </c>
      <c r="BF9" s="137" t="s">
        <v>198</v>
      </c>
      <c r="BG9" s="137" t="s">
        <v>244</v>
      </c>
      <c r="BH9" s="137" t="s">
        <v>198</v>
      </c>
      <c r="BI9" s="137" t="s">
        <v>244</v>
      </c>
      <c r="BJ9" s="137" t="s">
        <v>198</v>
      </c>
      <c r="BK9" s="137" t="s">
        <v>244</v>
      </c>
      <c r="BL9" s="137" t="s">
        <v>198</v>
      </c>
      <c r="BM9" s="258">
        <v>14</v>
      </c>
      <c r="BN9" s="137" t="s">
        <v>198</v>
      </c>
      <c r="BO9" s="137">
        <v>14</v>
      </c>
      <c r="BP9" s="137" t="s">
        <v>251</v>
      </c>
      <c r="BQ9" s="137">
        <v>14</v>
      </c>
      <c r="BR9" s="137" t="s">
        <v>251</v>
      </c>
      <c r="BS9" s="26">
        <v>14</v>
      </c>
      <c r="BT9" s="137" t="s">
        <v>251</v>
      </c>
      <c r="BU9" s="26">
        <v>14</v>
      </c>
      <c r="BV9" s="137" t="s">
        <v>251</v>
      </c>
    </row>
    <row r="10" spans="1:77" x14ac:dyDescent="0.25">
      <c r="A10" s="121">
        <v>9</v>
      </c>
      <c r="B10" s="123" t="s">
        <v>4</v>
      </c>
      <c r="C10" s="122" t="s">
        <v>901</v>
      </c>
      <c r="D10" s="123" t="s">
        <v>131</v>
      </c>
      <c r="E10" s="123" t="s">
        <v>900</v>
      </c>
      <c r="F10" s="123" t="s">
        <v>190</v>
      </c>
      <c r="G10" s="123" t="s">
        <v>191</v>
      </c>
      <c r="H10" s="123" t="s">
        <v>212</v>
      </c>
      <c r="I10" s="129" t="s">
        <v>246</v>
      </c>
      <c r="J10" s="129" t="s">
        <v>214</v>
      </c>
      <c r="K10" s="122" t="s">
        <v>247</v>
      </c>
      <c r="L10" s="128">
        <v>0.15</v>
      </c>
      <c r="M10" s="128" t="s">
        <v>248</v>
      </c>
      <c r="N10" s="129" t="s">
        <v>249</v>
      </c>
      <c r="O10" s="122" t="s">
        <v>250</v>
      </c>
      <c r="P10" s="122" t="s">
        <v>219</v>
      </c>
      <c r="Q10" s="141">
        <v>0.14000000000000001</v>
      </c>
      <c r="R10" s="131" t="s">
        <v>198</v>
      </c>
      <c r="S10" s="142">
        <v>0.14000000000000001</v>
      </c>
      <c r="T10" s="121" t="s">
        <v>198</v>
      </c>
      <c r="U10" s="131" t="s">
        <v>61</v>
      </c>
      <c r="V10" s="131" t="s">
        <v>61</v>
      </c>
      <c r="W10" s="143">
        <v>0.14000000000000001</v>
      </c>
      <c r="X10" s="121" t="s">
        <v>198</v>
      </c>
      <c r="Y10" s="143">
        <v>0.14000000000000001</v>
      </c>
      <c r="Z10" s="121" t="s">
        <v>198</v>
      </c>
      <c r="AA10" s="126">
        <v>0.13</v>
      </c>
      <c r="AB10" s="121" t="s">
        <v>198</v>
      </c>
      <c r="AC10" s="126">
        <v>0.13</v>
      </c>
      <c r="AD10" s="121" t="s">
        <v>198</v>
      </c>
      <c r="AE10" s="126">
        <v>0.14000000000000001</v>
      </c>
      <c r="AF10" s="121" t="s">
        <v>198</v>
      </c>
      <c r="AG10" s="126">
        <v>0.14000000000000001</v>
      </c>
      <c r="AH10" s="121" t="s">
        <v>198</v>
      </c>
      <c r="AI10" s="126">
        <v>0.1</v>
      </c>
      <c r="AJ10" s="121" t="s">
        <v>198</v>
      </c>
      <c r="AK10" s="126">
        <v>0.1</v>
      </c>
      <c r="AL10" s="121" t="s">
        <v>198</v>
      </c>
      <c r="AM10" s="126">
        <v>0.12</v>
      </c>
      <c r="AN10" s="121" t="s">
        <v>198</v>
      </c>
      <c r="AO10" s="126">
        <v>0.11</v>
      </c>
      <c r="AP10" s="121" t="s">
        <v>198</v>
      </c>
      <c r="AQ10" s="126">
        <v>0.14000000000000001</v>
      </c>
      <c r="AR10" s="121" t="s">
        <v>198</v>
      </c>
      <c r="AS10" s="126">
        <v>0.13</v>
      </c>
      <c r="AT10" s="121" t="s">
        <v>198</v>
      </c>
      <c r="AU10" s="126">
        <v>0.14000000000000001</v>
      </c>
      <c r="AV10" s="121" t="s">
        <v>198</v>
      </c>
      <c r="AW10" s="121" t="s">
        <v>11</v>
      </c>
      <c r="AX10" s="128" t="s">
        <v>11</v>
      </c>
      <c r="AY10" s="121" t="s">
        <v>11</v>
      </c>
      <c r="AZ10" s="128" t="s">
        <v>11</v>
      </c>
      <c r="BA10" s="121" t="s">
        <v>11</v>
      </c>
      <c r="BB10" s="128" t="s">
        <v>11</v>
      </c>
      <c r="BC10" s="127" t="s">
        <v>11</v>
      </c>
      <c r="BD10" s="128" t="s">
        <v>11</v>
      </c>
      <c r="BE10" s="128">
        <v>0.13</v>
      </c>
      <c r="BF10" s="121" t="s">
        <v>198</v>
      </c>
      <c r="BG10" s="126">
        <v>0.11</v>
      </c>
      <c r="BH10" s="121" t="s">
        <v>198</v>
      </c>
      <c r="BI10" s="126">
        <v>0.11</v>
      </c>
      <c r="BJ10" s="121" t="s">
        <v>198</v>
      </c>
      <c r="BK10" s="126">
        <v>0.11</v>
      </c>
      <c r="BL10" s="128" t="str">
        <f>IF(BK10="NA","NA",IF(BK10="Not Reported","Not Reported",IF(BK10&gt;=$L$10,"Not Met","Met")))</f>
        <v>Met</v>
      </c>
      <c r="BM10" s="259">
        <v>0.11</v>
      </c>
      <c r="BN10" s="128" t="str">
        <f>IF(BM10="NA","NA",IF(BM10="Not Reported","Not Reported",IF(BM10&gt;=$L$10,"Not Met","Met")))</f>
        <v>Met</v>
      </c>
      <c r="BO10" s="310">
        <v>0.13</v>
      </c>
      <c r="BP10" s="128" t="s">
        <v>198</v>
      </c>
      <c r="BQ10" s="358">
        <v>0.126</v>
      </c>
      <c r="BR10" s="128" t="s">
        <v>198</v>
      </c>
      <c r="BS10" s="315">
        <v>0.12</v>
      </c>
      <c r="BT10" s="128" t="str">
        <f>IF(BS10="NA","NA",IF(BS10="Not Reported","Not Reported",IF(BS10&gt;=$L$10,"Not Met","Met")))</f>
        <v>Met</v>
      </c>
      <c r="BU10" s="315">
        <v>0.12</v>
      </c>
      <c r="BV10" s="128" t="str">
        <f>IF(BU10="NA","NA",IF(BU10="Not Reported","Not Reported",IF(BU10&gt;=$L$10,"Not Met","Met")))</f>
        <v>Met</v>
      </c>
    </row>
    <row r="11" spans="1:77" x14ac:dyDescent="0.25">
      <c r="A11" s="121">
        <v>10</v>
      </c>
      <c r="B11" s="123" t="s">
        <v>4</v>
      </c>
      <c r="C11" s="122" t="s">
        <v>901</v>
      </c>
      <c r="D11" s="123" t="s">
        <v>131</v>
      </c>
      <c r="E11" s="123" t="s">
        <v>900</v>
      </c>
      <c r="F11" s="123" t="s">
        <v>190</v>
      </c>
      <c r="G11" s="123" t="s">
        <v>191</v>
      </c>
      <c r="H11" s="123" t="s">
        <v>212</v>
      </c>
      <c r="I11" s="124"/>
      <c r="J11" s="124"/>
      <c r="K11" s="122" t="s">
        <v>252</v>
      </c>
      <c r="L11" s="128">
        <v>0.05</v>
      </c>
      <c r="M11" s="128" t="s">
        <v>253</v>
      </c>
      <c r="N11" s="129" t="s">
        <v>254</v>
      </c>
      <c r="O11" s="122" t="s">
        <v>255</v>
      </c>
      <c r="P11" s="122" t="s">
        <v>219</v>
      </c>
      <c r="Q11" s="131" t="s">
        <v>11</v>
      </c>
      <c r="R11" s="131" t="s">
        <v>11</v>
      </c>
      <c r="S11" s="131" t="s">
        <v>61</v>
      </c>
      <c r="T11" s="131" t="s">
        <v>61</v>
      </c>
      <c r="U11" s="131" t="s">
        <v>61</v>
      </c>
      <c r="V11" s="131" t="s">
        <v>61</v>
      </c>
      <c r="W11" s="143" t="s">
        <v>256</v>
      </c>
      <c r="X11" s="143" t="s">
        <v>61</v>
      </c>
      <c r="Y11" s="143" t="s">
        <v>256</v>
      </c>
      <c r="Z11" s="143" t="s">
        <v>61</v>
      </c>
      <c r="AA11" s="143" t="s">
        <v>11</v>
      </c>
      <c r="AB11" s="128" t="s">
        <v>11</v>
      </c>
      <c r="AC11" s="143" t="s">
        <v>11</v>
      </c>
      <c r="AD11" s="143" t="s">
        <v>11</v>
      </c>
      <c r="AE11" s="143" t="s">
        <v>11</v>
      </c>
      <c r="AF11" s="128" t="s">
        <v>11</v>
      </c>
      <c r="AG11" s="143" t="s">
        <v>11</v>
      </c>
      <c r="AH11" s="143" t="s">
        <v>11</v>
      </c>
      <c r="AI11" s="143" t="s">
        <v>11</v>
      </c>
      <c r="AJ11" s="128" t="s">
        <v>11</v>
      </c>
      <c r="AK11" s="143" t="s">
        <v>11</v>
      </c>
      <c r="AL11" s="128" t="s">
        <v>11</v>
      </c>
      <c r="AM11" s="143" t="s">
        <v>11</v>
      </c>
      <c r="AN11" s="128" t="s">
        <v>11</v>
      </c>
      <c r="AO11" s="128" t="s">
        <v>11</v>
      </c>
      <c r="AP11" s="128" t="s">
        <v>11</v>
      </c>
      <c r="AQ11" s="128" t="s">
        <v>11</v>
      </c>
      <c r="AR11" s="128" t="s">
        <v>11</v>
      </c>
      <c r="AS11" s="128" t="s">
        <v>11</v>
      </c>
      <c r="AT11" s="128" t="s">
        <v>11</v>
      </c>
      <c r="AU11" s="128" t="s">
        <v>11</v>
      </c>
      <c r="AV11" s="128" t="s">
        <v>11</v>
      </c>
      <c r="AW11" s="121" t="s">
        <v>11</v>
      </c>
      <c r="AX11" s="128" t="s">
        <v>11</v>
      </c>
      <c r="AY11" s="121" t="s">
        <v>11</v>
      </c>
      <c r="AZ11" s="128" t="s">
        <v>11</v>
      </c>
      <c r="BA11" s="121" t="s">
        <v>11</v>
      </c>
      <c r="BB11" s="128" t="s">
        <v>11</v>
      </c>
      <c r="BC11" s="127" t="s">
        <v>11</v>
      </c>
      <c r="BD11" s="128" t="s">
        <v>11</v>
      </c>
      <c r="BE11" s="127" t="s">
        <v>11</v>
      </c>
      <c r="BF11" s="127" t="s">
        <v>11</v>
      </c>
      <c r="BG11" s="127" t="s">
        <v>11</v>
      </c>
      <c r="BH11" s="128" t="s">
        <v>11</v>
      </c>
      <c r="BI11" s="128" t="s">
        <v>11</v>
      </c>
      <c r="BJ11" s="128" t="s">
        <v>11</v>
      </c>
      <c r="BK11" s="127" t="s">
        <v>11</v>
      </c>
      <c r="BL11" s="128" t="str">
        <f>IF(BK11="NA","NA",IF(BK11="Not Reported","Not Reported",IF(BK11&gt;=$L$11,"Not Met","Met")))</f>
        <v>NA</v>
      </c>
      <c r="BM11" s="257" t="s">
        <v>11</v>
      </c>
      <c r="BN11" s="128" t="str">
        <f>IF(BM11="NA","NA",IF(BM11="Not Reported","Not Reported",IF(BM11&gt;=$L$11,"Not Met","Met")))</f>
        <v>NA</v>
      </c>
      <c r="BO11" s="128" t="s">
        <v>11</v>
      </c>
      <c r="BP11" s="128" t="s">
        <v>11</v>
      </c>
      <c r="BQ11" s="128" t="s">
        <v>11</v>
      </c>
      <c r="BR11" s="128" t="s">
        <v>11</v>
      </c>
      <c r="BS11" s="128" t="s">
        <v>11</v>
      </c>
      <c r="BT11" s="128" t="s">
        <v>11</v>
      </c>
      <c r="BU11" s="338" t="s">
        <v>11</v>
      </c>
      <c r="BV11" s="128" t="str">
        <f>IF(BU11="NA","NA",IF(BU11="Not Reported","Not Reported",IF(BU11&gt;=$L$11,"Not Met","Met")))</f>
        <v>NA</v>
      </c>
    </row>
    <row r="12" spans="1:77" x14ac:dyDescent="0.25">
      <c r="A12" s="121">
        <v>11</v>
      </c>
      <c r="B12" s="123" t="s">
        <v>4</v>
      </c>
      <c r="C12" s="122" t="s">
        <v>901</v>
      </c>
      <c r="D12" s="123" t="s">
        <v>131</v>
      </c>
      <c r="E12" s="123" t="s">
        <v>900</v>
      </c>
      <c r="F12" s="123" t="s">
        <v>190</v>
      </c>
      <c r="G12" s="123" t="s">
        <v>191</v>
      </c>
      <c r="H12" s="123" t="s">
        <v>212</v>
      </c>
      <c r="I12" s="124" t="s">
        <v>257</v>
      </c>
      <c r="J12" s="124" t="s">
        <v>258</v>
      </c>
      <c r="K12" s="123" t="s">
        <v>259</v>
      </c>
      <c r="L12" s="128">
        <v>0.85</v>
      </c>
      <c r="M12" s="128" t="s">
        <v>260</v>
      </c>
      <c r="N12" s="129" t="s">
        <v>261</v>
      </c>
      <c r="O12" s="122" t="s">
        <v>255</v>
      </c>
      <c r="P12" s="122" t="s">
        <v>219</v>
      </c>
      <c r="Q12" s="141">
        <v>0.97</v>
      </c>
      <c r="R12" s="131" t="s">
        <v>198</v>
      </c>
      <c r="S12" s="142">
        <v>0.97</v>
      </c>
      <c r="T12" s="121" t="s">
        <v>198</v>
      </c>
      <c r="U12" s="131" t="s">
        <v>61</v>
      </c>
      <c r="V12" s="131" t="s">
        <v>61</v>
      </c>
      <c r="W12" s="143">
        <v>0.96</v>
      </c>
      <c r="X12" s="121" t="s">
        <v>198</v>
      </c>
      <c r="Y12" s="143">
        <v>0.96</v>
      </c>
      <c r="Z12" s="121" t="s">
        <v>198</v>
      </c>
      <c r="AA12" s="126">
        <v>0.96</v>
      </c>
      <c r="AB12" s="121" t="s">
        <v>198</v>
      </c>
      <c r="AC12" s="126">
        <v>0.96</v>
      </c>
      <c r="AD12" s="121" t="s">
        <v>198</v>
      </c>
      <c r="AE12" s="126">
        <v>0.96</v>
      </c>
      <c r="AF12" s="121" t="s">
        <v>198</v>
      </c>
      <c r="AG12" s="126">
        <v>0.96</v>
      </c>
      <c r="AH12" s="121" t="s">
        <v>198</v>
      </c>
      <c r="AI12" s="126">
        <v>0.98</v>
      </c>
      <c r="AJ12" s="121" t="s">
        <v>198</v>
      </c>
      <c r="AK12" s="126">
        <v>0.96</v>
      </c>
      <c r="AL12" s="121" t="s">
        <v>198</v>
      </c>
      <c r="AM12" s="126">
        <v>0.98</v>
      </c>
      <c r="AN12" s="121" t="s">
        <v>198</v>
      </c>
      <c r="AO12" s="126">
        <v>0.96</v>
      </c>
      <c r="AP12" s="121" t="s">
        <v>198</v>
      </c>
      <c r="AQ12" s="126">
        <v>0.98</v>
      </c>
      <c r="AR12" s="121" t="s">
        <v>198</v>
      </c>
      <c r="AS12" s="126">
        <v>0.98</v>
      </c>
      <c r="AT12" s="121" t="s">
        <v>198</v>
      </c>
      <c r="AU12" s="126">
        <v>0.98</v>
      </c>
      <c r="AV12" s="121" t="s">
        <v>198</v>
      </c>
      <c r="AW12" s="121" t="s">
        <v>11</v>
      </c>
      <c r="AX12" s="128" t="s">
        <v>11</v>
      </c>
      <c r="AY12" s="121" t="s">
        <v>11</v>
      </c>
      <c r="AZ12" s="128" t="s">
        <v>11</v>
      </c>
      <c r="BA12" s="121" t="s">
        <v>11</v>
      </c>
      <c r="BB12" s="128" t="s">
        <v>11</v>
      </c>
      <c r="BC12" s="127" t="s">
        <v>11</v>
      </c>
      <c r="BD12" s="128" t="s">
        <v>11</v>
      </c>
      <c r="BE12" s="128">
        <v>0.99</v>
      </c>
      <c r="BF12" s="121" t="s">
        <v>198</v>
      </c>
      <c r="BG12" s="126">
        <v>0.99</v>
      </c>
      <c r="BH12" s="121" t="s">
        <v>198</v>
      </c>
      <c r="BI12" s="126">
        <v>0.99</v>
      </c>
      <c r="BJ12" s="121" t="s">
        <v>198</v>
      </c>
      <c r="BK12" s="126">
        <v>0.99</v>
      </c>
      <c r="BL12" s="121" t="str">
        <f>IF(BK12="NA","NA",IF(BK12="Not Reported","Not Reported",IF(BK12&lt;$L$12,"Not Met","Met")))</f>
        <v>Met</v>
      </c>
      <c r="BM12" s="259">
        <v>0.99</v>
      </c>
      <c r="BN12" s="121" t="str">
        <f>IF(BM12="NA","NA",IF(BM12="Not Reported","Not Reported",IF(BM12&lt;$L$12,"Not Met","Met")))</f>
        <v>Met</v>
      </c>
      <c r="BO12" s="310">
        <v>0.99</v>
      </c>
      <c r="BP12" s="121" t="s">
        <v>198</v>
      </c>
      <c r="BQ12" s="310">
        <v>0.99</v>
      </c>
      <c r="BR12" s="121" t="s">
        <v>198</v>
      </c>
      <c r="BS12" s="315">
        <v>0.99</v>
      </c>
      <c r="BT12" s="121" t="str">
        <f>IF(BS12="NA","NA",IF(BS12="Not Reported","Not Reported",IF(BS12&lt;$L$12,"Not Met","Met")))</f>
        <v>Met</v>
      </c>
      <c r="BU12" s="315">
        <v>0.99</v>
      </c>
      <c r="BV12" s="121" t="str">
        <f>IF(BU12="NA","NA",IF(BU12="Not Reported","Not Reported",IF(BU12&lt;$L$12,"Not Met","Met")))</f>
        <v>Met</v>
      </c>
    </row>
    <row r="13" spans="1:77" x14ac:dyDescent="0.25">
      <c r="A13" s="121">
        <v>12</v>
      </c>
      <c r="B13" s="123" t="s">
        <v>4</v>
      </c>
      <c r="C13" s="122" t="s">
        <v>901</v>
      </c>
      <c r="D13" s="123" t="s">
        <v>131</v>
      </c>
      <c r="E13" s="123" t="s">
        <v>900</v>
      </c>
      <c r="F13" s="123" t="s">
        <v>190</v>
      </c>
      <c r="G13" s="123" t="s">
        <v>191</v>
      </c>
      <c r="H13" s="123" t="s">
        <v>212</v>
      </c>
      <c r="I13" s="123" t="s">
        <v>262</v>
      </c>
      <c r="J13" s="123" t="s">
        <v>263</v>
      </c>
      <c r="K13" s="123" t="s">
        <v>264</v>
      </c>
      <c r="L13" s="130">
        <v>4.5</v>
      </c>
      <c r="M13" s="128" t="s">
        <v>265</v>
      </c>
      <c r="N13" s="129" t="s">
        <v>266</v>
      </c>
      <c r="O13" s="123" t="s">
        <v>267</v>
      </c>
      <c r="P13" s="122" t="s">
        <v>219</v>
      </c>
      <c r="Q13" s="144">
        <v>4.5999999999999996</v>
      </c>
      <c r="R13" s="131" t="s">
        <v>198</v>
      </c>
      <c r="S13" s="144">
        <v>4.5999999999999996</v>
      </c>
      <c r="T13" s="121" t="s">
        <v>198</v>
      </c>
      <c r="U13" s="131" t="s">
        <v>61</v>
      </c>
      <c r="V13" s="131" t="s">
        <v>61</v>
      </c>
      <c r="W13" s="121">
        <v>4.8</v>
      </c>
      <c r="X13" s="121" t="s">
        <v>198</v>
      </c>
      <c r="Y13" s="121">
        <v>4.5999999999999996</v>
      </c>
      <c r="Z13" s="121" t="s">
        <v>198</v>
      </c>
      <c r="AA13" s="121">
        <v>4.5999999999999996</v>
      </c>
      <c r="AB13" s="121" t="s">
        <v>198</v>
      </c>
      <c r="AC13" s="121">
        <v>4.5999999999999996</v>
      </c>
      <c r="AD13" s="121" t="s">
        <v>198</v>
      </c>
      <c r="AE13" s="121">
        <v>4.5999999999999996</v>
      </c>
      <c r="AF13" s="121" t="s">
        <v>198</v>
      </c>
      <c r="AG13" s="121">
        <v>4.5999999999999996</v>
      </c>
      <c r="AH13" s="121" t="s">
        <v>198</v>
      </c>
      <c r="AI13" s="121">
        <v>4.7</v>
      </c>
      <c r="AJ13" s="121" t="s">
        <v>198</v>
      </c>
      <c r="AK13" s="121">
        <v>4.7</v>
      </c>
      <c r="AL13" s="121" t="s">
        <v>198</v>
      </c>
      <c r="AM13" s="121">
        <v>4.5999999999999996</v>
      </c>
      <c r="AN13" s="121" t="s">
        <v>198</v>
      </c>
      <c r="AO13" s="121">
        <v>4.5999999999999996</v>
      </c>
      <c r="AP13" s="121" t="s">
        <v>198</v>
      </c>
      <c r="AQ13" s="121">
        <v>4.7</v>
      </c>
      <c r="AR13" s="121" t="s">
        <v>198</v>
      </c>
      <c r="AS13" s="121">
        <v>4.5999999999999996</v>
      </c>
      <c r="AT13" s="121" t="s">
        <v>198</v>
      </c>
      <c r="AU13" s="121">
        <v>4.5999999999999996</v>
      </c>
      <c r="AV13" s="121" t="s">
        <v>198</v>
      </c>
      <c r="AW13" s="121" t="s">
        <v>11</v>
      </c>
      <c r="AX13" s="128" t="s">
        <v>11</v>
      </c>
      <c r="AY13" s="121" t="s">
        <v>11</v>
      </c>
      <c r="AZ13" s="128" t="s">
        <v>11</v>
      </c>
      <c r="BA13" s="121" t="s">
        <v>11</v>
      </c>
      <c r="BB13" s="128" t="s">
        <v>11</v>
      </c>
      <c r="BC13" s="127" t="s">
        <v>11</v>
      </c>
      <c r="BD13" s="128" t="s">
        <v>11</v>
      </c>
      <c r="BE13" s="121">
        <v>4.7</v>
      </c>
      <c r="BF13" s="121" t="s">
        <v>198</v>
      </c>
      <c r="BG13" s="121">
        <v>4.7</v>
      </c>
      <c r="BH13" s="121" t="s">
        <v>198</v>
      </c>
      <c r="BI13" s="121">
        <v>4.8</v>
      </c>
      <c r="BJ13" s="121" t="s">
        <v>198</v>
      </c>
      <c r="BK13" s="121">
        <v>4.7</v>
      </c>
      <c r="BL13" s="121" t="str">
        <f>IF(BK13="NA","NA",IF(BK13="Not Reported","Not Reported",IF(BK13&lt;$L$13,"Not Met","Met")))</f>
        <v>Met</v>
      </c>
      <c r="BM13" s="257">
        <v>4.7</v>
      </c>
      <c r="BN13" s="121" t="str">
        <f>IF(BM13="NA","NA",IF(BM13="Not Reported","Not Reported",IF(BM13&lt;$L$13,"Not Met","Met")))</f>
        <v>Met</v>
      </c>
      <c r="BO13" s="26">
        <v>4.7</v>
      </c>
      <c r="BP13" s="121" t="s">
        <v>198</v>
      </c>
      <c r="BQ13" s="26">
        <v>4.7</v>
      </c>
      <c r="BR13" s="121" t="s">
        <v>198</v>
      </c>
      <c r="BS13" s="26">
        <v>4.7</v>
      </c>
      <c r="BT13" s="121" t="str">
        <f>IF(BS13="NA","NA",IF(BS13="Not Reported","Not Reported",IF(BS13&lt;$L$13,"Not Met","Met")))</f>
        <v>Met</v>
      </c>
      <c r="BU13" s="26">
        <v>4.7</v>
      </c>
      <c r="BV13" s="121" t="str">
        <f>IF(BU13="NA","NA",IF(BU13="Not Reported","Not Reported",IF(BU13&lt;$L$13,"Not Met","Met")))</f>
        <v>Met</v>
      </c>
    </row>
    <row r="14" spans="1:77" x14ac:dyDescent="0.25">
      <c r="A14" s="121">
        <v>13</v>
      </c>
      <c r="B14" s="123" t="s">
        <v>4</v>
      </c>
      <c r="C14" s="122" t="s">
        <v>901</v>
      </c>
      <c r="D14" s="123" t="s">
        <v>131</v>
      </c>
      <c r="E14" s="123" t="s">
        <v>900</v>
      </c>
      <c r="F14" s="123" t="s">
        <v>190</v>
      </c>
      <c r="G14" s="123" t="s">
        <v>191</v>
      </c>
      <c r="H14" s="123" t="s">
        <v>212</v>
      </c>
      <c r="I14" s="123" t="s">
        <v>268</v>
      </c>
      <c r="J14" s="123" t="s">
        <v>269</v>
      </c>
      <c r="K14" s="122" t="s">
        <v>270</v>
      </c>
      <c r="L14" s="130">
        <v>4.5</v>
      </c>
      <c r="M14" s="128" t="s">
        <v>265</v>
      </c>
      <c r="N14" s="129" t="s">
        <v>271</v>
      </c>
      <c r="O14" s="123" t="s">
        <v>272</v>
      </c>
      <c r="P14" s="122" t="s">
        <v>219</v>
      </c>
      <c r="Q14" s="144">
        <v>4.8</v>
      </c>
      <c r="R14" s="131" t="s">
        <v>198</v>
      </c>
      <c r="S14" s="144">
        <v>4.8</v>
      </c>
      <c r="T14" s="121" t="s">
        <v>198</v>
      </c>
      <c r="U14" s="131" t="s">
        <v>61</v>
      </c>
      <c r="V14" s="131" t="s">
        <v>61</v>
      </c>
      <c r="W14" s="131">
        <v>4.5999999999999996</v>
      </c>
      <c r="X14" s="121" t="s">
        <v>198</v>
      </c>
      <c r="Y14" s="121">
        <v>4.8</v>
      </c>
      <c r="Z14" s="121" t="s">
        <v>198</v>
      </c>
      <c r="AA14" s="121">
        <v>4.8</v>
      </c>
      <c r="AB14" s="121" t="s">
        <v>198</v>
      </c>
      <c r="AC14" s="121">
        <v>4.8</v>
      </c>
      <c r="AD14" s="121" t="s">
        <v>198</v>
      </c>
      <c r="AE14" s="121">
        <v>4.8</v>
      </c>
      <c r="AF14" s="121" t="s">
        <v>198</v>
      </c>
      <c r="AG14" s="121">
        <v>4.8</v>
      </c>
      <c r="AH14" s="121" t="s">
        <v>198</v>
      </c>
      <c r="AI14" s="121">
        <v>4.9000000000000004</v>
      </c>
      <c r="AJ14" s="121" t="s">
        <v>198</v>
      </c>
      <c r="AK14" s="121">
        <v>4.8</v>
      </c>
      <c r="AL14" s="121" t="s">
        <v>198</v>
      </c>
      <c r="AM14" s="121">
        <v>4.8</v>
      </c>
      <c r="AN14" s="121" t="s">
        <v>198</v>
      </c>
      <c r="AO14" s="121">
        <v>4.8</v>
      </c>
      <c r="AP14" s="121" t="s">
        <v>198</v>
      </c>
      <c r="AQ14" s="121">
        <v>4.9000000000000004</v>
      </c>
      <c r="AR14" s="121" t="s">
        <v>198</v>
      </c>
      <c r="AS14" s="121">
        <v>4.8</v>
      </c>
      <c r="AT14" s="121" t="s">
        <v>198</v>
      </c>
      <c r="AU14" s="121">
        <v>4.8</v>
      </c>
      <c r="AV14" s="121" t="s">
        <v>198</v>
      </c>
      <c r="AW14" s="121" t="s">
        <v>11</v>
      </c>
      <c r="AX14" s="128" t="s">
        <v>11</v>
      </c>
      <c r="AY14" s="121" t="s">
        <v>11</v>
      </c>
      <c r="AZ14" s="128" t="s">
        <v>11</v>
      </c>
      <c r="BA14" s="121" t="s">
        <v>11</v>
      </c>
      <c r="BB14" s="128" t="s">
        <v>11</v>
      </c>
      <c r="BC14" s="127" t="s">
        <v>11</v>
      </c>
      <c r="BD14" s="128" t="s">
        <v>11</v>
      </c>
      <c r="BE14" s="121">
        <v>4.8</v>
      </c>
      <c r="BF14" s="121" t="s">
        <v>198</v>
      </c>
      <c r="BG14" s="121">
        <v>4.8</v>
      </c>
      <c r="BH14" s="121" t="s">
        <v>198</v>
      </c>
      <c r="BI14" s="121">
        <v>4.5999999999999996</v>
      </c>
      <c r="BJ14" s="121" t="s">
        <v>198</v>
      </c>
      <c r="BK14" s="121">
        <v>4.5999999999999996</v>
      </c>
      <c r="BL14" s="128" t="str">
        <f>IF(BK14="NA","NA",IF(BK14="Not Reported","Not Reported",IF(BK14&lt;$L$14,"Not Met","Met")))</f>
        <v>Met</v>
      </c>
      <c r="BM14" s="257">
        <v>4.8</v>
      </c>
      <c r="BN14" s="128" t="str">
        <f>IF(BM14="NA","NA",IF(BM14="Not Reported","Not Reported",IF(BM14&lt;$L$14,"Not Met","Met")))</f>
        <v>Met</v>
      </c>
      <c r="BO14" s="26">
        <v>4.8</v>
      </c>
      <c r="BP14" s="128" t="s">
        <v>198</v>
      </c>
      <c r="BQ14" s="26">
        <v>4.8</v>
      </c>
      <c r="BR14" s="128" t="s">
        <v>198</v>
      </c>
      <c r="BS14" s="26">
        <v>4.8</v>
      </c>
      <c r="BT14" s="128" t="str">
        <f>IF(BS14="NA","NA",IF(BS14="Not Reported","Not Reported",IF(BS14&lt;$L$14,"Not Met","Met")))</f>
        <v>Met</v>
      </c>
      <c r="BU14" s="26">
        <v>4.8</v>
      </c>
      <c r="BV14" s="128" t="str">
        <f>IF(BU14="NA","NA",IF(BU14="Not Reported","Not Reported",IF(BU14&lt;$L$14,"Not Met","Met")))</f>
        <v>Met</v>
      </c>
    </row>
    <row r="15" spans="1:77" x14ac:dyDescent="0.25">
      <c r="A15" s="121">
        <v>14</v>
      </c>
      <c r="B15" s="123" t="s">
        <v>4</v>
      </c>
      <c r="C15" s="122" t="s">
        <v>901</v>
      </c>
      <c r="D15" s="123" t="s">
        <v>131</v>
      </c>
      <c r="E15" s="123" t="s">
        <v>900</v>
      </c>
      <c r="F15" s="123" t="s">
        <v>190</v>
      </c>
      <c r="G15" s="122" t="s">
        <v>273</v>
      </c>
      <c r="H15" s="122" t="s">
        <v>192</v>
      </c>
      <c r="I15" s="124" t="s">
        <v>274</v>
      </c>
      <c r="J15" s="124" t="s">
        <v>214</v>
      </c>
      <c r="K15" s="145" t="s">
        <v>274</v>
      </c>
      <c r="L15" s="130">
        <v>50</v>
      </c>
      <c r="M15" s="128" t="s">
        <v>275</v>
      </c>
      <c r="N15" s="145" t="s">
        <v>276</v>
      </c>
      <c r="O15" s="145" t="s">
        <v>277</v>
      </c>
      <c r="P15" s="122" t="s">
        <v>219</v>
      </c>
      <c r="Q15" s="131" t="s">
        <v>61</v>
      </c>
      <c r="R15" s="131" t="s">
        <v>61</v>
      </c>
      <c r="S15" s="131" t="s">
        <v>278</v>
      </c>
      <c r="T15" s="121" t="s">
        <v>198</v>
      </c>
      <c r="U15" s="131" t="s">
        <v>61</v>
      </c>
      <c r="V15" s="131" t="s">
        <v>61</v>
      </c>
      <c r="W15" s="131" t="s">
        <v>278</v>
      </c>
      <c r="X15" s="121" t="s">
        <v>198</v>
      </c>
      <c r="Y15" s="131" t="s">
        <v>278</v>
      </c>
      <c r="Z15" s="121" t="s">
        <v>198</v>
      </c>
      <c r="AA15" s="121" t="s">
        <v>279</v>
      </c>
      <c r="AB15" s="121" t="s">
        <v>198</v>
      </c>
      <c r="AC15" s="121" t="s">
        <v>256</v>
      </c>
      <c r="AD15" s="121" t="s">
        <v>61</v>
      </c>
      <c r="AE15" s="143" t="s">
        <v>11</v>
      </c>
      <c r="AF15" s="128" t="s">
        <v>11</v>
      </c>
      <c r="AG15" s="121" t="s">
        <v>280</v>
      </c>
      <c r="AH15" s="121" t="s">
        <v>198</v>
      </c>
      <c r="AI15" s="121" t="s">
        <v>278</v>
      </c>
      <c r="AJ15" s="121" t="s">
        <v>198</v>
      </c>
      <c r="AK15" s="121" t="s">
        <v>279</v>
      </c>
      <c r="AL15" s="121" t="s">
        <v>198</v>
      </c>
      <c r="AM15" s="121" t="s">
        <v>278</v>
      </c>
      <c r="AN15" s="121" t="s">
        <v>198</v>
      </c>
      <c r="AO15" s="121" t="s">
        <v>278</v>
      </c>
      <c r="AP15" s="121" t="s">
        <v>198</v>
      </c>
      <c r="AQ15" s="121" t="s">
        <v>278</v>
      </c>
      <c r="AR15" s="121" t="s">
        <v>198</v>
      </c>
      <c r="AS15" s="121" t="s">
        <v>281</v>
      </c>
      <c r="AT15" s="121" t="s">
        <v>198</v>
      </c>
      <c r="AU15" s="121" t="s">
        <v>282</v>
      </c>
      <c r="AV15" s="121" t="s">
        <v>198</v>
      </c>
      <c r="AW15" s="121" t="s">
        <v>11</v>
      </c>
      <c r="AX15" s="128" t="s">
        <v>11</v>
      </c>
      <c r="AY15" s="121" t="s">
        <v>11</v>
      </c>
      <c r="AZ15" s="128" t="s">
        <v>11</v>
      </c>
      <c r="BA15" s="121" t="s">
        <v>11</v>
      </c>
      <c r="BB15" s="128" t="s">
        <v>11</v>
      </c>
      <c r="BC15" s="127" t="s">
        <v>11</v>
      </c>
      <c r="BD15" s="128" t="s">
        <v>11</v>
      </c>
      <c r="BE15" s="128" t="s">
        <v>283</v>
      </c>
      <c r="BF15" s="121" t="s">
        <v>198</v>
      </c>
      <c r="BG15" s="121" t="s">
        <v>571</v>
      </c>
      <c r="BH15" s="121" t="s">
        <v>198</v>
      </c>
      <c r="BI15" s="121" t="s">
        <v>635</v>
      </c>
      <c r="BJ15" s="121" t="s">
        <v>198</v>
      </c>
      <c r="BK15" s="121" t="s">
        <v>61</v>
      </c>
      <c r="BL15" s="121" t="str">
        <f>IF(BK15="NA","NA",IF(BK15="Not Reported","Not Reported",IF(BK15&gt;$L$15,"Not Met","Met")))</f>
        <v>Not Reported</v>
      </c>
      <c r="BM15" s="257" t="s">
        <v>11</v>
      </c>
      <c r="BN15" s="128" t="str">
        <f>IF(BM15="NA","NA",IF(BM15="Not Reported","Not Reported",IF(BM15&lt;$L$16,"Not Met","Met")))</f>
        <v>NA</v>
      </c>
      <c r="BO15" s="257" t="s">
        <v>11</v>
      </c>
      <c r="BP15" s="128" t="s">
        <v>11</v>
      </c>
      <c r="BQ15" s="257" t="s">
        <v>11</v>
      </c>
      <c r="BR15" s="128" t="s">
        <v>11</v>
      </c>
      <c r="BS15" s="26">
        <v>36</v>
      </c>
      <c r="BT15" s="128" t="str">
        <f>IF(BS15="NA","NA",IF(BS15="Not Reported","Not Reported",IF(BS15&gt;$L$15,"Not Met","Met")))</f>
        <v>Met</v>
      </c>
      <c r="BU15" s="26">
        <v>34</v>
      </c>
      <c r="BV15" s="128" t="str">
        <f>IF(BU15="NA","NA",IF(BU15="Not Reported","Not Reported",IF(BU15&gt;$L$15,"Not Met","Met")))</f>
        <v>Met</v>
      </c>
    </row>
    <row r="16" spans="1:77" x14ac:dyDescent="0.25">
      <c r="A16" s="121">
        <v>15</v>
      </c>
      <c r="B16" s="123" t="s">
        <v>4</v>
      </c>
      <c r="C16" s="122" t="s">
        <v>901</v>
      </c>
      <c r="D16" s="123" t="s">
        <v>131</v>
      </c>
      <c r="E16" s="123" t="s">
        <v>900</v>
      </c>
      <c r="F16" s="123" t="s">
        <v>190</v>
      </c>
      <c r="G16" s="122" t="s">
        <v>273</v>
      </c>
      <c r="H16" s="122" t="s">
        <v>192</v>
      </c>
      <c r="I16" s="124" t="s">
        <v>284</v>
      </c>
      <c r="J16" s="124" t="s">
        <v>285</v>
      </c>
      <c r="K16" s="145" t="s">
        <v>284</v>
      </c>
      <c r="L16" s="128" t="s">
        <v>286</v>
      </c>
      <c r="M16" s="128" t="s">
        <v>286</v>
      </c>
      <c r="N16" s="145" t="s">
        <v>287</v>
      </c>
      <c r="O16" s="145" t="s">
        <v>288</v>
      </c>
      <c r="P16" s="122" t="s">
        <v>219</v>
      </c>
      <c r="Q16" s="131" t="s">
        <v>61</v>
      </c>
      <c r="R16" s="131" t="s">
        <v>61</v>
      </c>
      <c r="S16" s="131" t="s">
        <v>61</v>
      </c>
      <c r="T16" s="131" t="s">
        <v>61</v>
      </c>
      <c r="U16" s="131" t="s">
        <v>61</v>
      </c>
      <c r="V16" s="131" t="s">
        <v>61</v>
      </c>
      <c r="W16" s="143" t="s">
        <v>256</v>
      </c>
      <c r="X16" s="143" t="s">
        <v>61</v>
      </c>
      <c r="Y16" s="143" t="s">
        <v>11</v>
      </c>
      <c r="Z16" s="143" t="s">
        <v>11</v>
      </c>
      <c r="AA16" s="143" t="s">
        <v>11</v>
      </c>
      <c r="AB16" s="128" t="s">
        <v>11</v>
      </c>
      <c r="AC16" s="143" t="s">
        <v>11</v>
      </c>
      <c r="AD16" s="143" t="s">
        <v>11</v>
      </c>
      <c r="AE16" s="143" t="s">
        <v>11</v>
      </c>
      <c r="AF16" s="128" t="s">
        <v>11</v>
      </c>
      <c r="AG16" s="143" t="s">
        <v>11</v>
      </c>
      <c r="AH16" s="143" t="s">
        <v>11</v>
      </c>
      <c r="AI16" s="143" t="s">
        <v>11</v>
      </c>
      <c r="AJ16" s="128" t="s">
        <v>11</v>
      </c>
      <c r="AK16" s="143" t="s">
        <v>11</v>
      </c>
      <c r="AL16" s="128" t="s">
        <v>11</v>
      </c>
      <c r="AM16" s="143" t="s">
        <v>11</v>
      </c>
      <c r="AN16" s="128" t="s">
        <v>11</v>
      </c>
      <c r="AO16" s="128" t="s">
        <v>11</v>
      </c>
      <c r="AP16" s="128" t="s">
        <v>11</v>
      </c>
      <c r="AQ16" s="128" t="s">
        <v>11</v>
      </c>
      <c r="AR16" s="128" t="s">
        <v>11</v>
      </c>
      <c r="AS16" s="128" t="s">
        <v>11</v>
      </c>
      <c r="AT16" s="128" t="s">
        <v>11</v>
      </c>
      <c r="AU16" s="128" t="s">
        <v>11</v>
      </c>
      <c r="AV16" s="128" t="s">
        <v>11</v>
      </c>
      <c r="AW16" s="121" t="s">
        <v>11</v>
      </c>
      <c r="AX16" s="128" t="s">
        <v>11</v>
      </c>
      <c r="AY16" s="121" t="s">
        <v>11</v>
      </c>
      <c r="AZ16" s="128" t="s">
        <v>11</v>
      </c>
      <c r="BA16" s="121" t="s">
        <v>11</v>
      </c>
      <c r="BB16" s="128" t="s">
        <v>11</v>
      </c>
      <c r="BC16" s="127" t="s">
        <v>11</v>
      </c>
      <c r="BD16" s="128" t="s">
        <v>11</v>
      </c>
      <c r="BE16" s="127" t="s">
        <v>11</v>
      </c>
      <c r="BF16" s="128" t="s">
        <v>11</v>
      </c>
      <c r="BG16" s="127" t="s">
        <v>11</v>
      </c>
      <c r="BH16" s="128" t="s">
        <v>11</v>
      </c>
      <c r="BI16" s="128" t="s">
        <v>11</v>
      </c>
      <c r="BJ16" s="128" t="s">
        <v>11</v>
      </c>
      <c r="BK16" s="127" t="s">
        <v>11</v>
      </c>
      <c r="BL16" s="128" t="str">
        <f>IF(BK16="NA","NA",IF(BK16="Not Reported","Not Reported",IF(BK16&lt;$L$16,"Not Met","Met")))</f>
        <v>NA</v>
      </c>
      <c r="BM16" s="257" t="s">
        <v>11</v>
      </c>
      <c r="BN16" s="128" t="str">
        <f>IF(BM16="NA","NA",IF(BM16="Not Reported","Not Reported",IF(BM16&lt;$L$16,"Not Met","Met")))</f>
        <v>NA</v>
      </c>
      <c r="BO16" s="257" t="s">
        <v>11</v>
      </c>
      <c r="BP16" s="128" t="s">
        <v>11</v>
      </c>
      <c r="BQ16" s="257" t="s">
        <v>11</v>
      </c>
      <c r="BR16" s="128" t="s">
        <v>11</v>
      </c>
      <c r="BS16" s="257" t="s">
        <v>11</v>
      </c>
      <c r="BT16" s="128" t="str">
        <f>IF(BS16="NA","NA",IF(BS16="Not Reported","Not Reported",IF(BS16&lt;$L$16,"Not Met","Met")))</f>
        <v>NA</v>
      </c>
      <c r="BU16" s="338" t="s">
        <v>11</v>
      </c>
      <c r="BV16" s="128" t="str">
        <f>IF(BU16="NA","NA",IF(BU16="Not Reported","Not Reported",IF(BU16&lt;$L$16,"Not Met","Met")))</f>
        <v>NA</v>
      </c>
    </row>
    <row r="17" spans="1:74" x14ac:dyDescent="0.25">
      <c r="A17" s="121">
        <v>16</v>
      </c>
      <c r="B17" s="123" t="s">
        <v>4</v>
      </c>
      <c r="C17" s="122" t="s">
        <v>901</v>
      </c>
      <c r="D17" s="123" t="s">
        <v>131</v>
      </c>
      <c r="E17" s="123" t="s">
        <v>900</v>
      </c>
      <c r="F17" s="123" t="s">
        <v>190</v>
      </c>
      <c r="G17" s="122" t="s">
        <v>273</v>
      </c>
      <c r="H17" s="122" t="s">
        <v>192</v>
      </c>
      <c r="I17" s="124" t="s">
        <v>289</v>
      </c>
      <c r="J17" s="124" t="s">
        <v>285</v>
      </c>
      <c r="K17" s="145" t="s">
        <v>289</v>
      </c>
      <c r="L17" s="128" t="s">
        <v>286</v>
      </c>
      <c r="M17" s="128" t="s">
        <v>286</v>
      </c>
      <c r="N17" s="145" t="s">
        <v>290</v>
      </c>
      <c r="O17" s="145" t="s">
        <v>291</v>
      </c>
      <c r="P17" s="122" t="s">
        <v>219</v>
      </c>
      <c r="Q17" s="131" t="s">
        <v>61</v>
      </c>
      <c r="R17" s="131" t="s">
        <v>61</v>
      </c>
      <c r="S17" s="131" t="s">
        <v>61</v>
      </c>
      <c r="T17" s="131" t="s">
        <v>61</v>
      </c>
      <c r="U17" s="131" t="s">
        <v>61</v>
      </c>
      <c r="V17" s="131" t="s">
        <v>61</v>
      </c>
      <c r="W17" s="143" t="s">
        <v>256</v>
      </c>
      <c r="X17" s="143" t="s">
        <v>61</v>
      </c>
      <c r="Y17" s="143" t="s">
        <v>11</v>
      </c>
      <c r="Z17" s="143" t="s">
        <v>11</v>
      </c>
      <c r="AA17" s="143" t="s">
        <v>11</v>
      </c>
      <c r="AB17" s="128" t="s">
        <v>11</v>
      </c>
      <c r="AC17" s="143" t="s">
        <v>11</v>
      </c>
      <c r="AD17" s="143" t="s">
        <v>11</v>
      </c>
      <c r="AE17" s="143" t="s">
        <v>11</v>
      </c>
      <c r="AF17" s="128" t="s">
        <v>11</v>
      </c>
      <c r="AG17" s="143" t="s">
        <v>11</v>
      </c>
      <c r="AH17" s="143" t="s">
        <v>11</v>
      </c>
      <c r="AI17" s="143" t="s">
        <v>11</v>
      </c>
      <c r="AJ17" s="128" t="s">
        <v>11</v>
      </c>
      <c r="AK17" s="143" t="s">
        <v>11</v>
      </c>
      <c r="AL17" s="128" t="s">
        <v>11</v>
      </c>
      <c r="AM17" s="143" t="s">
        <v>11</v>
      </c>
      <c r="AN17" s="128" t="s">
        <v>11</v>
      </c>
      <c r="AO17" s="128" t="s">
        <v>11</v>
      </c>
      <c r="AP17" s="128" t="s">
        <v>11</v>
      </c>
      <c r="AQ17" s="128" t="s">
        <v>11</v>
      </c>
      <c r="AR17" s="128" t="s">
        <v>11</v>
      </c>
      <c r="AS17" s="128" t="s">
        <v>11</v>
      </c>
      <c r="AT17" s="128" t="s">
        <v>11</v>
      </c>
      <c r="AU17" s="128" t="s">
        <v>11</v>
      </c>
      <c r="AV17" s="128" t="s">
        <v>11</v>
      </c>
      <c r="AW17" s="121" t="s">
        <v>11</v>
      </c>
      <c r="AX17" s="128" t="s">
        <v>11</v>
      </c>
      <c r="AY17" s="121" t="s">
        <v>11</v>
      </c>
      <c r="AZ17" s="128" t="s">
        <v>11</v>
      </c>
      <c r="BA17" s="121" t="s">
        <v>11</v>
      </c>
      <c r="BB17" s="128" t="s">
        <v>11</v>
      </c>
      <c r="BC17" s="127" t="s">
        <v>11</v>
      </c>
      <c r="BD17" s="128" t="s">
        <v>11</v>
      </c>
      <c r="BE17" s="127" t="s">
        <v>11</v>
      </c>
      <c r="BF17" s="128" t="s">
        <v>11</v>
      </c>
      <c r="BG17" s="127" t="s">
        <v>11</v>
      </c>
      <c r="BH17" s="128" t="s">
        <v>11</v>
      </c>
      <c r="BI17" s="128" t="s">
        <v>11</v>
      </c>
      <c r="BJ17" s="128" t="s">
        <v>11</v>
      </c>
      <c r="BK17" s="127" t="s">
        <v>11</v>
      </c>
      <c r="BL17" s="128" t="str">
        <f>IF(BK17="NA","NA",IF(BK17="Not Reported","Not Reported",IF(BK17&lt;$L$17,"Not Met","Met")))</f>
        <v>NA</v>
      </c>
      <c r="BM17" s="257" t="s">
        <v>11</v>
      </c>
      <c r="BN17" s="128" t="str">
        <f>IF(BM17="NA","NA",IF(BM17="Not Reported","Not Reported",IF(BM17&lt;$L$17,"Not Met","Met")))</f>
        <v>NA</v>
      </c>
      <c r="BO17" s="257" t="s">
        <v>11</v>
      </c>
      <c r="BP17" s="128" t="s">
        <v>11</v>
      </c>
      <c r="BQ17" s="257" t="s">
        <v>11</v>
      </c>
      <c r="BR17" s="128" t="s">
        <v>11</v>
      </c>
      <c r="BS17" s="257" t="s">
        <v>11</v>
      </c>
      <c r="BT17" s="128" t="str">
        <f>IF(BS17="NA","NA",IF(BS17="Not Reported","Not Reported",IF(BS17&lt;$L$17,"Not Met","Met")))</f>
        <v>NA</v>
      </c>
      <c r="BU17" s="338" t="s">
        <v>11</v>
      </c>
      <c r="BV17" s="128" t="str">
        <f>IF(BU17="NA","NA",IF(BU17="Not Reported","Not Reported",IF(BU17&lt;$L$17,"Not Met","Met")))</f>
        <v>NA</v>
      </c>
    </row>
    <row r="18" spans="1:74" x14ac:dyDescent="0.25">
      <c r="A18" s="121">
        <v>17</v>
      </c>
      <c r="B18" s="123" t="s">
        <v>4</v>
      </c>
      <c r="C18" s="122" t="s">
        <v>901</v>
      </c>
      <c r="D18" s="123" t="s">
        <v>131</v>
      </c>
      <c r="E18" s="123" t="s">
        <v>900</v>
      </c>
      <c r="F18" s="123" t="s">
        <v>190</v>
      </c>
      <c r="G18" s="122" t="s">
        <v>273</v>
      </c>
      <c r="H18" s="122" t="s">
        <v>192</v>
      </c>
      <c r="I18" s="124" t="s">
        <v>292</v>
      </c>
      <c r="J18" s="124" t="s">
        <v>293</v>
      </c>
      <c r="K18" s="122" t="s">
        <v>292</v>
      </c>
      <c r="L18" s="128" t="s">
        <v>286</v>
      </c>
      <c r="M18" s="128" t="s">
        <v>286</v>
      </c>
      <c r="N18" s="122" t="s">
        <v>294</v>
      </c>
      <c r="O18" s="122" t="s">
        <v>295</v>
      </c>
      <c r="P18" s="122" t="s">
        <v>219</v>
      </c>
      <c r="Q18" s="131" t="s">
        <v>61</v>
      </c>
      <c r="R18" s="131" t="s">
        <v>61</v>
      </c>
      <c r="S18" s="131" t="s">
        <v>61</v>
      </c>
      <c r="T18" s="131" t="s">
        <v>61</v>
      </c>
      <c r="U18" s="131" t="s">
        <v>61</v>
      </c>
      <c r="V18" s="131" t="s">
        <v>61</v>
      </c>
      <c r="W18" s="143" t="s">
        <v>256</v>
      </c>
      <c r="X18" s="143" t="s">
        <v>61</v>
      </c>
      <c r="Y18" s="143" t="s">
        <v>11</v>
      </c>
      <c r="Z18" s="143" t="s">
        <v>11</v>
      </c>
      <c r="AA18" s="143" t="s">
        <v>11</v>
      </c>
      <c r="AB18" s="128" t="s">
        <v>11</v>
      </c>
      <c r="AC18" s="143" t="s">
        <v>11</v>
      </c>
      <c r="AD18" s="143" t="s">
        <v>11</v>
      </c>
      <c r="AE18" s="143" t="s">
        <v>11</v>
      </c>
      <c r="AF18" s="128" t="s">
        <v>11</v>
      </c>
      <c r="AG18" s="143" t="s">
        <v>11</v>
      </c>
      <c r="AH18" s="143" t="s">
        <v>11</v>
      </c>
      <c r="AI18" s="143" t="s">
        <v>11</v>
      </c>
      <c r="AJ18" s="128" t="s">
        <v>11</v>
      </c>
      <c r="AK18" s="143" t="s">
        <v>11</v>
      </c>
      <c r="AL18" s="128" t="s">
        <v>11</v>
      </c>
      <c r="AM18" s="143" t="s">
        <v>11</v>
      </c>
      <c r="AN18" s="128" t="s">
        <v>11</v>
      </c>
      <c r="AO18" s="128" t="s">
        <v>11</v>
      </c>
      <c r="AP18" s="128" t="s">
        <v>11</v>
      </c>
      <c r="AQ18" s="128" t="s">
        <v>11</v>
      </c>
      <c r="AR18" s="128" t="s">
        <v>11</v>
      </c>
      <c r="AS18" s="128" t="s">
        <v>11</v>
      </c>
      <c r="AT18" s="128" t="s">
        <v>11</v>
      </c>
      <c r="AU18" s="128" t="s">
        <v>11</v>
      </c>
      <c r="AV18" s="128" t="s">
        <v>11</v>
      </c>
      <c r="AW18" s="121" t="s">
        <v>11</v>
      </c>
      <c r="AX18" s="128" t="s">
        <v>11</v>
      </c>
      <c r="AY18" s="121" t="s">
        <v>11</v>
      </c>
      <c r="AZ18" s="128" t="s">
        <v>11</v>
      </c>
      <c r="BA18" s="121" t="s">
        <v>11</v>
      </c>
      <c r="BB18" s="128" t="s">
        <v>11</v>
      </c>
      <c r="BC18" s="127" t="s">
        <v>11</v>
      </c>
      <c r="BD18" s="128" t="s">
        <v>11</v>
      </c>
      <c r="BE18" s="127" t="s">
        <v>11</v>
      </c>
      <c r="BF18" s="128" t="s">
        <v>11</v>
      </c>
      <c r="BG18" s="127" t="s">
        <v>11</v>
      </c>
      <c r="BH18" s="128" t="s">
        <v>11</v>
      </c>
      <c r="BI18" s="128" t="s">
        <v>11</v>
      </c>
      <c r="BJ18" s="128" t="s">
        <v>11</v>
      </c>
      <c r="BK18" s="127" t="s">
        <v>11</v>
      </c>
      <c r="BL18" s="128" t="str">
        <f>IF(BK18="NA","NA",IF(BK18="Not Reported","Not Reported",IF(BK18&gt;$L$18,"Not Met","Met")))</f>
        <v>NA</v>
      </c>
      <c r="BM18" s="257" t="s">
        <v>11</v>
      </c>
      <c r="BN18" s="128" t="str">
        <f>IF(BM18="NA","NA",IF(BM18="Not Reported","Not Reported",IF(BM18&gt;$L$18,"Not Met","Met")))</f>
        <v>NA</v>
      </c>
      <c r="BO18" s="257" t="s">
        <v>11</v>
      </c>
      <c r="BP18" s="128" t="s">
        <v>11</v>
      </c>
      <c r="BQ18" s="257" t="s">
        <v>11</v>
      </c>
      <c r="BR18" s="128" t="s">
        <v>11</v>
      </c>
      <c r="BS18" s="257" t="s">
        <v>11</v>
      </c>
      <c r="BT18" s="128" t="str">
        <f>IF(BS18="NA","NA",IF(BS18="Not Reported","Not Reported",IF(BS18&gt;$L$18,"Not Met","Met")))</f>
        <v>NA</v>
      </c>
      <c r="BU18" s="338" t="s">
        <v>11</v>
      </c>
      <c r="BV18" s="128" t="str">
        <f>IF(BU18="NA","NA",IF(BU18="Not Reported","Not Reported",IF(BU18&gt;$L$18,"Not Met","Met")))</f>
        <v>NA</v>
      </c>
    </row>
    <row r="19" spans="1:74" x14ac:dyDescent="0.25">
      <c r="A19" s="121">
        <v>18</v>
      </c>
      <c r="B19" s="123" t="s">
        <v>4</v>
      </c>
      <c r="C19" s="122" t="s">
        <v>901</v>
      </c>
      <c r="D19" s="123" t="s">
        <v>131</v>
      </c>
      <c r="E19" s="123" t="s">
        <v>900</v>
      </c>
      <c r="F19" s="123" t="s">
        <v>190</v>
      </c>
      <c r="G19" s="122" t="s">
        <v>273</v>
      </c>
      <c r="H19" s="122" t="s">
        <v>192</v>
      </c>
      <c r="I19" s="123" t="s">
        <v>296</v>
      </c>
      <c r="J19" s="123" t="s">
        <v>296</v>
      </c>
      <c r="K19" s="145" t="s">
        <v>296</v>
      </c>
      <c r="L19" s="128" t="s">
        <v>286</v>
      </c>
      <c r="M19" s="128" t="s">
        <v>286</v>
      </c>
      <c r="N19" s="145" t="s">
        <v>297</v>
      </c>
      <c r="O19" s="145" t="s">
        <v>298</v>
      </c>
      <c r="P19" s="122" t="s">
        <v>219</v>
      </c>
      <c r="Q19" s="131" t="s">
        <v>61</v>
      </c>
      <c r="R19" s="131" t="s">
        <v>61</v>
      </c>
      <c r="S19" s="131" t="s">
        <v>61</v>
      </c>
      <c r="T19" s="131" t="s">
        <v>61</v>
      </c>
      <c r="U19" s="131" t="s">
        <v>61</v>
      </c>
      <c r="V19" s="131" t="s">
        <v>61</v>
      </c>
      <c r="W19" s="143" t="s">
        <v>256</v>
      </c>
      <c r="X19" s="143" t="s">
        <v>61</v>
      </c>
      <c r="Y19" s="143" t="s">
        <v>11</v>
      </c>
      <c r="Z19" s="143" t="s">
        <v>11</v>
      </c>
      <c r="AA19" s="143" t="s">
        <v>11</v>
      </c>
      <c r="AB19" s="128" t="s">
        <v>11</v>
      </c>
      <c r="AC19" s="143" t="s">
        <v>11</v>
      </c>
      <c r="AD19" s="143" t="s">
        <v>11</v>
      </c>
      <c r="AE19" s="143" t="s">
        <v>11</v>
      </c>
      <c r="AF19" s="128" t="s">
        <v>11</v>
      </c>
      <c r="AG19" s="143" t="s">
        <v>11</v>
      </c>
      <c r="AH19" s="143" t="s">
        <v>11</v>
      </c>
      <c r="AI19" s="143" t="s">
        <v>11</v>
      </c>
      <c r="AJ19" s="128" t="s">
        <v>11</v>
      </c>
      <c r="AK19" s="143" t="s">
        <v>11</v>
      </c>
      <c r="AL19" s="128" t="s">
        <v>11</v>
      </c>
      <c r="AM19" s="143" t="s">
        <v>11</v>
      </c>
      <c r="AN19" s="128" t="s">
        <v>11</v>
      </c>
      <c r="AO19" s="128" t="s">
        <v>11</v>
      </c>
      <c r="AP19" s="128" t="s">
        <v>11</v>
      </c>
      <c r="AQ19" s="128" t="s">
        <v>11</v>
      </c>
      <c r="AR19" s="128" t="s">
        <v>11</v>
      </c>
      <c r="AS19" s="128" t="s">
        <v>11</v>
      </c>
      <c r="AT19" s="128" t="s">
        <v>11</v>
      </c>
      <c r="AU19" s="128" t="s">
        <v>11</v>
      </c>
      <c r="AV19" s="128" t="s">
        <v>11</v>
      </c>
      <c r="AW19" s="121" t="s">
        <v>11</v>
      </c>
      <c r="AX19" s="128" t="s">
        <v>11</v>
      </c>
      <c r="AY19" s="121" t="s">
        <v>11</v>
      </c>
      <c r="AZ19" s="128" t="s">
        <v>11</v>
      </c>
      <c r="BA19" s="121" t="s">
        <v>11</v>
      </c>
      <c r="BB19" s="128" t="s">
        <v>11</v>
      </c>
      <c r="BC19" s="127" t="s">
        <v>11</v>
      </c>
      <c r="BD19" s="128" t="s">
        <v>11</v>
      </c>
      <c r="BE19" s="127" t="s">
        <v>11</v>
      </c>
      <c r="BF19" s="128" t="s">
        <v>11</v>
      </c>
      <c r="BG19" s="127" t="s">
        <v>11</v>
      </c>
      <c r="BH19" s="128" t="s">
        <v>11</v>
      </c>
      <c r="BI19" s="128" t="s">
        <v>11</v>
      </c>
      <c r="BJ19" s="128" t="s">
        <v>11</v>
      </c>
      <c r="BK19" s="127" t="s">
        <v>11</v>
      </c>
      <c r="BL19" s="128" t="str">
        <f>IF(BK19="NA","NA",IF(BK19="Not Reported","Not Reported",IF(BK19&lt;$L$19,"Not Met","Met")))</f>
        <v>NA</v>
      </c>
      <c r="BM19" s="257" t="s">
        <v>11</v>
      </c>
      <c r="BN19" s="128" t="str">
        <f>IF(BM19="NA","NA",IF(BM19="Not Reported","Not Reported",IF(BM19&lt;$L$19,"Not Met","Met")))</f>
        <v>NA</v>
      </c>
      <c r="BO19" s="257" t="s">
        <v>11</v>
      </c>
      <c r="BP19" s="128" t="s">
        <v>11</v>
      </c>
      <c r="BQ19" s="257" t="s">
        <v>11</v>
      </c>
      <c r="BR19" s="128" t="s">
        <v>11</v>
      </c>
      <c r="BS19" s="257" t="s">
        <v>11</v>
      </c>
      <c r="BT19" s="128" t="str">
        <f>IF(BS19="NA","NA",IF(BS19="Not Reported","Not Reported",IF(BS19&lt;$L$19,"Not Met","Met")))</f>
        <v>NA</v>
      </c>
      <c r="BU19" s="338" t="s">
        <v>11</v>
      </c>
      <c r="BV19" s="128" t="str">
        <f>IF(BU19="NA","NA",IF(BU19="Not Reported","Not Reported",IF(BU19&lt;$L$19,"Not Met","Met")))</f>
        <v>NA</v>
      </c>
    </row>
    <row r="20" spans="1:74" x14ac:dyDescent="0.25">
      <c r="A20" s="121">
        <v>19</v>
      </c>
      <c r="B20" s="123" t="s">
        <v>34</v>
      </c>
      <c r="C20" s="122" t="s">
        <v>903</v>
      </c>
      <c r="D20" s="123" t="s">
        <v>299</v>
      </c>
      <c r="E20" s="123" t="s">
        <v>899</v>
      </c>
      <c r="F20" s="123" t="s">
        <v>300</v>
      </c>
      <c r="G20" s="123" t="s">
        <v>191</v>
      </c>
      <c r="H20" s="122" t="s">
        <v>192</v>
      </c>
      <c r="I20" s="124" t="s">
        <v>213</v>
      </c>
      <c r="J20" s="124" t="s">
        <v>214</v>
      </c>
      <c r="K20" s="122" t="s">
        <v>301</v>
      </c>
      <c r="L20" s="146">
        <v>0.85</v>
      </c>
      <c r="M20" s="146" t="s">
        <v>302</v>
      </c>
      <c r="N20" s="122" t="s">
        <v>303</v>
      </c>
      <c r="O20" s="122" t="s">
        <v>304</v>
      </c>
      <c r="P20" s="123" t="s">
        <v>207</v>
      </c>
      <c r="Q20" s="146">
        <v>0.8</v>
      </c>
      <c r="R20" s="147" t="s">
        <v>251</v>
      </c>
      <c r="S20" s="146">
        <v>0.8</v>
      </c>
      <c r="T20" s="147" t="s">
        <v>251</v>
      </c>
      <c r="U20" s="146">
        <v>0.82</v>
      </c>
      <c r="V20" s="147" t="s">
        <v>251</v>
      </c>
      <c r="W20" s="146">
        <v>0.86</v>
      </c>
      <c r="X20" s="121" t="s">
        <v>198</v>
      </c>
      <c r="Y20" s="126">
        <v>0.85</v>
      </c>
      <c r="Z20" s="121" t="s">
        <v>198</v>
      </c>
      <c r="AA20" s="126">
        <v>0.85</v>
      </c>
      <c r="AB20" s="121" t="s">
        <v>198</v>
      </c>
      <c r="AC20" s="121" t="s">
        <v>61</v>
      </c>
      <c r="AD20" s="121" t="s">
        <v>61</v>
      </c>
      <c r="AE20" s="126">
        <v>0.77</v>
      </c>
      <c r="AF20" s="147" t="s">
        <v>251</v>
      </c>
      <c r="AG20" s="146">
        <v>0.85</v>
      </c>
      <c r="AH20" s="121" t="s">
        <v>198</v>
      </c>
      <c r="AI20" s="126">
        <v>0.87</v>
      </c>
      <c r="AJ20" s="121" t="s">
        <v>198</v>
      </c>
      <c r="AK20" s="121" t="s">
        <v>61</v>
      </c>
      <c r="AL20" s="121" t="s">
        <v>61</v>
      </c>
      <c r="AM20" s="126">
        <v>0.81</v>
      </c>
      <c r="AN20" s="121" t="s">
        <v>251</v>
      </c>
      <c r="AO20" s="146">
        <v>0.87</v>
      </c>
      <c r="AP20" s="121" t="s">
        <v>198</v>
      </c>
      <c r="AQ20" s="146">
        <v>0.85</v>
      </c>
      <c r="AR20" s="121" t="s">
        <v>198</v>
      </c>
      <c r="AS20" s="121" t="s">
        <v>6</v>
      </c>
      <c r="AT20" s="121" t="s">
        <v>6</v>
      </c>
      <c r="AU20" s="146">
        <v>0.85</v>
      </c>
      <c r="AV20" s="121" t="s">
        <v>198</v>
      </c>
      <c r="AW20" s="128">
        <v>0.81907894736842102</v>
      </c>
      <c r="AX20" s="121" t="s">
        <v>251</v>
      </c>
      <c r="AY20" s="121" t="s">
        <v>61</v>
      </c>
      <c r="AZ20" s="121" t="s">
        <v>61</v>
      </c>
      <c r="BA20" s="121" t="s">
        <v>61</v>
      </c>
      <c r="BB20" s="121" t="s">
        <v>61</v>
      </c>
      <c r="BC20" s="121" t="s">
        <v>61</v>
      </c>
      <c r="BD20" s="121" t="s">
        <v>6</v>
      </c>
      <c r="BE20" s="431">
        <v>0.91847826086956519</v>
      </c>
      <c r="BF20" s="431" t="s">
        <v>198</v>
      </c>
      <c r="BG20" s="431">
        <v>0.91576673866090708</v>
      </c>
      <c r="BH20" s="431" t="s">
        <v>198</v>
      </c>
      <c r="BI20" s="431">
        <v>0.87977528089887636</v>
      </c>
      <c r="BJ20" s="431" t="s">
        <v>198</v>
      </c>
      <c r="BK20" s="121" t="s">
        <v>61</v>
      </c>
      <c r="BL20" s="121" t="str">
        <f>IF(BK20="NA","NA",IF(BK20="Not Reported","Not Reported",IF(BK20&lt;$L$20,"Not Met","Met")))</f>
        <v>Not Reported</v>
      </c>
      <c r="BM20" s="121" t="s">
        <v>61</v>
      </c>
      <c r="BN20" s="121" t="str">
        <f>IF(BM20="NA","NA",IF(BM20="Not Reported","Not Reported",IF(BM20&lt;$L$20,"Not Met","Met")))</f>
        <v>Not Reported</v>
      </c>
      <c r="BO20" s="121" t="s">
        <v>61</v>
      </c>
      <c r="BP20" s="121" t="s">
        <v>61</v>
      </c>
      <c r="BQ20" s="121" t="s">
        <v>61</v>
      </c>
      <c r="BR20" s="121" t="s">
        <v>61</v>
      </c>
      <c r="BS20" s="315">
        <v>0.63</v>
      </c>
      <c r="BT20" s="121" t="str">
        <f>IF(BS20="NA","NA",IF(BS20="Not Reported","Not Reported",IF(BS20&lt;$L$20,"Not Met","Met")))</f>
        <v>Not Met</v>
      </c>
      <c r="BU20" s="13">
        <v>0.79</v>
      </c>
      <c r="BV20" s="121" t="str">
        <f>IF(BU20="NA","NA",IF(BU20="Not Reported","Not Reported",IF(BU20&lt;$L$20,"Not Met","Met")))</f>
        <v>Not Met</v>
      </c>
    </row>
    <row r="21" spans="1:74" x14ac:dyDescent="0.25">
      <c r="A21" s="121">
        <v>20</v>
      </c>
      <c r="B21" s="123" t="s">
        <v>34</v>
      </c>
      <c r="C21" s="122" t="s">
        <v>903</v>
      </c>
      <c r="D21" s="123" t="s">
        <v>299</v>
      </c>
      <c r="E21" s="123" t="s">
        <v>899</v>
      </c>
      <c r="F21" s="123" t="s">
        <v>300</v>
      </c>
      <c r="G21" s="122" t="s">
        <v>273</v>
      </c>
      <c r="H21" s="122" t="s">
        <v>192</v>
      </c>
      <c r="I21" s="124" t="s">
        <v>213</v>
      </c>
      <c r="J21" s="124" t="s">
        <v>214</v>
      </c>
      <c r="K21" s="129" t="s">
        <v>858</v>
      </c>
      <c r="L21" s="147" t="s">
        <v>886</v>
      </c>
      <c r="M21" s="146" t="s">
        <v>305</v>
      </c>
      <c r="N21" s="122" t="s">
        <v>306</v>
      </c>
      <c r="O21" s="122" t="s">
        <v>304</v>
      </c>
      <c r="P21" s="123" t="s">
        <v>207</v>
      </c>
      <c r="Q21" s="146">
        <v>0.84</v>
      </c>
      <c r="R21" s="147" t="s">
        <v>251</v>
      </c>
      <c r="S21" s="146">
        <v>0.75</v>
      </c>
      <c r="T21" s="147" t="s">
        <v>251</v>
      </c>
      <c r="U21" s="146">
        <v>0.87</v>
      </c>
      <c r="V21" s="121" t="s">
        <v>198</v>
      </c>
      <c r="W21" s="126">
        <v>0.91</v>
      </c>
      <c r="X21" s="121" t="s">
        <v>198</v>
      </c>
      <c r="Y21" s="126">
        <v>0.82</v>
      </c>
      <c r="Z21" s="121" t="s">
        <v>251</v>
      </c>
      <c r="AA21" s="126">
        <v>0.82</v>
      </c>
      <c r="AB21" s="147" t="s">
        <v>251</v>
      </c>
      <c r="AC21" s="121" t="s">
        <v>61</v>
      </c>
      <c r="AD21" s="121" t="s">
        <v>61</v>
      </c>
      <c r="AE21" s="126">
        <v>0.81</v>
      </c>
      <c r="AF21" s="147" t="s">
        <v>251</v>
      </c>
      <c r="AG21" s="146">
        <v>0.82</v>
      </c>
      <c r="AH21" s="147" t="s">
        <v>251</v>
      </c>
      <c r="AI21" s="146">
        <v>0.85</v>
      </c>
      <c r="AJ21" s="121" t="s">
        <v>198</v>
      </c>
      <c r="AK21" s="121" t="s">
        <v>61</v>
      </c>
      <c r="AL21" s="121" t="s">
        <v>61</v>
      </c>
      <c r="AM21" s="146">
        <v>0.85</v>
      </c>
      <c r="AN21" s="121" t="s">
        <v>198</v>
      </c>
      <c r="AO21" s="146">
        <v>0.93</v>
      </c>
      <c r="AP21" s="121" t="s">
        <v>198</v>
      </c>
      <c r="AQ21" s="146">
        <v>0.86</v>
      </c>
      <c r="AR21" s="121" t="s">
        <v>198</v>
      </c>
      <c r="AS21" s="121" t="s">
        <v>6</v>
      </c>
      <c r="AT21" s="121" t="s">
        <v>6</v>
      </c>
      <c r="AU21" s="146">
        <v>0.86</v>
      </c>
      <c r="AV21" s="121" t="s">
        <v>198</v>
      </c>
      <c r="AW21" s="128">
        <v>0.80487804878048785</v>
      </c>
      <c r="AX21" s="121" t="s">
        <v>251</v>
      </c>
      <c r="AY21" s="121" t="s">
        <v>61</v>
      </c>
      <c r="AZ21" s="121" t="s">
        <v>61</v>
      </c>
      <c r="BA21" s="121" t="s">
        <v>61</v>
      </c>
      <c r="BB21" s="121" t="s">
        <v>61</v>
      </c>
      <c r="BC21" s="121" t="s">
        <v>61</v>
      </c>
      <c r="BD21" s="121" t="s">
        <v>6</v>
      </c>
      <c r="BE21" s="431">
        <v>0.88721804511278191</v>
      </c>
      <c r="BF21" s="431" t="s">
        <v>198</v>
      </c>
      <c r="BG21" s="431">
        <v>0.89383561643835618</v>
      </c>
      <c r="BH21" s="431" t="s">
        <v>198</v>
      </c>
      <c r="BI21" s="431">
        <v>0.8744698897370653</v>
      </c>
      <c r="BJ21" s="431" t="s">
        <v>198</v>
      </c>
      <c r="BK21" s="121" t="s">
        <v>61</v>
      </c>
      <c r="BL21" s="121" t="str">
        <f>IF(BK21="NA","NA",IF(BK21="Not Reported","Not Reported",IF(BK21&lt;$L$21,"Not Met","Met")))</f>
        <v>Not Reported</v>
      </c>
      <c r="BM21" s="121" t="s">
        <v>61</v>
      </c>
      <c r="BN21" s="121" t="str">
        <f>IF(BM21="NA","NA",IF(BM21="Not Reported","Not Reported",IF(BM21&lt;$L$21,"Not Met","Met")))</f>
        <v>Not Reported</v>
      </c>
      <c r="BO21" s="121" t="s">
        <v>61</v>
      </c>
      <c r="BP21" s="121" t="s">
        <v>61</v>
      </c>
      <c r="BQ21" s="121" t="s">
        <v>61</v>
      </c>
      <c r="BR21" s="121" t="s">
        <v>61</v>
      </c>
      <c r="BS21" s="315">
        <v>0.63</v>
      </c>
      <c r="BT21" s="121" t="str">
        <f>IF(BS21="NA","NA",IF(BS21="Not Reported","Not Reported",IF(BS21&lt;$L$21,"Not Met","Met")))</f>
        <v>Not Met</v>
      </c>
      <c r="BU21" s="13">
        <v>0.77</v>
      </c>
      <c r="BV21" s="121" t="str">
        <f>IF(BU21="NA","NA",IF(BU21="Not Reported","Not Reported",IF(BU21&lt;$L$21,"Not Met","Met")))</f>
        <v>Not Met</v>
      </c>
    </row>
    <row r="22" spans="1:74" x14ac:dyDescent="0.25">
      <c r="A22" s="121">
        <v>21</v>
      </c>
      <c r="B22" s="123" t="s">
        <v>34</v>
      </c>
      <c r="C22" s="122" t="s">
        <v>903</v>
      </c>
      <c r="D22" s="123" t="s">
        <v>299</v>
      </c>
      <c r="E22" s="123" t="s">
        <v>899</v>
      </c>
      <c r="F22" s="123" t="s">
        <v>300</v>
      </c>
      <c r="G22" s="122" t="s">
        <v>273</v>
      </c>
      <c r="H22" s="122" t="s">
        <v>192</v>
      </c>
      <c r="I22" s="124" t="s">
        <v>213</v>
      </c>
      <c r="J22" s="124" t="s">
        <v>214</v>
      </c>
      <c r="K22" s="129" t="s">
        <v>213</v>
      </c>
      <c r="L22" s="147" t="s">
        <v>887</v>
      </c>
      <c r="M22" s="146" t="s">
        <v>307</v>
      </c>
      <c r="N22" s="122" t="s">
        <v>308</v>
      </c>
      <c r="O22" s="122" t="s">
        <v>304</v>
      </c>
      <c r="P22" s="123" t="s">
        <v>207</v>
      </c>
      <c r="Q22" s="146">
        <v>0.83</v>
      </c>
      <c r="R22" s="147" t="s">
        <v>251</v>
      </c>
      <c r="S22" s="146">
        <v>0.88</v>
      </c>
      <c r="T22" s="121" t="s">
        <v>198</v>
      </c>
      <c r="U22" s="126">
        <v>0.8</v>
      </c>
      <c r="V22" s="147" t="s">
        <v>251</v>
      </c>
      <c r="W22" s="146">
        <v>0.79</v>
      </c>
      <c r="X22" s="147" t="s">
        <v>251</v>
      </c>
      <c r="Y22" s="146">
        <v>0.79</v>
      </c>
      <c r="Z22" s="121" t="s">
        <v>251</v>
      </c>
      <c r="AA22" s="126">
        <v>0.82</v>
      </c>
      <c r="AB22" s="147" t="s">
        <v>251</v>
      </c>
      <c r="AC22" s="121" t="s">
        <v>61</v>
      </c>
      <c r="AD22" s="121" t="s">
        <v>61</v>
      </c>
      <c r="AE22" s="126">
        <v>0.74</v>
      </c>
      <c r="AF22" s="147" t="s">
        <v>251</v>
      </c>
      <c r="AG22" s="146">
        <v>0.89</v>
      </c>
      <c r="AH22" s="121" t="s">
        <v>198</v>
      </c>
      <c r="AI22" s="126">
        <v>0.87</v>
      </c>
      <c r="AJ22" s="121" t="s">
        <v>198</v>
      </c>
      <c r="AK22" s="121" t="s">
        <v>61</v>
      </c>
      <c r="AL22" s="121" t="s">
        <v>61</v>
      </c>
      <c r="AM22" s="126">
        <v>0.76</v>
      </c>
      <c r="AN22" s="121" t="s">
        <v>251</v>
      </c>
      <c r="AO22" s="146">
        <v>0.86</v>
      </c>
      <c r="AP22" s="121" t="s">
        <v>198</v>
      </c>
      <c r="AQ22" s="146">
        <v>0.85</v>
      </c>
      <c r="AR22" s="121" t="s">
        <v>198</v>
      </c>
      <c r="AS22" s="121" t="s">
        <v>6</v>
      </c>
      <c r="AT22" s="121" t="s">
        <v>6</v>
      </c>
      <c r="AU22" s="146">
        <v>0.83</v>
      </c>
      <c r="AV22" s="121" t="s">
        <v>251</v>
      </c>
      <c r="AW22" s="128">
        <v>0.74747474747474751</v>
      </c>
      <c r="AX22" s="121" t="s">
        <v>251</v>
      </c>
      <c r="AY22" s="121" t="s">
        <v>61</v>
      </c>
      <c r="AZ22" s="121" t="s">
        <v>61</v>
      </c>
      <c r="BA22" s="121" t="s">
        <v>61</v>
      </c>
      <c r="BB22" s="121" t="s">
        <v>61</v>
      </c>
      <c r="BC22" s="121" t="s">
        <v>61</v>
      </c>
      <c r="BD22" s="121" t="s">
        <v>6</v>
      </c>
      <c r="BE22" s="431">
        <v>0.86274509803921573</v>
      </c>
      <c r="BF22" s="431" t="s">
        <v>198</v>
      </c>
      <c r="BG22" s="431">
        <v>0.90058479532163738</v>
      </c>
      <c r="BH22" s="431" t="s">
        <v>198</v>
      </c>
      <c r="BI22" s="431">
        <v>0.84026622296173048</v>
      </c>
      <c r="BJ22" s="431" t="s">
        <v>198</v>
      </c>
      <c r="BK22" s="121" t="s">
        <v>61</v>
      </c>
      <c r="BL22" s="121" t="str">
        <f>IF(BK22="NA","NA",IF(BK22="Not Reported","Not Reported",IF(BK22&lt;$L$22,"Not Met","Met")))</f>
        <v>Not Reported</v>
      </c>
      <c r="BM22" s="121" t="s">
        <v>61</v>
      </c>
      <c r="BN22" s="121" t="str">
        <f>IF(BM22="NA","NA",IF(BM22="Not Reported","Not Reported",IF(BM22&lt;$L$22,"Not Met","Met")))</f>
        <v>Not Reported</v>
      </c>
      <c r="BO22" s="121" t="s">
        <v>61</v>
      </c>
      <c r="BP22" s="121" t="s">
        <v>61</v>
      </c>
      <c r="BQ22" s="121" t="s">
        <v>61</v>
      </c>
      <c r="BR22" s="121" t="s">
        <v>61</v>
      </c>
      <c r="BS22" s="315">
        <v>0.6</v>
      </c>
      <c r="BT22" s="121" t="str">
        <f>IF(BS22="NA","NA",IF(BS22="Not Reported","Not Reported",IF(BS22&lt;$L$22,"Not Met","Met")))</f>
        <v>Not Met</v>
      </c>
      <c r="BU22" s="13">
        <v>0.78</v>
      </c>
      <c r="BV22" s="121" t="str">
        <f>IF(BU22="NA","NA",IF(BU22="Not Reported","Not Reported",IF(BU22&lt;$L$22,"Not Met","Met")))</f>
        <v>Not Met</v>
      </c>
    </row>
    <row r="23" spans="1:74" x14ac:dyDescent="0.25">
      <c r="A23" s="121">
        <v>22</v>
      </c>
      <c r="B23" s="123" t="s">
        <v>34</v>
      </c>
      <c r="C23" s="122" t="s">
        <v>903</v>
      </c>
      <c r="D23" s="123" t="s">
        <v>299</v>
      </c>
      <c r="E23" s="123" t="s">
        <v>899</v>
      </c>
      <c r="F23" s="123" t="s">
        <v>300</v>
      </c>
      <c r="G23" s="123" t="s">
        <v>191</v>
      </c>
      <c r="H23" s="122" t="s">
        <v>192</v>
      </c>
      <c r="I23" s="124" t="s">
        <v>213</v>
      </c>
      <c r="J23" s="124" t="s">
        <v>214</v>
      </c>
      <c r="K23" s="122" t="s">
        <v>213</v>
      </c>
      <c r="L23" s="147" t="s">
        <v>888</v>
      </c>
      <c r="M23" s="146" t="s">
        <v>309</v>
      </c>
      <c r="N23" s="122" t="s">
        <v>310</v>
      </c>
      <c r="O23" s="122" t="s">
        <v>304</v>
      </c>
      <c r="P23" s="123" t="s">
        <v>207</v>
      </c>
      <c r="Q23" s="126">
        <v>0.71</v>
      </c>
      <c r="R23" s="147" t="s">
        <v>251</v>
      </c>
      <c r="S23" s="146">
        <v>1</v>
      </c>
      <c r="T23" s="121" t="s">
        <v>198</v>
      </c>
      <c r="U23" s="126">
        <v>0.88</v>
      </c>
      <c r="V23" s="121" t="s">
        <v>198</v>
      </c>
      <c r="W23" s="126">
        <v>0.91</v>
      </c>
      <c r="X23" s="121" t="s">
        <v>198</v>
      </c>
      <c r="Y23" s="126">
        <v>0.85</v>
      </c>
      <c r="Z23" s="121" t="s">
        <v>198</v>
      </c>
      <c r="AA23" s="126">
        <v>0.67</v>
      </c>
      <c r="AB23" s="147" t="s">
        <v>251</v>
      </c>
      <c r="AC23" s="121" t="s">
        <v>61</v>
      </c>
      <c r="AD23" s="121" t="s">
        <v>61</v>
      </c>
      <c r="AE23" s="126">
        <v>1</v>
      </c>
      <c r="AF23" s="121" t="s">
        <v>198</v>
      </c>
      <c r="AG23" s="146">
        <v>0.9</v>
      </c>
      <c r="AH23" s="121" t="s">
        <v>198</v>
      </c>
      <c r="AI23" s="126">
        <v>0.83</v>
      </c>
      <c r="AJ23" s="147" t="s">
        <v>251</v>
      </c>
      <c r="AK23" s="121" t="s">
        <v>61</v>
      </c>
      <c r="AL23" s="121" t="s">
        <v>61</v>
      </c>
      <c r="AM23" s="126">
        <v>0.83</v>
      </c>
      <c r="AN23" s="121" t="s">
        <v>251</v>
      </c>
      <c r="AO23" s="146">
        <v>1</v>
      </c>
      <c r="AP23" s="121" t="s">
        <v>198</v>
      </c>
      <c r="AQ23" s="146">
        <v>0.56999999999999995</v>
      </c>
      <c r="AR23" s="121" t="s">
        <v>251</v>
      </c>
      <c r="AS23" s="121" t="s">
        <v>6</v>
      </c>
      <c r="AT23" s="121" t="s">
        <v>6</v>
      </c>
      <c r="AU23" s="146">
        <v>0.67</v>
      </c>
      <c r="AV23" s="121" t="s">
        <v>251</v>
      </c>
      <c r="AW23" s="128">
        <v>0.5</v>
      </c>
      <c r="AX23" s="121" t="s">
        <v>251</v>
      </c>
      <c r="AY23" s="121" t="s">
        <v>61</v>
      </c>
      <c r="AZ23" s="121" t="s">
        <v>61</v>
      </c>
      <c r="BA23" s="121" t="s">
        <v>61</v>
      </c>
      <c r="BB23" s="121" t="s">
        <v>61</v>
      </c>
      <c r="BC23" s="121" t="s">
        <v>61</v>
      </c>
      <c r="BD23" s="121" t="s">
        <v>6</v>
      </c>
      <c r="BE23" s="431">
        <v>0.75</v>
      </c>
      <c r="BF23" s="431" t="s">
        <v>251</v>
      </c>
      <c r="BG23" s="431">
        <v>0.7857142857142857</v>
      </c>
      <c r="BH23" s="431" t="s">
        <v>251</v>
      </c>
      <c r="BI23" s="431">
        <v>0.6607142857142857</v>
      </c>
      <c r="BJ23" s="431" t="s">
        <v>251</v>
      </c>
      <c r="BK23" s="121" t="s">
        <v>61</v>
      </c>
      <c r="BL23" s="121" t="str">
        <f>IF(BK23="NA","NA",IF(BK23="Not Reported","Not Reported",IF(BK23&lt;$L$23,"Not Met","Met")))</f>
        <v>Not Reported</v>
      </c>
      <c r="BM23" s="121" t="s">
        <v>61</v>
      </c>
      <c r="BN23" s="121" t="str">
        <f>IF(BM23="NA","NA",IF(BM23="Not Reported","Not Reported",IF(BM23&lt;$L$23,"Not Met","Met")))</f>
        <v>Not Reported</v>
      </c>
      <c r="BO23" s="121" t="s">
        <v>61</v>
      </c>
      <c r="BP23" s="121" t="s">
        <v>61</v>
      </c>
      <c r="BQ23" s="121" t="s">
        <v>61</v>
      </c>
      <c r="BR23" s="121" t="s">
        <v>61</v>
      </c>
      <c r="BS23" s="315">
        <v>0.75</v>
      </c>
      <c r="BT23" s="121" t="str">
        <f>IF(BS23="NA","NA",IF(BS23="Not Reported","Not Reported",IF(BS23&lt;$L$23,"Not Met","Met")))</f>
        <v>Not Met</v>
      </c>
      <c r="BU23" s="13">
        <v>0.61</v>
      </c>
      <c r="BV23" s="121" t="str">
        <f>IF(BU23="NA","NA",IF(BU23="Not Reported","Not Reported",IF(BU23&lt;$L$23,"Not Met","Met")))</f>
        <v>Not Met</v>
      </c>
    </row>
    <row r="24" spans="1:74" ht="14.45" customHeight="1" x14ac:dyDescent="0.2">
      <c r="A24" s="121">
        <v>23</v>
      </c>
      <c r="B24" s="123" t="s">
        <v>34</v>
      </c>
      <c r="C24" s="122" t="s">
        <v>903</v>
      </c>
      <c r="D24" s="123" t="s">
        <v>299</v>
      </c>
      <c r="E24" s="123" t="s">
        <v>899</v>
      </c>
      <c r="F24" s="123" t="s">
        <v>300</v>
      </c>
      <c r="G24" s="122" t="s">
        <v>273</v>
      </c>
      <c r="H24" s="122" t="s">
        <v>192</v>
      </c>
      <c r="I24" s="124" t="s">
        <v>289</v>
      </c>
      <c r="J24" s="124" t="s">
        <v>285</v>
      </c>
      <c r="K24" s="145" t="s">
        <v>289</v>
      </c>
      <c r="L24" s="148" t="s">
        <v>311</v>
      </c>
      <c r="M24" s="148" t="s">
        <v>311</v>
      </c>
      <c r="N24" s="149" t="s">
        <v>290</v>
      </c>
      <c r="O24" s="149" t="s">
        <v>291</v>
      </c>
      <c r="P24" s="123" t="s">
        <v>207</v>
      </c>
      <c r="Q24" s="148" t="s">
        <v>311</v>
      </c>
      <c r="R24" s="121" t="s">
        <v>198</v>
      </c>
      <c r="S24" s="148" t="s">
        <v>312</v>
      </c>
      <c r="T24" s="121" t="s">
        <v>198</v>
      </c>
      <c r="U24" s="150" t="s">
        <v>312</v>
      </c>
      <c r="V24" s="121" t="s">
        <v>198</v>
      </c>
      <c r="W24" s="150" t="s">
        <v>312</v>
      </c>
      <c r="X24" s="121" t="s">
        <v>198</v>
      </c>
      <c r="Y24" s="148" t="s">
        <v>312</v>
      </c>
      <c r="Z24" s="121" t="s">
        <v>198</v>
      </c>
      <c r="AA24" s="151">
        <v>4.5138888888888888E-2</v>
      </c>
      <c r="AB24" s="121" t="s">
        <v>198</v>
      </c>
      <c r="AC24" s="121" t="s">
        <v>61</v>
      </c>
      <c r="AD24" s="121" t="s">
        <v>61</v>
      </c>
      <c r="AE24" s="148" t="s">
        <v>311</v>
      </c>
      <c r="AF24" s="121" t="s">
        <v>198</v>
      </c>
      <c r="AG24" s="148" t="s">
        <v>312</v>
      </c>
      <c r="AH24" s="121" t="s">
        <v>198</v>
      </c>
      <c r="AI24" s="148" t="s">
        <v>312</v>
      </c>
      <c r="AJ24" s="121" t="s">
        <v>198</v>
      </c>
      <c r="AK24" s="121" t="s">
        <v>61</v>
      </c>
      <c r="AL24" s="121" t="s">
        <v>61</v>
      </c>
      <c r="AM24" s="148" t="s">
        <v>312</v>
      </c>
      <c r="AN24" s="121" t="s">
        <v>198</v>
      </c>
      <c r="AO24" s="148" t="s">
        <v>312</v>
      </c>
      <c r="AP24" s="121" t="s">
        <v>198</v>
      </c>
      <c r="AQ24" s="152">
        <v>4.5138888888888888E-2</v>
      </c>
      <c r="AR24" s="121" t="s">
        <v>198</v>
      </c>
      <c r="AS24" s="121" t="s">
        <v>6</v>
      </c>
      <c r="AT24" s="121" t="s">
        <v>6</v>
      </c>
      <c r="AU24" s="152">
        <v>4.5138888888888888E-2</v>
      </c>
      <c r="AV24" s="121" t="s">
        <v>198</v>
      </c>
      <c r="AW24" s="152">
        <v>4.5138888888888888E-2</v>
      </c>
      <c r="AX24" s="121" t="s">
        <v>198</v>
      </c>
      <c r="AY24" s="121" t="s">
        <v>61</v>
      </c>
      <c r="AZ24" s="121" t="s">
        <v>61</v>
      </c>
      <c r="BA24" s="121" t="s">
        <v>61</v>
      </c>
      <c r="BB24" s="121" t="s">
        <v>61</v>
      </c>
      <c r="BC24" s="121" t="s">
        <v>61</v>
      </c>
      <c r="BD24" s="121" t="s">
        <v>6</v>
      </c>
      <c r="BE24" s="432">
        <v>4.7222222222222221E-2</v>
      </c>
      <c r="BF24" s="432" t="s">
        <v>198</v>
      </c>
      <c r="BG24" s="433">
        <v>4.7222222222222221E-2</v>
      </c>
      <c r="BH24" s="433" t="s">
        <v>198</v>
      </c>
      <c r="BI24" s="432">
        <v>4.7222222222222221E-2</v>
      </c>
      <c r="BJ24" s="433" t="s">
        <v>198</v>
      </c>
      <c r="BK24" s="121" t="s">
        <v>61</v>
      </c>
      <c r="BL24" s="174" t="str">
        <f>IF(BK24="NA","NA",IF(BK24="Not Reported","Not Reported",IF(BK24&gt;$L$24,"Not Met","Met")))</f>
        <v>Not Reported</v>
      </c>
      <c r="BM24" s="121" t="s">
        <v>61</v>
      </c>
      <c r="BN24" s="162" t="str">
        <f>IF(BM24="NA","NA",IF(BM24="Not Reported","Not Reported",IF(BM24&gt;$L$24,"Not Met","Met")))</f>
        <v>Not Reported</v>
      </c>
      <c r="BO24" s="121" t="s">
        <v>61</v>
      </c>
      <c r="BP24" s="162" t="s">
        <v>61</v>
      </c>
      <c r="BQ24" s="121" t="s">
        <v>61</v>
      </c>
      <c r="BR24" s="162" t="s">
        <v>61</v>
      </c>
      <c r="BS24" s="320">
        <v>4.791666666666667E-2</v>
      </c>
      <c r="BT24" s="162" t="str">
        <f>IF(BS24="NA","NA",IF(BS24="Not Reported","Not Reported",IF(BS24&gt;$L$24,"Not Met","Met")))</f>
        <v>Met</v>
      </c>
      <c r="BU24" s="311">
        <v>4.791666666666667E-2</v>
      </c>
      <c r="BV24" s="162" t="str">
        <f>IF(BU24="NA","NA",IF(BU24="Not Reported","Not Reported",IF(BU24&gt;$L$24,"Not Met","Met")))</f>
        <v>Met</v>
      </c>
    </row>
    <row r="25" spans="1:74" x14ac:dyDescent="0.25">
      <c r="A25" s="121">
        <v>24</v>
      </c>
      <c r="B25" s="123" t="s">
        <v>34</v>
      </c>
      <c r="C25" s="122" t="s">
        <v>903</v>
      </c>
      <c r="D25" s="123" t="s">
        <v>299</v>
      </c>
      <c r="E25" s="123" t="s">
        <v>899</v>
      </c>
      <c r="F25" s="123" t="s">
        <v>300</v>
      </c>
      <c r="G25" s="123" t="s">
        <v>191</v>
      </c>
      <c r="H25" s="122" t="s">
        <v>192</v>
      </c>
      <c r="I25" s="124" t="s">
        <v>313</v>
      </c>
      <c r="J25" s="124" t="s">
        <v>313</v>
      </c>
      <c r="K25" s="122" t="s">
        <v>314</v>
      </c>
      <c r="L25" s="146">
        <v>0.5</v>
      </c>
      <c r="M25" s="146" t="s">
        <v>315</v>
      </c>
      <c r="N25" s="122" t="s">
        <v>316</v>
      </c>
      <c r="O25" s="122" t="s">
        <v>317</v>
      </c>
      <c r="P25" s="123" t="s">
        <v>207</v>
      </c>
      <c r="Q25" s="146">
        <v>0.54</v>
      </c>
      <c r="R25" s="121" t="s">
        <v>198</v>
      </c>
      <c r="S25" s="126">
        <v>0.55000000000000004</v>
      </c>
      <c r="T25" s="121" t="s">
        <v>198</v>
      </c>
      <c r="U25" s="128">
        <v>0.49</v>
      </c>
      <c r="V25" s="147" t="s">
        <v>251</v>
      </c>
      <c r="W25" s="146">
        <v>0.65</v>
      </c>
      <c r="X25" s="121" t="s">
        <v>198</v>
      </c>
      <c r="Y25" s="126">
        <v>0.88</v>
      </c>
      <c r="Z25" s="121" t="s">
        <v>198</v>
      </c>
      <c r="AA25" s="126">
        <v>0.69</v>
      </c>
      <c r="AB25" s="121" t="s">
        <v>198</v>
      </c>
      <c r="AC25" s="121" t="s">
        <v>61</v>
      </c>
      <c r="AD25" s="121" t="s">
        <v>61</v>
      </c>
      <c r="AE25" s="126">
        <v>0.57999999999999996</v>
      </c>
      <c r="AF25" s="121" t="s">
        <v>198</v>
      </c>
      <c r="AG25" s="146">
        <v>0.53</v>
      </c>
      <c r="AH25" s="121" t="s">
        <v>198</v>
      </c>
      <c r="AI25" s="126">
        <v>0.5</v>
      </c>
      <c r="AJ25" s="121" t="s">
        <v>198</v>
      </c>
      <c r="AK25" s="121" t="s">
        <v>61</v>
      </c>
      <c r="AL25" s="121" t="s">
        <v>61</v>
      </c>
      <c r="AM25" s="126">
        <v>0.55000000000000004</v>
      </c>
      <c r="AN25" s="121" t="s">
        <v>198</v>
      </c>
      <c r="AO25" s="126">
        <v>0.54</v>
      </c>
      <c r="AP25" s="121" t="s">
        <v>198</v>
      </c>
      <c r="AQ25" s="146">
        <v>0.52</v>
      </c>
      <c r="AR25" s="121" t="s">
        <v>198</v>
      </c>
      <c r="AS25" s="121" t="s">
        <v>6</v>
      </c>
      <c r="AT25" s="121" t="s">
        <v>6</v>
      </c>
      <c r="AU25" s="146">
        <v>0.56000000000000005</v>
      </c>
      <c r="AV25" s="121" t="s">
        <v>198</v>
      </c>
      <c r="AW25" s="146">
        <v>0.46</v>
      </c>
      <c r="AX25" s="121" t="s">
        <v>251</v>
      </c>
      <c r="AY25" s="121" t="s">
        <v>61</v>
      </c>
      <c r="AZ25" s="121" t="s">
        <v>61</v>
      </c>
      <c r="BA25" s="121" t="s">
        <v>61</v>
      </c>
      <c r="BB25" s="121" t="s">
        <v>61</v>
      </c>
      <c r="BC25" s="121" t="s">
        <v>61</v>
      </c>
      <c r="BD25" s="121" t="s">
        <v>6</v>
      </c>
      <c r="BE25" s="431">
        <v>0.57517899761336511</v>
      </c>
      <c r="BF25" s="431" t="s">
        <v>198</v>
      </c>
      <c r="BG25" s="431">
        <v>0.60887656033287096</v>
      </c>
      <c r="BH25" s="431" t="s">
        <v>198</v>
      </c>
      <c r="BI25" s="431">
        <v>0.48787878787878786</v>
      </c>
      <c r="BJ25" s="431" t="s">
        <v>251</v>
      </c>
      <c r="BK25" s="121" t="s">
        <v>61</v>
      </c>
      <c r="BL25" s="121" t="str">
        <f>IF(BK25="NA","NA",IF(BK25="Not Reported","Not Reported",IF(BK25&lt;$L$25,"Not Met","Met")))</f>
        <v>Not Reported</v>
      </c>
      <c r="BM25" s="121" t="s">
        <v>61</v>
      </c>
      <c r="BN25" s="121" t="str">
        <f>IF(BM25="NA","NA",IF(BM25="Not Reported","Not Reported",IF(BM25&lt;$L$25,"Not Met","Met")))</f>
        <v>Not Reported</v>
      </c>
      <c r="BO25" s="121" t="s">
        <v>61</v>
      </c>
      <c r="BP25" s="121" t="s">
        <v>61</v>
      </c>
      <c r="BQ25" s="121" t="s">
        <v>61</v>
      </c>
      <c r="BR25" s="121" t="s">
        <v>61</v>
      </c>
      <c r="BS25" s="315">
        <v>7.0000000000000007E-2</v>
      </c>
      <c r="BT25" s="121" t="str">
        <f>IF(BS25="NA","NA",IF(BS25="Not Reported","Not Reported",IF(BS25&lt;$L$25,"Not Met","Met")))</f>
        <v>Not Met</v>
      </c>
      <c r="BU25" s="310">
        <v>0.23</v>
      </c>
      <c r="BV25" s="121" t="str">
        <f>IF(BU25="NA","NA",IF(BU25="Not Reported","Not Reported",IF(BU25&lt;$L$25,"Not Met","Met")))</f>
        <v>Not Met</v>
      </c>
    </row>
    <row r="26" spans="1:74" x14ac:dyDescent="0.2">
      <c r="A26" s="121">
        <v>25</v>
      </c>
      <c r="B26" s="123" t="s">
        <v>34</v>
      </c>
      <c r="C26" s="122" t="s">
        <v>903</v>
      </c>
      <c r="D26" s="123" t="s">
        <v>299</v>
      </c>
      <c r="E26" s="123" t="s">
        <v>899</v>
      </c>
      <c r="F26" s="123" t="s">
        <v>300</v>
      </c>
      <c r="G26" s="123" t="s">
        <v>191</v>
      </c>
      <c r="H26" s="122" t="s">
        <v>192</v>
      </c>
      <c r="I26" s="124" t="s">
        <v>268</v>
      </c>
      <c r="J26" s="124" t="s">
        <v>269</v>
      </c>
      <c r="K26" s="122" t="s">
        <v>318</v>
      </c>
      <c r="L26" s="146" t="s">
        <v>319</v>
      </c>
      <c r="M26" s="146" t="s">
        <v>319</v>
      </c>
      <c r="N26" s="122" t="s">
        <v>320</v>
      </c>
      <c r="O26" s="122" t="s">
        <v>321</v>
      </c>
      <c r="P26" s="123" t="s">
        <v>207</v>
      </c>
      <c r="Q26" s="127" t="s">
        <v>11</v>
      </c>
      <c r="R26" s="128" t="s">
        <v>11</v>
      </c>
      <c r="S26" s="128" t="s">
        <v>11</v>
      </c>
      <c r="T26" s="128" t="s">
        <v>11</v>
      </c>
      <c r="U26" s="128" t="s">
        <v>322</v>
      </c>
      <c r="V26" s="128" t="s">
        <v>322</v>
      </c>
      <c r="W26" s="128" t="s">
        <v>6</v>
      </c>
      <c r="X26" s="143" t="s">
        <v>61</v>
      </c>
      <c r="Y26" s="127" t="s">
        <v>11</v>
      </c>
      <c r="Z26" s="127" t="s">
        <v>11</v>
      </c>
      <c r="AA26" s="127" t="s">
        <v>11</v>
      </c>
      <c r="AB26" s="128" t="s">
        <v>11</v>
      </c>
      <c r="AC26" s="127" t="s">
        <v>11</v>
      </c>
      <c r="AD26" s="127" t="s">
        <v>11</v>
      </c>
      <c r="AE26" s="127" t="s">
        <v>11</v>
      </c>
      <c r="AF26" s="128" t="s">
        <v>11</v>
      </c>
      <c r="AG26" s="128" t="s">
        <v>11</v>
      </c>
      <c r="AH26" s="128" t="s">
        <v>11</v>
      </c>
      <c r="AI26" s="128" t="s">
        <v>11</v>
      </c>
      <c r="AJ26" s="128" t="s">
        <v>11</v>
      </c>
      <c r="AK26" s="121" t="s">
        <v>11</v>
      </c>
      <c r="AL26" s="128" t="s">
        <v>11</v>
      </c>
      <c r="AM26" s="153">
        <v>4.7</v>
      </c>
      <c r="AN26" s="121" t="s">
        <v>198</v>
      </c>
      <c r="AO26" s="153">
        <v>4.2</v>
      </c>
      <c r="AP26" s="121" t="s">
        <v>198</v>
      </c>
      <c r="AQ26" s="153">
        <v>4.2</v>
      </c>
      <c r="AR26" s="121" t="s">
        <v>198</v>
      </c>
      <c r="AS26" s="121" t="s">
        <v>6</v>
      </c>
      <c r="AT26" s="121" t="s">
        <v>6</v>
      </c>
      <c r="AU26" s="121" t="s">
        <v>323</v>
      </c>
      <c r="AV26" s="121" t="s">
        <v>323</v>
      </c>
      <c r="AW26" s="128" t="s">
        <v>11</v>
      </c>
      <c r="AX26" s="128" t="s">
        <v>11</v>
      </c>
      <c r="AY26" s="121" t="s">
        <v>61</v>
      </c>
      <c r="AZ26" s="121" t="s">
        <v>61</v>
      </c>
      <c r="BA26" s="121" t="s">
        <v>61</v>
      </c>
      <c r="BB26" s="121" t="s">
        <v>61</v>
      </c>
      <c r="BC26" s="121" t="s">
        <v>61</v>
      </c>
      <c r="BD26" s="121" t="s">
        <v>6</v>
      </c>
      <c r="BE26" s="434" t="s">
        <v>107</v>
      </c>
      <c r="BF26" s="434" t="s">
        <v>11</v>
      </c>
      <c r="BG26" s="434" t="s">
        <v>107</v>
      </c>
      <c r="BH26" s="434" t="s">
        <v>11</v>
      </c>
      <c r="BI26" s="434" t="s">
        <v>107</v>
      </c>
      <c r="BJ26" s="434" t="s">
        <v>11</v>
      </c>
      <c r="BK26" s="121" t="s">
        <v>61</v>
      </c>
      <c r="BL26" s="174" t="str">
        <f>IF(BK26="NA","NA",IF(BK26="Not Reported","Not Reported",IF(BK26&lt;$L$26,"Not Met","Met")))</f>
        <v>Not Reported</v>
      </c>
      <c r="BM26" s="121" t="s">
        <v>61</v>
      </c>
      <c r="BN26" s="162" t="str">
        <f>IF(BM26="NA","NA",IF(BM26="Not Reported","Not Reported",IF(BM26&lt;$L$26,"Not Met","Met")))</f>
        <v>Not Reported</v>
      </c>
      <c r="BO26" s="121" t="s">
        <v>61</v>
      </c>
      <c r="BP26" s="162" t="s">
        <v>61</v>
      </c>
      <c r="BQ26" s="121" t="s">
        <v>61</v>
      </c>
      <c r="BR26" s="162" t="s">
        <v>61</v>
      </c>
      <c r="BS26" s="13" t="s">
        <v>11</v>
      </c>
      <c r="BT26" s="162" t="str">
        <f>IF(BS26="NA","NA",IF(BS26="Not Reported","Not Reported",IF(BS26&lt;$L$26,"Not Met","Met")))</f>
        <v>NA</v>
      </c>
      <c r="BU26" s="13" t="s">
        <v>11</v>
      </c>
      <c r="BV26" s="162" t="str">
        <f>IF(BU26="NA","NA",IF(BU26="Not Reported","Not Reported",IF(BU26&lt;$L$26,"Not Met","Met")))</f>
        <v>NA</v>
      </c>
    </row>
    <row r="27" spans="1:74" x14ac:dyDescent="0.25">
      <c r="A27" s="121">
        <v>26</v>
      </c>
      <c r="B27" s="123" t="s">
        <v>34</v>
      </c>
      <c r="C27" s="122" t="s">
        <v>903</v>
      </c>
      <c r="D27" s="123" t="s">
        <v>299</v>
      </c>
      <c r="E27" s="123" t="s">
        <v>899</v>
      </c>
      <c r="F27" s="123" t="s">
        <v>300</v>
      </c>
      <c r="G27" s="123" t="s">
        <v>191</v>
      </c>
      <c r="H27" s="122" t="s">
        <v>192</v>
      </c>
      <c r="I27" s="124" t="s">
        <v>257</v>
      </c>
      <c r="J27" s="124" t="s">
        <v>258</v>
      </c>
      <c r="K27" s="123" t="s">
        <v>259</v>
      </c>
      <c r="L27" s="146">
        <v>0.15</v>
      </c>
      <c r="M27" s="146">
        <v>0.15</v>
      </c>
      <c r="N27" s="122" t="s">
        <v>324</v>
      </c>
      <c r="O27" s="122" t="s">
        <v>325</v>
      </c>
      <c r="P27" s="123" t="s">
        <v>207</v>
      </c>
      <c r="Q27" s="146">
        <v>0.09</v>
      </c>
      <c r="R27" s="147" t="s">
        <v>251</v>
      </c>
      <c r="S27" s="146">
        <v>0.11</v>
      </c>
      <c r="T27" s="147" t="s">
        <v>251</v>
      </c>
      <c r="U27" s="146">
        <v>0.14000000000000001</v>
      </c>
      <c r="V27" s="147" t="s">
        <v>251</v>
      </c>
      <c r="W27" s="146">
        <v>0.13</v>
      </c>
      <c r="X27" s="147" t="s">
        <v>251</v>
      </c>
      <c r="Y27" s="146">
        <v>0.16</v>
      </c>
      <c r="Z27" s="121" t="s">
        <v>198</v>
      </c>
      <c r="AA27" s="126">
        <v>0.19</v>
      </c>
      <c r="AB27" s="121" t="s">
        <v>198</v>
      </c>
      <c r="AC27" s="121" t="s">
        <v>61</v>
      </c>
      <c r="AD27" s="121" t="s">
        <v>61</v>
      </c>
      <c r="AE27" s="126">
        <v>0.21</v>
      </c>
      <c r="AF27" s="121" t="s">
        <v>198</v>
      </c>
      <c r="AG27" s="126">
        <v>0.2</v>
      </c>
      <c r="AH27" s="121" t="s">
        <v>198</v>
      </c>
      <c r="AI27" s="126">
        <v>0.2</v>
      </c>
      <c r="AJ27" s="121" t="s">
        <v>198</v>
      </c>
      <c r="AK27" s="121" t="s">
        <v>61</v>
      </c>
      <c r="AL27" s="121" t="s">
        <v>61</v>
      </c>
      <c r="AM27" s="126">
        <v>0.19</v>
      </c>
      <c r="AN27" s="121" t="s">
        <v>198</v>
      </c>
      <c r="AO27" s="126">
        <v>0.17</v>
      </c>
      <c r="AP27" s="121" t="s">
        <v>198</v>
      </c>
      <c r="AQ27" s="146">
        <v>0.16</v>
      </c>
      <c r="AR27" s="121" t="s">
        <v>198</v>
      </c>
      <c r="AS27" s="121" t="s">
        <v>6</v>
      </c>
      <c r="AT27" s="121" t="s">
        <v>6</v>
      </c>
      <c r="AU27" s="126">
        <v>0.15</v>
      </c>
      <c r="AV27" s="121" t="s">
        <v>198</v>
      </c>
      <c r="AW27" s="146">
        <f>29/179</f>
        <v>0.16201117318435754</v>
      </c>
      <c r="AX27" s="121" t="s">
        <v>198</v>
      </c>
      <c r="AY27" s="121" t="s">
        <v>61</v>
      </c>
      <c r="AZ27" s="121" t="s">
        <v>61</v>
      </c>
      <c r="BA27" s="121" t="s">
        <v>61</v>
      </c>
      <c r="BB27" s="121" t="s">
        <v>61</v>
      </c>
      <c r="BC27" s="121" t="s">
        <v>61</v>
      </c>
      <c r="BD27" s="121" t="s">
        <v>6</v>
      </c>
      <c r="BE27" s="431">
        <v>0.11961722488038277</v>
      </c>
      <c r="BF27" s="431" t="s">
        <v>251</v>
      </c>
      <c r="BG27" s="431">
        <v>0.15186246418338109</v>
      </c>
      <c r="BH27" s="431" t="s">
        <v>198</v>
      </c>
      <c r="BI27" s="431">
        <v>0.13613684960798289</v>
      </c>
      <c r="BJ27" s="431" t="s">
        <v>251</v>
      </c>
      <c r="BK27" s="121" t="s">
        <v>61</v>
      </c>
      <c r="BL27" s="121" t="str">
        <f>IF(BK27="NA","NA",IF(BK27="Not Reported","Not Reported",IF(BK27&lt;$L$27,"Not Met","Met")))</f>
        <v>Not Reported</v>
      </c>
      <c r="BM27" s="121" t="s">
        <v>61</v>
      </c>
      <c r="BN27" s="121" t="str">
        <f>IF(BM27="NA","NA",IF(BM27="Not Reported","Not Reported",IF(BM27&lt;$L$27,"Not Met","Met")))</f>
        <v>Not Reported</v>
      </c>
      <c r="BO27" s="121" t="s">
        <v>61</v>
      </c>
      <c r="BP27" s="121" t="s">
        <v>61</v>
      </c>
      <c r="BQ27" s="121" t="s">
        <v>61</v>
      </c>
      <c r="BR27" s="121" t="s">
        <v>61</v>
      </c>
      <c r="BS27" s="315">
        <v>0.15</v>
      </c>
      <c r="BT27" s="121" t="str">
        <f>IF(BS27="NA","NA",IF(BS27="Not Reported","Not Reported",IF(BS27&lt;$L$27,"Not Met","Met")))</f>
        <v>Met</v>
      </c>
      <c r="BU27" s="310">
        <v>0.14238410596026491</v>
      </c>
      <c r="BV27" s="121" t="str">
        <f>IF(BU27="NA","NA",IF(BU27="Not Reported","Not Reported",IF(BU27&lt;$L$27,"Not Met","Met")))</f>
        <v>Not Met</v>
      </c>
    </row>
    <row r="28" spans="1:74" x14ac:dyDescent="0.25">
      <c r="A28" s="121">
        <v>27</v>
      </c>
      <c r="B28" s="123" t="s">
        <v>34</v>
      </c>
      <c r="C28" s="122" t="s">
        <v>903</v>
      </c>
      <c r="D28" s="123" t="s">
        <v>299</v>
      </c>
      <c r="E28" s="123" t="s">
        <v>899</v>
      </c>
      <c r="F28" s="123" t="s">
        <v>300</v>
      </c>
      <c r="G28" s="122" t="s">
        <v>273</v>
      </c>
      <c r="H28" s="122" t="s">
        <v>192</v>
      </c>
      <c r="I28" s="124" t="s">
        <v>292</v>
      </c>
      <c r="J28" s="124" t="s">
        <v>293</v>
      </c>
      <c r="K28" s="122" t="s">
        <v>292</v>
      </c>
      <c r="L28" s="146">
        <v>0.15</v>
      </c>
      <c r="M28" s="146">
        <v>0.15</v>
      </c>
      <c r="N28" s="122" t="s">
        <v>294</v>
      </c>
      <c r="O28" s="122" t="s">
        <v>295</v>
      </c>
      <c r="P28" s="123" t="s">
        <v>207</v>
      </c>
      <c r="Q28" s="126">
        <v>0.03</v>
      </c>
      <c r="R28" s="121" t="s">
        <v>198</v>
      </c>
      <c r="S28" s="126">
        <v>0.03</v>
      </c>
      <c r="T28" s="121" t="s">
        <v>198</v>
      </c>
      <c r="U28" s="126">
        <v>0.02</v>
      </c>
      <c r="V28" s="121" t="s">
        <v>198</v>
      </c>
      <c r="W28" s="126">
        <v>0.02</v>
      </c>
      <c r="X28" s="121" t="s">
        <v>198</v>
      </c>
      <c r="Y28" s="126">
        <v>0.02</v>
      </c>
      <c r="Z28" s="121" t="s">
        <v>198</v>
      </c>
      <c r="AA28" s="126">
        <v>0</v>
      </c>
      <c r="AB28" s="121" t="s">
        <v>198</v>
      </c>
      <c r="AC28" s="121" t="s">
        <v>61</v>
      </c>
      <c r="AD28" s="121" t="s">
        <v>61</v>
      </c>
      <c r="AE28" s="126">
        <v>0.02</v>
      </c>
      <c r="AF28" s="121" t="s">
        <v>198</v>
      </c>
      <c r="AG28" s="126">
        <v>0.01</v>
      </c>
      <c r="AH28" s="121" t="s">
        <v>198</v>
      </c>
      <c r="AI28" s="126">
        <v>0.01</v>
      </c>
      <c r="AJ28" s="121" t="s">
        <v>198</v>
      </c>
      <c r="AK28" s="121" t="s">
        <v>61</v>
      </c>
      <c r="AL28" s="121" t="s">
        <v>61</v>
      </c>
      <c r="AM28" s="126">
        <v>0.01</v>
      </c>
      <c r="AN28" s="121" t="s">
        <v>198</v>
      </c>
      <c r="AO28" s="126">
        <v>0.02</v>
      </c>
      <c r="AP28" s="121" t="s">
        <v>198</v>
      </c>
      <c r="AQ28" s="146">
        <v>0.01</v>
      </c>
      <c r="AR28" s="121" t="s">
        <v>198</v>
      </c>
      <c r="AS28" s="121" t="s">
        <v>6</v>
      </c>
      <c r="AT28" s="121" t="s">
        <v>6</v>
      </c>
      <c r="AU28" s="126">
        <v>0.02</v>
      </c>
      <c r="AV28" s="121" t="s">
        <v>198</v>
      </c>
      <c r="AW28" s="146">
        <v>0.08</v>
      </c>
      <c r="AX28" s="121" t="s">
        <v>251</v>
      </c>
      <c r="AY28" s="121" t="s">
        <v>61</v>
      </c>
      <c r="AZ28" s="121" t="s">
        <v>61</v>
      </c>
      <c r="BA28" s="121" t="s">
        <v>61</v>
      </c>
      <c r="BB28" s="121" t="s">
        <v>61</v>
      </c>
      <c r="BC28" s="121" t="s">
        <v>61</v>
      </c>
      <c r="BD28" s="121" t="s">
        <v>6</v>
      </c>
      <c r="BE28" s="431">
        <v>2.4489795918367346E-2</v>
      </c>
      <c r="BF28" s="431" t="s">
        <v>251</v>
      </c>
      <c r="BG28" s="431">
        <v>2.4489795918367346E-2</v>
      </c>
      <c r="BH28" s="431" t="s">
        <v>251</v>
      </c>
      <c r="BI28" s="434">
        <v>4.3540842029507018E-2</v>
      </c>
      <c r="BJ28" s="431" t="s">
        <v>251</v>
      </c>
      <c r="BK28" s="121" t="s">
        <v>61</v>
      </c>
      <c r="BL28" s="128" t="str">
        <f>IF(BK28="NA","NA",IF(BK28="Not Reported","Not Reported",IF(BK28&gt;$L$28,"Not Met","Met")))</f>
        <v>Not Reported</v>
      </c>
      <c r="BM28" s="121" t="s">
        <v>61</v>
      </c>
      <c r="BN28" s="128" t="str">
        <f>IF(BM28="NA","NA",IF(BM28="Not Reported","Not Reported",IF(BM28&gt;$L$28,"Not Met","Met")))</f>
        <v>Not Reported</v>
      </c>
      <c r="BO28" s="121" t="s">
        <v>61</v>
      </c>
      <c r="BP28" s="128" t="s">
        <v>61</v>
      </c>
      <c r="BQ28" s="121" t="s">
        <v>61</v>
      </c>
      <c r="BR28" s="128" t="s">
        <v>61</v>
      </c>
      <c r="BS28" s="315">
        <v>0.03</v>
      </c>
      <c r="BT28" s="128" t="str">
        <f>IF(BS28="NA","NA",IF(BS28="Not Reported","Not Reported",IF(BS28&gt;$L$28,"Not Met","Met")))</f>
        <v>Met</v>
      </c>
      <c r="BU28" s="310">
        <v>0.06</v>
      </c>
      <c r="BV28" s="128" t="str">
        <f>IF(BU28="NA","NA",IF(BU28="Not Reported","Not Reported",IF(BU28&gt;$L$28,"Not Met","Met")))</f>
        <v>Met</v>
      </c>
    </row>
    <row r="29" spans="1:74" x14ac:dyDescent="0.2">
      <c r="A29" s="121">
        <v>28</v>
      </c>
      <c r="B29" s="123" t="s">
        <v>34</v>
      </c>
      <c r="C29" s="122" t="s">
        <v>903</v>
      </c>
      <c r="D29" s="123" t="s">
        <v>299</v>
      </c>
      <c r="E29" s="123" t="s">
        <v>899</v>
      </c>
      <c r="F29" s="123" t="s">
        <v>300</v>
      </c>
      <c r="G29" s="122" t="s">
        <v>273</v>
      </c>
      <c r="H29" s="122" t="s">
        <v>192</v>
      </c>
      <c r="I29" s="124" t="s">
        <v>246</v>
      </c>
      <c r="J29" s="124" t="s">
        <v>214</v>
      </c>
      <c r="K29" s="122" t="s">
        <v>326</v>
      </c>
      <c r="L29" s="146">
        <v>0.2</v>
      </c>
      <c r="M29" s="146">
        <v>0.2</v>
      </c>
      <c r="N29" s="122" t="s">
        <v>327</v>
      </c>
      <c r="O29" s="122" t="s">
        <v>328</v>
      </c>
      <c r="P29" s="123" t="s">
        <v>207</v>
      </c>
      <c r="Q29" s="126">
        <v>0.18</v>
      </c>
      <c r="R29" s="121" t="s">
        <v>198</v>
      </c>
      <c r="S29" s="126">
        <v>0.18</v>
      </c>
      <c r="T29" s="121" t="s">
        <v>198</v>
      </c>
      <c r="U29" s="126">
        <v>0.18</v>
      </c>
      <c r="V29" s="121" t="s">
        <v>198</v>
      </c>
      <c r="W29" s="126">
        <v>0.16</v>
      </c>
      <c r="X29" s="121" t="s">
        <v>198</v>
      </c>
      <c r="Y29" s="126">
        <v>0.13</v>
      </c>
      <c r="Z29" s="121" t="s">
        <v>198</v>
      </c>
      <c r="AA29" s="126">
        <v>0.15</v>
      </c>
      <c r="AB29" s="121" t="s">
        <v>198</v>
      </c>
      <c r="AC29" s="121" t="s">
        <v>61</v>
      </c>
      <c r="AD29" s="121" t="s">
        <v>61</v>
      </c>
      <c r="AE29" s="126">
        <v>0.12</v>
      </c>
      <c r="AF29" s="121" t="s">
        <v>198</v>
      </c>
      <c r="AG29" s="146">
        <v>7.0000000000000007E-2</v>
      </c>
      <c r="AH29" s="121" t="s">
        <v>198</v>
      </c>
      <c r="AI29" s="126">
        <v>7.0000000000000007E-2</v>
      </c>
      <c r="AJ29" s="121" t="s">
        <v>198</v>
      </c>
      <c r="AK29" s="121" t="s">
        <v>61</v>
      </c>
      <c r="AL29" s="121" t="s">
        <v>61</v>
      </c>
      <c r="AM29" s="126">
        <v>0.09</v>
      </c>
      <c r="AN29" s="121" t="s">
        <v>198</v>
      </c>
      <c r="AO29" s="126">
        <v>0.14000000000000001</v>
      </c>
      <c r="AP29" s="121" t="s">
        <v>198</v>
      </c>
      <c r="AQ29" s="146">
        <v>0.11</v>
      </c>
      <c r="AR29" s="121" t="s">
        <v>198</v>
      </c>
      <c r="AS29" s="121" t="s">
        <v>6</v>
      </c>
      <c r="AT29" s="121" t="s">
        <v>6</v>
      </c>
      <c r="AU29" s="126">
        <v>0.16</v>
      </c>
      <c r="AV29" s="121" t="s">
        <v>198</v>
      </c>
      <c r="AW29" s="146">
        <v>0.13</v>
      </c>
      <c r="AX29" s="121" t="s">
        <v>198</v>
      </c>
      <c r="AY29" s="121" t="s">
        <v>61</v>
      </c>
      <c r="AZ29" s="121" t="s">
        <v>61</v>
      </c>
      <c r="BA29" s="121" t="s">
        <v>61</v>
      </c>
      <c r="BB29" s="121" t="s">
        <v>61</v>
      </c>
      <c r="BC29" s="121" t="s">
        <v>61</v>
      </c>
      <c r="BD29" s="121" t="s">
        <v>6</v>
      </c>
      <c r="BE29" s="434">
        <v>7.3005093378607805E-2</v>
      </c>
      <c r="BF29" s="434" t="s">
        <v>198</v>
      </c>
      <c r="BG29" s="434">
        <v>7.3005093378607805E-2</v>
      </c>
      <c r="BH29" s="434" t="s">
        <v>198</v>
      </c>
      <c r="BI29" s="434">
        <v>7.3005093378607805E-2</v>
      </c>
      <c r="BJ29" s="434" t="s">
        <v>198</v>
      </c>
      <c r="BK29" s="121" t="s">
        <v>61</v>
      </c>
      <c r="BL29" s="174" t="str">
        <f>IF(BK29="NA","NA",IF(BK29="Not Reported","Not Reported",IF(BK29&gt;$L$29,"Not Met","Met")))</f>
        <v>Not Reported</v>
      </c>
      <c r="BM29" s="121" t="s">
        <v>61</v>
      </c>
      <c r="BN29" s="162" t="str">
        <f>IF(BM29="NA","NA",IF(BM29="Not Reported","Not Reported",IF(BM29&gt;$L$29,"Not Met","Met")))</f>
        <v>Not Reported</v>
      </c>
      <c r="BO29" s="121" t="s">
        <v>61</v>
      </c>
      <c r="BP29" s="162" t="s">
        <v>61</v>
      </c>
      <c r="BQ29" s="121" t="s">
        <v>61</v>
      </c>
      <c r="BR29" s="162" t="s">
        <v>61</v>
      </c>
      <c r="BS29" s="315">
        <v>0.1</v>
      </c>
      <c r="BT29" s="162" t="str">
        <f>IF(BS29="NA","NA",IF(BS29="Not Reported","Not Reported",IF(BS29&gt;$L$29,"Not Met","Met")))</f>
        <v>Met</v>
      </c>
      <c r="BU29" s="310">
        <v>0.1</v>
      </c>
      <c r="BV29" s="162" t="str">
        <f>IF(BU29="NA","NA",IF(BU29="Not Reported","Not Reported",IF(BU29&gt;$L$29,"Not Met","Met")))</f>
        <v>Met</v>
      </c>
    </row>
    <row r="30" spans="1:74" ht="15" customHeight="1" x14ac:dyDescent="0.25">
      <c r="A30" s="121">
        <v>29</v>
      </c>
      <c r="B30" s="123" t="s">
        <v>34</v>
      </c>
      <c r="C30" s="122" t="s">
        <v>903</v>
      </c>
      <c r="D30" s="123" t="s">
        <v>299</v>
      </c>
      <c r="E30" s="123" t="s">
        <v>899</v>
      </c>
      <c r="F30" s="123" t="s">
        <v>300</v>
      </c>
      <c r="G30" s="122" t="s">
        <v>273</v>
      </c>
      <c r="H30" s="122" t="s">
        <v>192</v>
      </c>
      <c r="I30" s="124" t="s">
        <v>274</v>
      </c>
      <c r="J30" s="124" t="s">
        <v>214</v>
      </c>
      <c r="K30" s="145" t="s">
        <v>274</v>
      </c>
      <c r="L30" s="130">
        <v>90</v>
      </c>
      <c r="M30" s="128" t="s">
        <v>329</v>
      </c>
      <c r="N30" s="149" t="s">
        <v>276</v>
      </c>
      <c r="O30" s="149" t="s">
        <v>277</v>
      </c>
      <c r="P30" s="123" t="s">
        <v>207</v>
      </c>
      <c r="Q30" s="131" t="s">
        <v>330</v>
      </c>
      <c r="R30" s="121" t="s">
        <v>198</v>
      </c>
      <c r="S30" s="121" t="s">
        <v>331</v>
      </c>
      <c r="T30" s="121" t="s">
        <v>198</v>
      </c>
      <c r="U30" s="121" t="s">
        <v>332</v>
      </c>
      <c r="V30" s="121" t="s">
        <v>198</v>
      </c>
      <c r="W30" s="121" t="s">
        <v>333</v>
      </c>
      <c r="X30" s="121" t="s">
        <v>198</v>
      </c>
      <c r="Y30" s="121">
        <v>70</v>
      </c>
      <c r="Z30" s="121" t="s">
        <v>198</v>
      </c>
      <c r="AA30" s="121">
        <v>65</v>
      </c>
      <c r="AB30" s="121" t="s">
        <v>198</v>
      </c>
      <c r="AC30" s="121" t="s">
        <v>61</v>
      </c>
      <c r="AD30" s="121" t="s">
        <v>61</v>
      </c>
      <c r="AE30" s="121" t="s">
        <v>334</v>
      </c>
      <c r="AF30" s="121" t="s">
        <v>198</v>
      </c>
      <c r="AG30" s="147" t="s">
        <v>335</v>
      </c>
      <c r="AH30" s="121" t="s">
        <v>198</v>
      </c>
      <c r="AI30" s="121" t="s">
        <v>334</v>
      </c>
      <c r="AJ30" s="121" t="s">
        <v>198</v>
      </c>
      <c r="AK30" s="121" t="s">
        <v>61</v>
      </c>
      <c r="AL30" s="121" t="s">
        <v>61</v>
      </c>
      <c r="AM30" s="121" t="s">
        <v>336</v>
      </c>
      <c r="AN30" s="121" t="s">
        <v>198</v>
      </c>
      <c r="AO30" s="121" t="s">
        <v>337</v>
      </c>
      <c r="AP30" s="121" t="s">
        <v>198</v>
      </c>
      <c r="AQ30" s="147" t="s">
        <v>337</v>
      </c>
      <c r="AR30" s="121" t="s">
        <v>198</v>
      </c>
      <c r="AS30" s="121" t="s">
        <v>6</v>
      </c>
      <c r="AT30" s="121" t="s">
        <v>6</v>
      </c>
      <c r="AU30" s="121" t="s">
        <v>338</v>
      </c>
      <c r="AV30" s="121" t="s">
        <v>198</v>
      </c>
      <c r="AW30" s="147" t="s">
        <v>339</v>
      </c>
      <c r="AX30" s="121" t="s">
        <v>198</v>
      </c>
      <c r="AY30" s="121" t="s">
        <v>61</v>
      </c>
      <c r="AZ30" s="121" t="s">
        <v>61</v>
      </c>
      <c r="BA30" s="121" t="s">
        <v>61</v>
      </c>
      <c r="BB30" s="121" t="s">
        <v>61</v>
      </c>
      <c r="BC30" s="121" t="s">
        <v>61</v>
      </c>
      <c r="BD30" s="121" t="s">
        <v>6</v>
      </c>
      <c r="BE30" s="435">
        <v>69.659161003933278</v>
      </c>
      <c r="BF30" s="435" t="s">
        <v>198</v>
      </c>
      <c r="BG30" s="435">
        <v>78.888154697693722</v>
      </c>
      <c r="BH30" s="435" t="s">
        <v>198</v>
      </c>
      <c r="BI30" s="435">
        <v>73.173809835305562</v>
      </c>
      <c r="BJ30" s="435" t="s">
        <v>198</v>
      </c>
      <c r="BK30" s="121">
        <v>30</v>
      </c>
      <c r="BL30" s="121" t="str">
        <f>IF(BK30="NA","NA",IF(BK30="Not Reported","Not Reported",IF(BK30&gt;$L$30,"Not Met","Met")))</f>
        <v>Met</v>
      </c>
      <c r="BM30" s="121" t="s">
        <v>61</v>
      </c>
      <c r="BN30" s="121" t="str">
        <f>IF(BM30="NA","NA",IF(BM30="Not Reported","Not Reported",IF(BM30&gt;$L$30,"Not Met","Met")))</f>
        <v>Not Reported</v>
      </c>
      <c r="BO30" s="121" t="s">
        <v>61</v>
      </c>
      <c r="BP30" s="121" t="s">
        <v>61</v>
      </c>
      <c r="BQ30" s="121" t="s">
        <v>61</v>
      </c>
      <c r="BR30" s="121" t="s">
        <v>61</v>
      </c>
      <c r="BS30" s="26">
        <v>129</v>
      </c>
      <c r="BT30" s="121" t="str">
        <f>IF(BS30="NA","NA",IF(BS30="Not Reported","Not Reported",IF(BS30&gt;$L$30,"Not Met","Met")))</f>
        <v>Not Met</v>
      </c>
      <c r="BU30" s="312">
        <v>97</v>
      </c>
      <c r="BV30" s="121" t="str">
        <f>IF(BU30="NA","NA",IF(BU30="Not Reported","Not Reported",IF(BU30&gt;$L$30,"Not Met","Met")))</f>
        <v>Not Met</v>
      </c>
    </row>
    <row r="31" spans="1:74" ht="15.6" customHeight="1" x14ac:dyDescent="0.25">
      <c r="A31" s="121">
        <v>30</v>
      </c>
      <c r="B31" s="123" t="s">
        <v>34</v>
      </c>
      <c r="C31" s="122" t="s">
        <v>903</v>
      </c>
      <c r="D31" s="123" t="s">
        <v>299</v>
      </c>
      <c r="E31" s="123" t="s">
        <v>899</v>
      </c>
      <c r="F31" s="123" t="s">
        <v>300</v>
      </c>
      <c r="G31" s="122" t="s">
        <v>273</v>
      </c>
      <c r="H31" s="122" t="s">
        <v>192</v>
      </c>
      <c r="I31" s="124" t="s">
        <v>213</v>
      </c>
      <c r="J31" s="124" t="s">
        <v>214</v>
      </c>
      <c r="K31" s="129" t="s">
        <v>213</v>
      </c>
      <c r="L31" s="130">
        <v>45</v>
      </c>
      <c r="M31" s="128" t="s">
        <v>340</v>
      </c>
      <c r="N31" s="149" t="s">
        <v>341</v>
      </c>
      <c r="O31" s="149" t="s">
        <v>342</v>
      </c>
      <c r="P31" s="123" t="s">
        <v>207</v>
      </c>
      <c r="Q31" s="131" t="s">
        <v>343</v>
      </c>
      <c r="R31" s="121" t="s">
        <v>198</v>
      </c>
      <c r="S31" s="121" t="s">
        <v>344</v>
      </c>
      <c r="T31" s="121" t="s">
        <v>198</v>
      </c>
      <c r="U31" s="121" t="s">
        <v>345</v>
      </c>
      <c r="V31" s="121" t="s">
        <v>198</v>
      </c>
      <c r="W31" s="121" t="s">
        <v>345</v>
      </c>
      <c r="X31" s="121" t="s">
        <v>198</v>
      </c>
      <c r="Y31" s="121" t="s">
        <v>345</v>
      </c>
      <c r="Z31" s="121" t="s">
        <v>198</v>
      </c>
      <c r="AA31" s="121" t="s">
        <v>220</v>
      </c>
      <c r="AB31" s="121" t="s">
        <v>198</v>
      </c>
      <c r="AC31" s="121" t="s">
        <v>61</v>
      </c>
      <c r="AD31" s="121" t="s">
        <v>61</v>
      </c>
      <c r="AE31" s="121" t="s">
        <v>346</v>
      </c>
      <c r="AF31" s="121" t="s">
        <v>198</v>
      </c>
      <c r="AG31" s="121" t="s">
        <v>220</v>
      </c>
      <c r="AH31" s="121" t="s">
        <v>198</v>
      </c>
      <c r="AI31" s="121" t="s">
        <v>347</v>
      </c>
      <c r="AJ31" s="121" t="s">
        <v>198</v>
      </c>
      <c r="AK31" s="121" t="s">
        <v>61</v>
      </c>
      <c r="AL31" s="121" t="s">
        <v>61</v>
      </c>
      <c r="AM31" s="121" t="s">
        <v>345</v>
      </c>
      <c r="AN31" s="121" t="s">
        <v>198</v>
      </c>
      <c r="AO31" s="121" t="s">
        <v>222</v>
      </c>
      <c r="AP31" s="121" t="s">
        <v>198</v>
      </c>
      <c r="AQ31" s="121" t="s">
        <v>345</v>
      </c>
      <c r="AR31" s="121" t="s">
        <v>198</v>
      </c>
      <c r="AS31" s="121" t="s">
        <v>6</v>
      </c>
      <c r="AT31" s="121" t="s">
        <v>6</v>
      </c>
      <c r="AU31" s="121" t="s">
        <v>348</v>
      </c>
      <c r="AV31" s="121" t="s">
        <v>198</v>
      </c>
      <c r="AW31" s="128" t="s">
        <v>348</v>
      </c>
      <c r="AX31" s="121" t="s">
        <v>198</v>
      </c>
      <c r="AY31" s="121" t="s">
        <v>61</v>
      </c>
      <c r="AZ31" s="121" t="s">
        <v>61</v>
      </c>
      <c r="BA31" s="121" t="s">
        <v>61</v>
      </c>
      <c r="BB31" s="121" t="s">
        <v>61</v>
      </c>
      <c r="BC31" s="121" t="s">
        <v>61</v>
      </c>
      <c r="BD31" s="121" t="s">
        <v>6</v>
      </c>
      <c r="BE31" s="436" t="s">
        <v>61</v>
      </c>
      <c r="BF31" s="436" t="s">
        <v>61</v>
      </c>
      <c r="BG31" s="436" t="s">
        <v>61</v>
      </c>
      <c r="BH31" s="436" t="s">
        <v>61</v>
      </c>
      <c r="BI31" s="436" t="s">
        <v>61</v>
      </c>
      <c r="BJ31" s="436" t="s">
        <v>61</v>
      </c>
      <c r="BK31" s="121">
        <v>45</v>
      </c>
      <c r="BL31" s="121" t="str">
        <f>IF(BK31="NA","NA",IF(BK31="Not Reported","Not Reported",IF(BK31&gt;$L$31,"Not Met","Met")))</f>
        <v>Met</v>
      </c>
      <c r="BM31" s="121" t="s">
        <v>61</v>
      </c>
      <c r="BN31" s="121" t="str">
        <f>IF(BM31="NA","NA",IF(BM31="Not Reported","Not Reported",IF(BM31&gt;$L$31,"Not Met","Met")))</f>
        <v>Not Reported</v>
      </c>
      <c r="BO31" s="121" t="s">
        <v>61</v>
      </c>
      <c r="BP31" s="121" t="s">
        <v>61</v>
      </c>
      <c r="BQ31" s="121" t="s">
        <v>61</v>
      </c>
      <c r="BR31" s="121" t="s">
        <v>61</v>
      </c>
      <c r="BS31" s="26" t="s">
        <v>61</v>
      </c>
      <c r="BT31" s="121" t="str">
        <f>IF(BS31="NA","NA",IF(BS31="Not Reported","Not Reported",IF(BS31&gt;$L$31,"Not Met","Met")))</f>
        <v>Not Reported</v>
      </c>
      <c r="BU31" s="26" t="s">
        <v>61</v>
      </c>
      <c r="BV31" s="121" t="str">
        <f>IF(BU31="NA","NA",IF(BU31="Not Reported","Not Reported",IF(BU31&gt;$L$31,"Not Met","Met")))</f>
        <v>Not Reported</v>
      </c>
    </row>
    <row r="32" spans="1:74" ht="24" x14ac:dyDescent="0.25">
      <c r="A32" s="121">
        <v>31</v>
      </c>
      <c r="B32" s="123" t="s">
        <v>34</v>
      </c>
      <c r="C32" s="122" t="s">
        <v>903</v>
      </c>
      <c r="D32" s="123" t="s">
        <v>299</v>
      </c>
      <c r="E32" s="123" t="s">
        <v>899</v>
      </c>
      <c r="F32" s="123" t="s">
        <v>300</v>
      </c>
      <c r="G32" s="122" t="s">
        <v>273</v>
      </c>
      <c r="H32" s="122" t="s">
        <v>192</v>
      </c>
      <c r="I32" s="124" t="s">
        <v>284</v>
      </c>
      <c r="J32" s="124" t="s">
        <v>285</v>
      </c>
      <c r="K32" s="145" t="s">
        <v>284</v>
      </c>
      <c r="L32" s="128">
        <v>0.75</v>
      </c>
      <c r="M32" s="128">
        <v>0.75</v>
      </c>
      <c r="N32" s="149" t="s">
        <v>287</v>
      </c>
      <c r="O32" s="149" t="s">
        <v>288</v>
      </c>
      <c r="P32" s="123" t="s">
        <v>207</v>
      </c>
      <c r="Q32" s="141">
        <v>0.64</v>
      </c>
      <c r="R32" s="147" t="s">
        <v>251</v>
      </c>
      <c r="S32" s="146">
        <v>0.82</v>
      </c>
      <c r="T32" s="121" t="s">
        <v>198</v>
      </c>
      <c r="U32" s="126">
        <v>0.82</v>
      </c>
      <c r="V32" s="121" t="s">
        <v>198</v>
      </c>
      <c r="W32" s="126">
        <v>0.48</v>
      </c>
      <c r="X32" s="147" t="s">
        <v>251</v>
      </c>
      <c r="Y32" s="128">
        <v>0.81</v>
      </c>
      <c r="Z32" s="121" t="s">
        <v>198</v>
      </c>
      <c r="AA32" s="126">
        <v>0.66</v>
      </c>
      <c r="AB32" s="147" t="s">
        <v>251</v>
      </c>
      <c r="AC32" s="121" t="s">
        <v>61</v>
      </c>
      <c r="AD32" s="121" t="s">
        <v>61</v>
      </c>
      <c r="AE32" s="126">
        <v>0.44</v>
      </c>
      <c r="AF32" s="147" t="s">
        <v>251</v>
      </c>
      <c r="AG32" s="146">
        <v>0.56000000000000005</v>
      </c>
      <c r="AH32" s="147" t="s">
        <v>251</v>
      </c>
      <c r="AI32" s="146">
        <v>0.55000000000000004</v>
      </c>
      <c r="AJ32" s="147" t="s">
        <v>251</v>
      </c>
      <c r="AK32" s="121" t="s">
        <v>61</v>
      </c>
      <c r="AL32" s="121" t="s">
        <v>61</v>
      </c>
      <c r="AM32" s="146">
        <v>0.59</v>
      </c>
      <c r="AN32" s="121" t="s">
        <v>251</v>
      </c>
      <c r="AO32" s="146">
        <v>0.48</v>
      </c>
      <c r="AP32" s="121" t="s">
        <v>251</v>
      </c>
      <c r="AQ32" s="146">
        <v>0.39</v>
      </c>
      <c r="AR32" s="121" t="s">
        <v>251</v>
      </c>
      <c r="AS32" s="121" t="s">
        <v>6</v>
      </c>
      <c r="AT32" s="121" t="s">
        <v>6</v>
      </c>
      <c r="AU32" s="126">
        <v>0.93</v>
      </c>
      <c r="AV32" s="121" t="s">
        <v>198</v>
      </c>
      <c r="AW32" s="128">
        <v>0.6</v>
      </c>
      <c r="AX32" s="121" t="s">
        <v>251</v>
      </c>
      <c r="AY32" s="121" t="s">
        <v>61</v>
      </c>
      <c r="AZ32" s="121" t="s">
        <v>61</v>
      </c>
      <c r="BA32" s="121" t="s">
        <v>61</v>
      </c>
      <c r="BB32" s="121" t="s">
        <v>61</v>
      </c>
      <c r="BC32" s="121" t="s">
        <v>61</v>
      </c>
      <c r="BD32" s="121" t="s">
        <v>6</v>
      </c>
      <c r="BE32" s="431">
        <v>0.58734258960284147</v>
      </c>
      <c r="BF32" s="431" t="s">
        <v>251</v>
      </c>
      <c r="BG32" s="431">
        <v>0.58734258960284147</v>
      </c>
      <c r="BH32" s="431" t="s">
        <v>251</v>
      </c>
      <c r="BI32" s="431">
        <v>0.59021611660244599</v>
      </c>
      <c r="BJ32" s="431" t="s">
        <v>251</v>
      </c>
      <c r="BK32" s="121" t="s">
        <v>61</v>
      </c>
      <c r="BL32" s="128" t="str">
        <f>IF(BK32="NA","NA",IF(BK32="Not Reported","Not Reported",IF(BK32&lt;$L$32,"Not Met","Met")))</f>
        <v>Not Reported</v>
      </c>
      <c r="BM32" s="121" t="s">
        <v>61</v>
      </c>
      <c r="BN32" s="128" t="str">
        <f>IF(BM32="NA","NA",IF(BM32="Not Reported","Not Reported",IF(BM32&lt;$L$32,"Not Met","Met")))</f>
        <v>Not Reported</v>
      </c>
      <c r="BO32" s="121" t="s">
        <v>61</v>
      </c>
      <c r="BP32" s="128" t="s">
        <v>61</v>
      </c>
      <c r="BQ32" s="121" t="s">
        <v>61</v>
      </c>
      <c r="BR32" s="128" t="s">
        <v>61</v>
      </c>
      <c r="BS32" s="315">
        <v>0.72</v>
      </c>
      <c r="BT32" s="128" t="str">
        <f>IF(BS32="NA","NA",IF(BS32="Not Reported","Not Reported",IF(BS32&lt;$L$32,"Not Met","Met")))</f>
        <v>Not Met</v>
      </c>
      <c r="BU32" s="315">
        <v>0.63</v>
      </c>
      <c r="BV32" s="128" t="str">
        <f>IF(BU32="NA","NA",IF(BU32="Not Reported","Not Reported",IF(BU32&lt;$L$32,"Not Met","Met")))</f>
        <v>Not Met</v>
      </c>
    </row>
    <row r="33" spans="1:74" ht="18" customHeight="1" x14ac:dyDescent="0.25">
      <c r="A33" s="121">
        <v>32</v>
      </c>
      <c r="B33" s="123" t="s">
        <v>34</v>
      </c>
      <c r="C33" s="122" t="s">
        <v>903</v>
      </c>
      <c r="D33" s="123" t="s">
        <v>299</v>
      </c>
      <c r="E33" s="123" t="s">
        <v>899</v>
      </c>
      <c r="F33" s="123" t="s">
        <v>300</v>
      </c>
      <c r="G33" s="122" t="s">
        <v>273</v>
      </c>
      <c r="H33" s="122" t="s">
        <v>192</v>
      </c>
      <c r="I33" s="123" t="s">
        <v>296</v>
      </c>
      <c r="J33" s="123" t="s">
        <v>296</v>
      </c>
      <c r="K33" s="145" t="s">
        <v>296</v>
      </c>
      <c r="L33" s="128">
        <v>0.85</v>
      </c>
      <c r="M33" s="128">
        <v>0.85</v>
      </c>
      <c r="N33" s="149" t="s">
        <v>297</v>
      </c>
      <c r="O33" s="149" t="s">
        <v>298</v>
      </c>
      <c r="P33" s="123" t="s">
        <v>207</v>
      </c>
      <c r="Q33" s="127" t="s">
        <v>11</v>
      </c>
      <c r="R33" s="128" t="s">
        <v>11</v>
      </c>
      <c r="S33" s="127" t="s">
        <v>11</v>
      </c>
      <c r="T33" s="128" t="s">
        <v>11</v>
      </c>
      <c r="U33" s="126">
        <v>0.48</v>
      </c>
      <c r="V33" s="147" t="s">
        <v>251</v>
      </c>
      <c r="W33" s="127" t="s">
        <v>11</v>
      </c>
      <c r="X33" s="128" t="s">
        <v>11</v>
      </c>
      <c r="Y33" s="127" t="s">
        <v>11</v>
      </c>
      <c r="Z33" s="128" t="s">
        <v>11</v>
      </c>
      <c r="AA33" s="128">
        <v>0.99</v>
      </c>
      <c r="AB33" s="121" t="s">
        <v>198</v>
      </c>
      <c r="AC33" s="121" t="s">
        <v>61</v>
      </c>
      <c r="AD33" s="121" t="s">
        <v>61</v>
      </c>
      <c r="AE33" s="121" t="s">
        <v>11</v>
      </c>
      <c r="AF33" s="128" t="s">
        <v>11</v>
      </c>
      <c r="AG33" s="121" t="s">
        <v>61</v>
      </c>
      <c r="AH33" s="121" t="s">
        <v>61</v>
      </c>
      <c r="AI33" s="121" t="s">
        <v>61</v>
      </c>
      <c r="AJ33" s="121" t="s">
        <v>61</v>
      </c>
      <c r="AK33" s="121" t="s">
        <v>61</v>
      </c>
      <c r="AL33" s="121" t="s">
        <v>61</v>
      </c>
      <c r="AM33" s="121" t="s">
        <v>6</v>
      </c>
      <c r="AN33" s="121" t="s">
        <v>61</v>
      </c>
      <c r="AO33" s="126">
        <v>0.59</v>
      </c>
      <c r="AP33" s="121" t="s">
        <v>251</v>
      </c>
      <c r="AQ33" s="126">
        <v>0.62</v>
      </c>
      <c r="AR33" s="121" t="s">
        <v>251</v>
      </c>
      <c r="AS33" s="121" t="s">
        <v>6</v>
      </c>
      <c r="AT33" s="121" t="s">
        <v>6</v>
      </c>
      <c r="AU33" s="126">
        <v>0.62</v>
      </c>
      <c r="AV33" s="121" t="s">
        <v>251</v>
      </c>
      <c r="AW33" s="146">
        <v>0.54</v>
      </c>
      <c r="AX33" s="121" t="s">
        <v>251</v>
      </c>
      <c r="AY33" s="121" t="s">
        <v>61</v>
      </c>
      <c r="AZ33" s="121" t="s">
        <v>61</v>
      </c>
      <c r="BA33" s="121" t="s">
        <v>61</v>
      </c>
      <c r="BB33" s="121" t="s">
        <v>61</v>
      </c>
      <c r="BC33" s="121" t="s">
        <v>61</v>
      </c>
      <c r="BD33" s="121" t="s">
        <v>6</v>
      </c>
      <c r="BE33" s="431">
        <v>0.62258543833580982</v>
      </c>
      <c r="BF33" s="431" t="s">
        <v>251</v>
      </c>
      <c r="BG33" s="431">
        <v>0.74097664543524411</v>
      </c>
      <c r="BH33" s="431" t="s">
        <v>251</v>
      </c>
      <c r="BI33" s="431">
        <v>0.51713969775156654</v>
      </c>
      <c r="BJ33" s="431" t="s">
        <v>251</v>
      </c>
      <c r="BK33" s="121" t="s">
        <v>61</v>
      </c>
      <c r="BL33" s="128" t="str">
        <f>IF(BK33="NA","NA",IF(BK33="Not Reported","Not Reported",IF(BK33&lt;$L$33,"Not Met","Met")))</f>
        <v>Not Reported</v>
      </c>
      <c r="BM33" s="121" t="s">
        <v>61</v>
      </c>
      <c r="BN33" s="128" t="str">
        <f>IF(BM33="NA","NA",IF(BM33="Not Reported","Not Reported",IF(BM33&lt;$L$33,"Not Met","Met")))</f>
        <v>Not Reported</v>
      </c>
      <c r="BO33" s="121" t="s">
        <v>61</v>
      </c>
      <c r="BP33" s="128" t="s">
        <v>61</v>
      </c>
      <c r="BQ33" s="121" t="s">
        <v>61</v>
      </c>
      <c r="BR33" s="128" t="s">
        <v>61</v>
      </c>
      <c r="BS33" s="315">
        <v>1.58</v>
      </c>
      <c r="BT33" s="128" t="str">
        <f>IF(BS33="NA","NA",IF(BS33="Not Reported","Not Reported",IF(BS33&lt;$L$33,"Not Met","Met")))</f>
        <v>Met</v>
      </c>
      <c r="BU33" s="315">
        <v>0.73</v>
      </c>
      <c r="BV33" s="128" t="str">
        <f>IF(BU33="NA","NA",IF(BU33="Not Reported","Not Reported",IF(BU33&lt;$L$33,"Not Met","Met")))</f>
        <v>Not Met</v>
      </c>
    </row>
    <row r="34" spans="1:74" x14ac:dyDescent="0.25">
      <c r="A34" s="121">
        <v>33</v>
      </c>
      <c r="B34" s="122" t="s">
        <v>35</v>
      </c>
      <c r="C34" s="122" t="s">
        <v>903</v>
      </c>
      <c r="D34" s="123" t="s">
        <v>133</v>
      </c>
      <c r="E34" s="123" t="s">
        <v>899</v>
      </c>
      <c r="F34" s="123" t="s">
        <v>190</v>
      </c>
      <c r="G34" s="123" t="s">
        <v>191</v>
      </c>
      <c r="H34" s="122" t="s">
        <v>212</v>
      </c>
      <c r="I34" s="124" t="s">
        <v>296</v>
      </c>
      <c r="J34" s="124" t="s">
        <v>296</v>
      </c>
      <c r="K34" s="122" t="s">
        <v>350</v>
      </c>
      <c r="L34" s="146">
        <v>0.9</v>
      </c>
      <c r="M34" s="146">
        <v>0.9</v>
      </c>
      <c r="N34" s="122" t="s">
        <v>351</v>
      </c>
      <c r="O34" s="122" t="s">
        <v>352</v>
      </c>
      <c r="P34" s="122" t="s">
        <v>207</v>
      </c>
      <c r="Q34" s="146">
        <v>0.21</v>
      </c>
      <c r="R34" s="147" t="s">
        <v>353</v>
      </c>
      <c r="S34" s="146">
        <v>0.53</v>
      </c>
      <c r="T34" s="147" t="s">
        <v>251</v>
      </c>
      <c r="U34" s="127" t="s">
        <v>6</v>
      </c>
      <c r="V34" s="131" t="s">
        <v>61</v>
      </c>
      <c r="W34" s="127" t="s">
        <v>6</v>
      </c>
      <c r="X34" s="143" t="s">
        <v>61</v>
      </c>
      <c r="Y34" s="143" t="s">
        <v>61</v>
      </c>
      <c r="Z34" s="143" t="s">
        <v>61</v>
      </c>
      <c r="AA34" s="127" t="s">
        <v>6</v>
      </c>
      <c r="AB34" s="127" t="s">
        <v>61</v>
      </c>
      <c r="AC34" s="127" t="s">
        <v>6</v>
      </c>
      <c r="AD34" s="121" t="s">
        <v>61</v>
      </c>
      <c r="AE34" s="127" t="s">
        <v>6</v>
      </c>
      <c r="AF34" s="127" t="s">
        <v>61</v>
      </c>
      <c r="AG34" s="127" t="s">
        <v>61</v>
      </c>
      <c r="AH34" s="121" t="s">
        <v>61</v>
      </c>
      <c r="AI34" s="127" t="s">
        <v>61</v>
      </c>
      <c r="AJ34" s="121" t="s">
        <v>61</v>
      </c>
      <c r="AK34" s="127" t="s">
        <v>61</v>
      </c>
      <c r="AL34" s="121" t="s">
        <v>61</v>
      </c>
      <c r="AM34" s="127" t="s">
        <v>61</v>
      </c>
      <c r="AN34" s="121" t="s">
        <v>61</v>
      </c>
      <c r="AO34" s="127" t="s">
        <v>61</v>
      </c>
      <c r="AP34" s="121" t="s">
        <v>61</v>
      </c>
      <c r="AQ34" s="127" t="s">
        <v>61</v>
      </c>
      <c r="AR34" s="121" t="s">
        <v>61</v>
      </c>
      <c r="AS34" s="127" t="s">
        <v>61</v>
      </c>
      <c r="AT34" s="121" t="s">
        <v>61</v>
      </c>
      <c r="AU34" s="127" t="s">
        <v>61</v>
      </c>
      <c r="AV34" s="121" t="s">
        <v>61</v>
      </c>
      <c r="AW34" s="127" t="s">
        <v>61</v>
      </c>
      <c r="AX34" s="121" t="s">
        <v>61</v>
      </c>
      <c r="AY34" s="127" t="s">
        <v>61</v>
      </c>
      <c r="AZ34" s="121" t="s">
        <v>61</v>
      </c>
      <c r="BA34" s="127" t="s">
        <v>61</v>
      </c>
      <c r="BB34" s="121" t="s">
        <v>61</v>
      </c>
      <c r="BC34" s="121" t="s">
        <v>61</v>
      </c>
      <c r="BD34" s="121" t="s">
        <v>6</v>
      </c>
      <c r="BE34" s="121" t="s">
        <v>61</v>
      </c>
      <c r="BF34" s="121" t="s">
        <v>61</v>
      </c>
      <c r="BG34" s="121" t="s">
        <v>61</v>
      </c>
      <c r="BH34" s="121" t="s">
        <v>61</v>
      </c>
      <c r="BI34" s="121" t="s">
        <v>61</v>
      </c>
      <c r="BJ34" s="121" t="s">
        <v>61</v>
      </c>
      <c r="BK34" s="121" t="s">
        <v>61</v>
      </c>
      <c r="BL34" s="128" t="str">
        <f>IF(BK34="NA","NA",IF(BK34="Not Reported","Not Reported",IF(BK34&lt;$L$34,"Not Met","Met")))</f>
        <v>Not Reported</v>
      </c>
      <c r="BM34" s="258" t="s">
        <v>61</v>
      </c>
      <c r="BN34" s="128" t="str">
        <f>IF(BM34="NA","NA",IF(BM34="Not Reported","Not Reported",IF(BM34&lt;$L$34,"Not Met","Met")))</f>
        <v>Not Reported</v>
      </c>
      <c r="BO34" s="128">
        <v>0.45</v>
      </c>
      <c r="BP34" s="128" t="s">
        <v>251</v>
      </c>
      <c r="BQ34" s="128" t="s">
        <v>61</v>
      </c>
      <c r="BR34" s="128" t="s">
        <v>61</v>
      </c>
      <c r="BS34" s="26" t="s">
        <v>61</v>
      </c>
      <c r="BT34" s="128" t="str">
        <f>IF(BS34="NA","NA",IF(BS34="Not Reported","Not Reported",IF(BS34&lt;$L$34,"Not Met","Met")))</f>
        <v>Not Reported</v>
      </c>
      <c r="BU34" s="26" t="s">
        <v>61</v>
      </c>
      <c r="BV34" s="128" t="str">
        <f>IF(BU34="NA","NA",IF(BU34="Not Reported","Not Reported",IF(BU34&lt;$L$34,"Not Met","Met")))</f>
        <v>Not Reported</v>
      </c>
    </row>
    <row r="35" spans="1:74" x14ac:dyDescent="0.25">
      <c r="A35" s="121">
        <v>34</v>
      </c>
      <c r="B35" s="122" t="s">
        <v>35</v>
      </c>
      <c r="C35" s="122" t="s">
        <v>903</v>
      </c>
      <c r="D35" s="123" t="s">
        <v>133</v>
      </c>
      <c r="E35" s="123" t="s">
        <v>899</v>
      </c>
      <c r="F35" s="123" t="s">
        <v>190</v>
      </c>
      <c r="G35" s="123" t="s">
        <v>191</v>
      </c>
      <c r="H35" s="122" t="s">
        <v>212</v>
      </c>
      <c r="I35" s="124" t="s">
        <v>313</v>
      </c>
      <c r="J35" s="124" t="s">
        <v>313</v>
      </c>
      <c r="K35" s="122" t="s">
        <v>354</v>
      </c>
      <c r="L35" s="147">
        <v>0.9</v>
      </c>
      <c r="M35" s="146">
        <v>0.9</v>
      </c>
      <c r="N35" s="122" t="s">
        <v>355</v>
      </c>
      <c r="O35" s="122" t="s">
        <v>355</v>
      </c>
      <c r="P35" s="122" t="s">
        <v>207</v>
      </c>
      <c r="Q35" s="127" t="s">
        <v>6</v>
      </c>
      <c r="R35" s="127" t="s">
        <v>6</v>
      </c>
      <c r="S35" s="127" t="s">
        <v>6</v>
      </c>
      <c r="T35" s="131" t="s">
        <v>61</v>
      </c>
      <c r="U35" s="127" t="s">
        <v>6</v>
      </c>
      <c r="V35" s="131" t="s">
        <v>61</v>
      </c>
      <c r="W35" s="127" t="s">
        <v>6</v>
      </c>
      <c r="X35" s="143" t="s">
        <v>61</v>
      </c>
      <c r="Y35" s="143" t="s">
        <v>61</v>
      </c>
      <c r="Z35" s="143" t="s">
        <v>61</v>
      </c>
      <c r="AA35" s="127" t="s">
        <v>6</v>
      </c>
      <c r="AB35" s="127" t="s">
        <v>61</v>
      </c>
      <c r="AC35" s="127" t="s">
        <v>6</v>
      </c>
      <c r="AD35" s="121" t="s">
        <v>61</v>
      </c>
      <c r="AE35" s="127" t="s">
        <v>6</v>
      </c>
      <c r="AF35" s="127" t="s">
        <v>61</v>
      </c>
      <c r="AG35" s="127" t="s">
        <v>61</v>
      </c>
      <c r="AH35" s="121" t="s">
        <v>61</v>
      </c>
      <c r="AI35" s="127" t="s">
        <v>61</v>
      </c>
      <c r="AJ35" s="121" t="s">
        <v>61</v>
      </c>
      <c r="AK35" s="127" t="s">
        <v>61</v>
      </c>
      <c r="AL35" s="121" t="s">
        <v>61</v>
      </c>
      <c r="AM35" s="127" t="s">
        <v>61</v>
      </c>
      <c r="AN35" s="121" t="s">
        <v>61</v>
      </c>
      <c r="AO35" s="127" t="s">
        <v>61</v>
      </c>
      <c r="AP35" s="121" t="s">
        <v>61</v>
      </c>
      <c r="AQ35" s="127" t="s">
        <v>61</v>
      </c>
      <c r="AR35" s="121" t="s">
        <v>61</v>
      </c>
      <c r="AS35" s="127" t="s">
        <v>61</v>
      </c>
      <c r="AT35" s="121" t="s">
        <v>61</v>
      </c>
      <c r="AU35" s="127" t="s">
        <v>61</v>
      </c>
      <c r="AV35" s="121" t="s">
        <v>61</v>
      </c>
      <c r="AW35" s="127" t="s">
        <v>61</v>
      </c>
      <c r="AX35" s="121" t="s">
        <v>61</v>
      </c>
      <c r="AY35" s="127" t="s">
        <v>61</v>
      </c>
      <c r="AZ35" s="121" t="s">
        <v>61</v>
      </c>
      <c r="BA35" s="127" t="s">
        <v>61</v>
      </c>
      <c r="BB35" s="121" t="s">
        <v>61</v>
      </c>
      <c r="BC35" s="121" t="s">
        <v>61</v>
      </c>
      <c r="BD35" s="121" t="s">
        <v>6</v>
      </c>
      <c r="BE35" s="121" t="s">
        <v>61</v>
      </c>
      <c r="BF35" s="121" t="s">
        <v>61</v>
      </c>
      <c r="BG35" s="121" t="s">
        <v>61</v>
      </c>
      <c r="BH35" s="121" t="s">
        <v>61</v>
      </c>
      <c r="BI35" s="121" t="s">
        <v>61</v>
      </c>
      <c r="BJ35" s="121" t="s">
        <v>61</v>
      </c>
      <c r="BK35" s="121" t="s">
        <v>61</v>
      </c>
      <c r="BL35" s="121" t="str">
        <f t="shared" ref="BL35" si="0">IF(BK35="NA","NA",IF(BK35="Not Reported","Not Reported",IF(BK35&gt;$L$15,"Not Met","Met")))</f>
        <v>Not Reported</v>
      </c>
      <c r="BM35" s="258" t="s">
        <v>61</v>
      </c>
      <c r="BN35" s="128" t="str">
        <f>IF(BM35="NA","NA",IF(BM35="Not Reported","Not Reported",IF(BM35&lt;$L$35,"Not Met","Met")))</f>
        <v>Not Reported</v>
      </c>
      <c r="BO35" s="128" t="s">
        <v>61</v>
      </c>
      <c r="BP35" s="128" t="s">
        <v>61</v>
      </c>
      <c r="BQ35" s="128" t="s">
        <v>61</v>
      </c>
      <c r="BR35" s="128" t="s">
        <v>61</v>
      </c>
      <c r="BS35" s="26" t="s">
        <v>61</v>
      </c>
      <c r="BT35" s="128" t="str">
        <f>IF(BS35="NA","NA",IF(BS35="Not Reported","Not Reported",IF(BS35&lt;$L$35,"Not Met","Met")))</f>
        <v>Not Reported</v>
      </c>
      <c r="BU35" s="26" t="s">
        <v>61</v>
      </c>
      <c r="BV35" s="128" t="str">
        <f>IF(BU35="NA","NA",IF(BU35="Not Reported","Not Reported",IF(BU35&lt;$L$35,"Not Met","Met")))</f>
        <v>Not Reported</v>
      </c>
    </row>
    <row r="36" spans="1:74" x14ac:dyDescent="0.25">
      <c r="A36" s="121">
        <v>35</v>
      </c>
      <c r="B36" s="122" t="s">
        <v>35</v>
      </c>
      <c r="C36" s="122" t="s">
        <v>903</v>
      </c>
      <c r="D36" s="123" t="s">
        <v>133</v>
      </c>
      <c r="E36" s="123" t="s">
        <v>899</v>
      </c>
      <c r="F36" s="123" t="s">
        <v>190</v>
      </c>
      <c r="G36" s="122" t="s">
        <v>273</v>
      </c>
      <c r="H36" s="122" t="s">
        <v>192</v>
      </c>
      <c r="I36" s="124" t="s">
        <v>213</v>
      </c>
      <c r="J36" s="124" t="s">
        <v>214</v>
      </c>
      <c r="K36" s="129" t="s">
        <v>213</v>
      </c>
      <c r="L36" s="147">
        <v>30</v>
      </c>
      <c r="M36" s="147" t="s">
        <v>356</v>
      </c>
      <c r="N36" s="145" t="s">
        <v>341</v>
      </c>
      <c r="O36" s="145" t="s">
        <v>342</v>
      </c>
      <c r="P36" s="122" t="s">
        <v>207</v>
      </c>
      <c r="Q36" s="121">
        <v>13</v>
      </c>
      <c r="R36" s="121" t="s">
        <v>198</v>
      </c>
      <c r="S36" s="121" t="s">
        <v>357</v>
      </c>
      <c r="T36" s="121" t="s">
        <v>198</v>
      </c>
      <c r="U36" s="127" t="s">
        <v>6</v>
      </c>
      <c r="V36" s="131" t="s">
        <v>61</v>
      </c>
      <c r="W36" s="127" t="s">
        <v>6</v>
      </c>
      <c r="X36" s="143" t="s">
        <v>61</v>
      </c>
      <c r="Y36" s="143" t="s">
        <v>358</v>
      </c>
      <c r="Z36" s="121" t="s">
        <v>251</v>
      </c>
      <c r="AA36" s="121" t="s">
        <v>359</v>
      </c>
      <c r="AB36" s="147" t="s">
        <v>251</v>
      </c>
      <c r="AC36" s="127" t="s">
        <v>6</v>
      </c>
      <c r="AD36" s="121" t="s">
        <v>61</v>
      </c>
      <c r="AE36" s="121" t="s">
        <v>360</v>
      </c>
      <c r="AF36" s="147" t="s">
        <v>251</v>
      </c>
      <c r="AG36" s="127" t="s">
        <v>61</v>
      </c>
      <c r="AH36" s="121" t="s">
        <v>61</v>
      </c>
      <c r="AI36" s="127" t="s">
        <v>61</v>
      </c>
      <c r="AJ36" s="121" t="s">
        <v>61</v>
      </c>
      <c r="AK36" s="127" t="s">
        <v>61</v>
      </c>
      <c r="AL36" s="121" t="s">
        <v>61</v>
      </c>
      <c r="AM36" s="127" t="s">
        <v>61</v>
      </c>
      <c r="AN36" s="121" t="s">
        <v>61</v>
      </c>
      <c r="AO36" s="127" t="s">
        <v>61</v>
      </c>
      <c r="AP36" s="121" t="s">
        <v>61</v>
      </c>
      <c r="AQ36" s="127" t="s">
        <v>61</v>
      </c>
      <c r="AR36" s="121" t="s">
        <v>61</v>
      </c>
      <c r="AS36" s="127" t="s">
        <v>61</v>
      </c>
      <c r="AT36" s="121" t="s">
        <v>61</v>
      </c>
      <c r="AU36" s="127" t="s">
        <v>61</v>
      </c>
      <c r="AV36" s="121" t="s">
        <v>61</v>
      </c>
      <c r="AW36" s="127" t="s">
        <v>61</v>
      </c>
      <c r="AX36" s="121" t="s">
        <v>61</v>
      </c>
      <c r="AY36" s="127" t="s">
        <v>61</v>
      </c>
      <c r="AZ36" s="121" t="s">
        <v>61</v>
      </c>
      <c r="BA36" s="127" t="s">
        <v>61</v>
      </c>
      <c r="BB36" s="121" t="s">
        <v>61</v>
      </c>
      <c r="BC36" s="121" t="s">
        <v>61</v>
      </c>
      <c r="BD36" s="121" t="s">
        <v>6</v>
      </c>
      <c r="BE36" s="121" t="s">
        <v>61</v>
      </c>
      <c r="BF36" s="121" t="s">
        <v>61</v>
      </c>
      <c r="BG36" s="121" t="s">
        <v>61</v>
      </c>
      <c r="BH36" s="121" t="s">
        <v>61</v>
      </c>
      <c r="BI36" s="121" t="s">
        <v>61</v>
      </c>
      <c r="BJ36" s="121" t="s">
        <v>61</v>
      </c>
      <c r="BK36" s="121">
        <v>30</v>
      </c>
      <c r="BL36" s="121" t="str">
        <f>IF(BK36="NA","NA",IF(BK36="Not Reported","Not Reported",IF(BK36&gt;$L$36,"Not Met","Met")))</f>
        <v>Met</v>
      </c>
      <c r="BM36" s="258" t="s">
        <v>61</v>
      </c>
      <c r="BN36" s="121" t="str">
        <f>IF(BM36="NA","NA",IF(BM36="Not Reported","Not Reported",IF(BM36&gt;$L$36,"Not Met","Met")))</f>
        <v>Not Reported</v>
      </c>
      <c r="BO36" s="121">
        <v>30</v>
      </c>
      <c r="BP36" s="121" t="s">
        <v>198</v>
      </c>
      <c r="BQ36" s="128" t="s">
        <v>61</v>
      </c>
      <c r="BR36" s="121" t="s">
        <v>61</v>
      </c>
      <c r="BS36" s="26" t="s">
        <v>61</v>
      </c>
      <c r="BT36" s="121" t="str">
        <f>IF(BS36="NA","NA",IF(BS36="Not Reported","Not Reported",IF(BS36&gt;$L$36,"Not Met","Met")))</f>
        <v>Not Reported</v>
      </c>
      <c r="BU36" s="26" t="s">
        <v>61</v>
      </c>
      <c r="BV36" s="121" t="str">
        <f>IF(BU36="NA","NA",IF(BU36="Not Reported","Not Reported",IF(BU36&gt;$L$36,"Not Met","Met")))</f>
        <v>Not Reported</v>
      </c>
    </row>
    <row r="37" spans="1:74" x14ac:dyDescent="0.25">
      <c r="A37" s="121">
        <v>36</v>
      </c>
      <c r="B37" s="122" t="s">
        <v>35</v>
      </c>
      <c r="C37" s="122" t="s">
        <v>903</v>
      </c>
      <c r="D37" s="123" t="s">
        <v>133</v>
      </c>
      <c r="E37" s="123" t="s">
        <v>899</v>
      </c>
      <c r="F37" s="123" t="s">
        <v>190</v>
      </c>
      <c r="G37" s="122" t="s">
        <v>273</v>
      </c>
      <c r="H37" s="122" t="s">
        <v>192</v>
      </c>
      <c r="I37" s="124" t="s">
        <v>274</v>
      </c>
      <c r="J37" s="124" t="s">
        <v>214</v>
      </c>
      <c r="K37" s="145" t="s">
        <v>274</v>
      </c>
      <c r="L37" s="147">
        <v>45</v>
      </c>
      <c r="M37" s="147" t="s">
        <v>361</v>
      </c>
      <c r="N37" s="145" t="s">
        <v>276</v>
      </c>
      <c r="O37" s="145" t="s">
        <v>277</v>
      </c>
      <c r="P37" s="122" t="s">
        <v>207</v>
      </c>
      <c r="Q37" s="121">
        <v>23</v>
      </c>
      <c r="R37" s="121" t="s">
        <v>198</v>
      </c>
      <c r="S37" s="121" t="s">
        <v>362</v>
      </c>
      <c r="T37" s="121" t="s">
        <v>198</v>
      </c>
      <c r="U37" s="127" t="s">
        <v>6</v>
      </c>
      <c r="V37" s="131" t="s">
        <v>61</v>
      </c>
      <c r="W37" s="127" t="s">
        <v>6</v>
      </c>
      <c r="X37" s="143" t="s">
        <v>61</v>
      </c>
      <c r="Y37" s="143" t="s">
        <v>336</v>
      </c>
      <c r="Z37" s="121" t="s">
        <v>251</v>
      </c>
      <c r="AA37" s="121" t="s">
        <v>363</v>
      </c>
      <c r="AB37" s="147" t="s">
        <v>251</v>
      </c>
      <c r="AC37" s="127" t="s">
        <v>6</v>
      </c>
      <c r="AD37" s="121" t="s">
        <v>61</v>
      </c>
      <c r="AE37" s="121" t="s">
        <v>364</v>
      </c>
      <c r="AF37" s="147" t="s">
        <v>251</v>
      </c>
      <c r="AG37" s="127" t="s">
        <v>61</v>
      </c>
      <c r="AH37" s="121" t="s">
        <v>61</v>
      </c>
      <c r="AI37" s="127" t="s">
        <v>61</v>
      </c>
      <c r="AJ37" s="121" t="s">
        <v>61</v>
      </c>
      <c r="AK37" s="127" t="s">
        <v>61</v>
      </c>
      <c r="AL37" s="121" t="s">
        <v>61</v>
      </c>
      <c r="AM37" s="127" t="s">
        <v>61</v>
      </c>
      <c r="AN37" s="121" t="s">
        <v>61</v>
      </c>
      <c r="AO37" s="127" t="s">
        <v>61</v>
      </c>
      <c r="AP37" s="121" t="s">
        <v>61</v>
      </c>
      <c r="AQ37" s="127" t="s">
        <v>61</v>
      </c>
      <c r="AR37" s="121" t="s">
        <v>61</v>
      </c>
      <c r="AS37" s="127" t="s">
        <v>61</v>
      </c>
      <c r="AT37" s="121" t="s">
        <v>61</v>
      </c>
      <c r="AU37" s="127" t="s">
        <v>61</v>
      </c>
      <c r="AV37" s="121" t="s">
        <v>61</v>
      </c>
      <c r="AW37" s="127" t="s">
        <v>61</v>
      </c>
      <c r="AX37" s="121" t="s">
        <v>61</v>
      </c>
      <c r="AY37" s="127" t="s">
        <v>61</v>
      </c>
      <c r="AZ37" s="121" t="s">
        <v>61</v>
      </c>
      <c r="BA37" s="127" t="s">
        <v>61</v>
      </c>
      <c r="BB37" s="121" t="s">
        <v>61</v>
      </c>
      <c r="BC37" s="121" t="s">
        <v>61</v>
      </c>
      <c r="BD37" s="121" t="s">
        <v>6</v>
      </c>
      <c r="BE37" s="121" t="s">
        <v>61</v>
      </c>
      <c r="BF37" s="121" t="s">
        <v>61</v>
      </c>
      <c r="BG37" s="121" t="s">
        <v>61</v>
      </c>
      <c r="BH37" s="121" t="s">
        <v>61</v>
      </c>
      <c r="BI37" s="121" t="s">
        <v>61</v>
      </c>
      <c r="BJ37" s="121" t="s">
        <v>61</v>
      </c>
      <c r="BK37" s="121">
        <v>30</v>
      </c>
      <c r="BL37" s="121" t="str">
        <f>IF(BK37="NA","NA",IF(BK37="Not Reported","Not Reported",IF(BK37&gt;$L$37,"Not Met","Met")))</f>
        <v>Met</v>
      </c>
      <c r="BM37" s="258" t="s">
        <v>61</v>
      </c>
      <c r="BN37" s="121" t="str">
        <f>IF(BM37="NA","NA",IF(BM37="Not Reported","Not Reported",IF(BM37&gt;$L$37,"Not Met","Met")))</f>
        <v>Not Reported</v>
      </c>
      <c r="BO37" s="121">
        <v>45</v>
      </c>
      <c r="BP37" s="121" t="s">
        <v>198</v>
      </c>
      <c r="BQ37" s="128" t="s">
        <v>61</v>
      </c>
      <c r="BR37" s="121" t="s">
        <v>61</v>
      </c>
      <c r="BS37" s="26" t="s">
        <v>61</v>
      </c>
      <c r="BT37" s="121" t="str">
        <f>IF(BS37="NA","NA",IF(BS37="Not Reported","Not Reported",IF(BS37&gt;$L$37,"Not Met","Met")))</f>
        <v>Not Reported</v>
      </c>
      <c r="BU37" s="26" t="s">
        <v>61</v>
      </c>
      <c r="BV37" s="121" t="str">
        <f>IF(BU37="NA","NA",IF(BU37="Not Reported","Not Reported",IF(BU37&gt;$L$37,"Not Met","Met")))</f>
        <v>Not Reported</v>
      </c>
    </row>
    <row r="38" spans="1:74" x14ac:dyDescent="0.25">
      <c r="A38" s="121">
        <v>37</v>
      </c>
      <c r="B38" s="122" t="s">
        <v>35</v>
      </c>
      <c r="C38" s="122" t="s">
        <v>903</v>
      </c>
      <c r="D38" s="123" t="s">
        <v>133</v>
      </c>
      <c r="E38" s="123" t="s">
        <v>899</v>
      </c>
      <c r="F38" s="123" t="s">
        <v>190</v>
      </c>
      <c r="G38" s="122" t="s">
        <v>273</v>
      </c>
      <c r="H38" s="122" t="s">
        <v>192</v>
      </c>
      <c r="I38" s="124" t="s">
        <v>284</v>
      </c>
      <c r="J38" s="124" t="s">
        <v>285</v>
      </c>
      <c r="K38" s="145" t="s">
        <v>284</v>
      </c>
      <c r="L38" s="146">
        <v>0.75</v>
      </c>
      <c r="M38" s="147" t="s">
        <v>365</v>
      </c>
      <c r="N38" s="145" t="s">
        <v>287</v>
      </c>
      <c r="O38" s="145" t="s">
        <v>288</v>
      </c>
      <c r="P38" s="122" t="s">
        <v>207</v>
      </c>
      <c r="Q38" s="126">
        <v>0.56999999999999995</v>
      </c>
      <c r="R38" s="121" t="s">
        <v>366</v>
      </c>
      <c r="S38" s="126">
        <v>0.49</v>
      </c>
      <c r="T38" s="147" t="s">
        <v>251</v>
      </c>
      <c r="U38" s="127" t="s">
        <v>6</v>
      </c>
      <c r="V38" s="131" t="s">
        <v>61</v>
      </c>
      <c r="W38" s="127" t="s">
        <v>6</v>
      </c>
      <c r="X38" s="143" t="s">
        <v>61</v>
      </c>
      <c r="Y38" s="143">
        <v>0.49</v>
      </c>
      <c r="Z38" s="121" t="s">
        <v>251</v>
      </c>
      <c r="AA38" s="126">
        <v>0.42</v>
      </c>
      <c r="AB38" s="147" t="s">
        <v>251</v>
      </c>
      <c r="AC38" s="127" t="s">
        <v>6</v>
      </c>
      <c r="AD38" s="121" t="s">
        <v>61</v>
      </c>
      <c r="AE38" s="126">
        <v>0.43</v>
      </c>
      <c r="AF38" s="147" t="s">
        <v>251</v>
      </c>
      <c r="AG38" s="127" t="s">
        <v>61</v>
      </c>
      <c r="AH38" s="121" t="s">
        <v>61</v>
      </c>
      <c r="AI38" s="127" t="s">
        <v>61</v>
      </c>
      <c r="AJ38" s="121" t="s">
        <v>61</v>
      </c>
      <c r="AK38" s="127" t="s">
        <v>61</v>
      </c>
      <c r="AL38" s="121" t="s">
        <v>61</v>
      </c>
      <c r="AM38" s="127" t="s">
        <v>61</v>
      </c>
      <c r="AN38" s="121" t="s">
        <v>61</v>
      </c>
      <c r="AO38" s="127" t="s">
        <v>61</v>
      </c>
      <c r="AP38" s="121" t="s">
        <v>61</v>
      </c>
      <c r="AQ38" s="127" t="s">
        <v>61</v>
      </c>
      <c r="AR38" s="121" t="s">
        <v>61</v>
      </c>
      <c r="AS38" s="127" t="s">
        <v>61</v>
      </c>
      <c r="AT38" s="121" t="s">
        <v>61</v>
      </c>
      <c r="AU38" s="127" t="s">
        <v>61</v>
      </c>
      <c r="AV38" s="121" t="s">
        <v>61</v>
      </c>
      <c r="AW38" s="127" t="s">
        <v>61</v>
      </c>
      <c r="AX38" s="121" t="s">
        <v>61</v>
      </c>
      <c r="AY38" s="127" t="s">
        <v>61</v>
      </c>
      <c r="AZ38" s="121" t="s">
        <v>61</v>
      </c>
      <c r="BA38" s="127" t="s">
        <v>61</v>
      </c>
      <c r="BB38" s="121" t="s">
        <v>61</v>
      </c>
      <c r="BC38" s="121" t="s">
        <v>61</v>
      </c>
      <c r="BD38" s="121" t="s">
        <v>6</v>
      </c>
      <c r="BE38" s="121" t="s">
        <v>61</v>
      </c>
      <c r="BF38" s="121" t="s">
        <v>61</v>
      </c>
      <c r="BG38" s="121" t="s">
        <v>61</v>
      </c>
      <c r="BH38" s="121" t="s">
        <v>61</v>
      </c>
      <c r="BI38" s="121" t="s">
        <v>61</v>
      </c>
      <c r="BJ38" s="121" t="s">
        <v>61</v>
      </c>
      <c r="BK38" s="121" t="s">
        <v>61</v>
      </c>
      <c r="BL38" s="128" t="str">
        <f>IF(BK38="NA","NA",IF(BK38="Not Reported","Not Reported",IF(BK38&lt;$L$38,"Not Met","Met")))</f>
        <v>Not Reported</v>
      </c>
      <c r="BM38" s="258" t="s">
        <v>61</v>
      </c>
      <c r="BN38" s="128" t="str">
        <f>IF(BM38="NA","NA",IF(BM38="Not Reported","Not Reported",IF(BM38&lt;$L$38,"Not Met","Met")))</f>
        <v>Not Reported</v>
      </c>
      <c r="BO38" s="128">
        <v>0.3</v>
      </c>
      <c r="BP38" s="128" t="s">
        <v>251</v>
      </c>
      <c r="BQ38" s="128" t="s">
        <v>61</v>
      </c>
      <c r="BR38" s="128" t="s">
        <v>61</v>
      </c>
      <c r="BS38" s="26" t="s">
        <v>61</v>
      </c>
      <c r="BT38" s="128" t="str">
        <f>IF(BS38="NA","NA",IF(BS38="Not Reported","Not Reported",IF(BS38&lt;$L$38,"Not Met","Met")))</f>
        <v>Not Reported</v>
      </c>
      <c r="BU38" s="26" t="s">
        <v>61</v>
      </c>
      <c r="BV38" s="128" t="str">
        <f>IF(BU38="NA","NA",IF(BU38="Not Reported","Not Reported",IF(BU38&lt;$L$38,"Not Met","Met")))</f>
        <v>Not Reported</v>
      </c>
    </row>
    <row r="39" spans="1:74" x14ac:dyDescent="0.2">
      <c r="A39" s="121">
        <v>38</v>
      </c>
      <c r="B39" s="122" t="s">
        <v>35</v>
      </c>
      <c r="C39" s="122" t="s">
        <v>903</v>
      </c>
      <c r="D39" s="123" t="s">
        <v>133</v>
      </c>
      <c r="E39" s="123" t="s">
        <v>899</v>
      </c>
      <c r="F39" s="123" t="s">
        <v>190</v>
      </c>
      <c r="G39" s="122" t="s">
        <v>273</v>
      </c>
      <c r="H39" s="122" t="s">
        <v>192</v>
      </c>
      <c r="I39" s="124" t="s">
        <v>289</v>
      </c>
      <c r="J39" s="124" t="s">
        <v>285</v>
      </c>
      <c r="K39" s="145" t="s">
        <v>289</v>
      </c>
      <c r="L39" s="128">
        <v>0.1</v>
      </c>
      <c r="M39" s="128">
        <v>0.1</v>
      </c>
      <c r="N39" s="145" t="s">
        <v>290</v>
      </c>
      <c r="O39" s="145" t="s">
        <v>291</v>
      </c>
      <c r="P39" s="123" t="s">
        <v>207</v>
      </c>
      <c r="Q39" s="127" t="s">
        <v>367</v>
      </c>
      <c r="R39" s="127" t="s">
        <v>367</v>
      </c>
      <c r="S39" s="142">
        <v>0.09</v>
      </c>
      <c r="T39" s="147" t="s">
        <v>251</v>
      </c>
      <c r="U39" s="127" t="s">
        <v>6</v>
      </c>
      <c r="V39" s="131" t="s">
        <v>61</v>
      </c>
      <c r="W39" s="127" t="s">
        <v>6</v>
      </c>
      <c r="X39" s="143" t="s">
        <v>61</v>
      </c>
      <c r="Y39" s="143">
        <v>0.11</v>
      </c>
      <c r="Z39" s="121" t="s">
        <v>198</v>
      </c>
      <c r="AA39" s="126">
        <v>0.14000000000000001</v>
      </c>
      <c r="AB39" s="121" t="s">
        <v>198</v>
      </c>
      <c r="AC39" s="127" t="s">
        <v>6</v>
      </c>
      <c r="AD39" s="121" t="s">
        <v>61</v>
      </c>
      <c r="AE39" s="126">
        <v>0.03</v>
      </c>
      <c r="AF39" s="147" t="s">
        <v>251</v>
      </c>
      <c r="AG39" s="127" t="s">
        <v>61</v>
      </c>
      <c r="AH39" s="121" t="s">
        <v>61</v>
      </c>
      <c r="AI39" s="127" t="s">
        <v>61</v>
      </c>
      <c r="AJ39" s="121" t="s">
        <v>61</v>
      </c>
      <c r="AK39" s="127" t="s">
        <v>61</v>
      </c>
      <c r="AL39" s="121" t="s">
        <v>61</v>
      </c>
      <c r="AM39" s="127" t="s">
        <v>61</v>
      </c>
      <c r="AN39" s="121" t="s">
        <v>61</v>
      </c>
      <c r="AO39" s="127" t="s">
        <v>61</v>
      </c>
      <c r="AP39" s="121" t="s">
        <v>61</v>
      </c>
      <c r="AQ39" s="127" t="s">
        <v>61</v>
      </c>
      <c r="AR39" s="121" t="s">
        <v>61</v>
      </c>
      <c r="AS39" s="127" t="s">
        <v>61</v>
      </c>
      <c r="AT39" s="121" t="s">
        <v>61</v>
      </c>
      <c r="AU39" s="127" t="s">
        <v>61</v>
      </c>
      <c r="AV39" s="121" t="s">
        <v>61</v>
      </c>
      <c r="AW39" s="127" t="s">
        <v>61</v>
      </c>
      <c r="AX39" s="121" t="s">
        <v>61</v>
      </c>
      <c r="AY39" s="127" t="s">
        <v>61</v>
      </c>
      <c r="AZ39" s="121" t="s">
        <v>61</v>
      </c>
      <c r="BA39" s="127" t="s">
        <v>61</v>
      </c>
      <c r="BB39" s="121" t="s">
        <v>61</v>
      </c>
      <c r="BC39" s="121" t="s">
        <v>61</v>
      </c>
      <c r="BD39" s="121" t="s">
        <v>6</v>
      </c>
      <c r="BE39" s="121" t="s">
        <v>61</v>
      </c>
      <c r="BF39" s="121" t="s">
        <v>61</v>
      </c>
      <c r="BG39" s="121" t="s">
        <v>61</v>
      </c>
      <c r="BH39" s="121" t="s">
        <v>61</v>
      </c>
      <c r="BI39" s="121" t="s">
        <v>61</v>
      </c>
      <c r="BJ39" s="121" t="s">
        <v>61</v>
      </c>
      <c r="BK39" s="121" t="s">
        <v>61</v>
      </c>
      <c r="BL39" s="174" t="str">
        <f>IF(BK39="NA","NA",IF(BK39="Not Reported","Not Reported",IF(BK39&lt;$L$39,"Not Met","Met")))</f>
        <v>Not Reported</v>
      </c>
      <c r="BM39" s="258" t="s">
        <v>61</v>
      </c>
      <c r="BN39" s="162" t="str">
        <f>IF(BM39="NA","NA",IF(BM39="Not Reported","Not Reported",IF(BM39&lt;$L$39,"Not Met","Met")))</f>
        <v>Not Reported</v>
      </c>
      <c r="BO39" s="178">
        <v>0.1</v>
      </c>
      <c r="BP39" s="162" t="s">
        <v>198</v>
      </c>
      <c r="BQ39" s="128" t="s">
        <v>61</v>
      </c>
      <c r="BR39" s="162" t="s">
        <v>61</v>
      </c>
      <c r="BS39" s="26" t="s">
        <v>61</v>
      </c>
      <c r="BT39" s="162" t="str">
        <f>IF(BS39="NA","NA",IF(BS39="Not Reported","Not Reported",IF(BS39&lt;$L$39,"Not Met","Met")))</f>
        <v>Not Reported</v>
      </c>
      <c r="BU39" s="26" t="s">
        <v>61</v>
      </c>
      <c r="BV39" s="162" t="str">
        <f>IF(BU39="NA","NA",IF(BU39="Not Reported","Not Reported",IF(BU39&lt;$L$39,"Not Met","Met")))</f>
        <v>Not Reported</v>
      </c>
    </row>
    <row r="40" spans="1:74" x14ac:dyDescent="0.2">
      <c r="A40" s="121">
        <v>39</v>
      </c>
      <c r="B40" s="122" t="s">
        <v>35</v>
      </c>
      <c r="C40" s="122" t="s">
        <v>903</v>
      </c>
      <c r="D40" s="123" t="s">
        <v>133</v>
      </c>
      <c r="E40" s="123" t="s">
        <v>899</v>
      </c>
      <c r="F40" s="123" t="s">
        <v>190</v>
      </c>
      <c r="G40" s="122" t="s">
        <v>273</v>
      </c>
      <c r="H40" s="122" t="s">
        <v>192</v>
      </c>
      <c r="I40" s="124" t="s">
        <v>246</v>
      </c>
      <c r="J40" s="124" t="s">
        <v>214</v>
      </c>
      <c r="K40" s="122" t="s">
        <v>326</v>
      </c>
      <c r="L40" s="128">
        <v>0.2</v>
      </c>
      <c r="M40" s="128">
        <v>0.2</v>
      </c>
      <c r="N40" s="145" t="s">
        <v>368</v>
      </c>
      <c r="O40" s="145" t="s">
        <v>369</v>
      </c>
      <c r="P40" s="123" t="s">
        <v>207</v>
      </c>
      <c r="Q40" s="127" t="s">
        <v>367</v>
      </c>
      <c r="R40" s="127" t="s">
        <v>367</v>
      </c>
      <c r="S40" s="142">
        <v>1</v>
      </c>
      <c r="T40" s="147" t="s">
        <v>251</v>
      </c>
      <c r="U40" s="127" t="s">
        <v>6</v>
      </c>
      <c r="V40" s="131" t="s">
        <v>61</v>
      </c>
      <c r="W40" s="127" t="s">
        <v>6</v>
      </c>
      <c r="X40" s="143" t="s">
        <v>61</v>
      </c>
      <c r="Y40" s="146">
        <v>0.31</v>
      </c>
      <c r="Z40" s="121" t="s">
        <v>251</v>
      </c>
      <c r="AA40" s="126">
        <v>0.33</v>
      </c>
      <c r="AB40" s="147" t="s">
        <v>251</v>
      </c>
      <c r="AC40" s="127" t="s">
        <v>6</v>
      </c>
      <c r="AD40" s="121" t="s">
        <v>61</v>
      </c>
      <c r="AE40" s="126">
        <v>0</v>
      </c>
      <c r="AF40" s="147" t="s">
        <v>198</v>
      </c>
      <c r="AG40" s="127" t="s">
        <v>61</v>
      </c>
      <c r="AH40" s="121" t="s">
        <v>61</v>
      </c>
      <c r="AI40" s="127" t="s">
        <v>61</v>
      </c>
      <c r="AJ40" s="121" t="s">
        <v>61</v>
      </c>
      <c r="AK40" s="127" t="s">
        <v>61</v>
      </c>
      <c r="AL40" s="121" t="s">
        <v>61</v>
      </c>
      <c r="AM40" s="127" t="s">
        <v>61</v>
      </c>
      <c r="AN40" s="121" t="s">
        <v>61</v>
      </c>
      <c r="AO40" s="127" t="s">
        <v>61</v>
      </c>
      <c r="AP40" s="121" t="s">
        <v>61</v>
      </c>
      <c r="AQ40" s="127" t="s">
        <v>61</v>
      </c>
      <c r="AR40" s="121" t="s">
        <v>61</v>
      </c>
      <c r="AS40" s="127" t="s">
        <v>61</v>
      </c>
      <c r="AT40" s="121" t="s">
        <v>61</v>
      </c>
      <c r="AU40" s="127" t="s">
        <v>61</v>
      </c>
      <c r="AV40" s="121" t="s">
        <v>61</v>
      </c>
      <c r="AW40" s="127" t="s">
        <v>61</v>
      </c>
      <c r="AX40" s="121" t="s">
        <v>61</v>
      </c>
      <c r="AY40" s="127" t="s">
        <v>61</v>
      </c>
      <c r="AZ40" s="121" t="s">
        <v>61</v>
      </c>
      <c r="BA40" s="127" t="s">
        <v>61</v>
      </c>
      <c r="BB40" s="121" t="s">
        <v>61</v>
      </c>
      <c r="BC40" s="121" t="s">
        <v>61</v>
      </c>
      <c r="BD40" s="121" t="s">
        <v>6</v>
      </c>
      <c r="BE40" s="121" t="s">
        <v>61</v>
      </c>
      <c r="BF40" s="121" t="s">
        <v>61</v>
      </c>
      <c r="BG40" s="121" t="s">
        <v>61</v>
      </c>
      <c r="BH40" s="121" t="s">
        <v>61</v>
      </c>
      <c r="BI40" s="121" t="s">
        <v>61</v>
      </c>
      <c r="BJ40" s="121" t="s">
        <v>61</v>
      </c>
      <c r="BK40" s="121" t="s">
        <v>61</v>
      </c>
      <c r="BL40" s="174" t="str">
        <f>IF(BK40="NA","NA",IF(BK40="Not Reported","Not Reported",IF(BK40&gt;$L$40,"Not Met","Met")))</f>
        <v>Not Reported</v>
      </c>
      <c r="BM40" s="258" t="s">
        <v>61</v>
      </c>
      <c r="BN40" s="162" t="str">
        <f>IF(BM40="NA","NA",IF(BM40="Not Reported","Not Reported",IF(BM40&gt;$L$40,"Not Met","Met")))</f>
        <v>Not Reported</v>
      </c>
      <c r="BO40" s="178">
        <v>0.4</v>
      </c>
      <c r="BP40" s="162" t="s">
        <v>251</v>
      </c>
      <c r="BQ40" s="128" t="s">
        <v>61</v>
      </c>
      <c r="BR40" s="162" t="s">
        <v>61</v>
      </c>
      <c r="BS40" s="26" t="s">
        <v>61</v>
      </c>
      <c r="BT40" s="162" t="str">
        <f>IF(BS40="NA","NA",IF(BS40="Not Reported","Not Reported",IF(BS40&gt;$L$40,"Not Met","Met")))</f>
        <v>Not Reported</v>
      </c>
      <c r="BU40" s="26" t="s">
        <v>61</v>
      </c>
      <c r="BV40" s="162" t="str">
        <f>IF(BU40="NA","NA",IF(BU40="Not Reported","Not Reported",IF(BU40&gt;$L$40,"Not Met","Met")))</f>
        <v>Not Reported</v>
      </c>
    </row>
    <row r="41" spans="1:74" x14ac:dyDescent="0.25">
      <c r="A41" s="121">
        <v>40</v>
      </c>
      <c r="B41" s="122" t="s">
        <v>35</v>
      </c>
      <c r="C41" s="122" t="s">
        <v>903</v>
      </c>
      <c r="D41" s="123" t="s">
        <v>133</v>
      </c>
      <c r="E41" s="123" t="s">
        <v>899</v>
      </c>
      <c r="F41" s="123" t="s">
        <v>190</v>
      </c>
      <c r="G41" s="122" t="s">
        <v>273</v>
      </c>
      <c r="H41" s="122" t="s">
        <v>192</v>
      </c>
      <c r="I41" s="124" t="s">
        <v>292</v>
      </c>
      <c r="J41" s="124" t="s">
        <v>293</v>
      </c>
      <c r="K41" s="122" t="s">
        <v>292</v>
      </c>
      <c r="L41" s="128">
        <v>0.3</v>
      </c>
      <c r="M41" s="128">
        <v>0.3</v>
      </c>
      <c r="N41" s="122" t="s">
        <v>294</v>
      </c>
      <c r="O41" s="122" t="s">
        <v>295</v>
      </c>
      <c r="P41" s="123" t="s">
        <v>207</v>
      </c>
      <c r="Q41" s="127" t="s">
        <v>367</v>
      </c>
      <c r="R41" s="127" t="s">
        <v>367</v>
      </c>
      <c r="S41" s="142">
        <v>7.0000000000000007E-2</v>
      </c>
      <c r="T41" s="147" t="s">
        <v>198</v>
      </c>
      <c r="U41" s="127" t="s">
        <v>6</v>
      </c>
      <c r="V41" s="131" t="s">
        <v>61</v>
      </c>
      <c r="W41" s="127" t="s">
        <v>6</v>
      </c>
      <c r="X41" s="143" t="s">
        <v>61</v>
      </c>
      <c r="Y41" s="143">
        <v>0.11</v>
      </c>
      <c r="Z41" s="121" t="s">
        <v>198</v>
      </c>
      <c r="AA41" s="126">
        <v>0.16</v>
      </c>
      <c r="AB41" s="121" t="s">
        <v>198</v>
      </c>
      <c r="AC41" s="127" t="s">
        <v>6</v>
      </c>
      <c r="AD41" s="121" t="s">
        <v>61</v>
      </c>
      <c r="AE41" s="126">
        <v>0</v>
      </c>
      <c r="AF41" s="121" t="s">
        <v>198</v>
      </c>
      <c r="AG41" s="127" t="s">
        <v>61</v>
      </c>
      <c r="AH41" s="121" t="s">
        <v>61</v>
      </c>
      <c r="AI41" s="127" t="s">
        <v>61</v>
      </c>
      <c r="AJ41" s="121" t="s">
        <v>61</v>
      </c>
      <c r="AK41" s="127" t="s">
        <v>61</v>
      </c>
      <c r="AL41" s="121" t="s">
        <v>61</v>
      </c>
      <c r="AM41" s="127" t="s">
        <v>61</v>
      </c>
      <c r="AN41" s="121" t="s">
        <v>61</v>
      </c>
      <c r="AO41" s="127" t="s">
        <v>61</v>
      </c>
      <c r="AP41" s="121" t="s">
        <v>61</v>
      </c>
      <c r="AQ41" s="127" t="s">
        <v>61</v>
      </c>
      <c r="AR41" s="121" t="s">
        <v>61</v>
      </c>
      <c r="AS41" s="127" t="s">
        <v>61</v>
      </c>
      <c r="AT41" s="121" t="s">
        <v>61</v>
      </c>
      <c r="AU41" s="127" t="s">
        <v>61</v>
      </c>
      <c r="AV41" s="121" t="s">
        <v>61</v>
      </c>
      <c r="AW41" s="127" t="s">
        <v>61</v>
      </c>
      <c r="AX41" s="121" t="s">
        <v>61</v>
      </c>
      <c r="AY41" s="127" t="s">
        <v>61</v>
      </c>
      <c r="AZ41" s="121" t="s">
        <v>61</v>
      </c>
      <c r="BA41" s="127" t="s">
        <v>61</v>
      </c>
      <c r="BB41" s="121" t="s">
        <v>61</v>
      </c>
      <c r="BC41" s="121" t="s">
        <v>61</v>
      </c>
      <c r="BD41" s="121" t="s">
        <v>6</v>
      </c>
      <c r="BE41" s="121" t="s">
        <v>61</v>
      </c>
      <c r="BF41" s="121" t="s">
        <v>61</v>
      </c>
      <c r="BG41" s="121" t="s">
        <v>61</v>
      </c>
      <c r="BH41" s="121" t="s">
        <v>61</v>
      </c>
      <c r="BI41" s="121" t="s">
        <v>61</v>
      </c>
      <c r="BJ41" s="121" t="s">
        <v>61</v>
      </c>
      <c r="BK41" s="121" t="s">
        <v>61</v>
      </c>
      <c r="BL41" s="128" t="str">
        <f>IF(BK41="NA","NA",IF(BK41="Not Reported","Not Reported",IF(BK41&gt;$L$41,"Not Met","Met")))</f>
        <v>Not Reported</v>
      </c>
      <c r="BM41" s="258" t="s">
        <v>61</v>
      </c>
      <c r="BN41" s="128" t="str">
        <f>IF(BM41="NA","NA",IF(BM41="Not Reported","Not Reported",IF(BM41&gt;$L$41,"Not Met","Met")))</f>
        <v>Not Reported</v>
      </c>
      <c r="BO41" s="128">
        <v>0.3</v>
      </c>
      <c r="BP41" s="128" t="s">
        <v>198</v>
      </c>
      <c r="BQ41" s="128" t="s">
        <v>61</v>
      </c>
      <c r="BR41" s="128" t="s">
        <v>61</v>
      </c>
      <c r="BS41" s="26" t="s">
        <v>61</v>
      </c>
      <c r="BT41" s="128" t="str">
        <f>IF(BS41="NA","NA",IF(BS41="Not Reported","Not Reported",IF(BS41&gt;$L$41,"Not Met","Met")))</f>
        <v>Not Reported</v>
      </c>
      <c r="BU41" s="26" t="s">
        <v>61</v>
      </c>
      <c r="BV41" s="128" t="str">
        <f>IF(BU41="NA","NA",IF(BU41="Not Reported","Not Reported",IF(BU41&gt;$L$41,"Not Met","Met")))</f>
        <v>Not Reported</v>
      </c>
    </row>
    <row r="42" spans="1:74" x14ac:dyDescent="0.2">
      <c r="A42" s="121">
        <v>41</v>
      </c>
      <c r="B42" s="122" t="s">
        <v>54</v>
      </c>
      <c r="C42" s="122" t="s">
        <v>903</v>
      </c>
      <c r="D42" s="123" t="s">
        <v>133</v>
      </c>
      <c r="E42" s="123" t="s">
        <v>899</v>
      </c>
      <c r="F42" s="123" t="s">
        <v>190</v>
      </c>
      <c r="G42" s="122" t="s">
        <v>273</v>
      </c>
      <c r="H42" s="122" t="s">
        <v>192</v>
      </c>
      <c r="I42" s="124"/>
      <c r="J42" s="124"/>
      <c r="K42" s="123" t="s">
        <v>274</v>
      </c>
      <c r="L42" s="130">
        <v>90</v>
      </c>
      <c r="M42" s="128" t="s">
        <v>370</v>
      </c>
      <c r="N42" s="122"/>
      <c r="O42" s="122"/>
      <c r="P42" s="123"/>
      <c r="Q42" s="127"/>
      <c r="R42" s="127"/>
      <c r="S42" s="142"/>
      <c r="T42" s="147"/>
      <c r="U42" s="127"/>
      <c r="V42" s="131"/>
      <c r="W42" s="127"/>
      <c r="X42" s="143"/>
      <c r="Y42" s="143"/>
      <c r="Z42" s="121"/>
      <c r="AA42" s="126"/>
      <c r="AB42" s="121"/>
      <c r="AC42" s="127"/>
      <c r="AD42" s="121"/>
      <c r="AE42" s="126"/>
      <c r="AF42" s="121"/>
      <c r="AG42" s="127"/>
      <c r="AH42" s="121"/>
      <c r="AI42" s="127"/>
      <c r="AJ42" s="121"/>
      <c r="AK42" s="127"/>
      <c r="AL42" s="121"/>
      <c r="AM42" s="127"/>
      <c r="AN42" s="121"/>
      <c r="AO42" s="127" t="s">
        <v>371</v>
      </c>
      <c r="AP42" s="121" t="s">
        <v>251</v>
      </c>
      <c r="AQ42" s="127" t="s">
        <v>372</v>
      </c>
      <c r="AR42" s="121" t="s">
        <v>251</v>
      </c>
      <c r="AS42" s="121" t="s">
        <v>6</v>
      </c>
      <c r="AT42" s="121" t="s">
        <v>6</v>
      </c>
      <c r="AU42" s="154" t="s">
        <v>373</v>
      </c>
      <c r="AV42" s="121" t="s">
        <v>251</v>
      </c>
      <c r="AW42" s="154" t="s">
        <v>374</v>
      </c>
      <c r="AX42" s="121" t="s">
        <v>251</v>
      </c>
      <c r="AY42" s="154" t="s">
        <v>375</v>
      </c>
      <c r="AZ42" s="121" t="s">
        <v>251</v>
      </c>
      <c r="BA42" s="121" t="s">
        <v>61</v>
      </c>
      <c r="BB42" s="121" t="s">
        <v>61</v>
      </c>
      <c r="BC42" s="127" t="s">
        <v>11</v>
      </c>
      <c r="BD42" s="128" t="s">
        <v>11</v>
      </c>
      <c r="BE42" s="127" t="s">
        <v>11</v>
      </c>
      <c r="BF42" s="128" t="s">
        <v>11</v>
      </c>
      <c r="BG42" s="127" t="s">
        <v>11</v>
      </c>
      <c r="BH42" s="128" t="s">
        <v>11</v>
      </c>
      <c r="BI42" s="127" t="s">
        <v>11</v>
      </c>
      <c r="BJ42" s="128" t="s">
        <v>11</v>
      </c>
      <c r="BK42" s="127" t="s">
        <v>11</v>
      </c>
      <c r="BL42" s="121" t="str">
        <f>IF(BK42="NA","NA",IF(BK42="Not Reported","Not Reported",IF(BK42&gt;$L$42,"Not Met","Met")))</f>
        <v>NA</v>
      </c>
      <c r="BM42" s="257" t="s">
        <v>11</v>
      </c>
      <c r="BN42" s="121" t="str">
        <f>IF(BM42="NA","NA",IF(BM42="Not Reported","Not Reported",IF(BM42&gt;$L$42,"Not Met","Met")))</f>
        <v>NA</v>
      </c>
      <c r="BO42" s="121" t="s">
        <v>11</v>
      </c>
      <c r="BP42" s="121" t="s">
        <v>11</v>
      </c>
      <c r="BQ42" s="121" t="s">
        <v>11</v>
      </c>
      <c r="BR42" s="121" t="s">
        <v>11</v>
      </c>
      <c r="BS42" s="338" t="s">
        <v>11</v>
      </c>
      <c r="BT42" s="121" t="str">
        <f>IF(BS42="NA","NA",IF(BS42="Not Reported","Not Reported",IF(BS42&gt;$L$42,"Not Met","Met")))</f>
        <v>NA</v>
      </c>
      <c r="BU42" s="338" t="s">
        <v>11</v>
      </c>
      <c r="BV42" s="121" t="str">
        <f>IF(BU42="NA","NA",IF(BU42="Not Reported","Not Reported",IF(BU42&gt;$L$42,"Not Met","Met")))</f>
        <v>NA</v>
      </c>
    </row>
    <row r="43" spans="1:74" x14ac:dyDescent="0.2">
      <c r="A43" s="121">
        <v>42</v>
      </c>
      <c r="B43" s="122" t="s">
        <v>54</v>
      </c>
      <c r="C43" s="122" t="s">
        <v>903</v>
      </c>
      <c r="D43" s="123" t="s">
        <v>133</v>
      </c>
      <c r="E43" s="123" t="s">
        <v>899</v>
      </c>
      <c r="F43" s="123" t="s">
        <v>190</v>
      </c>
      <c r="G43" s="122" t="s">
        <v>273</v>
      </c>
      <c r="H43" s="122" t="s">
        <v>192</v>
      </c>
      <c r="I43" s="124"/>
      <c r="J43" s="124"/>
      <c r="K43" s="123" t="s">
        <v>213</v>
      </c>
      <c r="L43" s="130">
        <v>30</v>
      </c>
      <c r="M43" s="128" t="s">
        <v>356</v>
      </c>
      <c r="N43" s="122"/>
      <c r="O43" s="122"/>
      <c r="P43" s="123"/>
      <c r="Q43" s="127"/>
      <c r="R43" s="127"/>
      <c r="S43" s="142"/>
      <c r="T43" s="147"/>
      <c r="U43" s="127"/>
      <c r="V43" s="131"/>
      <c r="W43" s="127"/>
      <c r="X43" s="143"/>
      <c r="Y43" s="143"/>
      <c r="Z43" s="121"/>
      <c r="AA43" s="126"/>
      <c r="AB43" s="121"/>
      <c r="AC43" s="127"/>
      <c r="AD43" s="121"/>
      <c r="AE43" s="126"/>
      <c r="AF43" s="121"/>
      <c r="AG43" s="127"/>
      <c r="AH43" s="121"/>
      <c r="AI43" s="127"/>
      <c r="AJ43" s="121"/>
      <c r="AK43" s="127"/>
      <c r="AL43" s="121"/>
      <c r="AM43" s="127"/>
      <c r="AN43" s="121"/>
      <c r="AO43" s="127" t="s">
        <v>346</v>
      </c>
      <c r="AP43" s="121" t="s">
        <v>251</v>
      </c>
      <c r="AQ43" s="127" t="s">
        <v>360</v>
      </c>
      <c r="AR43" s="121" t="s">
        <v>251</v>
      </c>
      <c r="AS43" s="121" t="s">
        <v>6</v>
      </c>
      <c r="AT43" s="121" t="s">
        <v>6</v>
      </c>
      <c r="AU43" s="155" t="s">
        <v>376</v>
      </c>
      <c r="AV43" s="121" t="s">
        <v>251</v>
      </c>
      <c r="AW43" s="155" t="s">
        <v>377</v>
      </c>
      <c r="AX43" s="121" t="s">
        <v>251</v>
      </c>
      <c r="AY43" s="155" t="s">
        <v>227</v>
      </c>
      <c r="AZ43" s="121" t="s">
        <v>198</v>
      </c>
      <c r="BA43" s="121" t="s">
        <v>61</v>
      </c>
      <c r="BB43" s="121" t="s">
        <v>61</v>
      </c>
      <c r="BC43" s="127" t="s">
        <v>11</v>
      </c>
      <c r="BD43" s="128" t="s">
        <v>11</v>
      </c>
      <c r="BE43" s="127" t="s">
        <v>11</v>
      </c>
      <c r="BF43" s="128" t="s">
        <v>11</v>
      </c>
      <c r="BG43" s="127" t="s">
        <v>11</v>
      </c>
      <c r="BH43" s="128" t="s">
        <v>11</v>
      </c>
      <c r="BI43" s="127" t="s">
        <v>11</v>
      </c>
      <c r="BJ43" s="128" t="s">
        <v>11</v>
      </c>
      <c r="BK43" s="127" t="s">
        <v>11</v>
      </c>
      <c r="BL43" s="121" t="str">
        <f>IF(BK43="NA","NA",IF(BK43="Not Reported","Not Reported",IF(BK43&gt;$L$43,"Not Met","Met")))</f>
        <v>NA</v>
      </c>
      <c r="BM43" s="257" t="s">
        <v>11</v>
      </c>
      <c r="BN43" s="121" t="str">
        <f>IF(BM43="NA","NA",IF(BM43="Not Reported","Not Reported",IF(BM43&gt;$L$43,"Not Met","Met")))</f>
        <v>NA</v>
      </c>
      <c r="BO43" s="121" t="s">
        <v>11</v>
      </c>
      <c r="BP43" s="121" t="s">
        <v>11</v>
      </c>
      <c r="BQ43" s="121" t="s">
        <v>11</v>
      </c>
      <c r="BR43" s="121" t="s">
        <v>11</v>
      </c>
      <c r="BS43" s="338" t="s">
        <v>11</v>
      </c>
      <c r="BT43" s="121" t="str">
        <f>IF(BS43="NA","NA",IF(BS43="Not Reported","Not Reported",IF(BS43&gt;$L$43,"Not Met","Met")))</f>
        <v>NA</v>
      </c>
      <c r="BU43" s="338" t="s">
        <v>11</v>
      </c>
      <c r="BV43" s="121" t="str">
        <f>IF(BU43="NA","NA",IF(BU43="Not Reported","Not Reported",IF(BU43&gt;$L$43,"Not Met","Met")))</f>
        <v>NA</v>
      </c>
    </row>
    <row r="44" spans="1:74" x14ac:dyDescent="0.2">
      <c r="A44" s="121">
        <v>43</v>
      </c>
      <c r="B44" s="122" t="s">
        <v>54</v>
      </c>
      <c r="C44" s="122" t="s">
        <v>903</v>
      </c>
      <c r="D44" s="123" t="s">
        <v>133</v>
      </c>
      <c r="E44" s="123" t="s">
        <v>899</v>
      </c>
      <c r="F44" s="123" t="s">
        <v>190</v>
      </c>
      <c r="G44" s="122" t="s">
        <v>273</v>
      </c>
      <c r="H44" s="122" t="s">
        <v>192</v>
      </c>
      <c r="I44" s="124"/>
      <c r="J44" s="124"/>
      <c r="K44" s="123" t="s">
        <v>326</v>
      </c>
      <c r="L44" s="128">
        <v>0.1</v>
      </c>
      <c r="M44" s="128">
        <v>0.1</v>
      </c>
      <c r="N44" s="122"/>
      <c r="O44" s="122"/>
      <c r="P44" s="123"/>
      <c r="Q44" s="127"/>
      <c r="R44" s="127"/>
      <c r="S44" s="142"/>
      <c r="T44" s="147"/>
      <c r="U44" s="127"/>
      <c r="V44" s="131"/>
      <c r="W44" s="127"/>
      <c r="X44" s="143"/>
      <c r="Y44" s="143"/>
      <c r="Z44" s="121"/>
      <c r="AA44" s="126"/>
      <c r="AB44" s="121"/>
      <c r="AC44" s="127"/>
      <c r="AD44" s="121"/>
      <c r="AE44" s="126"/>
      <c r="AF44" s="121"/>
      <c r="AG44" s="127"/>
      <c r="AH44" s="121"/>
      <c r="AI44" s="127"/>
      <c r="AJ44" s="121"/>
      <c r="AK44" s="127"/>
      <c r="AL44" s="121"/>
      <c r="AM44" s="127"/>
      <c r="AN44" s="121"/>
      <c r="AO44" s="127" t="s">
        <v>11</v>
      </c>
      <c r="AP44" s="127" t="s">
        <v>11</v>
      </c>
      <c r="AQ44" s="127" t="s">
        <v>11</v>
      </c>
      <c r="AR44" s="127" t="s">
        <v>11</v>
      </c>
      <c r="AS44" s="121" t="s">
        <v>6</v>
      </c>
      <c r="AT44" s="121" t="s">
        <v>6</v>
      </c>
      <c r="AU44" s="156">
        <v>0.4</v>
      </c>
      <c r="AV44" s="121" t="s">
        <v>251</v>
      </c>
      <c r="AW44" s="156">
        <v>0.32</v>
      </c>
      <c r="AX44" s="121" t="s">
        <v>251</v>
      </c>
      <c r="AY44" s="156">
        <v>0</v>
      </c>
      <c r="AZ44" s="121" t="s">
        <v>198</v>
      </c>
      <c r="BA44" s="121" t="s">
        <v>61</v>
      </c>
      <c r="BB44" s="121" t="s">
        <v>61</v>
      </c>
      <c r="BC44" s="127" t="s">
        <v>11</v>
      </c>
      <c r="BD44" s="128" t="s">
        <v>11</v>
      </c>
      <c r="BE44" s="127" t="s">
        <v>11</v>
      </c>
      <c r="BF44" s="128" t="s">
        <v>11</v>
      </c>
      <c r="BG44" s="127" t="s">
        <v>11</v>
      </c>
      <c r="BH44" s="128" t="s">
        <v>11</v>
      </c>
      <c r="BI44" s="127" t="s">
        <v>11</v>
      </c>
      <c r="BJ44" s="128" t="s">
        <v>11</v>
      </c>
      <c r="BK44" s="127" t="s">
        <v>11</v>
      </c>
      <c r="BL44" s="174" t="str">
        <f>IF(BK44="NA","NA",IF(BK44="Not Reported","Not Reported",IF(BK44&gt;$L$44,"Not Met","Met")))</f>
        <v>NA</v>
      </c>
      <c r="BM44" s="257" t="s">
        <v>11</v>
      </c>
      <c r="BN44" s="162" t="str">
        <f>IF(BM44="NA","NA",IF(BM44="Not Reported","Not Reported",IF(BM44&gt;$L$44,"Not Met","Met")))</f>
        <v>NA</v>
      </c>
      <c r="BO44" s="121" t="s">
        <v>11</v>
      </c>
      <c r="BP44" s="162" t="s">
        <v>11</v>
      </c>
      <c r="BQ44" s="121" t="s">
        <v>11</v>
      </c>
      <c r="BR44" s="162" t="s">
        <v>11</v>
      </c>
      <c r="BS44" s="338" t="s">
        <v>11</v>
      </c>
      <c r="BT44" s="162" t="str">
        <f>IF(BS44="NA","NA",IF(BS44="Not Reported","Not Reported",IF(BS44&gt;$L$44,"Not Met","Met")))</f>
        <v>NA</v>
      </c>
      <c r="BU44" s="338" t="s">
        <v>11</v>
      </c>
      <c r="BV44" s="162" t="str">
        <f>IF(BU44="NA","NA",IF(BU44="Not Reported","Not Reported",IF(BU44&gt;$L$44,"Not Met","Met")))</f>
        <v>NA</v>
      </c>
    </row>
    <row r="45" spans="1:74" x14ac:dyDescent="0.2">
      <c r="A45" s="121">
        <v>44</v>
      </c>
      <c r="B45" s="122" t="s">
        <v>54</v>
      </c>
      <c r="C45" s="122" t="s">
        <v>903</v>
      </c>
      <c r="D45" s="123" t="s">
        <v>133</v>
      </c>
      <c r="E45" s="123" t="s">
        <v>899</v>
      </c>
      <c r="F45" s="123" t="s">
        <v>190</v>
      </c>
      <c r="G45" s="122" t="s">
        <v>273</v>
      </c>
      <c r="H45" s="122" t="s">
        <v>192</v>
      </c>
      <c r="I45" s="124"/>
      <c r="J45" s="124"/>
      <c r="K45" s="123" t="s">
        <v>284</v>
      </c>
      <c r="L45" s="128">
        <v>0.6</v>
      </c>
      <c r="M45" s="128">
        <v>0.6</v>
      </c>
      <c r="N45" s="122"/>
      <c r="O45" s="122"/>
      <c r="P45" s="123"/>
      <c r="Q45" s="127"/>
      <c r="R45" s="127"/>
      <c r="S45" s="142"/>
      <c r="T45" s="147"/>
      <c r="U45" s="127"/>
      <c r="V45" s="131"/>
      <c r="W45" s="127"/>
      <c r="X45" s="143"/>
      <c r="Y45" s="143"/>
      <c r="Z45" s="121"/>
      <c r="AA45" s="126"/>
      <c r="AB45" s="121"/>
      <c r="AC45" s="127"/>
      <c r="AD45" s="121"/>
      <c r="AE45" s="126"/>
      <c r="AF45" s="121"/>
      <c r="AG45" s="127"/>
      <c r="AH45" s="121"/>
      <c r="AI45" s="127"/>
      <c r="AJ45" s="121"/>
      <c r="AK45" s="127"/>
      <c r="AL45" s="121"/>
      <c r="AM45" s="127"/>
      <c r="AN45" s="121"/>
      <c r="AO45" s="142">
        <v>0.71</v>
      </c>
      <c r="AP45" s="121" t="s">
        <v>198</v>
      </c>
      <c r="AQ45" s="142">
        <v>0.49</v>
      </c>
      <c r="AR45" s="121" t="s">
        <v>251</v>
      </c>
      <c r="AS45" s="121" t="s">
        <v>6</v>
      </c>
      <c r="AT45" s="121" t="s">
        <v>6</v>
      </c>
      <c r="AU45" s="157">
        <v>0.77</v>
      </c>
      <c r="AV45" s="121" t="s">
        <v>198</v>
      </c>
      <c r="AW45" s="157">
        <v>0.51</v>
      </c>
      <c r="AX45" s="121" t="s">
        <v>251</v>
      </c>
      <c r="AY45" s="156">
        <v>0.63</v>
      </c>
      <c r="AZ45" s="121" t="s">
        <v>198</v>
      </c>
      <c r="BA45" s="121" t="s">
        <v>61</v>
      </c>
      <c r="BB45" s="121" t="s">
        <v>61</v>
      </c>
      <c r="BC45" s="127" t="s">
        <v>11</v>
      </c>
      <c r="BD45" s="128" t="s">
        <v>11</v>
      </c>
      <c r="BE45" s="127" t="s">
        <v>11</v>
      </c>
      <c r="BF45" s="128" t="s">
        <v>11</v>
      </c>
      <c r="BG45" s="127" t="s">
        <v>11</v>
      </c>
      <c r="BH45" s="128" t="s">
        <v>11</v>
      </c>
      <c r="BI45" s="127" t="s">
        <v>11</v>
      </c>
      <c r="BJ45" s="128" t="s">
        <v>11</v>
      </c>
      <c r="BK45" s="127" t="s">
        <v>11</v>
      </c>
      <c r="BL45" s="128" t="str">
        <f>IF(BK45="NA","NA",IF(BK45="Not Reported","Not Reported",IF(BK45&lt;$L$45,"Not Met","Met")))</f>
        <v>NA</v>
      </c>
      <c r="BM45" s="257" t="s">
        <v>11</v>
      </c>
      <c r="BN45" s="128" t="str">
        <f>IF(BM45="NA","NA",IF(BM45="Not Reported","Not Reported",IF(BM45&lt;$L$45,"Not Met","Met")))</f>
        <v>NA</v>
      </c>
      <c r="BO45" s="121" t="s">
        <v>11</v>
      </c>
      <c r="BP45" s="128" t="s">
        <v>11</v>
      </c>
      <c r="BQ45" s="121" t="s">
        <v>11</v>
      </c>
      <c r="BR45" s="128" t="s">
        <v>11</v>
      </c>
      <c r="BS45" s="338" t="s">
        <v>11</v>
      </c>
      <c r="BT45" s="128" t="str">
        <f>IF(BS45="NA","NA",IF(BS45="Not Reported","Not Reported",IF(BS45&lt;$L$45,"Not Met","Met")))</f>
        <v>NA</v>
      </c>
      <c r="BU45" s="338" t="s">
        <v>11</v>
      </c>
      <c r="BV45" s="128" t="str">
        <f>IF(BU45="NA","NA",IF(BU45="Not Reported","Not Reported",IF(BU45&lt;$L$45,"Not Met","Met")))</f>
        <v>NA</v>
      </c>
    </row>
    <row r="46" spans="1:74" x14ac:dyDescent="0.2">
      <c r="A46" s="121">
        <v>45</v>
      </c>
      <c r="B46" s="122" t="s">
        <v>54</v>
      </c>
      <c r="C46" s="122" t="s">
        <v>903</v>
      </c>
      <c r="D46" s="123" t="s">
        <v>133</v>
      </c>
      <c r="E46" s="123" t="s">
        <v>899</v>
      </c>
      <c r="F46" s="123" t="s">
        <v>190</v>
      </c>
      <c r="G46" s="122" t="s">
        <v>273</v>
      </c>
      <c r="H46" s="122" t="s">
        <v>192</v>
      </c>
      <c r="I46" s="124"/>
      <c r="J46" s="124"/>
      <c r="K46" s="123" t="s">
        <v>289</v>
      </c>
      <c r="L46" s="158">
        <v>4.6527777777777779E-2</v>
      </c>
      <c r="M46" s="158">
        <v>4.6527777777777779E-2</v>
      </c>
      <c r="N46" s="122"/>
      <c r="O46" s="122"/>
      <c r="P46" s="123"/>
      <c r="Q46" s="127"/>
      <c r="R46" s="127"/>
      <c r="S46" s="142"/>
      <c r="T46" s="147"/>
      <c r="U46" s="127"/>
      <c r="V46" s="131"/>
      <c r="W46" s="127"/>
      <c r="X46" s="143"/>
      <c r="Y46" s="143"/>
      <c r="Z46" s="121"/>
      <c r="AA46" s="126"/>
      <c r="AB46" s="121"/>
      <c r="AC46" s="127"/>
      <c r="AD46" s="121"/>
      <c r="AE46" s="126"/>
      <c r="AF46" s="121"/>
      <c r="AG46" s="127"/>
      <c r="AH46" s="121"/>
      <c r="AI46" s="127"/>
      <c r="AJ46" s="121"/>
      <c r="AK46" s="127"/>
      <c r="AL46" s="121"/>
      <c r="AM46" s="127"/>
      <c r="AN46" s="121"/>
      <c r="AO46" s="151">
        <v>4.3749999999999997E-2</v>
      </c>
      <c r="AP46" s="121" t="s">
        <v>198</v>
      </c>
      <c r="AQ46" s="151">
        <v>4.583333333333333E-2</v>
      </c>
      <c r="AR46" s="121" t="s">
        <v>198</v>
      </c>
      <c r="AS46" s="121" t="s">
        <v>6</v>
      </c>
      <c r="AT46" s="121" t="s">
        <v>6</v>
      </c>
      <c r="AU46" s="159">
        <v>4.3749999999999997E-2</v>
      </c>
      <c r="AV46" s="121" t="s">
        <v>198</v>
      </c>
      <c r="AW46" s="159">
        <v>4.4444444444444446E-2</v>
      </c>
      <c r="AX46" s="121" t="s">
        <v>198</v>
      </c>
      <c r="AY46" s="159">
        <v>4.3749999999999997E-2</v>
      </c>
      <c r="AZ46" s="121" t="s">
        <v>198</v>
      </c>
      <c r="BA46" s="121" t="s">
        <v>61</v>
      </c>
      <c r="BB46" s="121" t="s">
        <v>61</v>
      </c>
      <c r="BC46" s="127" t="s">
        <v>11</v>
      </c>
      <c r="BD46" s="128" t="s">
        <v>11</v>
      </c>
      <c r="BE46" s="127" t="s">
        <v>11</v>
      </c>
      <c r="BF46" s="128" t="s">
        <v>11</v>
      </c>
      <c r="BG46" s="127" t="s">
        <v>11</v>
      </c>
      <c r="BH46" s="128" t="s">
        <v>11</v>
      </c>
      <c r="BI46" s="127" t="s">
        <v>11</v>
      </c>
      <c r="BJ46" s="128" t="s">
        <v>11</v>
      </c>
      <c r="BK46" s="127" t="s">
        <v>11</v>
      </c>
      <c r="BL46" s="128" t="str">
        <f>IF(BK46="NA","NA",IF(BK46="Not Reported","Not Reported",IF(BK46&gt;$L$46,"Not Met","Met")))</f>
        <v>NA</v>
      </c>
      <c r="BM46" s="257" t="s">
        <v>11</v>
      </c>
      <c r="BN46" s="128" t="str">
        <f>IF(BM46="NA","NA",IF(BM46="Not Reported","Not Reported",IF(BM46&gt;$L$46,"Not Met","Met")))</f>
        <v>NA</v>
      </c>
      <c r="BO46" s="121" t="s">
        <v>11</v>
      </c>
      <c r="BP46" s="128" t="s">
        <v>11</v>
      </c>
      <c r="BQ46" s="121" t="s">
        <v>11</v>
      </c>
      <c r="BR46" s="128" t="s">
        <v>11</v>
      </c>
      <c r="BS46" s="338" t="s">
        <v>11</v>
      </c>
      <c r="BT46" s="128" t="str">
        <f>IF(BS46="NA","NA",IF(BS46="Not Reported","Not Reported",IF(BS46&gt;$L$46,"Not Met","Met")))</f>
        <v>NA</v>
      </c>
      <c r="BU46" s="338" t="s">
        <v>11</v>
      </c>
      <c r="BV46" s="128" t="str">
        <f>IF(BU46="NA","NA",IF(BU46="Not Reported","Not Reported",IF(BU46&gt;$L$46,"Not Met","Met")))</f>
        <v>NA</v>
      </c>
    </row>
    <row r="47" spans="1:74" x14ac:dyDescent="0.2">
      <c r="A47" s="121">
        <v>46</v>
      </c>
      <c r="B47" s="122" t="s">
        <v>54</v>
      </c>
      <c r="C47" s="122" t="s">
        <v>903</v>
      </c>
      <c r="D47" s="123" t="s">
        <v>133</v>
      </c>
      <c r="E47" s="123" t="s">
        <v>899</v>
      </c>
      <c r="F47" s="123" t="s">
        <v>190</v>
      </c>
      <c r="G47" s="122" t="s">
        <v>273</v>
      </c>
      <c r="H47" s="122" t="s">
        <v>192</v>
      </c>
      <c r="I47" s="124"/>
      <c r="J47" s="124"/>
      <c r="K47" s="123" t="s">
        <v>292</v>
      </c>
      <c r="L47" s="128">
        <v>0.2</v>
      </c>
      <c r="M47" s="128">
        <v>0.2</v>
      </c>
      <c r="N47" s="122"/>
      <c r="O47" s="122"/>
      <c r="P47" s="123"/>
      <c r="Q47" s="127"/>
      <c r="R47" s="127"/>
      <c r="S47" s="142"/>
      <c r="T47" s="147"/>
      <c r="U47" s="127"/>
      <c r="V47" s="131"/>
      <c r="W47" s="127"/>
      <c r="X47" s="143"/>
      <c r="Y47" s="143"/>
      <c r="Z47" s="121"/>
      <c r="AA47" s="126"/>
      <c r="AB47" s="121"/>
      <c r="AC47" s="127"/>
      <c r="AD47" s="121"/>
      <c r="AE47" s="126"/>
      <c r="AF47" s="121"/>
      <c r="AG47" s="127"/>
      <c r="AH47" s="121"/>
      <c r="AI47" s="127"/>
      <c r="AJ47" s="121"/>
      <c r="AK47" s="127"/>
      <c r="AL47" s="121"/>
      <c r="AM47" s="127"/>
      <c r="AN47" s="121"/>
      <c r="AO47" s="142">
        <v>0.17</v>
      </c>
      <c r="AP47" s="121" t="s">
        <v>198</v>
      </c>
      <c r="AQ47" s="142">
        <v>0.33</v>
      </c>
      <c r="AR47" s="121" t="s">
        <v>251</v>
      </c>
      <c r="AS47" s="121" t="s">
        <v>6</v>
      </c>
      <c r="AT47" s="121" t="s">
        <v>6</v>
      </c>
      <c r="AU47" s="156">
        <v>0.1</v>
      </c>
      <c r="AV47" s="121" t="s">
        <v>198</v>
      </c>
      <c r="AW47" s="156">
        <v>0.12</v>
      </c>
      <c r="AX47" s="121" t="s">
        <v>198</v>
      </c>
      <c r="AY47" s="156">
        <v>0.25</v>
      </c>
      <c r="AZ47" s="121" t="s">
        <v>251</v>
      </c>
      <c r="BA47" s="121" t="s">
        <v>61</v>
      </c>
      <c r="BB47" s="121" t="s">
        <v>61</v>
      </c>
      <c r="BC47" s="127" t="s">
        <v>11</v>
      </c>
      <c r="BD47" s="128" t="s">
        <v>11</v>
      </c>
      <c r="BE47" s="127" t="s">
        <v>11</v>
      </c>
      <c r="BF47" s="128" t="s">
        <v>11</v>
      </c>
      <c r="BG47" s="127" t="s">
        <v>11</v>
      </c>
      <c r="BH47" s="128" t="s">
        <v>11</v>
      </c>
      <c r="BI47" s="127" t="s">
        <v>11</v>
      </c>
      <c r="BJ47" s="128" t="s">
        <v>11</v>
      </c>
      <c r="BK47" s="127" t="s">
        <v>11</v>
      </c>
      <c r="BL47" s="128" t="str">
        <f>IF(BK47="NA","NA",IF(BK47="Not Reported","Not Reported",IF(BK47&gt;$L$47,"Not Met","Met")))</f>
        <v>NA</v>
      </c>
      <c r="BM47" s="257" t="s">
        <v>11</v>
      </c>
      <c r="BN47" s="128" t="str">
        <f>IF(BM47="NA","NA",IF(BM47="Not Reported","Not Reported",IF(BM47&gt;$L$47,"Not Met","Met")))</f>
        <v>NA</v>
      </c>
      <c r="BO47" s="121" t="s">
        <v>11</v>
      </c>
      <c r="BP47" s="128" t="s">
        <v>11</v>
      </c>
      <c r="BQ47" s="121" t="s">
        <v>11</v>
      </c>
      <c r="BR47" s="128" t="s">
        <v>11</v>
      </c>
      <c r="BS47" s="338" t="s">
        <v>11</v>
      </c>
      <c r="BT47" s="128" t="str">
        <f>IF(BS47="NA","NA",IF(BS47="Not Reported","Not Reported",IF(BS47&gt;$L$47,"Not Met","Met")))</f>
        <v>NA</v>
      </c>
      <c r="BU47" s="338" t="s">
        <v>11</v>
      </c>
      <c r="BV47" s="128" t="str">
        <f>IF(BU47="NA","NA",IF(BU47="Not Reported","Not Reported",IF(BU47&gt;$L$47,"Not Met","Met")))</f>
        <v>NA</v>
      </c>
    </row>
    <row r="48" spans="1:74" x14ac:dyDescent="0.2">
      <c r="A48" s="121">
        <v>47</v>
      </c>
      <c r="B48" s="122" t="s">
        <v>54</v>
      </c>
      <c r="C48" s="122" t="s">
        <v>903</v>
      </c>
      <c r="D48" s="123" t="s">
        <v>133</v>
      </c>
      <c r="E48" s="123" t="s">
        <v>899</v>
      </c>
      <c r="F48" s="123" t="s">
        <v>190</v>
      </c>
      <c r="G48" s="122" t="s">
        <v>273</v>
      </c>
      <c r="H48" s="122" t="s">
        <v>192</v>
      </c>
      <c r="I48" s="124"/>
      <c r="J48" s="124"/>
      <c r="K48" s="145" t="s">
        <v>296</v>
      </c>
      <c r="L48" s="128">
        <v>0.9</v>
      </c>
      <c r="M48" s="128">
        <v>0.9</v>
      </c>
      <c r="N48" s="122"/>
      <c r="O48" s="122"/>
      <c r="P48" s="123"/>
      <c r="Q48" s="127"/>
      <c r="R48" s="127"/>
      <c r="S48" s="142"/>
      <c r="T48" s="147"/>
      <c r="U48" s="127"/>
      <c r="V48" s="131"/>
      <c r="W48" s="127"/>
      <c r="X48" s="143"/>
      <c r="Y48" s="143"/>
      <c r="Z48" s="121"/>
      <c r="AA48" s="126"/>
      <c r="AB48" s="121"/>
      <c r="AC48" s="127"/>
      <c r="AD48" s="121"/>
      <c r="AE48" s="126"/>
      <c r="AF48" s="121"/>
      <c r="AG48" s="127"/>
      <c r="AH48" s="121"/>
      <c r="AI48" s="127"/>
      <c r="AJ48" s="121"/>
      <c r="AK48" s="127"/>
      <c r="AL48" s="121"/>
      <c r="AM48" s="127"/>
      <c r="AN48" s="121"/>
      <c r="AO48" s="127" t="s">
        <v>11</v>
      </c>
      <c r="AP48" s="127" t="s">
        <v>11</v>
      </c>
      <c r="AQ48" s="142">
        <v>0.6</v>
      </c>
      <c r="AR48" s="121" t="s">
        <v>251</v>
      </c>
      <c r="AS48" s="121" t="s">
        <v>6</v>
      </c>
      <c r="AT48" s="121" t="s">
        <v>6</v>
      </c>
      <c r="AU48" s="156">
        <v>0.6</v>
      </c>
      <c r="AV48" s="121" t="s">
        <v>251</v>
      </c>
      <c r="AW48" s="156">
        <v>0.68</v>
      </c>
      <c r="AX48" s="121" t="s">
        <v>251</v>
      </c>
      <c r="AY48" s="156">
        <v>0.38</v>
      </c>
      <c r="AZ48" s="121" t="s">
        <v>251</v>
      </c>
      <c r="BA48" s="121" t="s">
        <v>61</v>
      </c>
      <c r="BB48" s="121" t="s">
        <v>61</v>
      </c>
      <c r="BC48" s="127" t="s">
        <v>11</v>
      </c>
      <c r="BD48" s="128" t="s">
        <v>11</v>
      </c>
      <c r="BE48" s="127" t="s">
        <v>11</v>
      </c>
      <c r="BF48" s="128" t="s">
        <v>11</v>
      </c>
      <c r="BG48" s="127" t="s">
        <v>11</v>
      </c>
      <c r="BH48" s="128" t="s">
        <v>11</v>
      </c>
      <c r="BI48" s="127" t="s">
        <v>11</v>
      </c>
      <c r="BJ48" s="128" t="s">
        <v>11</v>
      </c>
      <c r="BK48" s="127" t="s">
        <v>11</v>
      </c>
      <c r="BL48" s="128" t="str">
        <f>IF(BK48="NA","NA",IF(BK48="Not Reported","Not Reported",IF(BK48&lt;$L$48,"Not Met","Met")))</f>
        <v>NA</v>
      </c>
      <c r="BM48" s="257" t="s">
        <v>11</v>
      </c>
      <c r="BN48" s="128" t="str">
        <f>IF(BM48="NA","NA",IF(BM48="Not Reported","Not Reported",IF(BM48&lt;$L$48,"Not Met","Met")))</f>
        <v>NA</v>
      </c>
      <c r="BO48" s="121" t="s">
        <v>11</v>
      </c>
      <c r="BP48" s="128" t="s">
        <v>11</v>
      </c>
      <c r="BQ48" s="121" t="s">
        <v>11</v>
      </c>
      <c r="BR48" s="128" t="s">
        <v>11</v>
      </c>
      <c r="BS48" s="338" t="s">
        <v>11</v>
      </c>
      <c r="BT48" s="128" t="str">
        <f>IF(BS48="NA","NA",IF(BS48="Not Reported","Not Reported",IF(BS48&lt;$L$48,"Not Met","Met")))</f>
        <v>NA</v>
      </c>
      <c r="BU48" s="338" t="s">
        <v>11</v>
      </c>
      <c r="BV48" s="128" t="str">
        <f>IF(BU48="NA","NA",IF(BU48="Not Reported","Not Reported",IF(BU48&lt;$L$48,"Not Met","Met")))</f>
        <v>NA</v>
      </c>
    </row>
    <row r="49" spans="1:74" x14ac:dyDescent="0.25">
      <c r="A49" s="121">
        <v>48</v>
      </c>
      <c r="B49" s="123" t="s">
        <v>17</v>
      </c>
      <c r="C49" s="122" t="s">
        <v>902</v>
      </c>
      <c r="D49" s="123" t="s">
        <v>105</v>
      </c>
      <c r="E49" s="123" t="s">
        <v>132</v>
      </c>
      <c r="F49" s="123" t="s">
        <v>190</v>
      </c>
      <c r="G49" s="123" t="s">
        <v>191</v>
      </c>
      <c r="H49" s="123" t="s">
        <v>192</v>
      </c>
      <c r="I49" s="124"/>
      <c r="J49" s="124"/>
      <c r="K49" s="123" t="s">
        <v>378</v>
      </c>
      <c r="L49" s="160">
        <v>0.95</v>
      </c>
      <c r="M49" s="160" t="s">
        <v>379</v>
      </c>
      <c r="N49" s="123" t="s">
        <v>380</v>
      </c>
      <c r="O49" s="123" t="s">
        <v>381</v>
      </c>
      <c r="P49" s="123" t="s">
        <v>207</v>
      </c>
      <c r="Q49" s="128">
        <v>1</v>
      </c>
      <c r="R49" s="121" t="s">
        <v>198</v>
      </c>
      <c r="S49" s="128">
        <v>1</v>
      </c>
      <c r="T49" s="121" t="s">
        <v>198</v>
      </c>
      <c r="U49" s="127" t="s">
        <v>197</v>
      </c>
      <c r="V49" s="121" t="s">
        <v>198</v>
      </c>
      <c r="W49" s="127" t="s">
        <v>197</v>
      </c>
      <c r="X49" s="121" t="s">
        <v>198</v>
      </c>
      <c r="Y49" s="127" t="s">
        <v>197</v>
      </c>
      <c r="Z49" s="121" t="s">
        <v>198</v>
      </c>
      <c r="AA49" s="128">
        <v>1</v>
      </c>
      <c r="AB49" s="121" t="s">
        <v>198</v>
      </c>
      <c r="AC49" s="128">
        <v>1</v>
      </c>
      <c r="AD49" s="121" t="s">
        <v>198</v>
      </c>
      <c r="AE49" s="128">
        <v>1</v>
      </c>
      <c r="AF49" s="121" t="s">
        <v>198</v>
      </c>
      <c r="AG49" s="128">
        <v>1</v>
      </c>
      <c r="AH49" s="121" t="s">
        <v>198</v>
      </c>
      <c r="AI49" s="128">
        <v>1</v>
      </c>
      <c r="AJ49" s="121" t="s">
        <v>198</v>
      </c>
      <c r="AK49" s="128">
        <v>1</v>
      </c>
      <c r="AL49" s="121" t="s">
        <v>198</v>
      </c>
      <c r="AM49" s="128">
        <v>1</v>
      </c>
      <c r="AN49" s="121" t="s">
        <v>198</v>
      </c>
      <c r="AO49" s="128">
        <v>1</v>
      </c>
      <c r="AP49" s="121" t="s">
        <v>198</v>
      </c>
      <c r="AQ49" s="128">
        <v>1</v>
      </c>
      <c r="AR49" s="121" t="s">
        <v>198</v>
      </c>
      <c r="AS49" s="128">
        <v>1</v>
      </c>
      <c r="AT49" s="121" t="s">
        <v>198</v>
      </c>
      <c r="AU49" s="128">
        <v>1</v>
      </c>
      <c r="AV49" s="121" t="s">
        <v>198</v>
      </c>
      <c r="AW49" s="128">
        <v>1</v>
      </c>
      <c r="AX49" s="121" t="s">
        <v>198</v>
      </c>
      <c r="AY49" s="128">
        <v>1</v>
      </c>
      <c r="AZ49" s="121" t="s">
        <v>198</v>
      </c>
      <c r="BA49" s="128">
        <v>1</v>
      </c>
      <c r="BB49" s="121" t="s">
        <v>198</v>
      </c>
      <c r="BC49" s="128">
        <v>1</v>
      </c>
      <c r="BD49" s="121" t="s">
        <v>198</v>
      </c>
      <c r="BE49" s="128">
        <v>1</v>
      </c>
      <c r="BF49" s="121" t="s">
        <v>198</v>
      </c>
      <c r="BG49" s="128">
        <v>1</v>
      </c>
      <c r="BH49" s="121" t="s">
        <v>198</v>
      </c>
      <c r="BI49" s="128">
        <v>1</v>
      </c>
      <c r="BJ49" s="121" t="s">
        <v>198</v>
      </c>
      <c r="BK49" s="128">
        <v>1</v>
      </c>
      <c r="BL49" s="121" t="str">
        <f>IF(BK49="NA","NA",IF(BK49="Not Reported","Not Reported",IF(BK49&lt;$L$49,"Not Met","Met")))</f>
        <v>Met</v>
      </c>
      <c r="BM49" s="260">
        <v>1</v>
      </c>
      <c r="BN49" s="121" t="str">
        <f>IF(BM49="NA","NA",IF(BM49="Not Reported","Not Reported",IF(BM49&lt;$L$49,"Not Met","Met")))</f>
        <v>Met</v>
      </c>
      <c r="BO49" s="260">
        <v>1</v>
      </c>
      <c r="BP49" s="121" t="s">
        <v>198</v>
      </c>
      <c r="BQ49" s="121" t="s">
        <v>61</v>
      </c>
      <c r="BR49" s="121" t="s">
        <v>61</v>
      </c>
      <c r="BS49" s="26" t="s">
        <v>61</v>
      </c>
      <c r="BT49" s="121" t="str">
        <f>IF(BS49="NA","NA",IF(BS49="Not Reported","Not Reported",IF(BS49&lt;$L$49,"Not Met","Met")))</f>
        <v>Not Reported</v>
      </c>
      <c r="BU49" s="26" t="s">
        <v>61</v>
      </c>
      <c r="BV49" s="121" t="str">
        <f>IF(BU49="NA","NA",IF(BU49="Not Reported","Not Reported",IF(BU49&lt;$L$49,"Not Met","Met")))</f>
        <v>Not Reported</v>
      </c>
    </row>
    <row r="50" spans="1:74" x14ac:dyDescent="0.25">
      <c r="A50" s="121">
        <v>49</v>
      </c>
      <c r="B50" s="123" t="s">
        <v>17</v>
      </c>
      <c r="C50" s="122" t="s">
        <v>902</v>
      </c>
      <c r="D50" s="123" t="s">
        <v>105</v>
      </c>
      <c r="E50" s="123" t="s">
        <v>132</v>
      </c>
      <c r="F50" s="123" t="s">
        <v>190</v>
      </c>
      <c r="G50" s="123" t="s">
        <v>191</v>
      </c>
      <c r="H50" s="123" t="s">
        <v>192</v>
      </c>
      <c r="I50" s="124"/>
      <c r="J50" s="124"/>
      <c r="K50" s="123" t="s">
        <v>382</v>
      </c>
      <c r="L50" s="143">
        <v>1</v>
      </c>
      <c r="M50" s="143">
        <v>1</v>
      </c>
      <c r="N50" s="123" t="s">
        <v>383</v>
      </c>
      <c r="O50" s="123" t="s">
        <v>384</v>
      </c>
      <c r="P50" s="123" t="s">
        <v>207</v>
      </c>
      <c r="Q50" s="128">
        <v>1</v>
      </c>
      <c r="R50" s="121" t="s">
        <v>198</v>
      </c>
      <c r="S50" s="128">
        <v>1</v>
      </c>
      <c r="T50" s="121" t="s">
        <v>198</v>
      </c>
      <c r="U50" s="127" t="s">
        <v>197</v>
      </c>
      <c r="V50" s="121" t="s">
        <v>198</v>
      </c>
      <c r="W50" s="127" t="s">
        <v>197</v>
      </c>
      <c r="X50" s="121" t="s">
        <v>198</v>
      </c>
      <c r="Y50" s="127" t="s">
        <v>197</v>
      </c>
      <c r="Z50" s="121" t="s">
        <v>198</v>
      </c>
      <c r="AA50" s="128">
        <v>1</v>
      </c>
      <c r="AB50" s="121" t="s">
        <v>198</v>
      </c>
      <c r="AC50" s="128">
        <v>1</v>
      </c>
      <c r="AD50" s="121" t="s">
        <v>198</v>
      </c>
      <c r="AE50" s="128">
        <v>1</v>
      </c>
      <c r="AF50" s="121" t="s">
        <v>198</v>
      </c>
      <c r="AG50" s="128">
        <v>1</v>
      </c>
      <c r="AH50" s="121" t="s">
        <v>198</v>
      </c>
      <c r="AI50" s="128">
        <v>1</v>
      </c>
      <c r="AJ50" s="121" t="s">
        <v>198</v>
      </c>
      <c r="AK50" s="128">
        <v>1</v>
      </c>
      <c r="AL50" s="121" t="s">
        <v>198</v>
      </c>
      <c r="AM50" s="128">
        <v>1</v>
      </c>
      <c r="AN50" s="121" t="s">
        <v>198</v>
      </c>
      <c r="AO50" s="128">
        <v>1</v>
      </c>
      <c r="AP50" s="121" t="s">
        <v>198</v>
      </c>
      <c r="AQ50" s="128">
        <v>1</v>
      </c>
      <c r="AR50" s="121" t="s">
        <v>198</v>
      </c>
      <c r="AS50" s="128">
        <v>1</v>
      </c>
      <c r="AT50" s="121" t="s">
        <v>198</v>
      </c>
      <c r="AU50" s="128">
        <v>1</v>
      </c>
      <c r="AV50" s="121" t="s">
        <v>198</v>
      </c>
      <c r="AW50" s="128">
        <v>1</v>
      </c>
      <c r="AX50" s="121" t="s">
        <v>198</v>
      </c>
      <c r="AY50" s="128">
        <v>1</v>
      </c>
      <c r="AZ50" s="121" t="s">
        <v>198</v>
      </c>
      <c r="BA50" s="128">
        <v>1</v>
      </c>
      <c r="BB50" s="121" t="s">
        <v>198</v>
      </c>
      <c r="BC50" s="128">
        <v>1</v>
      </c>
      <c r="BD50" s="121" t="s">
        <v>198</v>
      </c>
      <c r="BE50" s="128">
        <v>1</v>
      </c>
      <c r="BF50" s="121" t="s">
        <v>198</v>
      </c>
      <c r="BG50" s="128">
        <v>1</v>
      </c>
      <c r="BH50" s="121" t="s">
        <v>198</v>
      </c>
      <c r="BI50" s="128">
        <v>1</v>
      </c>
      <c r="BJ50" s="121" t="s">
        <v>198</v>
      </c>
      <c r="BK50" s="128">
        <v>1</v>
      </c>
      <c r="BL50" s="121" t="str">
        <f>IF(BK50="NA","NA",IF(BK50="Not Reported","Not Reported",IF(BK50&lt;$L$50,"Not Met","Met")))</f>
        <v>Met</v>
      </c>
      <c r="BM50" s="260">
        <v>1</v>
      </c>
      <c r="BN50" s="121" t="str">
        <f>IF(BM50="NA","NA",IF(BM50="Not Reported","Not Reported",IF(BM50&lt;$L$50,"Not Met","Met")))</f>
        <v>Met</v>
      </c>
      <c r="BO50" s="260">
        <v>1</v>
      </c>
      <c r="BP50" s="121" t="s">
        <v>198</v>
      </c>
      <c r="BQ50" s="121" t="s">
        <v>61</v>
      </c>
      <c r="BR50" s="121" t="s">
        <v>61</v>
      </c>
      <c r="BS50" s="26" t="s">
        <v>61</v>
      </c>
      <c r="BT50" s="121" t="str">
        <f>IF(BS50="NA","NA",IF(BS50="Not Reported","Not Reported",IF(BS50&lt;$L$50,"Not Met","Met")))</f>
        <v>Not Reported</v>
      </c>
      <c r="BU50" s="26" t="s">
        <v>61</v>
      </c>
      <c r="BV50" s="121" t="str">
        <f>IF(BU50="NA","NA",IF(BU50="Not Reported","Not Reported",IF(BU50&lt;$L$50,"Not Met","Met")))</f>
        <v>Not Reported</v>
      </c>
    </row>
    <row r="51" spans="1:74" x14ac:dyDescent="0.25">
      <c r="A51" s="121">
        <v>50</v>
      </c>
      <c r="B51" s="123" t="s">
        <v>17</v>
      </c>
      <c r="C51" s="122" t="s">
        <v>902</v>
      </c>
      <c r="D51" s="123" t="s">
        <v>105</v>
      </c>
      <c r="E51" s="123" t="s">
        <v>132</v>
      </c>
      <c r="F51" s="123" t="s">
        <v>190</v>
      </c>
      <c r="G51" s="123" t="s">
        <v>191</v>
      </c>
      <c r="H51" s="123" t="s">
        <v>192</v>
      </c>
      <c r="I51" s="124"/>
      <c r="J51" s="124"/>
      <c r="K51" s="123" t="s">
        <v>385</v>
      </c>
      <c r="L51" s="160" t="s">
        <v>386</v>
      </c>
      <c r="M51" s="160" t="s">
        <v>386</v>
      </c>
      <c r="N51" s="123" t="s">
        <v>387</v>
      </c>
      <c r="O51" s="123" t="s">
        <v>387</v>
      </c>
      <c r="P51" s="123" t="s">
        <v>388</v>
      </c>
      <c r="Q51" s="127" t="s">
        <v>11</v>
      </c>
      <c r="R51" s="128" t="s">
        <v>11</v>
      </c>
      <c r="S51" s="127" t="s">
        <v>11</v>
      </c>
      <c r="T51" s="128" t="s">
        <v>11</v>
      </c>
      <c r="U51" s="127" t="s">
        <v>11</v>
      </c>
      <c r="V51" s="128" t="s">
        <v>11</v>
      </c>
      <c r="W51" s="127" t="s">
        <v>11</v>
      </c>
      <c r="X51" s="128" t="s">
        <v>11</v>
      </c>
      <c r="Y51" s="127" t="s">
        <v>11</v>
      </c>
      <c r="Z51" s="128" t="s">
        <v>11</v>
      </c>
      <c r="AA51" s="127" t="s">
        <v>11</v>
      </c>
      <c r="AB51" s="128" t="s">
        <v>11</v>
      </c>
      <c r="AC51" s="127" t="s">
        <v>11</v>
      </c>
      <c r="AD51" s="127" t="s">
        <v>11</v>
      </c>
      <c r="AE51" s="127" t="s">
        <v>11</v>
      </c>
      <c r="AF51" s="128" t="s">
        <v>11</v>
      </c>
      <c r="AG51" s="127" t="s">
        <v>11</v>
      </c>
      <c r="AH51" s="128" t="s">
        <v>11</v>
      </c>
      <c r="AI51" s="127" t="s">
        <v>11</v>
      </c>
      <c r="AJ51" s="128" t="s">
        <v>11</v>
      </c>
      <c r="AK51" s="127" t="s">
        <v>11</v>
      </c>
      <c r="AL51" s="128" t="s">
        <v>11</v>
      </c>
      <c r="AM51" s="127" t="s">
        <v>11</v>
      </c>
      <c r="AN51" s="128" t="s">
        <v>11</v>
      </c>
      <c r="AO51" s="127" t="s">
        <v>11</v>
      </c>
      <c r="AP51" s="128" t="s">
        <v>11</v>
      </c>
      <c r="AQ51" s="127" t="s">
        <v>11</v>
      </c>
      <c r="AR51" s="128" t="s">
        <v>11</v>
      </c>
      <c r="AS51" s="127" t="s">
        <v>11</v>
      </c>
      <c r="AT51" s="128" t="s">
        <v>11</v>
      </c>
      <c r="AU51" s="127" t="s">
        <v>11</v>
      </c>
      <c r="AV51" s="128" t="s">
        <v>11</v>
      </c>
      <c r="AW51" s="127" t="s">
        <v>11</v>
      </c>
      <c r="AX51" s="128" t="s">
        <v>11</v>
      </c>
      <c r="AY51" s="127" t="s">
        <v>11</v>
      </c>
      <c r="AZ51" s="128" t="s">
        <v>11</v>
      </c>
      <c r="BA51" s="127" t="s">
        <v>11</v>
      </c>
      <c r="BB51" s="128" t="s">
        <v>11</v>
      </c>
      <c r="BC51" s="127" t="s">
        <v>11</v>
      </c>
      <c r="BD51" s="128" t="s">
        <v>11</v>
      </c>
      <c r="BE51" s="127" t="s">
        <v>11</v>
      </c>
      <c r="BF51" s="128" t="s">
        <v>11</v>
      </c>
      <c r="BG51" s="127" t="s">
        <v>11</v>
      </c>
      <c r="BH51" s="128" t="s">
        <v>11</v>
      </c>
      <c r="BI51" s="127" t="s">
        <v>11</v>
      </c>
      <c r="BJ51" s="128" t="s">
        <v>11</v>
      </c>
      <c r="BK51" s="127" t="s">
        <v>11</v>
      </c>
      <c r="BL51" s="121" t="str">
        <f>IF(BK51="NA","NA",IF(BK51="Not Reported","Not Reported",IF(BK51&gt;$L$51,"Not Met","Met")))</f>
        <v>NA</v>
      </c>
      <c r="BM51" s="257" t="s">
        <v>11</v>
      </c>
      <c r="BN51" s="121" t="str">
        <f>IF(BM51="NA","NA",IF(BM51="Not Reported","Not Reported",IF(BM51&gt;$L$51,"Not Met","Met")))</f>
        <v>NA</v>
      </c>
      <c r="BO51" s="257" t="s">
        <v>11</v>
      </c>
      <c r="BP51" s="121" t="s">
        <v>11</v>
      </c>
      <c r="BQ51" s="121" t="s">
        <v>61</v>
      </c>
      <c r="BR51" s="121" t="s">
        <v>61</v>
      </c>
      <c r="BS51" s="26" t="s">
        <v>61</v>
      </c>
      <c r="BT51" s="121" t="str">
        <f>IF(BS51="NA","NA",IF(BS51="Not Reported","Not Reported",IF(BS51&gt;$L$51,"Not Met","Met")))</f>
        <v>Not Reported</v>
      </c>
      <c r="BU51" s="338" t="s">
        <v>11</v>
      </c>
      <c r="BV51" s="121" t="str">
        <f>IF(BU51="NA","NA",IF(BU51="Not Reported","Not Reported",IF(BU51&gt;$L$51,"Not Met","Met")))</f>
        <v>NA</v>
      </c>
    </row>
    <row r="52" spans="1:74" x14ac:dyDescent="0.25">
      <c r="A52" s="121">
        <v>51</v>
      </c>
      <c r="B52" s="123" t="s">
        <v>17</v>
      </c>
      <c r="C52" s="122" t="s">
        <v>902</v>
      </c>
      <c r="D52" s="123" t="s">
        <v>105</v>
      </c>
      <c r="E52" s="123" t="s">
        <v>132</v>
      </c>
      <c r="F52" s="123" t="s">
        <v>190</v>
      </c>
      <c r="G52" s="123" t="s">
        <v>191</v>
      </c>
      <c r="H52" s="123" t="s">
        <v>192</v>
      </c>
      <c r="I52" s="124"/>
      <c r="J52" s="124"/>
      <c r="K52" s="123" t="s">
        <v>389</v>
      </c>
      <c r="L52" s="143">
        <v>0.95</v>
      </c>
      <c r="M52" s="160" t="s">
        <v>390</v>
      </c>
      <c r="N52" s="123" t="s">
        <v>391</v>
      </c>
      <c r="O52" s="123" t="s">
        <v>392</v>
      </c>
      <c r="P52" s="123" t="s">
        <v>207</v>
      </c>
      <c r="Q52" s="128">
        <v>1</v>
      </c>
      <c r="R52" s="121" t="s">
        <v>198</v>
      </c>
      <c r="S52" s="128">
        <v>1</v>
      </c>
      <c r="T52" s="121" t="s">
        <v>198</v>
      </c>
      <c r="U52" s="127" t="s">
        <v>197</v>
      </c>
      <c r="V52" s="121" t="s">
        <v>198</v>
      </c>
      <c r="W52" s="127" t="s">
        <v>197</v>
      </c>
      <c r="X52" s="121" t="s">
        <v>198</v>
      </c>
      <c r="Y52" s="127" t="s">
        <v>197</v>
      </c>
      <c r="Z52" s="121" t="s">
        <v>198</v>
      </c>
      <c r="AA52" s="128">
        <v>1</v>
      </c>
      <c r="AB52" s="121" t="s">
        <v>198</v>
      </c>
      <c r="AC52" s="128">
        <v>1</v>
      </c>
      <c r="AD52" s="121" t="s">
        <v>198</v>
      </c>
      <c r="AE52" s="128">
        <v>1</v>
      </c>
      <c r="AF52" s="121" t="s">
        <v>198</v>
      </c>
      <c r="AG52" s="128">
        <v>1</v>
      </c>
      <c r="AH52" s="121" t="s">
        <v>198</v>
      </c>
      <c r="AI52" s="128">
        <v>1</v>
      </c>
      <c r="AJ52" s="121" t="s">
        <v>198</v>
      </c>
      <c r="AK52" s="128">
        <v>1</v>
      </c>
      <c r="AL52" s="121" t="s">
        <v>198</v>
      </c>
      <c r="AM52" s="128">
        <v>1</v>
      </c>
      <c r="AN52" s="121" t="s">
        <v>198</v>
      </c>
      <c r="AO52" s="128">
        <v>1</v>
      </c>
      <c r="AP52" s="121" t="s">
        <v>198</v>
      </c>
      <c r="AQ52" s="128">
        <v>1</v>
      </c>
      <c r="AR52" s="121" t="s">
        <v>198</v>
      </c>
      <c r="AS52" s="128">
        <v>1</v>
      </c>
      <c r="AT52" s="121" t="s">
        <v>198</v>
      </c>
      <c r="AU52" s="128">
        <v>1</v>
      </c>
      <c r="AV52" s="121" t="s">
        <v>198</v>
      </c>
      <c r="AW52" s="128">
        <v>1</v>
      </c>
      <c r="AX52" s="121" t="s">
        <v>198</v>
      </c>
      <c r="AY52" s="128">
        <v>1</v>
      </c>
      <c r="AZ52" s="121" t="s">
        <v>198</v>
      </c>
      <c r="BA52" s="128">
        <v>1</v>
      </c>
      <c r="BB52" s="121" t="s">
        <v>198</v>
      </c>
      <c r="BC52" s="128">
        <v>1</v>
      </c>
      <c r="BD52" s="121" t="s">
        <v>198</v>
      </c>
      <c r="BE52" s="128">
        <v>1</v>
      </c>
      <c r="BF52" s="121" t="s">
        <v>198</v>
      </c>
      <c r="BG52" s="128">
        <v>1</v>
      </c>
      <c r="BH52" s="121" t="s">
        <v>198</v>
      </c>
      <c r="BI52" s="128">
        <v>1</v>
      </c>
      <c r="BJ52" s="121" t="s">
        <v>198</v>
      </c>
      <c r="BK52" s="128">
        <v>1</v>
      </c>
      <c r="BL52" s="121" t="str">
        <f>IF(BK52="NA","NA",IF(BK52="Not Reported","Not Reported",IF(BK52&lt;=$L$52,"Not Met","Met")))</f>
        <v>Met</v>
      </c>
      <c r="BM52" s="260">
        <v>1</v>
      </c>
      <c r="BN52" s="121" t="str">
        <f>IF(BM52="NA","NA",IF(BM52="Not Reported","Not Reported",IF(BM52&lt;=$L$52,"Not Met","Met")))</f>
        <v>Met</v>
      </c>
      <c r="BO52" s="260">
        <v>1</v>
      </c>
      <c r="BP52" s="121" t="s">
        <v>198</v>
      </c>
      <c r="BQ52" s="121" t="s">
        <v>61</v>
      </c>
      <c r="BR52" s="121" t="s">
        <v>61</v>
      </c>
      <c r="BS52" s="26" t="s">
        <v>61</v>
      </c>
      <c r="BT52" s="121" t="str">
        <f>IF(BS52="NA","NA",IF(BS52="Not Reported","Not Reported",IF(BS52&lt;=$L$52,"Not Met","Met")))</f>
        <v>Not Reported</v>
      </c>
      <c r="BU52" s="26" t="s">
        <v>61</v>
      </c>
      <c r="BV52" s="121" t="str">
        <f>IF(BU52="NA","NA",IF(BU52="Not Reported","Not Reported",IF(BU52&lt;=$L$52,"Not Met","Met")))</f>
        <v>Not Reported</v>
      </c>
    </row>
    <row r="53" spans="1:74" x14ac:dyDescent="0.25">
      <c r="A53" s="121">
        <v>52</v>
      </c>
      <c r="B53" s="123" t="s">
        <v>17</v>
      </c>
      <c r="C53" s="122" t="s">
        <v>902</v>
      </c>
      <c r="D53" s="123" t="s">
        <v>105</v>
      </c>
      <c r="E53" s="123" t="s">
        <v>132</v>
      </c>
      <c r="F53" s="123" t="s">
        <v>190</v>
      </c>
      <c r="G53" s="123" t="s">
        <v>191</v>
      </c>
      <c r="H53" s="123" t="s">
        <v>192</v>
      </c>
      <c r="I53" s="124"/>
      <c r="J53" s="124"/>
      <c r="K53" s="123" t="s">
        <v>389</v>
      </c>
      <c r="L53" s="143">
        <v>1</v>
      </c>
      <c r="M53" s="143">
        <v>1</v>
      </c>
      <c r="N53" s="123" t="s">
        <v>393</v>
      </c>
      <c r="O53" s="123" t="s">
        <v>394</v>
      </c>
      <c r="P53" s="123" t="s">
        <v>395</v>
      </c>
      <c r="Q53" s="128">
        <v>1</v>
      </c>
      <c r="R53" s="121" t="s">
        <v>198</v>
      </c>
      <c r="S53" s="128">
        <v>1</v>
      </c>
      <c r="T53" s="121" t="s">
        <v>198</v>
      </c>
      <c r="U53" s="127" t="s">
        <v>197</v>
      </c>
      <c r="V53" s="121" t="s">
        <v>198</v>
      </c>
      <c r="W53" s="127" t="s">
        <v>197</v>
      </c>
      <c r="X53" s="121" t="s">
        <v>198</v>
      </c>
      <c r="Y53" s="127" t="s">
        <v>197</v>
      </c>
      <c r="Z53" s="121" t="s">
        <v>198</v>
      </c>
      <c r="AA53" s="128">
        <v>1</v>
      </c>
      <c r="AB53" s="121" t="s">
        <v>198</v>
      </c>
      <c r="AC53" s="128">
        <v>1</v>
      </c>
      <c r="AD53" s="121" t="s">
        <v>198</v>
      </c>
      <c r="AE53" s="128">
        <v>1</v>
      </c>
      <c r="AF53" s="121" t="s">
        <v>198</v>
      </c>
      <c r="AG53" s="128">
        <v>1</v>
      </c>
      <c r="AH53" s="121" t="s">
        <v>198</v>
      </c>
      <c r="AI53" s="128">
        <v>1</v>
      </c>
      <c r="AJ53" s="121" t="s">
        <v>198</v>
      </c>
      <c r="AK53" s="128">
        <v>1</v>
      </c>
      <c r="AL53" s="121" t="s">
        <v>198</v>
      </c>
      <c r="AM53" s="128">
        <v>1</v>
      </c>
      <c r="AN53" s="121" t="s">
        <v>198</v>
      </c>
      <c r="AO53" s="128">
        <v>1</v>
      </c>
      <c r="AP53" s="121" t="s">
        <v>198</v>
      </c>
      <c r="AQ53" s="128">
        <v>1</v>
      </c>
      <c r="AR53" s="121" t="s">
        <v>198</v>
      </c>
      <c r="AS53" s="128">
        <v>1</v>
      </c>
      <c r="AT53" s="121" t="s">
        <v>198</v>
      </c>
      <c r="AU53" s="128">
        <v>1</v>
      </c>
      <c r="AV53" s="121" t="s">
        <v>198</v>
      </c>
      <c r="AW53" s="128">
        <v>1</v>
      </c>
      <c r="AX53" s="121" t="s">
        <v>198</v>
      </c>
      <c r="AY53" s="128">
        <v>1</v>
      </c>
      <c r="AZ53" s="121" t="s">
        <v>198</v>
      </c>
      <c r="BA53" s="128">
        <v>1</v>
      </c>
      <c r="BB53" s="121" t="s">
        <v>198</v>
      </c>
      <c r="BC53" s="128">
        <v>1</v>
      </c>
      <c r="BD53" s="121" t="s">
        <v>198</v>
      </c>
      <c r="BE53" s="128">
        <v>1</v>
      </c>
      <c r="BF53" s="121" t="s">
        <v>198</v>
      </c>
      <c r="BG53" s="128">
        <v>1</v>
      </c>
      <c r="BH53" s="121" t="s">
        <v>198</v>
      </c>
      <c r="BI53" s="128">
        <v>1</v>
      </c>
      <c r="BJ53" s="121" t="s">
        <v>198</v>
      </c>
      <c r="BK53" s="128">
        <v>1</v>
      </c>
      <c r="BL53" s="121" t="str">
        <f>IF(BK53="NA","NA",IF(BK53="Not Reported","Not Reported",IF(BK53&lt;$L$53,"Not Met","Met")))</f>
        <v>Met</v>
      </c>
      <c r="BM53" s="260">
        <v>1</v>
      </c>
      <c r="BN53" s="121" t="str">
        <f>IF(BM53="NA","NA",IF(BM53="Not Reported","Not Reported",IF(BM53&lt;$L$53,"Not Met","Met")))</f>
        <v>Met</v>
      </c>
      <c r="BO53" s="260">
        <v>1</v>
      </c>
      <c r="BP53" s="121" t="s">
        <v>198</v>
      </c>
      <c r="BQ53" s="121" t="s">
        <v>61</v>
      </c>
      <c r="BR53" s="121" t="s">
        <v>61</v>
      </c>
      <c r="BS53" s="26" t="s">
        <v>61</v>
      </c>
      <c r="BT53" s="121" t="str">
        <f>IF(BS53="NA","NA",IF(BS53="Not Reported","Not Reported",IF(BS53&lt;$L$53,"Not Met","Met")))</f>
        <v>Not Reported</v>
      </c>
      <c r="BU53" s="26" t="s">
        <v>61</v>
      </c>
      <c r="BV53" s="121" t="str">
        <f>IF(BU53="NA","NA",IF(BU53="Not Reported","Not Reported",IF(BU53&lt;$L$53,"Not Met","Met")))</f>
        <v>Not Reported</v>
      </c>
    </row>
    <row r="54" spans="1:74" x14ac:dyDescent="0.2">
      <c r="A54" s="121">
        <v>53</v>
      </c>
      <c r="B54" s="123" t="s">
        <v>396</v>
      </c>
      <c r="C54" s="122" t="s">
        <v>903</v>
      </c>
      <c r="D54" s="123" t="s">
        <v>113</v>
      </c>
      <c r="E54" s="123" t="s">
        <v>899</v>
      </c>
      <c r="F54" s="123" t="s">
        <v>190</v>
      </c>
      <c r="G54" s="123" t="s">
        <v>191</v>
      </c>
      <c r="H54" s="123" t="s">
        <v>192</v>
      </c>
      <c r="I54" s="124" t="s">
        <v>313</v>
      </c>
      <c r="J54" s="124" t="s">
        <v>313</v>
      </c>
      <c r="K54" s="123" t="s">
        <v>397</v>
      </c>
      <c r="L54" s="121">
        <v>5</v>
      </c>
      <c r="M54" s="121" t="s">
        <v>398</v>
      </c>
      <c r="N54" s="123" t="s">
        <v>399</v>
      </c>
      <c r="O54" s="123" t="s">
        <v>400</v>
      </c>
      <c r="P54" s="123" t="s">
        <v>207</v>
      </c>
      <c r="Q54" s="127" t="s">
        <v>401</v>
      </c>
      <c r="R54" s="121" t="s">
        <v>198</v>
      </c>
      <c r="S54" s="161">
        <v>2</v>
      </c>
      <c r="T54" s="121" t="s">
        <v>198</v>
      </c>
      <c r="U54" s="162">
        <v>2</v>
      </c>
      <c r="V54" s="121" t="s">
        <v>198</v>
      </c>
      <c r="W54" s="162" t="s">
        <v>323</v>
      </c>
      <c r="X54" s="128" t="s">
        <v>11</v>
      </c>
      <c r="Y54" s="128" t="s">
        <v>11</v>
      </c>
      <c r="Z54" s="128" t="s">
        <v>11</v>
      </c>
      <c r="AA54" s="162" t="s">
        <v>402</v>
      </c>
      <c r="AB54" s="121" t="s">
        <v>198</v>
      </c>
      <c r="AC54" s="121" t="s">
        <v>6</v>
      </c>
      <c r="AD54" s="121" t="s">
        <v>61</v>
      </c>
      <c r="AE54" s="121" t="s">
        <v>323</v>
      </c>
      <c r="AF54" s="128" t="s">
        <v>11</v>
      </c>
      <c r="AG54" s="128" t="s">
        <v>11</v>
      </c>
      <c r="AH54" s="128" t="s">
        <v>11</v>
      </c>
      <c r="AI54" s="128" t="s">
        <v>11</v>
      </c>
      <c r="AJ54" s="128" t="s">
        <v>11</v>
      </c>
      <c r="AK54" s="128" t="s">
        <v>6</v>
      </c>
      <c r="AL54" s="121" t="s">
        <v>61</v>
      </c>
      <c r="AM54" s="128" t="s">
        <v>323</v>
      </c>
      <c r="AN54" s="128" t="s">
        <v>11</v>
      </c>
      <c r="AO54" s="128" t="s">
        <v>323</v>
      </c>
      <c r="AP54" s="128" t="s">
        <v>11</v>
      </c>
      <c r="AQ54" s="128" t="s">
        <v>323</v>
      </c>
      <c r="AR54" s="128" t="s">
        <v>11</v>
      </c>
      <c r="AS54" s="128" t="s">
        <v>323</v>
      </c>
      <c r="AT54" s="128" t="s">
        <v>11</v>
      </c>
      <c r="AU54" s="128" t="s">
        <v>61</v>
      </c>
      <c r="AV54" s="128" t="s">
        <v>61</v>
      </c>
      <c r="AW54" s="128" t="s">
        <v>61</v>
      </c>
      <c r="AX54" s="121" t="s">
        <v>61</v>
      </c>
      <c r="AY54" s="128" t="s">
        <v>61</v>
      </c>
      <c r="AZ54" s="121" t="s">
        <v>61</v>
      </c>
      <c r="BA54" s="128" t="s">
        <v>61</v>
      </c>
      <c r="BB54" s="121" t="s">
        <v>61</v>
      </c>
      <c r="BC54" s="121" t="s">
        <v>61</v>
      </c>
      <c r="BD54" s="121" t="s">
        <v>6</v>
      </c>
      <c r="BE54" s="121" t="s">
        <v>61</v>
      </c>
      <c r="BF54" s="121" t="s">
        <v>61</v>
      </c>
      <c r="BG54" s="128" t="s">
        <v>11</v>
      </c>
      <c r="BH54" s="128" t="s">
        <v>11</v>
      </c>
      <c r="BI54" s="128" t="s">
        <v>61</v>
      </c>
      <c r="BJ54" s="121" t="s">
        <v>61</v>
      </c>
      <c r="BK54" s="121" t="s">
        <v>61</v>
      </c>
      <c r="BL54" s="121" t="str">
        <f>IF(BK54="NA","NA",IF(BK54="Not Reported","Not Reported",IF(BK54&gt;$L$54,"Not Met","Met")))</f>
        <v>Not Reported</v>
      </c>
      <c r="BM54" s="258" t="s">
        <v>61</v>
      </c>
      <c r="BN54" s="121" t="str">
        <f>IF(BM54="NA","NA",IF(BM54="Not Reported","Not Reported",IF(BM54&gt;$L$54,"Not Met","Met")))</f>
        <v>Not Reported</v>
      </c>
      <c r="BO54" s="121" t="s">
        <v>61</v>
      </c>
      <c r="BP54" s="121" t="s">
        <v>61</v>
      </c>
      <c r="BQ54" s="128" t="s">
        <v>61</v>
      </c>
      <c r="BR54" s="121" t="s">
        <v>61</v>
      </c>
      <c r="BS54" s="26" t="s">
        <v>61</v>
      </c>
      <c r="BT54" s="121" t="str">
        <f>IF(BS54="NA","NA",IF(BS54="Not Reported","Not Reported",IF(BS54&gt;$L$54,"Not Met","Met")))</f>
        <v>Not Reported</v>
      </c>
      <c r="BU54" s="26" t="s">
        <v>61</v>
      </c>
      <c r="BV54" s="121" t="str">
        <f>IF(BU54="NA","NA",IF(BU54="Not Reported","Not Reported",IF(BU54&gt;$L$54,"Not Met","Met")))</f>
        <v>Not Reported</v>
      </c>
    </row>
    <row r="55" spans="1:74" x14ac:dyDescent="0.2">
      <c r="A55" s="121">
        <v>54</v>
      </c>
      <c r="B55" s="123" t="s">
        <v>396</v>
      </c>
      <c r="C55" s="122" t="s">
        <v>903</v>
      </c>
      <c r="D55" s="123" t="s">
        <v>113</v>
      </c>
      <c r="E55" s="123" t="s">
        <v>899</v>
      </c>
      <c r="F55" s="123" t="s">
        <v>190</v>
      </c>
      <c r="G55" s="123" t="s">
        <v>191</v>
      </c>
      <c r="H55" s="123" t="s">
        <v>192</v>
      </c>
      <c r="I55" s="124" t="s">
        <v>313</v>
      </c>
      <c r="J55" s="124" t="s">
        <v>313</v>
      </c>
      <c r="K55" s="123" t="s">
        <v>403</v>
      </c>
      <c r="L55" s="121">
        <v>5</v>
      </c>
      <c r="M55" s="121" t="s">
        <v>398</v>
      </c>
      <c r="N55" s="123" t="s">
        <v>404</v>
      </c>
      <c r="O55" s="123" t="s">
        <v>405</v>
      </c>
      <c r="P55" s="123" t="s">
        <v>207</v>
      </c>
      <c r="Q55" s="127" t="s">
        <v>402</v>
      </c>
      <c r="R55" s="121" t="s">
        <v>198</v>
      </c>
      <c r="S55" s="162">
        <v>2</v>
      </c>
      <c r="T55" s="121" t="s">
        <v>198</v>
      </c>
      <c r="U55" s="162">
        <v>2</v>
      </c>
      <c r="V55" s="121" t="s">
        <v>198</v>
      </c>
      <c r="W55" s="162" t="s">
        <v>323</v>
      </c>
      <c r="X55" s="128" t="s">
        <v>11</v>
      </c>
      <c r="Y55" s="128" t="s">
        <v>11</v>
      </c>
      <c r="Z55" s="128" t="s">
        <v>11</v>
      </c>
      <c r="AA55" s="162" t="s">
        <v>402</v>
      </c>
      <c r="AB55" s="121" t="s">
        <v>198</v>
      </c>
      <c r="AC55" s="121" t="s">
        <v>6</v>
      </c>
      <c r="AD55" s="121" t="s">
        <v>61</v>
      </c>
      <c r="AE55" s="121" t="s">
        <v>323</v>
      </c>
      <c r="AF55" s="128" t="s">
        <v>11</v>
      </c>
      <c r="AG55" s="128" t="s">
        <v>11</v>
      </c>
      <c r="AH55" s="128" t="s">
        <v>11</v>
      </c>
      <c r="AI55" s="128" t="s">
        <v>11</v>
      </c>
      <c r="AJ55" s="128" t="s">
        <v>11</v>
      </c>
      <c r="AK55" s="128" t="s">
        <v>6</v>
      </c>
      <c r="AL55" s="121" t="s">
        <v>61</v>
      </c>
      <c r="AM55" s="128" t="s">
        <v>323</v>
      </c>
      <c r="AN55" s="128" t="s">
        <v>11</v>
      </c>
      <c r="AO55" s="128" t="s">
        <v>323</v>
      </c>
      <c r="AP55" s="128" t="s">
        <v>11</v>
      </c>
      <c r="AQ55" s="128" t="s">
        <v>323</v>
      </c>
      <c r="AR55" s="128" t="s">
        <v>11</v>
      </c>
      <c r="AS55" s="128" t="s">
        <v>323</v>
      </c>
      <c r="AT55" s="128" t="s">
        <v>11</v>
      </c>
      <c r="AU55" s="128" t="s">
        <v>61</v>
      </c>
      <c r="AV55" s="128" t="s">
        <v>61</v>
      </c>
      <c r="AW55" s="128" t="s">
        <v>61</v>
      </c>
      <c r="AX55" s="121" t="s">
        <v>61</v>
      </c>
      <c r="AY55" s="128" t="s">
        <v>61</v>
      </c>
      <c r="AZ55" s="121" t="s">
        <v>61</v>
      </c>
      <c r="BA55" s="128" t="s">
        <v>61</v>
      </c>
      <c r="BB55" s="121" t="s">
        <v>61</v>
      </c>
      <c r="BC55" s="121" t="s">
        <v>61</v>
      </c>
      <c r="BD55" s="121" t="s">
        <v>6</v>
      </c>
      <c r="BE55" s="121" t="s">
        <v>61</v>
      </c>
      <c r="BF55" s="121" t="s">
        <v>61</v>
      </c>
      <c r="BG55" s="128" t="s">
        <v>11</v>
      </c>
      <c r="BH55" s="128" t="s">
        <v>11</v>
      </c>
      <c r="BI55" s="128" t="s">
        <v>61</v>
      </c>
      <c r="BJ55" s="121" t="s">
        <v>61</v>
      </c>
      <c r="BK55" s="121" t="s">
        <v>61</v>
      </c>
      <c r="BL55" s="121" t="str">
        <f>IF(BK55="NA","NA",IF(BK55="Not Reported","Not Reported",IF(BK55&gt;$L$55,"Not Met","Met")))</f>
        <v>Not Reported</v>
      </c>
      <c r="BM55" s="258" t="s">
        <v>61</v>
      </c>
      <c r="BN55" s="121" t="str">
        <f>IF(BM55="NA","NA",IF(BM55="Not Reported","Not Reported",IF(BM55&gt;$L$55,"Not Met","Met")))</f>
        <v>Not Reported</v>
      </c>
      <c r="BO55" s="121" t="s">
        <v>61</v>
      </c>
      <c r="BP55" s="121" t="s">
        <v>61</v>
      </c>
      <c r="BQ55" s="128" t="s">
        <v>61</v>
      </c>
      <c r="BR55" s="121" t="s">
        <v>61</v>
      </c>
      <c r="BS55" s="26" t="s">
        <v>61</v>
      </c>
      <c r="BT55" s="121" t="str">
        <f>IF(BS55="NA","NA",IF(BS55="Not Reported","Not Reported",IF(BS55&gt;$L$55,"Not Met","Met")))</f>
        <v>Not Reported</v>
      </c>
      <c r="BU55" s="26" t="s">
        <v>61</v>
      </c>
      <c r="BV55" s="121" t="str">
        <f>IF(BU55="NA","NA",IF(BU55="Not Reported","Not Reported",IF(BU55&gt;$L$55,"Not Met","Met")))</f>
        <v>Not Reported</v>
      </c>
    </row>
    <row r="56" spans="1:74" x14ac:dyDescent="0.2">
      <c r="A56" s="121">
        <v>55</v>
      </c>
      <c r="B56" s="123" t="s">
        <v>396</v>
      </c>
      <c r="C56" s="122" t="s">
        <v>903</v>
      </c>
      <c r="D56" s="123" t="s">
        <v>113</v>
      </c>
      <c r="E56" s="123" t="s">
        <v>899</v>
      </c>
      <c r="F56" s="123" t="s">
        <v>190</v>
      </c>
      <c r="G56" s="123" t="s">
        <v>191</v>
      </c>
      <c r="H56" s="123" t="s">
        <v>192</v>
      </c>
      <c r="I56" s="124" t="s">
        <v>313</v>
      </c>
      <c r="J56" s="124" t="s">
        <v>313</v>
      </c>
      <c r="K56" s="123" t="s">
        <v>406</v>
      </c>
      <c r="L56" s="121">
        <v>5</v>
      </c>
      <c r="M56" s="121" t="s">
        <v>398</v>
      </c>
      <c r="N56" s="123" t="s">
        <v>407</v>
      </c>
      <c r="O56" s="123" t="s">
        <v>408</v>
      </c>
      <c r="P56" s="123" t="s">
        <v>207</v>
      </c>
      <c r="Q56" s="127" t="s">
        <v>401</v>
      </c>
      <c r="R56" s="121" t="s">
        <v>198</v>
      </c>
      <c r="S56" s="162">
        <v>1</v>
      </c>
      <c r="T56" s="121" t="s">
        <v>198</v>
      </c>
      <c r="U56" s="162">
        <v>3</v>
      </c>
      <c r="V56" s="121" t="s">
        <v>198</v>
      </c>
      <c r="W56" s="162" t="s">
        <v>323</v>
      </c>
      <c r="X56" s="128" t="s">
        <v>11</v>
      </c>
      <c r="Y56" s="128" t="s">
        <v>11</v>
      </c>
      <c r="Z56" s="128" t="s">
        <v>11</v>
      </c>
      <c r="AA56" s="162" t="s">
        <v>401</v>
      </c>
      <c r="AB56" s="121" t="s">
        <v>198</v>
      </c>
      <c r="AC56" s="121" t="s">
        <v>6</v>
      </c>
      <c r="AD56" s="121" t="s">
        <v>61</v>
      </c>
      <c r="AE56" s="121" t="s">
        <v>323</v>
      </c>
      <c r="AF56" s="128" t="s">
        <v>11</v>
      </c>
      <c r="AG56" s="128" t="s">
        <v>11</v>
      </c>
      <c r="AH56" s="128" t="s">
        <v>11</v>
      </c>
      <c r="AI56" s="128" t="s">
        <v>11</v>
      </c>
      <c r="AJ56" s="128" t="s">
        <v>11</v>
      </c>
      <c r="AK56" s="128" t="s">
        <v>6</v>
      </c>
      <c r="AL56" s="121" t="s">
        <v>61</v>
      </c>
      <c r="AM56" s="128" t="s">
        <v>323</v>
      </c>
      <c r="AN56" s="128" t="s">
        <v>11</v>
      </c>
      <c r="AO56" s="128" t="s">
        <v>323</v>
      </c>
      <c r="AP56" s="128" t="s">
        <v>11</v>
      </c>
      <c r="AQ56" s="128" t="s">
        <v>323</v>
      </c>
      <c r="AR56" s="128" t="s">
        <v>11</v>
      </c>
      <c r="AS56" s="128" t="s">
        <v>323</v>
      </c>
      <c r="AT56" s="128" t="s">
        <v>11</v>
      </c>
      <c r="AU56" s="128" t="s">
        <v>61</v>
      </c>
      <c r="AV56" s="128" t="s">
        <v>61</v>
      </c>
      <c r="AW56" s="128" t="s">
        <v>61</v>
      </c>
      <c r="AX56" s="121" t="s">
        <v>61</v>
      </c>
      <c r="AY56" s="128" t="s">
        <v>61</v>
      </c>
      <c r="AZ56" s="121" t="s">
        <v>61</v>
      </c>
      <c r="BA56" s="128" t="s">
        <v>61</v>
      </c>
      <c r="BB56" s="121" t="s">
        <v>61</v>
      </c>
      <c r="BC56" s="121" t="s">
        <v>61</v>
      </c>
      <c r="BD56" s="121" t="s">
        <v>6</v>
      </c>
      <c r="BE56" s="121" t="s">
        <v>61</v>
      </c>
      <c r="BF56" s="121" t="s">
        <v>61</v>
      </c>
      <c r="BG56" s="128" t="s">
        <v>11</v>
      </c>
      <c r="BH56" s="128" t="s">
        <v>11</v>
      </c>
      <c r="BI56" s="128" t="s">
        <v>61</v>
      </c>
      <c r="BJ56" s="121" t="s">
        <v>61</v>
      </c>
      <c r="BK56" s="121" t="s">
        <v>61</v>
      </c>
      <c r="BL56" s="121" t="str">
        <f>IF(BK56="NA","NA",IF(BK56="Not Reported","Not Reported",IF(BK56&gt;$L$56,"Not Met","Met")))</f>
        <v>Not Reported</v>
      </c>
      <c r="BM56" s="258" t="s">
        <v>61</v>
      </c>
      <c r="BN56" s="121" t="str">
        <f>IF(BM56="NA","NA",IF(BM56="Not Reported","Not Reported",IF(BM56&gt;$L$56,"Not Met","Met")))</f>
        <v>Not Reported</v>
      </c>
      <c r="BO56" s="121" t="s">
        <v>61</v>
      </c>
      <c r="BP56" s="121" t="s">
        <v>61</v>
      </c>
      <c r="BQ56" s="128" t="s">
        <v>61</v>
      </c>
      <c r="BR56" s="121" t="s">
        <v>61</v>
      </c>
      <c r="BS56" s="26" t="s">
        <v>61</v>
      </c>
      <c r="BT56" s="121" t="str">
        <f>IF(BS56="NA","NA",IF(BS56="Not Reported","Not Reported",IF(BS56&gt;$L$56,"Not Met","Met")))</f>
        <v>Not Reported</v>
      </c>
      <c r="BU56" s="26" t="s">
        <v>61</v>
      </c>
      <c r="BV56" s="121" t="str">
        <f>IF(BU56="NA","NA",IF(BU56="Not Reported","Not Reported",IF(BU56&gt;$L$56,"Not Met","Met")))</f>
        <v>Not Reported</v>
      </c>
    </row>
    <row r="57" spans="1:74" x14ac:dyDescent="0.2">
      <c r="A57" s="121">
        <v>56</v>
      </c>
      <c r="B57" s="123" t="s">
        <v>396</v>
      </c>
      <c r="C57" s="122" t="s">
        <v>903</v>
      </c>
      <c r="D57" s="123" t="s">
        <v>113</v>
      </c>
      <c r="E57" s="123" t="s">
        <v>899</v>
      </c>
      <c r="F57" s="123" t="s">
        <v>190</v>
      </c>
      <c r="G57" s="123" t="s">
        <v>191</v>
      </c>
      <c r="H57" s="123" t="s">
        <v>192</v>
      </c>
      <c r="I57" s="124" t="s">
        <v>313</v>
      </c>
      <c r="J57" s="124" t="s">
        <v>313</v>
      </c>
      <c r="K57" s="123" t="s">
        <v>409</v>
      </c>
      <c r="L57" s="121">
        <v>5</v>
      </c>
      <c r="M57" s="121" t="s">
        <v>410</v>
      </c>
      <c r="N57" s="123" t="s">
        <v>411</v>
      </c>
      <c r="O57" s="123" t="s">
        <v>412</v>
      </c>
      <c r="P57" s="123" t="s">
        <v>207</v>
      </c>
      <c r="Q57" s="127" t="s">
        <v>413</v>
      </c>
      <c r="R57" s="121" t="s">
        <v>198</v>
      </c>
      <c r="S57" s="162">
        <v>3</v>
      </c>
      <c r="T57" s="121" t="s">
        <v>198</v>
      </c>
      <c r="U57" s="162">
        <v>3</v>
      </c>
      <c r="V57" s="121" t="s">
        <v>198</v>
      </c>
      <c r="W57" s="162" t="s">
        <v>323</v>
      </c>
      <c r="X57" s="128" t="s">
        <v>11</v>
      </c>
      <c r="Y57" s="128" t="s">
        <v>11</v>
      </c>
      <c r="Z57" s="128" t="s">
        <v>11</v>
      </c>
      <c r="AA57" s="162" t="s">
        <v>401</v>
      </c>
      <c r="AB57" s="121" t="s">
        <v>198</v>
      </c>
      <c r="AC57" s="121" t="s">
        <v>6</v>
      </c>
      <c r="AD57" s="121" t="s">
        <v>61</v>
      </c>
      <c r="AE57" s="121" t="s">
        <v>323</v>
      </c>
      <c r="AF57" s="128" t="s">
        <v>11</v>
      </c>
      <c r="AG57" s="128" t="s">
        <v>11</v>
      </c>
      <c r="AH57" s="128" t="s">
        <v>11</v>
      </c>
      <c r="AI57" s="128" t="s">
        <v>11</v>
      </c>
      <c r="AJ57" s="128" t="s">
        <v>11</v>
      </c>
      <c r="AK57" s="128" t="s">
        <v>6</v>
      </c>
      <c r="AL57" s="121" t="s">
        <v>61</v>
      </c>
      <c r="AM57" s="128" t="s">
        <v>323</v>
      </c>
      <c r="AN57" s="128" t="s">
        <v>11</v>
      </c>
      <c r="AO57" s="128" t="s">
        <v>323</v>
      </c>
      <c r="AP57" s="128" t="s">
        <v>11</v>
      </c>
      <c r="AQ57" s="128" t="s">
        <v>323</v>
      </c>
      <c r="AR57" s="128" t="s">
        <v>11</v>
      </c>
      <c r="AS57" s="128" t="s">
        <v>323</v>
      </c>
      <c r="AT57" s="128" t="s">
        <v>11</v>
      </c>
      <c r="AU57" s="128" t="s">
        <v>61</v>
      </c>
      <c r="AV57" s="128" t="s">
        <v>61</v>
      </c>
      <c r="AW57" s="128" t="s">
        <v>61</v>
      </c>
      <c r="AX57" s="121" t="s">
        <v>61</v>
      </c>
      <c r="AY57" s="128" t="s">
        <v>61</v>
      </c>
      <c r="AZ57" s="121" t="s">
        <v>61</v>
      </c>
      <c r="BA57" s="128" t="s">
        <v>61</v>
      </c>
      <c r="BB57" s="121" t="s">
        <v>61</v>
      </c>
      <c r="BC57" s="121" t="s">
        <v>61</v>
      </c>
      <c r="BD57" s="121" t="s">
        <v>6</v>
      </c>
      <c r="BE57" s="121" t="s">
        <v>61</v>
      </c>
      <c r="BF57" s="121" t="s">
        <v>61</v>
      </c>
      <c r="BG57" s="128" t="s">
        <v>11</v>
      </c>
      <c r="BH57" s="128" t="s">
        <v>11</v>
      </c>
      <c r="BI57" s="128" t="s">
        <v>61</v>
      </c>
      <c r="BJ57" s="121" t="s">
        <v>61</v>
      </c>
      <c r="BK57" s="121" t="s">
        <v>61</v>
      </c>
      <c r="BL57" s="121" t="str">
        <f>IF(BK57="NA","NA",IF(BK57="Not Reported","Not Reported",IF(BK57&gt;$L$57,"Not Met","Met")))</f>
        <v>Not Reported</v>
      </c>
      <c r="BM57" s="258" t="s">
        <v>61</v>
      </c>
      <c r="BN57" s="121" t="str">
        <f>IF(BM57="NA","NA",IF(BM57="Not Reported","Not Reported",IF(BM57&gt;$L$57,"Not Met","Met")))</f>
        <v>Not Reported</v>
      </c>
      <c r="BO57" s="121" t="s">
        <v>61</v>
      </c>
      <c r="BP57" s="121" t="s">
        <v>61</v>
      </c>
      <c r="BQ57" s="128" t="s">
        <v>61</v>
      </c>
      <c r="BR57" s="121" t="s">
        <v>61</v>
      </c>
      <c r="BS57" s="26" t="s">
        <v>61</v>
      </c>
      <c r="BT57" s="121" t="str">
        <f>IF(BS57="NA","NA",IF(BS57="Not Reported","Not Reported",IF(BS57&gt;$L$57,"Not Met","Met")))</f>
        <v>Not Reported</v>
      </c>
      <c r="BU57" s="26" t="s">
        <v>61</v>
      </c>
      <c r="BV57" s="121" t="str">
        <f>IF(BU57="NA","NA",IF(BU57="Not Reported","Not Reported",IF(BU57&gt;$L$57,"Not Met","Met")))</f>
        <v>Not Reported</v>
      </c>
    </row>
    <row r="58" spans="1:74" x14ac:dyDescent="0.2">
      <c r="A58" s="121">
        <v>57</v>
      </c>
      <c r="B58" s="123" t="s">
        <v>396</v>
      </c>
      <c r="C58" s="122" t="s">
        <v>903</v>
      </c>
      <c r="D58" s="123" t="s">
        <v>113</v>
      </c>
      <c r="E58" s="123" t="s">
        <v>899</v>
      </c>
      <c r="F58" s="123" t="s">
        <v>190</v>
      </c>
      <c r="G58" s="123" t="s">
        <v>191</v>
      </c>
      <c r="H58" s="123" t="s">
        <v>192</v>
      </c>
      <c r="I58" s="124" t="s">
        <v>313</v>
      </c>
      <c r="J58" s="124" t="s">
        <v>313</v>
      </c>
      <c r="K58" s="123" t="s">
        <v>414</v>
      </c>
      <c r="L58" s="121">
        <v>9</v>
      </c>
      <c r="M58" s="121" t="s">
        <v>415</v>
      </c>
      <c r="N58" s="123" t="s">
        <v>416</v>
      </c>
      <c r="O58" s="123" t="s">
        <v>417</v>
      </c>
      <c r="P58" s="123" t="s">
        <v>207</v>
      </c>
      <c r="Q58" s="127" t="s">
        <v>418</v>
      </c>
      <c r="R58" s="121" t="s">
        <v>198</v>
      </c>
      <c r="S58" s="162" t="s">
        <v>220</v>
      </c>
      <c r="T58" s="147" t="s">
        <v>251</v>
      </c>
      <c r="U58" s="162">
        <v>6</v>
      </c>
      <c r="V58" s="121" t="s">
        <v>198</v>
      </c>
      <c r="W58" s="162" t="s">
        <v>323</v>
      </c>
      <c r="X58" s="128" t="s">
        <v>11</v>
      </c>
      <c r="Y58" s="128" t="s">
        <v>11</v>
      </c>
      <c r="Z58" s="128" t="s">
        <v>11</v>
      </c>
      <c r="AA58" s="162" t="s">
        <v>419</v>
      </c>
      <c r="AB58" s="121" t="s">
        <v>198</v>
      </c>
      <c r="AC58" s="121" t="s">
        <v>6</v>
      </c>
      <c r="AD58" s="121" t="s">
        <v>61</v>
      </c>
      <c r="AE58" s="121" t="s">
        <v>323</v>
      </c>
      <c r="AF58" s="128" t="s">
        <v>11</v>
      </c>
      <c r="AG58" s="128" t="s">
        <v>11</v>
      </c>
      <c r="AH58" s="128" t="s">
        <v>11</v>
      </c>
      <c r="AI58" s="128" t="s">
        <v>11</v>
      </c>
      <c r="AJ58" s="128" t="s">
        <v>11</v>
      </c>
      <c r="AK58" s="128" t="s">
        <v>6</v>
      </c>
      <c r="AL58" s="121" t="s">
        <v>61</v>
      </c>
      <c r="AM58" s="128" t="s">
        <v>323</v>
      </c>
      <c r="AN58" s="128" t="s">
        <v>11</v>
      </c>
      <c r="AO58" s="128" t="s">
        <v>323</v>
      </c>
      <c r="AP58" s="128" t="s">
        <v>11</v>
      </c>
      <c r="AQ58" s="128" t="s">
        <v>323</v>
      </c>
      <c r="AR58" s="128" t="s">
        <v>11</v>
      </c>
      <c r="AS58" s="128" t="s">
        <v>323</v>
      </c>
      <c r="AT58" s="128" t="s">
        <v>11</v>
      </c>
      <c r="AU58" s="128" t="s">
        <v>61</v>
      </c>
      <c r="AV58" s="128" t="s">
        <v>61</v>
      </c>
      <c r="AW58" s="128" t="s">
        <v>61</v>
      </c>
      <c r="AX58" s="121" t="s">
        <v>61</v>
      </c>
      <c r="AY58" s="128" t="s">
        <v>61</v>
      </c>
      <c r="AZ58" s="121" t="s">
        <v>61</v>
      </c>
      <c r="BA58" s="128" t="s">
        <v>61</v>
      </c>
      <c r="BB58" s="121" t="s">
        <v>61</v>
      </c>
      <c r="BC58" s="121" t="s">
        <v>61</v>
      </c>
      <c r="BD58" s="121" t="s">
        <v>6</v>
      </c>
      <c r="BE58" s="121" t="s">
        <v>61</v>
      </c>
      <c r="BF58" s="121" t="s">
        <v>61</v>
      </c>
      <c r="BG58" s="128" t="s">
        <v>11</v>
      </c>
      <c r="BH58" s="128" t="s">
        <v>11</v>
      </c>
      <c r="BI58" s="128" t="s">
        <v>61</v>
      </c>
      <c r="BJ58" s="121" t="s">
        <v>61</v>
      </c>
      <c r="BK58" s="121" t="s">
        <v>61</v>
      </c>
      <c r="BL58" s="121" t="str">
        <f>IF(BK58="NA","NA",IF(BK58="Not Reported","Not Reported",IF(BK58&gt;$L$58,"Not Met","Met")))</f>
        <v>Not Reported</v>
      </c>
      <c r="BM58" s="258" t="s">
        <v>61</v>
      </c>
      <c r="BN58" s="121" t="str">
        <f>IF(BM58="NA","NA",IF(BM58="Not Reported","Not Reported",IF(BM58&gt;$L$58,"Not Met","Met")))</f>
        <v>Not Reported</v>
      </c>
      <c r="BO58" s="121" t="s">
        <v>61</v>
      </c>
      <c r="BP58" s="121" t="s">
        <v>61</v>
      </c>
      <c r="BQ58" s="128" t="s">
        <v>61</v>
      </c>
      <c r="BR58" s="121" t="s">
        <v>61</v>
      </c>
      <c r="BS58" s="26" t="s">
        <v>61</v>
      </c>
      <c r="BT58" s="121" t="str">
        <f>IF(BS58="NA","NA",IF(BS58="Not Reported","Not Reported",IF(BS58&gt;$L$58,"Not Met","Met")))</f>
        <v>Not Reported</v>
      </c>
      <c r="BU58" s="26" t="s">
        <v>61</v>
      </c>
      <c r="BV58" s="121" t="str">
        <f>IF(BU58="NA","NA",IF(BU58="Not Reported","Not Reported",IF(BU58&gt;$L$58,"Not Met","Met")))</f>
        <v>Not Reported</v>
      </c>
    </row>
    <row r="59" spans="1:74" x14ac:dyDescent="0.2">
      <c r="A59" s="121">
        <v>58</v>
      </c>
      <c r="B59" s="123" t="s">
        <v>396</v>
      </c>
      <c r="C59" s="122" t="s">
        <v>903</v>
      </c>
      <c r="D59" s="123" t="s">
        <v>113</v>
      </c>
      <c r="E59" s="123" t="s">
        <v>899</v>
      </c>
      <c r="F59" s="123" t="s">
        <v>190</v>
      </c>
      <c r="G59" s="123" t="s">
        <v>191</v>
      </c>
      <c r="H59" s="123" t="s">
        <v>192</v>
      </c>
      <c r="I59" s="124" t="s">
        <v>274</v>
      </c>
      <c r="J59" s="124" t="s">
        <v>214</v>
      </c>
      <c r="K59" s="123" t="s">
        <v>420</v>
      </c>
      <c r="L59" s="121">
        <v>45</v>
      </c>
      <c r="M59" s="121" t="s">
        <v>421</v>
      </c>
      <c r="N59" s="123" t="s">
        <v>422</v>
      </c>
      <c r="O59" s="123" t="s">
        <v>423</v>
      </c>
      <c r="P59" s="123" t="s">
        <v>207</v>
      </c>
      <c r="Q59" s="127" t="s">
        <v>11</v>
      </c>
      <c r="R59" s="128" t="s">
        <v>11</v>
      </c>
      <c r="S59" s="162">
        <v>45</v>
      </c>
      <c r="T59" s="121" t="s">
        <v>198</v>
      </c>
      <c r="U59" s="162">
        <v>37</v>
      </c>
      <c r="V59" s="121" t="s">
        <v>198</v>
      </c>
      <c r="W59" s="162" t="s">
        <v>323</v>
      </c>
      <c r="X59" s="128" t="s">
        <v>11</v>
      </c>
      <c r="Y59" s="128" t="s">
        <v>11</v>
      </c>
      <c r="Z59" s="128" t="s">
        <v>11</v>
      </c>
      <c r="AA59" s="162" t="s">
        <v>358</v>
      </c>
      <c r="AB59" s="121" t="s">
        <v>198</v>
      </c>
      <c r="AC59" s="121" t="s">
        <v>6</v>
      </c>
      <c r="AD59" s="121" t="s">
        <v>61</v>
      </c>
      <c r="AE59" s="121" t="s">
        <v>323</v>
      </c>
      <c r="AF59" s="128" t="s">
        <v>11</v>
      </c>
      <c r="AG59" s="128" t="s">
        <v>11</v>
      </c>
      <c r="AH59" s="128" t="s">
        <v>11</v>
      </c>
      <c r="AI59" s="128" t="s">
        <v>11</v>
      </c>
      <c r="AJ59" s="128" t="s">
        <v>11</v>
      </c>
      <c r="AK59" s="128" t="s">
        <v>6</v>
      </c>
      <c r="AL59" s="121" t="s">
        <v>61</v>
      </c>
      <c r="AM59" s="128" t="s">
        <v>323</v>
      </c>
      <c r="AN59" s="128" t="s">
        <v>11</v>
      </c>
      <c r="AO59" s="128" t="s">
        <v>323</v>
      </c>
      <c r="AP59" s="128" t="s">
        <v>11</v>
      </c>
      <c r="AQ59" s="128" t="s">
        <v>323</v>
      </c>
      <c r="AR59" s="128" t="s">
        <v>11</v>
      </c>
      <c r="AS59" s="128" t="s">
        <v>323</v>
      </c>
      <c r="AT59" s="128" t="s">
        <v>11</v>
      </c>
      <c r="AU59" s="128" t="s">
        <v>61</v>
      </c>
      <c r="AV59" s="128" t="s">
        <v>61</v>
      </c>
      <c r="AW59" s="128" t="s">
        <v>61</v>
      </c>
      <c r="AX59" s="121" t="s">
        <v>61</v>
      </c>
      <c r="AY59" s="128" t="s">
        <v>61</v>
      </c>
      <c r="AZ59" s="121" t="s">
        <v>61</v>
      </c>
      <c r="BA59" s="128" t="s">
        <v>61</v>
      </c>
      <c r="BB59" s="121" t="s">
        <v>61</v>
      </c>
      <c r="BC59" s="121" t="s">
        <v>61</v>
      </c>
      <c r="BD59" s="121" t="s">
        <v>6</v>
      </c>
      <c r="BE59" s="121" t="s">
        <v>61</v>
      </c>
      <c r="BF59" s="121" t="s">
        <v>61</v>
      </c>
      <c r="BG59" s="128" t="s">
        <v>11</v>
      </c>
      <c r="BH59" s="128" t="s">
        <v>11</v>
      </c>
      <c r="BI59" s="128" t="s">
        <v>61</v>
      </c>
      <c r="BJ59" s="121" t="s">
        <v>61</v>
      </c>
      <c r="BK59" s="121" t="s">
        <v>61</v>
      </c>
      <c r="BL59" s="121" t="str">
        <f>IF(BK59="NA","NA",IF(BK59="Not Reported","Not Reported",IF(BK59&gt;$L$59,"Not Met","Met")))</f>
        <v>Not Reported</v>
      </c>
      <c r="BM59" s="258" t="s">
        <v>61</v>
      </c>
      <c r="BN59" s="121" t="str">
        <f>IF(BM59="NA","NA",IF(BM59="Not Reported","Not Reported",IF(BM59&gt;$L$59,"Not Met","Met")))</f>
        <v>Not Reported</v>
      </c>
      <c r="BO59" s="121" t="s">
        <v>61</v>
      </c>
      <c r="BP59" s="121" t="s">
        <v>61</v>
      </c>
      <c r="BQ59" s="128" t="s">
        <v>61</v>
      </c>
      <c r="BR59" s="121" t="s">
        <v>61</v>
      </c>
      <c r="BS59" s="26" t="s">
        <v>61</v>
      </c>
      <c r="BT59" s="121" t="str">
        <f>IF(BS59="NA","NA",IF(BS59="Not Reported","Not Reported",IF(BS59&gt;$L$59,"Not Met","Met")))</f>
        <v>Not Reported</v>
      </c>
      <c r="BU59" s="26" t="s">
        <v>61</v>
      </c>
      <c r="BV59" s="121" t="str">
        <f>IF(BU59="NA","NA",IF(BU59="Not Reported","Not Reported",IF(BU59&gt;$L$59,"Not Met","Met")))</f>
        <v>Not Reported</v>
      </c>
    </row>
    <row r="60" spans="1:74" x14ac:dyDescent="0.2">
      <c r="A60" s="121">
        <v>59</v>
      </c>
      <c r="B60" s="122" t="s">
        <v>424</v>
      </c>
      <c r="C60" s="122" t="s">
        <v>903</v>
      </c>
      <c r="D60" s="123" t="s">
        <v>113</v>
      </c>
      <c r="E60" s="123" t="s">
        <v>899</v>
      </c>
      <c r="F60" s="123" t="s">
        <v>190</v>
      </c>
      <c r="G60" s="122" t="s">
        <v>273</v>
      </c>
      <c r="H60" s="122" t="s">
        <v>192</v>
      </c>
      <c r="I60" s="124" t="s">
        <v>289</v>
      </c>
      <c r="J60" s="124" t="s">
        <v>285</v>
      </c>
      <c r="K60" s="145" t="s">
        <v>289</v>
      </c>
      <c r="L60" s="146">
        <v>0.2</v>
      </c>
      <c r="M60" s="146">
        <v>0.2</v>
      </c>
      <c r="N60" s="145" t="s">
        <v>290</v>
      </c>
      <c r="O60" s="145" t="s">
        <v>291</v>
      </c>
      <c r="P60" s="123" t="s">
        <v>207</v>
      </c>
      <c r="Q60" s="141">
        <v>0.12</v>
      </c>
      <c r="R60" s="121" t="s">
        <v>366</v>
      </c>
      <c r="S60" s="126">
        <v>0.22</v>
      </c>
      <c r="T60" s="121" t="s">
        <v>198</v>
      </c>
      <c r="U60" s="126">
        <v>0.24</v>
      </c>
      <c r="V60" s="121" t="s">
        <v>198</v>
      </c>
      <c r="W60" s="162" t="s">
        <v>323</v>
      </c>
      <c r="X60" s="128" t="s">
        <v>11</v>
      </c>
      <c r="Y60" s="128">
        <v>0.38</v>
      </c>
      <c r="Z60" s="121" t="s">
        <v>198</v>
      </c>
      <c r="AA60" s="126">
        <v>0.17</v>
      </c>
      <c r="AB60" s="147" t="s">
        <v>251</v>
      </c>
      <c r="AC60" s="121" t="s">
        <v>6</v>
      </c>
      <c r="AD60" s="121" t="s">
        <v>61</v>
      </c>
      <c r="AE60" s="126">
        <v>0.1</v>
      </c>
      <c r="AF60" s="147" t="s">
        <v>251</v>
      </c>
      <c r="AG60" s="146">
        <v>0.09</v>
      </c>
      <c r="AH60" s="147" t="s">
        <v>251</v>
      </c>
      <c r="AI60" s="146">
        <v>0.2</v>
      </c>
      <c r="AJ60" s="121" t="s">
        <v>198</v>
      </c>
      <c r="AK60" s="128" t="s">
        <v>6</v>
      </c>
      <c r="AL60" s="121" t="s">
        <v>61</v>
      </c>
      <c r="AM60" s="146">
        <v>0.17</v>
      </c>
      <c r="AN60" s="121" t="s">
        <v>251</v>
      </c>
      <c r="AO60" s="146">
        <v>0.2</v>
      </c>
      <c r="AP60" s="121" t="s">
        <v>198</v>
      </c>
      <c r="AQ60" s="146" t="s">
        <v>61</v>
      </c>
      <c r="AR60" s="121" t="s">
        <v>61</v>
      </c>
      <c r="AS60" s="146" t="s">
        <v>61</v>
      </c>
      <c r="AT60" s="146" t="s">
        <v>61</v>
      </c>
      <c r="AU60" s="146" t="s">
        <v>61</v>
      </c>
      <c r="AV60" s="146" t="s">
        <v>61</v>
      </c>
      <c r="AW60" s="146" t="s">
        <v>61</v>
      </c>
      <c r="AX60" s="121" t="s">
        <v>61</v>
      </c>
      <c r="AY60" s="146" t="s">
        <v>61</v>
      </c>
      <c r="AZ60" s="121" t="s">
        <v>61</v>
      </c>
      <c r="BA60" s="146" t="s">
        <v>61</v>
      </c>
      <c r="BB60" s="121" t="s">
        <v>61</v>
      </c>
      <c r="BC60" s="121" t="s">
        <v>61</v>
      </c>
      <c r="BD60" s="121" t="s">
        <v>6</v>
      </c>
      <c r="BE60" s="128" t="s">
        <v>61</v>
      </c>
      <c r="BF60" s="121" t="s">
        <v>61</v>
      </c>
      <c r="BG60" s="128" t="s">
        <v>11</v>
      </c>
      <c r="BH60" s="128" t="s">
        <v>11</v>
      </c>
      <c r="BI60" s="128" t="s">
        <v>61</v>
      </c>
      <c r="BJ60" s="121" t="s">
        <v>61</v>
      </c>
      <c r="BK60" s="121" t="s">
        <v>61</v>
      </c>
      <c r="BL60" s="121" t="str">
        <f>IF(BK60="NA","NA",IF(BK60="Not Reported","Not Reported",IF(BK60&lt;$L$60,"Not Met","Met")))</f>
        <v>Not Reported</v>
      </c>
      <c r="BM60" s="258" t="s">
        <v>61</v>
      </c>
      <c r="BN60" s="121" t="str">
        <f>IF(BM60="NA","NA",IF(BM60="Not Reported","Not Reported",IF(BM60&lt;$L$60,"Not Met","Met")))</f>
        <v>Not Reported</v>
      </c>
      <c r="BO60" s="121" t="s">
        <v>61</v>
      </c>
      <c r="BP60" s="121" t="s">
        <v>61</v>
      </c>
      <c r="BQ60" s="128" t="s">
        <v>61</v>
      </c>
      <c r="BR60" s="121" t="s">
        <v>61</v>
      </c>
      <c r="BS60" s="26" t="s">
        <v>61</v>
      </c>
      <c r="BT60" s="121" t="str">
        <f>IF(BS60="NA","NA",IF(BS60="Not Reported","Not Reported",IF(BS60&lt;$L$60,"Not Met","Met")))</f>
        <v>Not Reported</v>
      </c>
      <c r="BU60" s="310" t="s">
        <v>61</v>
      </c>
      <c r="BV60" s="121" t="str">
        <f>IF(BU60="NA","NA",IF(BU60="Not Reported","Not Reported",IF(BU60&lt;$L$60,"Not Met","Met")))</f>
        <v>Not Reported</v>
      </c>
    </row>
    <row r="61" spans="1:74" x14ac:dyDescent="0.2">
      <c r="A61" s="121">
        <v>60</v>
      </c>
      <c r="B61" s="122" t="s">
        <v>424</v>
      </c>
      <c r="C61" s="122" t="s">
        <v>903</v>
      </c>
      <c r="D61" s="123" t="s">
        <v>113</v>
      </c>
      <c r="E61" s="123" t="s">
        <v>899</v>
      </c>
      <c r="F61" s="123" t="s">
        <v>190</v>
      </c>
      <c r="G61" s="122" t="s">
        <v>273</v>
      </c>
      <c r="H61" s="122" t="s">
        <v>192</v>
      </c>
      <c r="I61" s="124" t="s">
        <v>292</v>
      </c>
      <c r="J61" s="124" t="s">
        <v>293</v>
      </c>
      <c r="K61" s="122" t="s">
        <v>292</v>
      </c>
      <c r="L61" s="146">
        <v>0.1</v>
      </c>
      <c r="M61" s="146">
        <v>0.1</v>
      </c>
      <c r="N61" s="122" t="s">
        <v>294</v>
      </c>
      <c r="O61" s="122" t="s">
        <v>295</v>
      </c>
      <c r="P61" s="123" t="s">
        <v>207</v>
      </c>
      <c r="Q61" s="126">
        <v>0.06</v>
      </c>
      <c r="R61" s="121" t="s">
        <v>198</v>
      </c>
      <c r="S61" s="126">
        <v>0</v>
      </c>
      <c r="T61" s="121" t="s">
        <v>198</v>
      </c>
      <c r="U61" s="126">
        <v>0.1</v>
      </c>
      <c r="V61" s="121" t="s">
        <v>198</v>
      </c>
      <c r="W61" s="162" t="s">
        <v>323</v>
      </c>
      <c r="X61" s="128" t="s">
        <v>11</v>
      </c>
      <c r="Y61" s="128">
        <v>7.0000000000000007E-2</v>
      </c>
      <c r="Z61" s="121" t="s">
        <v>198</v>
      </c>
      <c r="AA61" s="121" t="s">
        <v>6</v>
      </c>
      <c r="AB61" s="127" t="s">
        <v>61</v>
      </c>
      <c r="AC61" s="121" t="s">
        <v>6</v>
      </c>
      <c r="AD61" s="121" t="s">
        <v>61</v>
      </c>
      <c r="AE61" s="126">
        <v>0</v>
      </c>
      <c r="AF61" s="121" t="s">
        <v>198</v>
      </c>
      <c r="AG61" s="126">
        <v>0.13</v>
      </c>
      <c r="AH61" s="147" t="s">
        <v>251</v>
      </c>
      <c r="AI61" s="146">
        <v>0</v>
      </c>
      <c r="AJ61" s="121" t="s">
        <v>198</v>
      </c>
      <c r="AK61" s="128" t="s">
        <v>6</v>
      </c>
      <c r="AL61" s="121" t="s">
        <v>61</v>
      </c>
      <c r="AM61" s="146">
        <v>0</v>
      </c>
      <c r="AN61" s="121" t="s">
        <v>198</v>
      </c>
      <c r="AO61" s="146">
        <v>0</v>
      </c>
      <c r="AP61" s="121" t="s">
        <v>198</v>
      </c>
      <c r="AQ61" s="146" t="s">
        <v>61</v>
      </c>
      <c r="AR61" s="121" t="s">
        <v>61</v>
      </c>
      <c r="AS61" s="146" t="s">
        <v>61</v>
      </c>
      <c r="AT61" s="146" t="s">
        <v>61</v>
      </c>
      <c r="AU61" s="146" t="s">
        <v>61</v>
      </c>
      <c r="AV61" s="146" t="s">
        <v>61</v>
      </c>
      <c r="AW61" s="146" t="s">
        <v>61</v>
      </c>
      <c r="AX61" s="121" t="s">
        <v>61</v>
      </c>
      <c r="AY61" s="146" t="s">
        <v>61</v>
      </c>
      <c r="AZ61" s="121" t="s">
        <v>61</v>
      </c>
      <c r="BA61" s="146" t="s">
        <v>61</v>
      </c>
      <c r="BB61" s="121" t="s">
        <v>61</v>
      </c>
      <c r="BC61" s="121" t="s">
        <v>61</v>
      </c>
      <c r="BD61" s="121" t="s">
        <v>6</v>
      </c>
      <c r="BE61" s="126">
        <v>7.0000000000000007E-2</v>
      </c>
      <c r="BF61" s="121" t="s">
        <v>198</v>
      </c>
      <c r="BG61" s="128" t="s">
        <v>11</v>
      </c>
      <c r="BH61" s="128" t="s">
        <v>11</v>
      </c>
      <c r="BI61" s="128" t="s">
        <v>61</v>
      </c>
      <c r="BJ61" s="121" t="s">
        <v>61</v>
      </c>
      <c r="BK61" s="121" t="s">
        <v>61</v>
      </c>
      <c r="BL61" s="128" t="str">
        <f>IF(BK61="NA","NA",IF(BK61="Not Reported","Not Reported",IF(BK61&gt;$L$61,"Not Met","Met")))</f>
        <v>Not Reported</v>
      </c>
      <c r="BM61" s="258" t="s">
        <v>61</v>
      </c>
      <c r="BN61" s="128" t="str">
        <f>IF(BM61="NA","NA",IF(BM61="Not Reported","Not Reported",IF(BM61&gt;$L$61,"Not Met","Met")))</f>
        <v>Not Reported</v>
      </c>
      <c r="BO61" s="121" t="s">
        <v>61</v>
      </c>
      <c r="BP61" s="128" t="s">
        <v>61</v>
      </c>
      <c r="BQ61" s="128" t="s">
        <v>61</v>
      </c>
      <c r="BR61" s="128" t="s">
        <v>61</v>
      </c>
      <c r="BS61" s="26" t="s">
        <v>61</v>
      </c>
      <c r="BT61" s="128" t="str">
        <f>IF(BS61="NA","NA",IF(BS61="Not Reported","Not Reported",IF(BS61&gt;$L$61,"Not Met","Met")))</f>
        <v>Not Reported</v>
      </c>
      <c r="BU61" s="310" t="s">
        <v>61</v>
      </c>
      <c r="BV61" s="128" t="str">
        <f>IF(BU61="NA","NA",IF(BU61="Not Reported","Not Reported",IF(BU61&gt;$L$61,"Not Met","Met")))</f>
        <v>Not Reported</v>
      </c>
    </row>
    <row r="62" spans="1:74" x14ac:dyDescent="0.2">
      <c r="A62" s="121">
        <v>61</v>
      </c>
      <c r="B62" s="123" t="s">
        <v>425</v>
      </c>
      <c r="C62" s="122" t="s">
        <v>903</v>
      </c>
      <c r="D62" s="123" t="s">
        <v>113</v>
      </c>
      <c r="E62" s="123" t="s">
        <v>899</v>
      </c>
      <c r="F62" s="123" t="s">
        <v>190</v>
      </c>
      <c r="G62" s="123" t="s">
        <v>191</v>
      </c>
      <c r="H62" s="123" t="s">
        <v>192</v>
      </c>
      <c r="I62" s="124" t="s">
        <v>313</v>
      </c>
      <c r="J62" s="124" t="s">
        <v>313</v>
      </c>
      <c r="K62" s="123" t="s">
        <v>397</v>
      </c>
      <c r="L62" s="121">
        <v>3</v>
      </c>
      <c r="M62" s="121" t="s">
        <v>426</v>
      </c>
      <c r="N62" s="123" t="s">
        <v>399</v>
      </c>
      <c r="O62" s="123" t="s">
        <v>400</v>
      </c>
      <c r="P62" s="123" t="s">
        <v>207</v>
      </c>
      <c r="Q62" s="121" t="s">
        <v>402</v>
      </c>
      <c r="R62" s="121" t="s">
        <v>198</v>
      </c>
      <c r="S62" s="162">
        <v>2</v>
      </c>
      <c r="T62" s="121" t="s">
        <v>198</v>
      </c>
      <c r="U62" s="162" t="s">
        <v>427</v>
      </c>
      <c r="V62" s="121" t="s">
        <v>198</v>
      </c>
      <c r="W62" s="162">
        <v>2</v>
      </c>
      <c r="X62" s="121" t="s">
        <v>198</v>
      </c>
      <c r="Y62" s="162" t="s">
        <v>427</v>
      </c>
      <c r="Z62" s="121" t="s">
        <v>198</v>
      </c>
      <c r="AA62" s="162" t="s">
        <v>427</v>
      </c>
      <c r="AB62" s="121" t="s">
        <v>198</v>
      </c>
      <c r="AC62" s="121" t="s">
        <v>6</v>
      </c>
      <c r="AD62" s="121" t="s">
        <v>61</v>
      </c>
      <c r="AE62" s="162" t="s">
        <v>428</v>
      </c>
      <c r="AF62" s="121" t="s">
        <v>198</v>
      </c>
      <c r="AG62" s="128" t="s">
        <v>11</v>
      </c>
      <c r="AH62" s="128" t="s">
        <v>11</v>
      </c>
      <c r="AI62" s="128" t="s">
        <v>427</v>
      </c>
      <c r="AJ62" s="121" t="s">
        <v>198</v>
      </c>
      <c r="AK62" s="128" t="s">
        <v>6</v>
      </c>
      <c r="AL62" s="121" t="s">
        <v>61</v>
      </c>
      <c r="AM62" s="121" t="s">
        <v>427</v>
      </c>
      <c r="AN62" s="121" t="s">
        <v>198</v>
      </c>
      <c r="AO62" s="121" t="s">
        <v>11</v>
      </c>
      <c r="AP62" s="121" t="s">
        <v>11</v>
      </c>
      <c r="AQ62" s="121">
        <v>2</v>
      </c>
      <c r="AR62" s="121" t="s">
        <v>198</v>
      </c>
      <c r="AS62" s="147" t="s">
        <v>61</v>
      </c>
      <c r="AT62" s="147" t="s">
        <v>61</v>
      </c>
      <c r="AU62" s="147" t="s">
        <v>61</v>
      </c>
      <c r="AV62" s="147" t="s">
        <v>61</v>
      </c>
      <c r="AW62" s="147" t="s">
        <v>61</v>
      </c>
      <c r="AX62" s="147" t="s">
        <v>61</v>
      </c>
      <c r="AY62" s="121" t="s">
        <v>61</v>
      </c>
      <c r="AZ62" s="121" t="s">
        <v>61</v>
      </c>
      <c r="BA62" s="121" t="s">
        <v>61</v>
      </c>
      <c r="BB62" s="121" t="s">
        <v>61</v>
      </c>
      <c r="BC62" s="121" t="s">
        <v>61</v>
      </c>
      <c r="BD62" s="121" t="s">
        <v>6</v>
      </c>
      <c r="BE62" s="121" t="s">
        <v>427</v>
      </c>
      <c r="BF62" s="121" t="s">
        <v>198</v>
      </c>
      <c r="BG62" s="128" t="s">
        <v>11</v>
      </c>
      <c r="BH62" s="128" t="s">
        <v>11</v>
      </c>
      <c r="BI62" s="128" t="s">
        <v>61</v>
      </c>
      <c r="BJ62" s="121" t="s">
        <v>61</v>
      </c>
      <c r="BK62" s="121" t="s">
        <v>61</v>
      </c>
      <c r="BL62" s="121" t="str">
        <f>IF(BK62="NA","NA",IF(BK62="Not Reported","Not Reported",IF(BK62&gt;$L$62,"Not Met","Met")))</f>
        <v>Not Reported</v>
      </c>
      <c r="BM62" s="258" t="s">
        <v>61</v>
      </c>
      <c r="BN62" s="121" t="str">
        <f>IF(BM62="NA","NA",IF(BM62="Not Reported","Not Reported",IF(BM62&gt;$L$62,"Not Met","Met")))</f>
        <v>Not Reported</v>
      </c>
      <c r="BO62" s="121" t="s">
        <v>61</v>
      </c>
      <c r="BP62" s="121" t="s">
        <v>61</v>
      </c>
      <c r="BQ62" s="128" t="s">
        <v>61</v>
      </c>
      <c r="BR62" s="121" t="s">
        <v>61</v>
      </c>
      <c r="BS62" s="26" t="s">
        <v>61</v>
      </c>
      <c r="BT62" s="121" t="str">
        <f>IF(BS62="NA","NA",IF(BS62="Not Reported","Not Reported",IF(BS62&gt;$L$62,"Not Met","Met")))</f>
        <v>Not Reported</v>
      </c>
      <c r="BU62" s="310" t="s">
        <v>61</v>
      </c>
      <c r="BV62" s="121" t="str">
        <f>IF(BU62="NA","NA",IF(BU62="Not Reported","Not Reported",IF(BU62&gt;$L$62,"Not Met","Met")))</f>
        <v>Not Reported</v>
      </c>
    </row>
    <row r="63" spans="1:74" x14ac:dyDescent="0.2">
      <c r="A63" s="121">
        <v>62</v>
      </c>
      <c r="B63" s="123" t="s">
        <v>425</v>
      </c>
      <c r="C63" s="122" t="s">
        <v>903</v>
      </c>
      <c r="D63" s="123" t="s">
        <v>113</v>
      </c>
      <c r="E63" s="123" t="s">
        <v>899</v>
      </c>
      <c r="F63" s="123" t="s">
        <v>190</v>
      </c>
      <c r="G63" s="123" t="s">
        <v>191</v>
      </c>
      <c r="H63" s="123" t="s">
        <v>192</v>
      </c>
      <c r="I63" s="124" t="s">
        <v>313</v>
      </c>
      <c r="J63" s="124" t="s">
        <v>313</v>
      </c>
      <c r="K63" s="123" t="s">
        <v>403</v>
      </c>
      <c r="L63" s="121">
        <v>3</v>
      </c>
      <c r="M63" s="121" t="s">
        <v>426</v>
      </c>
      <c r="N63" s="123" t="s">
        <v>404</v>
      </c>
      <c r="O63" s="123" t="s">
        <v>405</v>
      </c>
      <c r="P63" s="123" t="s">
        <v>207</v>
      </c>
      <c r="Q63" s="121" t="s">
        <v>401</v>
      </c>
      <c r="R63" s="121" t="s">
        <v>198</v>
      </c>
      <c r="S63" s="162">
        <v>2</v>
      </c>
      <c r="T63" s="121" t="s">
        <v>198</v>
      </c>
      <c r="U63" s="162" t="s">
        <v>427</v>
      </c>
      <c r="V63" s="121" t="s">
        <v>198</v>
      </c>
      <c r="W63" s="162">
        <v>2</v>
      </c>
      <c r="X63" s="121" t="s">
        <v>198</v>
      </c>
      <c r="Y63" s="162" t="s">
        <v>427</v>
      </c>
      <c r="Z63" s="121" t="s">
        <v>198</v>
      </c>
      <c r="AA63" s="162" t="s">
        <v>427</v>
      </c>
      <c r="AB63" s="121" t="s">
        <v>198</v>
      </c>
      <c r="AC63" s="121" t="s">
        <v>6</v>
      </c>
      <c r="AD63" s="121" t="s">
        <v>61</v>
      </c>
      <c r="AE63" s="162" t="s">
        <v>428</v>
      </c>
      <c r="AF63" s="121" t="s">
        <v>198</v>
      </c>
      <c r="AG63" s="128" t="s">
        <v>11</v>
      </c>
      <c r="AH63" s="128" t="s">
        <v>11</v>
      </c>
      <c r="AI63" s="128" t="s">
        <v>427</v>
      </c>
      <c r="AJ63" s="121" t="s">
        <v>198</v>
      </c>
      <c r="AK63" s="128" t="s">
        <v>6</v>
      </c>
      <c r="AL63" s="121" t="s">
        <v>61</v>
      </c>
      <c r="AM63" s="121" t="s">
        <v>427</v>
      </c>
      <c r="AN63" s="121" t="s">
        <v>198</v>
      </c>
      <c r="AO63" s="121" t="s">
        <v>11</v>
      </c>
      <c r="AP63" s="121" t="s">
        <v>11</v>
      </c>
      <c r="AQ63" s="121">
        <v>2</v>
      </c>
      <c r="AR63" s="121" t="s">
        <v>198</v>
      </c>
      <c r="AS63" s="147" t="s">
        <v>61</v>
      </c>
      <c r="AT63" s="147" t="s">
        <v>61</v>
      </c>
      <c r="AU63" s="147" t="s">
        <v>61</v>
      </c>
      <c r="AV63" s="147" t="s">
        <v>61</v>
      </c>
      <c r="AW63" s="147" t="s">
        <v>61</v>
      </c>
      <c r="AX63" s="121" t="s">
        <v>61</v>
      </c>
      <c r="AY63" s="121" t="s">
        <v>61</v>
      </c>
      <c r="AZ63" s="121" t="s">
        <v>61</v>
      </c>
      <c r="BA63" s="121" t="s">
        <v>61</v>
      </c>
      <c r="BB63" s="121" t="s">
        <v>61</v>
      </c>
      <c r="BC63" s="121" t="s">
        <v>61</v>
      </c>
      <c r="BD63" s="121" t="s">
        <v>6</v>
      </c>
      <c r="BE63" s="121" t="s">
        <v>427</v>
      </c>
      <c r="BF63" s="121" t="s">
        <v>198</v>
      </c>
      <c r="BG63" s="128" t="s">
        <v>11</v>
      </c>
      <c r="BH63" s="128" t="s">
        <v>11</v>
      </c>
      <c r="BI63" s="128" t="s">
        <v>61</v>
      </c>
      <c r="BJ63" s="121" t="s">
        <v>61</v>
      </c>
      <c r="BK63" s="121" t="s">
        <v>61</v>
      </c>
      <c r="BL63" s="121" t="str">
        <f>IF(BK63="NA","NA",IF(BK63="Not Reported","Not Reported",IF(BK63&gt;$L$63,"Not Met","Met")))</f>
        <v>Not Reported</v>
      </c>
      <c r="BM63" s="258" t="s">
        <v>61</v>
      </c>
      <c r="BN63" s="121" t="str">
        <f>IF(BM63="NA","NA",IF(BM63="Not Reported","Not Reported",IF(BM63&gt;$L$63,"Not Met","Met")))</f>
        <v>Not Reported</v>
      </c>
      <c r="BO63" s="121" t="s">
        <v>61</v>
      </c>
      <c r="BP63" s="121" t="s">
        <v>61</v>
      </c>
      <c r="BQ63" s="128" t="s">
        <v>61</v>
      </c>
      <c r="BR63" s="121" t="s">
        <v>61</v>
      </c>
      <c r="BS63" s="26" t="s">
        <v>61</v>
      </c>
      <c r="BT63" s="121" t="str">
        <f>IF(BS63="NA","NA",IF(BS63="Not Reported","Not Reported",IF(BS63&gt;$L$63,"Not Met","Met")))</f>
        <v>Not Reported</v>
      </c>
      <c r="BU63" s="310" t="s">
        <v>61</v>
      </c>
      <c r="BV63" s="121" t="str">
        <f>IF(BU63="NA","NA",IF(BU63="Not Reported","Not Reported",IF(BU63&gt;$L$63,"Not Met","Met")))</f>
        <v>Not Reported</v>
      </c>
    </row>
    <row r="64" spans="1:74" x14ac:dyDescent="0.2">
      <c r="A64" s="121">
        <v>63</v>
      </c>
      <c r="B64" s="123" t="s">
        <v>425</v>
      </c>
      <c r="C64" s="122" t="s">
        <v>903</v>
      </c>
      <c r="D64" s="123" t="s">
        <v>113</v>
      </c>
      <c r="E64" s="123" t="s">
        <v>899</v>
      </c>
      <c r="F64" s="123" t="s">
        <v>190</v>
      </c>
      <c r="G64" s="123" t="s">
        <v>191</v>
      </c>
      <c r="H64" s="123" t="s">
        <v>192</v>
      </c>
      <c r="I64" s="124" t="s">
        <v>313</v>
      </c>
      <c r="J64" s="124" t="s">
        <v>313</v>
      </c>
      <c r="K64" s="123" t="s">
        <v>406</v>
      </c>
      <c r="L64" s="121">
        <v>3</v>
      </c>
      <c r="M64" s="121" t="s">
        <v>426</v>
      </c>
      <c r="N64" s="123" t="s">
        <v>407</v>
      </c>
      <c r="O64" s="123" t="s">
        <v>408</v>
      </c>
      <c r="P64" s="123" t="s">
        <v>207</v>
      </c>
      <c r="Q64" s="121" t="s">
        <v>402</v>
      </c>
      <c r="R64" s="121" t="s">
        <v>198</v>
      </c>
      <c r="S64" s="162">
        <v>2</v>
      </c>
      <c r="T64" s="121" t="s">
        <v>198</v>
      </c>
      <c r="U64" s="162" t="s">
        <v>427</v>
      </c>
      <c r="V64" s="121" t="s">
        <v>198</v>
      </c>
      <c r="W64" s="162">
        <v>2</v>
      </c>
      <c r="X64" s="121" t="s">
        <v>198</v>
      </c>
      <c r="Y64" s="162" t="s">
        <v>427</v>
      </c>
      <c r="Z64" s="121" t="s">
        <v>198</v>
      </c>
      <c r="AA64" s="162" t="s">
        <v>427</v>
      </c>
      <c r="AB64" s="121" t="s">
        <v>198</v>
      </c>
      <c r="AC64" s="121" t="s">
        <v>6</v>
      </c>
      <c r="AD64" s="121" t="s">
        <v>61</v>
      </c>
      <c r="AE64" s="162" t="s">
        <v>428</v>
      </c>
      <c r="AF64" s="121" t="s">
        <v>198</v>
      </c>
      <c r="AG64" s="128" t="s">
        <v>11</v>
      </c>
      <c r="AH64" s="128" t="s">
        <v>11</v>
      </c>
      <c r="AI64" s="128" t="s">
        <v>429</v>
      </c>
      <c r="AJ64" s="121" t="s">
        <v>198</v>
      </c>
      <c r="AK64" s="128" t="s">
        <v>6</v>
      </c>
      <c r="AL64" s="121" t="s">
        <v>61</v>
      </c>
      <c r="AM64" s="121" t="s">
        <v>427</v>
      </c>
      <c r="AN64" s="121" t="s">
        <v>198</v>
      </c>
      <c r="AO64" s="121" t="s">
        <v>11</v>
      </c>
      <c r="AP64" s="121" t="s">
        <v>11</v>
      </c>
      <c r="AQ64" s="121">
        <v>2</v>
      </c>
      <c r="AR64" s="121" t="s">
        <v>198</v>
      </c>
      <c r="AS64" s="147" t="s">
        <v>61</v>
      </c>
      <c r="AT64" s="147" t="s">
        <v>61</v>
      </c>
      <c r="AU64" s="147" t="s">
        <v>61</v>
      </c>
      <c r="AV64" s="147" t="s">
        <v>61</v>
      </c>
      <c r="AW64" s="147" t="s">
        <v>61</v>
      </c>
      <c r="AX64" s="121" t="s">
        <v>61</v>
      </c>
      <c r="AY64" s="121" t="s">
        <v>61</v>
      </c>
      <c r="AZ64" s="121" t="s">
        <v>61</v>
      </c>
      <c r="BA64" s="121" t="s">
        <v>61</v>
      </c>
      <c r="BB64" s="121" t="s">
        <v>61</v>
      </c>
      <c r="BC64" s="121" t="s">
        <v>61</v>
      </c>
      <c r="BD64" s="121" t="s">
        <v>6</v>
      </c>
      <c r="BE64" s="121" t="s">
        <v>427</v>
      </c>
      <c r="BF64" s="121" t="s">
        <v>198</v>
      </c>
      <c r="BG64" s="128" t="s">
        <v>11</v>
      </c>
      <c r="BH64" s="128" t="s">
        <v>11</v>
      </c>
      <c r="BI64" s="128" t="s">
        <v>61</v>
      </c>
      <c r="BJ64" s="121" t="s">
        <v>61</v>
      </c>
      <c r="BK64" s="121" t="s">
        <v>61</v>
      </c>
      <c r="BL64" s="121" t="str">
        <f>IF(BK64="NA","NA",IF(BK64="Not Reported","Not Reported",IF(BK64&gt;$L$64,"Not Met","Met")))</f>
        <v>Not Reported</v>
      </c>
      <c r="BM64" s="258" t="s">
        <v>61</v>
      </c>
      <c r="BN64" s="121" t="str">
        <f>IF(BM64="NA","NA",IF(BM64="Not Reported","Not Reported",IF(BM64&gt;$L$64,"Not Met","Met")))</f>
        <v>Not Reported</v>
      </c>
      <c r="BO64" s="121" t="s">
        <v>61</v>
      </c>
      <c r="BP64" s="121" t="s">
        <v>61</v>
      </c>
      <c r="BQ64" s="128" t="s">
        <v>61</v>
      </c>
      <c r="BR64" s="121" t="s">
        <v>61</v>
      </c>
      <c r="BS64" s="26" t="s">
        <v>61</v>
      </c>
      <c r="BT64" s="121" t="str">
        <f>IF(BS64="NA","NA",IF(BS64="Not Reported","Not Reported",IF(BS64&gt;$L$64,"Not Met","Met")))</f>
        <v>Not Reported</v>
      </c>
      <c r="BU64" s="310" t="s">
        <v>61</v>
      </c>
      <c r="BV64" s="121" t="str">
        <f>IF(BU64="NA","NA",IF(BU64="Not Reported","Not Reported",IF(BU64&gt;$L$64,"Not Met","Met")))</f>
        <v>Not Reported</v>
      </c>
    </row>
    <row r="65" spans="1:74" x14ac:dyDescent="0.2">
      <c r="A65" s="121">
        <v>64</v>
      </c>
      <c r="B65" s="123" t="s">
        <v>425</v>
      </c>
      <c r="C65" s="122" t="s">
        <v>903</v>
      </c>
      <c r="D65" s="123" t="s">
        <v>113</v>
      </c>
      <c r="E65" s="123" t="s">
        <v>899</v>
      </c>
      <c r="F65" s="123" t="s">
        <v>190</v>
      </c>
      <c r="G65" s="123" t="s">
        <v>191</v>
      </c>
      <c r="H65" s="123" t="s">
        <v>192</v>
      </c>
      <c r="I65" s="124" t="s">
        <v>313</v>
      </c>
      <c r="J65" s="124" t="s">
        <v>313</v>
      </c>
      <c r="K65" s="123" t="s">
        <v>409</v>
      </c>
      <c r="L65" s="121">
        <v>3</v>
      </c>
      <c r="M65" s="121" t="s">
        <v>426</v>
      </c>
      <c r="N65" s="123" t="s">
        <v>411</v>
      </c>
      <c r="O65" s="123" t="s">
        <v>412</v>
      </c>
      <c r="P65" s="123" t="s">
        <v>207</v>
      </c>
      <c r="Q65" s="121" t="s">
        <v>401</v>
      </c>
      <c r="R65" s="121" t="s">
        <v>198</v>
      </c>
      <c r="S65" s="161">
        <v>3</v>
      </c>
      <c r="T65" s="121" t="s">
        <v>198</v>
      </c>
      <c r="U65" s="162" t="s">
        <v>429</v>
      </c>
      <c r="V65" s="121" t="s">
        <v>198</v>
      </c>
      <c r="W65" s="162" t="s">
        <v>429</v>
      </c>
      <c r="X65" s="121" t="s">
        <v>198</v>
      </c>
      <c r="Y65" s="162" t="s">
        <v>429</v>
      </c>
      <c r="Z65" s="121" t="s">
        <v>198</v>
      </c>
      <c r="AA65" s="162" t="s">
        <v>429</v>
      </c>
      <c r="AB65" s="121" t="s">
        <v>198</v>
      </c>
      <c r="AC65" s="121" t="s">
        <v>6</v>
      </c>
      <c r="AD65" s="121" t="s">
        <v>61</v>
      </c>
      <c r="AE65" s="162" t="s">
        <v>429</v>
      </c>
      <c r="AF65" s="121" t="s">
        <v>198</v>
      </c>
      <c r="AG65" s="128" t="s">
        <v>11</v>
      </c>
      <c r="AH65" s="128" t="s">
        <v>11</v>
      </c>
      <c r="AI65" s="128" t="s">
        <v>427</v>
      </c>
      <c r="AJ65" s="121" t="s">
        <v>198</v>
      </c>
      <c r="AK65" s="128" t="s">
        <v>6</v>
      </c>
      <c r="AL65" s="121" t="s">
        <v>61</v>
      </c>
      <c r="AM65" s="121" t="s">
        <v>427</v>
      </c>
      <c r="AN65" s="121" t="s">
        <v>198</v>
      </c>
      <c r="AO65" s="121" t="s">
        <v>11</v>
      </c>
      <c r="AP65" s="121" t="s">
        <v>11</v>
      </c>
      <c r="AQ65" s="121">
        <v>2</v>
      </c>
      <c r="AR65" s="121" t="s">
        <v>198</v>
      </c>
      <c r="AS65" s="147" t="s">
        <v>61</v>
      </c>
      <c r="AT65" s="147" t="s">
        <v>61</v>
      </c>
      <c r="AU65" s="147" t="s">
        <v>61</v>
      </c>
      <c r="AV65" s="147" t="s">
        <v>61</v>
      </c>
      <c r="AW65" s="147" t="s">
        <v>61</v>
      </c>
      <c r="AX65" s="121" t="s">
        <v>61</v>
      </c>
      <c r="AY65" s="121" t="s">
        <v>61</v>
      </c>
      <c r="AZ65" s="121" t="s">
        <v>61</v>
      </c>
      <c r="BA65" s="121" t="s">
        <v>61</v>
      </c>
      <c r="BB65" s="121" t="s">
        <v>61</v>
      </c>
      <c r="BC65" s="121" t="s">
        <v>61</v>
      </c>
      <c r="BD65" s="121" t="s">
        <v>6</v>
      </c>
      <c r="BE65" s="121">
        <v>1</v>
      </c>
      <c r="BF65" s="121" t="s">
        <v>198</v>
      </c>
      <c r="BG65" s="128" t="s">
        <v>11</v>
      </c>
      <c r="BH65" s="128" t="s">
        <v>11</v>
      </c>
      <c r="BI65" s="128" t="s">
        <v>61</v>
      </c>
      <c r="BJ65" s="121" t="s">
        <v>61</v>
      </c>
      <c r="BK65" s="121" t="s">
        <v>61</v>
      </c>
      <c r="BL65" s="121" t="str">
        <f>IF(BK65="NA","NA",IF(BK65="Not Reported","Not Reported",IF(BK65&gt;$L$65,"Not Met","Met")))</f>
        <v>Not Reported</v>
      </c>
      <c r="BM65" s="258" t="s">
        <v>61</v>
      </c>
      <c r="BN65" s="121" t="str">
        <f>IF(BM65="NA","NA",IF(BM65="Not Reported","Not Reported",IF(BM65&gt;$L$65,"Not Met","Met")))</f>
        <v>Not Reported</v>
      </c>
      <c r="BO65" s="121" t="s">
        <v>61</v>
      </c>
      <c r="BP65" s="121" t="s">
        <v>61</v>
      </c>
      <c r="BQ65" s="128" t="s">
        <v>61</v>
      </c>
      <c r="BR65" s="121" t="s">
        <v>61</v>
      </c>
      <c r="BS65" s="26" t="s">
        <v>61</v>
      </c>
      <c r="BT65" s="121" t="str">
        <f>IF(BS65="NA","NA",IF(BS65="Not Reported","Not Reported",IF(BS65&gt;$L$65,"Not Met","Met")))</f>
        <v>Not Reported</v>
      </c>
      <c r="BU65" s="310" t="s">
        <v>61</v>
      </c>
      <c r="BV65" s="121" t="str">
        <f>IF(BU65="NA","NA",IF(BU65="Not Reported","Not Reported",IF(BU65&gt;$L$65,"Not Met","Met")))</f>
        <v>Not Reported</v>
      </c>
    </row>
    <row r="66" spans="1:74" x14ac:dyDescent="0.2">
      <c r="A66" s="121">
        <v>65</v>
      </c>
      <c r="B66" s="123" t="s">
        <v>425</v>
      </c>
      <c r="C66" s="122" t="s">
        <v>903</v>
      </c>
      <c r="D66" s="123" t="s">
        <v>113</v>
      </c>
      <c r="E66" s="123" t="s">
        <v>899</v>
      </c>
      <c r="F66" s="123" t="s">
        <v>190</v>
      </c>
      <c r="G66" s="123" t="s">
        <v>191</v>
      </c>
      <c r="H66" s="123" t="s">
        <v>192</v>
      </c>
      <c r="I66" s="124" t="s">
        <v>313</v>
      </c>
      <c r="J66" s="124" t="s">
        <v>313</v>
      </c>
      <c r="K66" s="123" t="s">
        <v>430</v>
      </c>
      <c r="L66" s="121">
        <v>10</v>
      </c>
      <c r="M66" s="121" t="s">
        <v>431</v>
      </c>
      <c r="N66" s="123" t="s">
        <v>416</v>
      </c>
      <c r="O66" s="123" t="s">
        <v>417</v>
      </c>
      <c r="P66" s="123" t="s">
        <v>207</v>
      </c>
      <c r="Q66" s="147" t="s">
        <v>432</v>
      </c>
      <c r="R66" s="121" t="s">
        <v>198</v>
      </c>
      <c r="S66" s="161">
        <v>18</v>
      </c>
      <c r="T66" s="147" t="s">
        <v>251</v>
      </c>
      <c r="U66" s="162" t="s">
        <v>357</v>
      </c>
      <c r="V66" s="147" t="s">
        <v>251</v>
      </c>
      <c r="W66" s="162" t="s">
        <v>357</v>
      </c>
      <c r="X66" s="147" t="s">
        <v>251</v>
      </c>
      <c r="Y66" s="162" t="s">
        <v>231</v>
      </c>
      <c r="Z66" s="121" t="s">
        <v>198</v>
      </c>
      <c r="AA66" s="162" t="s">
        <v>357</v>
      </c>
      <c r="AB66" s="147" t="s">
        <v>251</v>
      </c>
      <c r="AC66" s="121" t="s">
        <v>6</v>
      </c>
      <c r="AD66" s="121" t="s">
        <v>61</v>
      </c>
      <c r="AE66" s="162" t="s">
        <v>243</v>
      </c>
      <c r="AF66" s="147" t="s">
        <v>251</v>
      </c>
      <c r="AG66" s="128" t="s">
        <v>11</v>
      </c>
      <c r="AH66" s="128" t="s">
        <v>11</v>
      </c>
      <c r="AI66" s="128" t="s">
        <v>433</v>
      </c>
      <c r="AJ66" s="121" t="s">
        <v>198</v>
      </c>
      <c r="AK66" s="128" t="s">
        <v>6</v>
      </c>
      <c r="AL66" s="121" t="s">
        <v>61</v>
      </c>
      <c r="AM66" s="121" t="s">
        <v>434</v>
      </c>
      <c r="AN66" s="121" t="s">
        <v>198</v>
      </c>
      <c r="AO66" s="121" t="s">
        <v>11</v>
      </c>
      <c r="AP66" s="121" t="s">
        <v>11</v>
      </c>
      <c r="AQ66" s="121">
        <v>10</v>
      </c>
      <c r="AR66" s="121" t="s">
        <v>198</v>
      </c>
      <c r="AS66" s="147" t="s">
        <v>61</v>
      </c>
      <c r="AT66" s="147" t="s">
        <v>61</v>
      </c>
      <c r="AU66" s="147" t="s">
        <v>61</v>
      </c>
      <c r="AV66" s="147" t="s">
        <v>61</v>
      </c>
      <c r="AW66" s="147" t="s">
        <v>61</v>
      </c>
      <c r="AX66" s="121" t="s">
        <v>61</v>
      </c>
      <c r="AY66" s="121" t="s">
        <v>61</v>
      </c>
      <c r="AZ66" s="121" t="s">
        <v>61</v>
      </c>
      <c r="BA66" s="121" t="s">
        <v>61</v>
      </c>
      <c r="BB66" s="121" t="s">
        <v>61</v>
      </c>
      <c r="BC66" s="121" t="s">
        <v>61</v>
      </c>
      <c r="BD66" s="121" t="s">
        <v>6</v>
      </c>
      <c r="BE66" s="121" t="s">
        <v>357</v>
      </c>
      <c r="BF66" s="121" t="s">
        <v>251</v>
      </c>
      <c r="BG66" s="128" t="s">
        <v>11</v>
      </c>
      <c r="BH66" s="128" t="s">
        <v>11</v>
      </c>
      <c r="BI66" s="128" t="s">
        <v>61</v>
      </c>
      <c r="BJ66" s="121" t="s">
        <v>61</v>
      </c>
      <c r="BK66" s="121" t="s">
        <v>61</v>
      </c>
      <c r="BL66" s="121" t="str">
        <f>IF(BK66="NA","NA",IF(BK66="Not Reported","Not Reported",IF(BK66&gt;$L$66,"Not Met","Met")))</f>
        <v>Not Reported</v>
      </c>
      <c r="BM66" s="258" t="s">
        <v>61</v>
      </c>
      <c r="BN66" s="121" t="str">
        <f>IF(BM66="NA","NA",IF(BM66="Not Reported","Not Reported",IF(BM66&gt;$L$66,"Not Met","Met")))</f>
        <v>Not Reported</v>
      </c>
      <c r="BO66" s="121" t="s">
        <v>61</v>
      </c>
      <c r="BP66" s="121" t="s">
        <v>61</v>
      </c>
      <c r="BQ66" s="128" t="s">
        <v>61</v>
      </c>
      <c r="BR66" s="121" t="s">
        <v>61</v>
      </c>
      <c r="BS66" s="26" t="s">
        <v>61</v>
      </c>
      <c r="BT66" s="121" t="str">
        <f>IF(BS66="NA","NA",IF(BS66="Not Reported","Not Reported",IF(BS66&gt;$L$66,"Not Met","Met")))</f>
        <v>Not Reported</v>
      </c>
      <c r="BU66" s="310" t="s">
        <v>61</v>
      </c>
      <c r="BV66" s="121" t="str">
        <f>IF(BU66="NA","NA",IF(BU66="Not Reported","Not Reported",IF(BU66&gt;$L$66,"Not Met","Met")))</f>
        <v>Not Reported</v>
      </c>
    </row>
    <row r="67" spans="1:74" x14ac:dyDescent="0.2">
      <c r="A67" s="121">
        <v>66</v>
      </c>
      <c r="B67" s="123" t="s">
        <v>425</v>
      </c>
      <c r="C67" s="122" t="s">
        <v>903</v>
      </c>
      <c r="D67" s="123" t="s">
        <v>113</v>
      </c>
      <c r="E67" s="123" t="s">
        <v>899</v>
      </c>
      <c r="F67" s="123" t="s">
        <v>190</v>
      </c>
      <c r="G67" s="123" t="s">
        <v>191</v>
      </c>
      <c r="H67" s="123" t="s">
        <v>192</v>
      </c>
      <c r="I67" s="124" t="s">
        <v>274</v>
      </c>
      <c r="J67" s="124" t="s">
        <v>214</v>
      </c>
      <c r="K67" s="123" t="s">
        <v>435</v>
      </c>
      <c r="L67" s="121">
        <v>30</v>
      </c>
      <c r="M67" s="121" t="s">
        <v>436</v>
      </c>
      <c r="N67" s="123" t="s">
        <v>422</v>
      </c>
      <c r="O67" s="123" t="s">
        <v>423</v>
      </c>
      <c r="P67" s="123" t="s">
        <v>207</v>
      </c>
      <c r="Q67" s="121" t="s">
        <v>437</v>
      </c>
      <c r="R67" s="121" t="s">
        <v>366</v>
      </c>
      <c r="S67" s="161" t="s">
        <v>438</v>
      </c>
      <c r="T67" s="147" t="s">
        <v>251</v>
      </c>
      <c r="U67" s="162" t="s">
        <v>439</v>
      </c>
      <c r="V67" s="121" t="s">
        <v>198</v>
      </c>
      <c r="W67" s="162" t="s">
        <v>222</v>
      </c>
      <c r="X67" s="121" t="s">
        <v>198</v>
      </c>
      <c r="Y67" s="162" t="s">
        <v>440</v>
      </c>
      <c r="Z67" s="121" t="s">
        <v>198</v>
      </c>
      <c r="AA67" s="162" t="s">
        <v>439</v>
      </c>
      <c r="AB67" s="121" t="s">
        <v>198</v>
      </c>
      <c r="AC67" s="121" t="s">
        <v>6</v>
      </c>
      <c r="AD67" s="121" t="s">
        <v>61</v>
      </c>
      <c r="AE67" s="162" t="s">
        <v>441</v>
      </c>
      <c r="AF67" s="147" t="s">
        <v>251</v>
      </c>
      <c r="AG67" s="128" t="s">
        <v>11</v>
      </c>
      <c r="AH67" s="128" t="s">
        <v>11</v>
      </c>
      <c r="AI67" s="128" t="s">
        <v>241</v>
      </c>
      <c r="AJ67" s="121" t="s">
        <v>198</v>
      </c>
      <c r="AK67" s="128" t="s">
        <v>6</v>
      </c>
      <c r="AL67" s="121" t="s">
        <v>61</v>
      </c>
      <c r="AM67" s="121" t="s">
        <v>442</v>
      </c>
      <c r="AN67" s="121" t="s">
        <v>198</v>
      </c>
      <c r="AO67" s="121" t="s">
        <v>11</v>
      </c>
      <c r="AP67" s="121" t="s">
        <v>11</v>
      </c>
      <c r="AQ67" s="121">
        <v>21</v>
      </c>
      <c r="AR67" s="121" t="s">
        <v>198</v>
      </c>
      <c r="AS67" s="147" t="s">
        <v>61</v>
      </c>
      <c r="AT67" s="147" t="s">
        <v>61</v>
      </c>
      <c r="AU67" s="147" t="s">
        <v>61</v>
      </c>
      <c r="AV67" s="147" t="s">
        <v>61</v>
      </c>
      <c r="AW67" s="147" t="s">
        <v>61</v>
      </c>
      <c r="AX67" s="121" t="s">
        <v>61</v>
      </c>
      <c r="AY67" s="121" t="s">
        <v>61</v>
      </c>
      <c r="AZ67" s="121" t="s">
        <v>61</v>
      </c>
      <c r="BA67" s="121" t="s">
        <v>61</v>
      </c>
      <c r="BB67" s="121" t="s">
        <v>61</v>
      </c>
      <c r="BC67" s="121" t="s">
        <v>61</v>
      </c>
      <c r="BD67" s="121" t="s">
        <v>6</v>
      </c>
      <c r="BE67" s="121">
        <v>29</v>
      </c>
      <c r="BF67" s="121" t="s">
        <v>198</v>
      </c>
      <c r="BG67" s="128" t="s">
        <v>11</v>
      </c>
      <c r="BH67" s="128" t="s">
        <v>11</v>
      </c>
      <c r="BI67" s="128" t="s">
        <v>61</v>
      </c>
      <c r="BJ67" s="121" t="s">
        <v>61</v>
      </c>
      <c r="BK67" s="121" t="s">
        <v>61</v>
      </c>
      <c r="BL67" s="121" t="str">
        <f>IF(BK67="NA","NA",IF(BK67="Not Reported","Not Reported",IF(BK67&gt;$L$67,"Not Met","Met")))</f>
        <v>Not Reported</v>
      </c>
      <c r="BM67" s="258" t="s">
        <v>61</v>
      </c>
      <c r="BN67" s="121" t="str">
        <f>IF(BM67="NA","NA",IF(BM67="Not Reported","Not Reported",IF(BM67&gt;$L$67,"Not Met","Met")))</f>
        <v>Not Reported</v>
      </c>
      <c r="BO67" s="121" t="s">
        <v>61</v>
      </c>
      <c r="BP67" s="121" t="s">
        <v>61</v>
      </c>
      <c r="BQ67" s="128" t="s">
        <v>61</v>
      </c>
      <c r="BR67" s="121" t="s">
        <v>61</v>
      </c>
      <c r="BS67" s="26" t="s">
        <v>61</v>
      </c>
      <c r="BT67" s="121" t="str">
        <f>IF(BS67="NA","NA",IF(BS67="Not Reported","Not Reported",IF(BS67&gt;$L$67,"Not Met","Met")))</f>
        <v>Not Reported</v>
      </c>
      <c r="BU67" s="310" t="s">
        <v>61</v>
      </c>
      <c r="BV67" s="121" t="str">
        <f>IF(BU67="NA","NA",IF(BU67="Not Reported","Not Reported",IF(BU67&gt;$L$67,"Not Met","Met")))</f>
        <v>Not Reported</v>
      </c>
    </row>
    <row r="68" spans="1:74" x14ac:dyDescent="0.2">
      <c r="A68" s="121">
        <v>67</v>
      </c>
      <c r="B68" s="123" t="s">
        <v>425</v>
      </c>
      <c r="C68" s="122" t="s">
        <v>903</v>
      </c>
      <c r="D68" s="123" t="s">
        <v>113</v>
      </c>
      <c r="E68" s="123" t="s">
        <v>899</v>
      </c>
      <c r="F68" s="123" t="s">
        <v>190</v>
      </c>
      <c r="G68" s="123" t="s">
        <v>191</v>
      </c>
      <c r="H68" s="123" t="s">
        <v>192</v>
      </c>
      <c r="I68" s="124" t="s">
        <v>274</v>
      </c>
      <c r="J68" s="124" t="s">
        <v>214</v>
      </c>
      <c r="K68" s="123" t="s">
        <v>420</v>
      </c>
      <c r="L68" s="121">
        <v>25</v>
      </c>
      <c r="M68" s="121" t="s">
        <v>443</v>
      </c>
      <c r="N68" s="123" t="s">
        <v>444</v>
      </c>
      <c r="O68" s="123" t="s">
        <v>445</v>
      </c>
      <c r="P68" s="123" t="s">
        <v>207</v>
      </c>
      <c r="Q68" s="121" t="s">
        <v>446</v>
      </c>
      <c r="R68" s="121" t="s">
        <v>198</v>
      </c>
      <c r="S68" s="161" t="s">
        <v>447</v>
      </c>
      <c r="T68" s="121" t="s">
        <v>198</v>
      </c>
      <c r="U68" s="162" t="s">
        <v>448</v>
      </c>
      <c r="V68" s="121" t="s">
        <v>198</v>
      </c>
      <c r="W68" s="162" t="s">
        <v>449</v>
      </c>
      <c r="X68" s="121" t="s">
        <v>198</v>
      </c>
      <c r="Y68" s="162" t="s">
        <v>450</v>
      </c>
      <c r="Z68" s="121" t="s">
        <v>198</v>
      </c>
      <c r="AA68" s="162" t="s">
        <v>448</v>
      </c>
      <c r="AB68" s="121" t="s">
        <v>198</v>
      </c>
      <c r="AC68" s="121" t="s">
        <v>6</v>
      </c>
      <c r="AD68" s="121" t="s">
        <v>61</v>
      </c>
      <c r="AE68" s="162" t="s">
        <v>449</v>
      </c>
      <c r="AF68" s="121" t="s">
        <v>198</v>
      </c>
      <c r="AG68" s="128" t="s">
        <v>11</v>
      </c>
      <c r="AH68" s="128" t="s">
        <v>11</v>
      </c>
      <c r="AI68" s="128" t="s">
        <v>451</v>
      </c>
      <c r="AJ68" s="121" t="s">
        <v>198</v>
      </c>
      <c r="AK68" s="128" t="s">
        <v>6</v>
      </c>
      <c r="AL68" s="121" t="s">
        <v>61</v>
      </c>
      <c r="AM68" s="121" t="s">
        <v>231</v>
      </c>
      <c r="AN68" s="121" t="s">
        <v>198</v>
      </c>
      <c r="AO68" s="121" t="s">
        <v>11</v>
      </c>
      <c r="AP68" s="121" t="s">
        <v>11</v>
      </c>
      <c r="AQ68" s="121">
        <v>10</v>
      </c>
      <c r="AR68" s="121" t="s">
        <v>198</v>
      </c>
      <c r="AS68" s="147" t="s">
        <v>61</v>
      </c>
      <c r="AT68" s="147" t="s">
        <v>61</v>
      </c>
      <c r="AU68" s="147" t="s">
        <v>61</v>
      </c>
      <c r="AV68" s="147" t="s">
        <v>61</v>
      </c>
      <c r="AW68" s="147" t="s">
        <v>61</v>
      </c>
      <c r="AX68" s="121" t="s">
        <v>61</v>
      </c>
      <c r="AY68" s="121" t="s">
        <v>61</v>
      </c>
      <c r="AZ68" s="121" t="s">
        <v>61</v>
      </c>
      <c r="BA68" s="121" t="s">
        <v>61</v>
      </c>
      <c r="BB68" s="121" t="s">
        <v>61</v>
      </c>
      <c r="BC68" s="121" t="s">
        <v>61</v>
      </c>
      <c r="BD68" s="121" t="s">
        <v>6</v>
      </c>
      <c r="BE68" s="121">
        <v>11</v>
      </c>
      <c r="BF68" s="121" t="s">
        <v>198</v>
      </c>
      <c r="BG68" s="128" t="s">
        <v>11</v>
      </c>
      <c r="BH68" s="128" t="s">
        <v>11</v>
      </c>
      <c r="BI68" s="128" t="s">
        <v>61</v>
      </c>
      <c r="BJ68" s="121" t="s">
        <v>61</v>
      </c>
      <c r="BK68" s="121" t="s">
        <v>61</v>
      </c>
      <c r="BL68" s="121" t="str">
        <f>IF(BK68="NA","NA",IF(BK68="Not Reported","Not Reported",IF(BK68&gt;$L$68,"Not Met","Met")))</f>
        <v>Not Reported</v>
      </c>
      <c r="BM68" s="258" t="s">
        <v>61</v>
      </c>
      <c r="BN68" s="121" t="str">
        <f>IF(BM68="NA","NA",IF(BM68="Not Reported","Not Reported",IF(BM68&gt;$L$68,"Not Met","Met")))</f>
        <v>Not Reported</v>
      </c>
      <c r="BO68" s="121" t="s">
        <v>61</v>
      </c>
      <c r="BP68" s="121" t="s">
        <v>61</v>
      </c>
      <c r="BQ68" s="128" t="s">
        <v>61</v>
      </c>
      <c r="BR68" s="121" t="s">
        <v>61</v>
      </c>
      <c r="BS68" s="26" t="s">
        <v>61</v>
      </c>
      <c r="BT68" s="121" t="str">
        <f>IF(BS68="NA","NA",IF(BS68="Not Reported","Not Reported",IF(BS68&gt;$L$68,"Not Met","Met")))</f>
        <v>Not Reported</v>
      </c>
      <c r="BU68" s="310" t="s">
        <v>61</v>
      </c>
      <c r="BV68" s="121" t="str">
        <f>IF(BU68="NA","NA",IF(BU68="Not Reported","Not Reported",IF(BU68&gt;$L$68,"Not Met","Met")))</f>
        <v>Not Reported</v>
      </c>
    </row>
    <row r="69" spans="1:74" x14ac:dyDescent="0.2">
      <c r="A69" s="121">
        <v>68</v>
      </c>
      <c r="B69" s="123" t="s">
        <v>452</v>
      </c>
      <c r="C69" s="122" t="s">
        <v>903</v>
      </c>
      <c r="D69" s="123" t="s">
        <v>113</v>
      </c>
      <c r="E69" s="123" t="s">
        <v>899</v>
      </c>
      <c r="F69" s="123" t="s">
        <v>190</v>
      </c>
      <c r="G69" s="122" t="s">
        <v>273</v>
      </c>
      <c r="H69" s="122" t="s">
        <v>192</v>
      </c>
      <c r="I69" s="124" t="s">
        <v>213</v>
      </c>
      <c r="J69" s="124" t="s">
        <v>214</v>
      </c>
      <c r="K69" s="129" t="s">
        <v>213</v>
      </c>
      <c r="L69" s="147">
        <v>25</v>
      </c>
      <c r="M69" s="147" t="s">
        <v>453</v>
      </c>
      <c r="N69" s="145" t="s">
        <v>341</v>
      </c>
      <c r="O69" s="145" t="s">
        <v>342</v>
      </c>
      <c r="P69" s="123" t="s">
        <v>207</v>
      </c>
      <c r="Q69" s="121" t="s">
        <v>454</v>
      </c>
      <c r="R69" s="121" t="s">
        <v>198</v>
      </c>
      <c r="S69" s="121" t="s">
        <v>447</v>
      </c>
      <c r="T69" s="121" t="s">
        <v>198</v>
      </c>
      <c r="U69" s="121" t="s">
        <v>455</v>
      </c>
      <c r="V69" s="121" t="s">
        <v>198</v>
      </c>
      <c r="W69" s="121" t="s">
        <v>456</v>
      </c>
      <c r="X69" s="121" t="s">
        <v>198</v>
      </c>
      <c r="Y69" s="121" t="s">
        <v>450</v>
      </c>
      <c r="Z69" s="121" t="s">
        <v>198</v>
      </c>
      <c r="AA69" s="162" t="s">
        <v>448</v>
      </c>
      <c r="AB69" s="121" t="s">
        <v>198</v>
      </c>
      <c r="AC69" s="121" t="s">
        <v>6</v>
      </c>
      <c r="AD69" s="121" t="s">
        <v>61</v>
      </c>
      <c r="AE69" s="121" t="s">
        <v>457</v>
      </c>
      <c r="AF69" s="121" t="s">
        <v>198</v>
      </c>
      <c r="AG69" s="147" t="s">
        <v>323</v>
      </c>
      <c r="AH69" s="147" t="s">
        <v>323</v>
      </c>
      <c r="AI69" s="147" t="s">
        <v>451</v>
      </c>
      <c r="AJ69" s="121" t="s">
        <v>198</v>
      </c>
      <c r="AK69" s="128" t="s">
        <v>6</v>
      </c>
      <c r="AL69" s="121" t="s">
        <v>61</v>
      </c>
      <c r="AM69" s="121" t="s">
        <v>231</v>
      </c>
      <c r="AN69" s="121" t="s">
        <v>198</v>
      </c>
      <c r="AO69" s="121" t="s">
        <v>241</v>
      </c>
      <c r="AP69" s="121" t="s">
        <v>198</v>
      </c>
      <c r="AQ69" s="147" t="s">
        <v>61</v>
      </c>
      <c r="AR69" s="121" t="s">
        <v>61</v>
      </c>
      <c r="AS69" s="147" t="s">
        <v>61</v>
      </c>
      <c r="AT69" s="147" t="s">
        <v>61</v>
      </c>
      <c r="AU69" s="128" t="s">
        <v>61</v>
      </c>
      <c r="AV69" s="128" t="s">
        <v>61</v>
      </c>
      <c r="AW69" s="128" t="s">
        <v>61</v>
      </c>
      <c r="AX69" s="121" t="s">
        <v>61</v>
      </c>
      <c r="AY69" s="128" t="s">
        <v>61</v>
      </c>
      <c r="AZ69" s="121" t="s">
        <v>61</v>
      </c>
      <c r="BA69" s="128" t="s">
        <v>61</v>
      </c>
      <c r="BB69" s="121" t="s">
        <v>61</v>
      </c>
      <c r="BC69" s="121" t="s">
        <v>61</v>
      </c>
      <c r="BD69" s="121" t="s">
        <v>6</v>
      </c>
      <c r="BE69" s="121">
        <v>13</v>
      </c>
      <c r="BF69" s="121" t="s">
        <v>198</v>
      </c>
      <c r="BG69" s="128" t="s">
        <v>11</v>
      </c>
      <c r="BH69" s="128" t="s">
        <v>11</v>
      </c>
      <c r="BI69" s="128" t="s">
        <v>61</v>
      </c>
      <c r="BJ69" s="121" t="s">
        <v>61</v>
      </c>
      <c r="BK69" s="121" t="s">
        <v>61</v>
      </c>
      <c r="BL69" s="121" t="str">
        <f>IF(BK69="NA","NA",IF(BK69="Not Reported","Not Reported",IF(BK69&gt;$L$69,"Not Met","Met")))</f>
        <v>Not Reported</v>
      </c>
      <c r="BM69" s="258" t="s">
        <v>61</v>
      </c>
      <c r="BN69" s="121" t="str">
        <f>IF(BM69="NA","NA",IF(BM69="Not Reported","Not Reported",IF(BM69&gt;$L$69,"Not Met","Met")))</f>
        <v>Not Reported</v>
      </c>
      <c r="BO69" s="121" t="s">
        <v>61</v>
      </c>
      <c r="BP69" s="121" t="s">
        <v>61</v>
      </c>
      <c r="BQ69" s="128" t="s">
        <v>61</v>
      </c>
      <c r="BR69" s="121" t="s">
        <v>61</v>
      </c>
      <c r="BS69" s="26" t="s">
        <v>61</v>
      </c>
      <c r="BT69" s="121" t="str">
        <f>IF(BS69="NA","NA",IF(BS69="Not Reported","Not Reported",IF(BS69&gt;$L$69,"Not Met","Met")))</f>
        <v>Not Reported</v>
      </c>
      <c r="BU69" s="26" t="s">
        <v>61</v>
      </c>
      <c r="BV69" s="121" t="str">
        <f>IF(BU69="NA","NA",IF(BU69="Not Reported","Not Reported",IF(BU69&gt;$L$69,"Not Met","Met")))</f>
        <v>Not Reported</v>
      </c>
    </row>
    <row r="70" spans="1:74" x14ac:dyDescent="0.2">
      <c r="A70" s="121">
        <v>69</v>
      </c>
      <c r="B70" s="122" t="s">
        <v>458</v>
      </c>
      <c r="C70" s="122" t="s">
        <v>903</v>
      </c>
      <c r="D70" s="123" t="s">
        <v>113</v>
      </c>
      <c r="E70" s="123" t="s">
        <v>899</v>
      </c>
      <c r="F70" s="123" t="s">
        <v>190</v>
      </c>
      <c r="G70" s="123" t="s">
        <v>273</v>
      </c>
      <c r="H70" s="123" t="s">
        <v>192</v>
      </c>
      <c r="I70" s="124" t="s">
        <v>274</v>
      </c>
      <c r="J70" s="124" t="s">
        <v>214</v>
      </c>
      <c r="K70" s="145" t="s">
        <v>274</v>
      </c>
      <c r="L70" s="121">
        <v>90</v>
      </c>
      <c r="M70" s="121" t="s">
        <v>329</v>
      </c>
      <c r="N70" s="145" t="s">
        <v>276</v>
      </c>
      <c r="O70" s="145" t="s">
        <v>277</v>
      </c>
      <c r="P70" s="123" t="s">
        <v>207</v>
      </c>
      <c r="Q70" s="121" t="s">
        <v>329</v>
      </c>
      <c r="R70" s="121" t="s">
        <v>198</v>
      </c>
      <c r="S70" s="121">
        <v>89</v>
      </c>
      <c r="T70" s="121" t="s">
        <v>198</v>
      </c>
      <c r="U70" s="121" t="s">
        <v>459</v>
      </c>
      <c r="V70" s="147" t="s">
        <v>251</v>
      </c>
      <c r="W70" s="121" t="s">
        <v>460</v>
      </c>
      <c r="X70" s="121" t="s">
        <v>198</v>
      </c>
      <c r="Y70" s="121" t="s">
        <v>370</v>
      </c>
      <c r="Z70" s="121" t="s">
        <v>198</v>
      </c>
      <c r="AA70" s="121" t="s">
        <v>461</v>
      </c>
      <c r="AB70" s="121" t="s">
        <v>198</v>
      </c>
      <c r="AC70" s="121" t="s">
        <v>6</v>
      </c>
      <c r="AD70" s="121" t="s">
        <v>61</v>
      </c>
      <c r="AE70" s="121" t="s">
        <v>462</v>
      </c>
      <c r="AF70" s="147" t="s">
        <v>251</v>
      </c>
      <c r="AG70" s="147" t="s">
        <v>463</v>
      </c>
      <c r="AH70" s="121" t="s">
        <v>198</v>
      </c>
      <c r="AI70" s="121" t="s">
        <v>464</v>
      </c>
      <c r="AJ70" s="147" t="s">
        <v>251</v>
      </c>
      <c r="AK70" s="128" t="s">
        <v>6</v>
      </c>
      <c r="AL70" s="121" t="s">
        <v>61</v>
      </c>
      <c r="AM70" s="121" t="s">
        <v>465</v>
      </c>
      <c r="AN70" s="121" t="s">
        <v>251</v>
      </c>
      <c r="AO70" s="173">
        <v>105</v>
      </c>
      <c r="AP70" s="121" t="s">
        <v>251</v>
      </c>
      <c r="AQ70" s="173">
        <v>87</v>
      </c>
      <c r="AR70" s="121" t="s">
        <v>198</v>
      </c>
      <c r="AS70" s="146" t="s">
        <v>61</v>
      </c>
      <c r="AT70" s="146" t="s">
        <v>61</v>
      </c>
      <c r="AU70" s="147">
        <v>115</v>
      </c>
      <c r="AV70" s="121" t="s">
        <v>251</v>
      </c>
      <c r="AW70" s="121">
        <v>110</v>
      </c>
      <c r="AX70" s="121" t="s">
        <v>251</v>
      </c>
      <c r="AY70" s="121">
        <v>93</v>
      </c>
      <c r="AZ70" s="121" t="s">
        <v>251</v>
      </c>
      <c r="BA70" s="121">
        <v>98</v>
      </c>
      <c r="BB70" s="121" t="s">
        <v>251</v>
      </c>
      <c r="BC70" s="127" t="s">
        <v>11</v>
      </c>
      <c r="BD70" s="128" t="s">
        <v>11</v>
      </c>
      <c r="BE70" s="121">
        <v>115</v>
      </c>
      <c r="BF70" s="121" t="s">
        <v>251</v>
      </c>
      <c r="BG70" s="160">
        <v>92</v>
      </c>
      <c r="BH70" s="121" t="s">
        <v>251</v>
      </c>
      <c r="BI70" s="121" t="s">
        <v>61</v>
      </c>
      <c r="BJ70" s="121" t="s">
        <v>61</v>
      </c>
      <c r="BK70" s="160">
        <v>83</v>
      </c>
      <c r="BL70" s="121" t="str">
        <f>IF(BK70="NA","NA",IF(BK70="Not Reported","Not Reported",IF(BK70&gt;$L$70,"Not Met","Met")))</f>
        <v>Met</v>
      </c>
      <c r="BM70" s="258">
        <v>106</v>
      </c>
      <c r="BN70" s="121" t="str">
        <f>IF(BM70="NA","NA",IF(BM70="Not Reported","Not Reported",IF(BM70&gt;$L$70,"Not Met","Met")))</f>
        <v>Not Met</v>
      </c>
      <c r="BO70" s="121">
        <v>105</v>
      </c>
      <c r="BP70" s="121" t="s">
        <v>251</v>
      </c>
      <c r="BQ70" s="128" t="s">
        <v>61</v>
      </c>
      <c r="BR70" s="121" t="s">
        <v>61</v>
      </c>
      <c r="BS70" s="77">
        <v>102</v>
      </c>
      <c r="BT70" s="121" t="str">
        <f>IF(BS70="NA","NA",IF(BS70="Not Reported","Not Reported",IF(BS70&gt;$L$70,"Not Met","Met")))</f>
        <v>Not Met</v>
      </c>
      <c r="BU70" s="404">
        <v>101</v>
      </c>
      <c r="BV70" s="121" t="str">
        <f>IF(BU70="NA","NA",IF(BU70="Not Reported","Not Reported",IF(BU70&gt;$L$70,"Not Met","Met")))</f>
        <v>Not Met</v>
      </c>
    </row>
    <row r="71" spans="1:74" x14ac:dyDescent="0.2">
      <c r="A71" s="121">
        <v>70</v>
      </c>
      <c r="B71" s="122" t="s">
        <v>458</v>
      </c>
      <c r="C71" s="122" t="s">
        <v>903</v>
      </c>
      <c r="D71" s="123" t="s">
        <v>113</v>
      </c>
      <c r="E71" s="123" t="s">
        <v>899</v>
      </c>
      <c r="F71" s="123" t="s">
        <v>190</v>
      </c>
      <c r="G71" s="123" t="s">
        <v>273</v>
      </c>
      <c r="H71" s="123" t="s">
        <v>192</v>
      </c>
      <c r="I71" s="124" t="s">
        <v>213</v>
      </c>
      <c r="J71" s="124" t="s">
        <v>214</v>
      </c>
      <c r="K71" s="129" t="s">
        <v>213</v>
      </c>
      <c r="L71" s="121">
        <v>45</v>
      </c>
      <c r="M71" s="121" t="s">
        <v>340</v>
      </c>
      <c r="N71" s="145" t="s">
        <v>341</v>
      </c>
      <c r="O71" s="145" t="s">
        <v>342</v>
      </c>
      <c r="P71" s="123" t="s">
        <v>207</v>
      </c>
      <c r="Q71" s="127" t="s">
        <v>413</v>
      </c>
      <c r="R71" s="121" t="s">
        <v>198</v>
      </c>
      <c r="S71" s="121" t="s">
        <v>432</v>
      </c>
      <c r="T71" s="121" t="s">
        <v>198</v>
      </c>
      <c r="U71" s="121" t="s">
        <v>466</v>
      </c>
      <c r="V71" s="121" t="s">
        <v>198</v>
      </c>
      <c r="W71" s="121" t="s">
        <v>455</v>
      </c>
      <c r="X71" s="121" t="s">
        <v>198</v>
      </c>
      <c r="Y71" s="121" t="s">
        <v>467</v>
      </c>
      <c r="Z71" s="121" t="s">
        <v>198</v>
      </c>
      <c r="AA71" s="121" t="s">
        <v>468</v>
      </c>
      <c r="AB71" s="121" t="s">
        <v>198</v>
      </c>
      <c r="AC71" s="121" t="s">
        <v>6</v>
      </c>
      <c r="AD71" s="121" t="s">
        <v>61</v>
      </c>
      <c r="AE71" s="121" t="s">
        <v>469</v>
      </c>
      <c r="AF71" s="121" t="s">
        <v>198</v>
      </c>
      <c r="AG71" s="121" t="s">
        <v>446</v>
      </c>
      <c r="AH71" s="121" t="s">
        <v>198</v>
      </c>
      <c r="AI71" s="121" t="s">
        <v>446</v>
      </c>
      <c r="AJ71" s="121" t="s">
        <v>198</v>
      </c>
      <c r="AK71" s="128" t="s">
        <v>6</v>
      </c>
      <c r="AL71" s="121" t="s">
        <v>61</v>
      </c>
      <c r="AM71" s="121" t="s">
        <v>349</v>
      </c>
      <c r="AN71" s="121" t="s">
        <v>198</v>
      </c>
      <c r="AO71" s="162">
        <v>26.3</v>
      </c>
      <c r="AP71" s="121" t="s">
        <v>198</v>
      </c>
      <c r="AQ71" s="162">
        <v>28</v>
      </c>
      <c r="AR71" s="121" t="s">
        <v>198</v>
      </c>
      <c r="AS71" s="146" t="s">
        <v>61</v>
      </c>
      <c r="AT71" s="146" t="s">
        <v>61</v>
      </c>
      <c r="AU71" s="147">
        <v>18</v>
      </c>
      <c r="AV71" s="121" t="s">
        <v>198</v>
      </c>
      <c r="AW71" s="121" t="s">
        <v>11</v>
      </c>
      <c r="AX71" s="128" t="s">
        <v>11</v>
      </c>
      <c r="AY71" s="172">
        <v>25</v>
      </c>
      <c r="AZ71" s="121" t="s">
        <v>198</v>
      </c>
      <c r="BA71" s="172">
        <v>19</v>
      </c>
      <c r="BB71" s="121" t="s">
        <v>198</v>
      </c>
      <c r="BC71" s="121">
        <v>44</v>
      </c>
      <c r="BD71" s="121" t="s">
        <v>198</v>
      </c>
      <c r="BE71" s="121">
        <v>18</v>
      </c>
      <c r="BF71" s="121" t="s">
        <v>198</v>
      </c>
      <c r="BG71" s="173">
        <v>14</v>
      </c>
      <c r="BH71" s="121" t="s">
        <v>198</v>
      </c>
      <c r="BI71" s="121" t="s">
        <v>61</v>
      </c>
      <c r="BJ71" s="121" t="s">
        <v>61</v>
      </c>
      <c r="BK71" s="173">
        <v>12</v>
      </c>
      <c r="BL71" s="121" t="str">
        <f>IF(BK71="NA","NA",IF(BK71="Not Reported","Not Reported",IF(BK71&gt;$L$71,"Not Met","Met")))</f>
        <v>Met</v>
      </c>
      <c r="BM71" s="258">
        <v>51</v>
      </c>
      <c r="BN71" s="121" t="str">
        <f>IF(BM71="NA","NA",IF(BM71="Not Reported","Not Reported",IF(BM71&gt;$L$71,"Not Met","Met")))</f>
        <v>Not Met</v>
      </c>
      <c r="BO71" s="121">
        <v>17</v>
      </c>
      <c r="BP71" s="121" t="s">
        <v>198</v>
      </c>
      <c r="BQ71" s="128" t="s">
        <v>61</v>
      </c>
      <c r="BR71" s="121" t="s">
        <v>61</v>
      </c>
      <c r="BS71" s="26">
        <v>37</v>
      </c>
      <c r="BT71" s="121" t="str">
        <f>IF(BS71="NA","NA",IF(BS71="Not Reported","Not Reported",IF(BS71&gt;$L$71,"Not Met","Met")))</f>
        <v>Met</v>
      </c>
      <c r="BU71" s="405">
        <v>26</v>
      </c>
      <c r="BV71" s="121" t="str">
        <f>IF(BU71="NA","NA",IF(BU71="Not Reported","Not Reported",IF(BU71&gt;$L$71,"Not Met","Met")))</f>
        <v>Met</v>
      </c>
    </row>
    <row r="72" spans="1:74" x14ac:dyDescent="0.2">
      <c r="A72" s="121">
        <v>71</v>
      </c>
      <c r="B72" s="123" t="s">
        <v>452</v>
      </c>
      <c r="C72" s="122" t="s">
        <v>903</v>
      </c>
      <c r="D72" s="123" t="s">
        <v>113</v>
      </c>
      <c r="E72" s="123" t="s">
        <v>899</v>
      </c>
      <c r="F72" s="123" t="s">
        <v>190</v>
      </c>
      <c r="G72" s="122" t="s">
        <v>273</v>
      </c>
      <c r="H72" s="123" t="s">
        <v>192</v>
      </c>
      <c r="I72" s="124" t="s">
        <v>274</v>
      </c>
      <c r="J72" s="124" t="s">
        <v>214</v>
      </c>
      <c r="K72" s="145" t="s">
        <v>274</v>
      </c>
      <c r="L72" s="121">
        <v>30</v>
      </c>
      <c r="M72" s="121" t="s">
        <v>470</v>
      </c>
      <c r="N72" s="145" t="s">
        <v>276</v>
      </c>
      <c r="O72" s="145" t="s">
        <v>277</v>
      </c>
      <c r="P72" s="122" t="s">
        <v>207</v>
      </c>
      <c r="Q72" s="121" t="s">
        <v>437</v>
      </c>
      <c r="R72" s="121" t="s">
        <v>366</v>
      </c>
      <c r="S72" s="121" t="s">
        <v>359</v>
      </c>
      <c r="T72" s="147" t="s">
        <v>251</v>
      </c>
      <c r="U72" s="121" t="s">
        <v>453</v>
      </c>
      <c r="V72" s="121" t="s">
        <v>198</v>
      </c>
      <c r="W72" s="121" t="s">
        <v>456</v>
      </c>
      <c r="X72" s="121" t="s">
        <v>198</v>
      </c>
      <c r="Y72" s="121" t="s">
        <v>440</v>
      </c>
      <c r="Z72" s="121" t="s">
        <v>198</v>
      </c>
      <c r="AA72" s="162" t="s">
        <v>448</v>
      </c>
      <c r="AB72" s="121" t="s">
        <v>198</v>
      </c>
      <c r="AC72" s="121" t="s">
        <v>6</v>
      </c>
      <c r="AD72" s="121" t="s">
        <v>61</v>
      </c>
      <c r="AE72" s="121" t="s">
        <v>471</v>
      </c>
      <c r="AF72" s="147" t="s">
        <v>251</v>
      </c>
      <c r="AG72" s="147" t="s">
        <v>323</v>
      </c>
      <c r="AH72" s="147" t="s">
        <v>323</v>
      </c>
      <c r="AI72" s="147" t="s">
        <v>241</v>
      </c>
      <c r="AJ72" s="121" t="s">
        <v>198</v>
      </c>
      <c r="AK72" s="128" t="s">
        <v>6</v>
      </c>
      <c r="AL72" s="121" t="s">
        <v>61</v>
      </c>
      <c r="AM72" s="121" t="s">
        <v>472</v>
      </c>
      <c r="AN72" s="121" t="s">
        <v>198</v>
      </c>
      <c r="AO72" s="121" t="s">
        <v>472</v>
      </c>
      <c r="AP72" s="121" t="s">
        <v>198</v>
      </c>
      <c r="AQ72" s="147" t="s">
        <v>61</v>
      </c>
      <c r="AR72" s="121" t="s">
        <v>61</v>
      </c>
      <c r="AS72" s="147" t="s">
        <v>61</v>
      </c>
      <c r="AT72" s="147" t="s">
        <v>61</v>
      </c>
      <c r="AU72" s="128" t="s">
        <v>61</v>
      </c>
      <c r="AV72" s="128" t="s">
        <v>61</v>
      </c>
      <c r="AW72" s="128" t="s">
        <v>61</v>
      </c>
      <c r="AX72" s="121" t="s">
        <v>61</v>
      </c>
      <c r="AY72" s="128" t="s">
        <v>61</v>
      </c>
      <c r="AZ72" s="121" t="s">
        <v>61</v>
      </c>
      <c r="BA72" s="128" t="s">
        <v>61</v>
      </c>
      <c r="BB72" s="121" t="s">
        <v>61</v>
      </c>
      <c r="BC72" s="121" t="s">
        <v>61</v>
      </c>
      <c r="BD72" s="121" t="s">
        <v>6</v>
      </c>
      <c r="BE72" s="121" t="s">
        <v>61</v>
      </c>
      <c r="BF72" s="121" t="s">
        <v>61</v>
      </c>
      <c r="BG72" s="128" t="s">
        <v>11</v>
      </c>
      <c r="BH72" s="128" t="s">
        <v>11</v>
      </c>
      <c r="BI72" s="128" t="s">
        <v>61</v>
      </c>
      <c r="BJ72" s="121" t="s">
        <v>61</v>
      </c>
      <c r="BK72" s="121" t="s">
        <v>61</v>
      </c>
      <c r="BL72" s="121" t="str">
        <f>IF(BK72="NA","NA",IF(BK72="Not Reported","Not Reported",IF(BK72&gt;$L$72,"Not Met","Met")))</f>
        <v>Not Reported</v>
      </c>
      <c r="BM72" s="258" t="s">
        <v>61</v>
      </c>
      <c r="BN72" s="121" t="str">
        <f>IF(BM72="NA","NA",IF(BM72="Not Reported","Not Reported",IF(BM72&gt;$L$72,"Not Met","Met")))</f>
        <v>Not Reported</v>
      </c>
      <c r="BO72" s="121" t="s">
        <v>61</v>
      </c>
      <c r="BP72" s="121" t="s">
        <v>61</v>
      </c>
      <c r="BQ72" s="128" t="s">
        <v>61</v>
      </c>
      <c r="BR72" s="121" t="s">
        <v>61</v>
      </c>
      <c r="BS72" s="26" t="s">
        <v>61</v>
      </c>
      <c r="BT72" s="121" t="str">
        <f>IF(BS72="NA","NA",IF(BS72="Not Reported","Not Reported",IF(BS72&gt;$L$72,"Not Met","Met")))</f>
        <v>Not Reported</v>
      </c>
      <c r="BU72" s="26" t="s">
        <v>61</v>
      </c>
      <c r="BV72" s="121" t="str">
        <f>IF(BU72="NA","NA",IF(BU72="Not Reported","Not Reported",IF(BU72&gt;$L$72,"Not Met","Met")))</f>
        <v>Not Reported</v>
      </c>
    </row>
    <row r="73" spans="1:74" x14ac:dyDescent="0.2">
      <c r="A73" s="121">
        <v>72</v>
      </c>
      <c r="B73" s="123" t="s">
        <v>452</v>
      </c>
      <c r="C73" s="122" t="s">
        <v>903</v>
      </c>
      <c r="D73" s="123" t="s">
        <v>113</v>
      </c>
      <c r="E73" s="123" t="s">
        <v>899</v>
      </c>
      <c r="F73" s="123" t="s">
        <v>190</v>
      </c>
      <c r="G73" s="123" t="s">
        <v>191</v>
      </c>
      <c r="H73" s="123" t="s">
        <v>192</v>
      </c>
      <c r="I73" s="124" t="s">
        <v>213</v>
      </c>
      <c r="J73" s="124" t="s">
        <v>214</v>
      </c>
      <c r="K73" s="129" t="s">
        <v>213</v>
      </c>
      <c r="L73" s="121">
        <v>40</v>
      </c>
      <c r="M73" s="121" t="s">
        <v>867</v>
      </c>
      <c r="N73" s="123" t="s">
        <v>473</v>
      </c>
      <c r="O73" s="123" t="s">
        <v>474</v>
      </c>
      <c r="P73" s="122" t="s">
        <v>207</v>
      </c>
      <c r="Q73" s="121" t="s">
        <v>446</v>
      </c>
      <c r="R73" s="121" t="s">
        <v>198</v>
      </c>
      <c r="S73" s="121" t="s">
        <v>359</v>
      </c>
      <c r="T73" s="121" t="s">
        <v>198</v>
      </c>
      <c r="U73" s="162" t="s">
        <v>455</v>
      </c>
      <c r="V73" s="121" t="s">
        <v>198</v>
      </c>
      <c r="W73" s="162" t="s">
        <v>344</v>
      </c>
      <c r="X73" s="121" t="s">
        <v>198</v>
      </c>
      <c r="Y73" s="121" t="s">
        <v>345</v>
      </c>
      <c r="Z73" s="121" t="s">
        <v>198</v>
      </c>
      <c r="AA73" s="121" t="s">
        <v>453</v>
      </c>
      <c r="AB73" s="121" t="s">
        <v>198</v>
      </c>
      <c r="AC73" s="121" t="s">
        <v>6</v>
      </c>
      <c r="AD73" s="121" t="s">
        <v>61</v>
      </c>
      <c r="AE73" s="121" t="s">
        <v>441</v>
      </c>
      <c r="AF73" s="121" t="s">
        <v>198</v>
      </c>
      <c r="AG73" s="128" t="s">
        <v>11</v>
      </c>
      <c r="AH73" s="128" t="s">
        <v>11</v>
      </c>
      <c r="AI73" s="128" t="s">
        <v>241</v>
      </c>
      <c r="AJ73" s="121" t="s">
        <v>198</v>
      </c>
      <c r="AK73" s="128" t="s">
        <v>6</v>
      </c>
      <c r="AL73" s="121" t="s">
        <v>61</v>
      </c>
      <c r="AM73" s="121" t="s">
        <v>442</v>
      </c>
      <c r="AN73" s="121" t="s">
        <v>198</v>
      </c>
      <c r="AO73" s="121" t="s">
        <v>442</v>
      </c>
      <c r="AP73" s="121" t="s">
        <v>198</v>
      </c>
      <c r="AQ73" s="121">
        <v>21</v>
      </c>
      <c r="AR73" s="121" t="s">
        <v>198</v>
      </c>
      <c r="AS73" s="147" t="s">
        <v>61</v>
      </c>
      <c r="AT73" s="147" t="s">
        <v>61</v>
      </c>
      <c r="AU73" s="128" t="s">
        <v>61</v>
      </c>
      <c r="AV73" s="128" t="s">
        <v>61</v>
      </c>
      <c r="AW73" s="128" t="s">
        <v>61</v>
      </c>
      <c r="AX73" s="121" t="s">
        <v>61</v>
      </c>
      <c r="AY73" s="128" t="s">
        <v>61</v>
      </c>
      <c r="AZ73" s="121" t="s">
        <v>61</v>
      </c>
      <c r="BA73" s="128" t="s">
        <v>61</v>
      </c>
      <c r="BB73" s="121" t="s">
        <v>61</v>
      </c>
      <c r="BC73" s="121" t="s">
        <v>61</v>
      </c>
      <c r="BD73" s="121" t="s">
        <v>6</v>
      </c>
      <c r="BE73" s="121" t="s">
        <v>61</v>
      </c>
      <c r="BF73" s="121" t="s">
        <v>61</v>
      </c>
      <c r="BG73" s="128" t="s">
        <v>11</v>
      </c>
      <c r="BH73" s="128" t="s">
        <v>11</v>
      </c>
      <c r="BI73" s="128" t="s">
        <v>61</v>
      </c>
      <c r="BJ73" s="121" t="s">
        <v>61</v>
      </c>
      <c r="BK73" s="121" t="s">
        <v>61</v>
      </c>
      <c r="BL73" s="121" t="str">
        <f>IF(BK73="NA","NA",IF(BK73="Not Reported","Not Reported",IF(BK73&gt;$L$73,"Not Met","Met")))</f>
        <v>Not Reported</v>
      </c>
      <c r="BM73" s="258" t="s">
        <v>61</v>
      </c>
      <c r="BN73" s="121" t="str">
        <f>IF(BM73="NA","NA",IF(BM73="Not Reported","Not Reported",IF(BM73&gt;$L$73,"Not Met","Met")))</f>
        <v>Not Reported</v>
      </c>
      <c r="BO73" s="121" t="s">
        <v>61</v>
      </c>
      <c r="BP73" s="121" t="s">
        <v>61</v>
      </c>
      <c r="BQ73" s="128" t="s">
        <v>61</v>
      </c>
      <c r="BR73" s="121" t="s">
        <v>61</v>
      </c>
      <c r="BS73" s="26" t="s">
        <v>61</v>
      </c>
      <c r="BT73" s="121" t="str">
        <f>IF(BS73="NA","NA",IF(BS73="Not Reported","Not Reported",IF(BS73&gt;$L$73,"Not Met","Met")))</f>
        <v>Not Reported</v>
      </c>
      <c r="BU73" s="26" t="s">
        <v>61</v>
      </c>
      <c r="BV73" s="121" t="str">
        <f>IF(BU73="NA","NA",IF(BU73="Not Reported","Not Reported",IF(BU73&gt;$L$73,"Not Met","Met")))</f>
        <v>Not Reported</v>
      </c>
    </row>
    <row r="74" spans="1:74" x14ac:dyDescent="0.2">
      <c r="A74" s="121">
        <v>73</v>
      </c>
      <c r="B74" s="123" t="s">
        <v>452</v>
      </c>
      <c r="C74" s="122" t="s">
        <v>903</v>
      </c>
      <c r="D74" s="123" t="s">
        <v>113</v>
      </c>
      <c r="E74" s="123" t="s">
        <v>899</v>
      </c>
      <c r="F74" s="123" t="s">
        <v>190</v>
      </c>
      <c r="G74" s="174" t="s">
        <v>273</v>
      </c>
      <c r="H74" s="122" t="s">
        <v>192</v>
      </c>
      <c r="I74" s="124" t="s">
        <v>257</v>
      </c>
      <c r="J74" s="124" t="s">
        <v>258</v>
      </c>
      <c r="K74" s="123" t="s">
        <v>259</v>
      </c>
      <c r="L74" s="126">
        <v>7.0000000000000007E-2</v>
      </c>
      <c r="M74" s="126" t="s">
        <v>475</v>
      </c>
      <c r="N74" s="145" t="s">
        <v>476</v>
      </c>
      <c r="O74" s="145" t="s">
        <v>477</v>
      </c>
      <c r="P74" s="122" t="s">
        <v>207</v>
      </c>
      <c r="Q74" s="126">
        <v>0.2</v>
      </c>
      <c r="R74" s="121" t="s">
        <v>198</v>
      </c>
      <c r="S74" s="126">
        <v>0.08</v>
      </c>
      <c r="T74" s="121" t="s">
        <v>198</v>
      </c>
      <c r="U74" s="126">
        <v>0.05</v>
      </c>
      <c r="V74" s="147" t="s">
        <v>251</v>
      </c>
      <c r="W74" s="126">
        <v>0.09</v>
      </c>
      <c r="X74" s="121" t="s">
        <v>198</v>
      </c>
      <c r="Y74" s="126">
        <v>7.0000000000000007E-2</v>
      </c>
      <c r="Z74" s="121" t="s">
        <v>198</v>
      </c>
      <c r="AA74" s="126">
        <v>0.05</v>
      </c>
      <c r="AB74" s="147" t="s">
        <v>251</v>
      </c>
      <c r="AC74" s="121" t="s">
        <v>6</v>
      </c>
      <c r="AD74" s="121" t="s">
        <v>61</v>
      </c>
      <c r="AE74" s="126">
        <v>0</v>
      </c>
      <c r="AF74" s="147" t="s">
        <v>251</v>
      </c>
      <c r="AG74" s="147" t="s">
        <v>323</v>
      </c>
      <c r="AH74" s="147" t="s">
        <v>323</v>
      </c>
      <c r="AI74" s="146">
        <v>0</v>
      </c>
      <c r="AJ74" s="147" t="s">
        <v>251</v>
      </c>
      <c r="AK74" s="128" t="s">
        <v>6</v>
      </c>
      <c r="AL74" s="121" t="s">
        <v>61</v>
      </c>
      <c r="AM74" s="146">
        <v>0</v>
      </c>
      <c r="AN74" s="121" t="s">
        <v>251</v>
      </c>
      <c r="AO74" s="146">
        <v>0</v>
      </c>
      <c r="AP74" s="121" t="s">
        <v>251</v>
      </c>
      <c r="AQ74" s="146">
        <v>0.15</v>
      </c>
      <c r="AR74" s="121" t="s">
        <v>198</v>
      </c>
      <c r="AS74" s="147" t="s">
        <v>61</v>
      </c>
      <c r="AT74" s="147" t="s">
        <v>61</v>
      </c>
      <c r="AU74" s="128" t="s">
        <v>61</v>
      </c>
      <c r="AV74" s="128" t="s">
        <v>61</v>
      </c>
      <c r="AW74" s="128" t="s">
        <v>61</v>
      </c>
      <c r="AX74" s="121" t="s">
        <v>61</v>
      </c>
      <c r="AY74" s="128" t="s">
        <v>61</v>
      </c>
      <c r="AZ74" s="121" t="s">
        <v>61</v>
      </c>
      <c r="BA74" s="128" t="s">
        <v>61</v>
      </c>
      <c r="BB74" s="121" t="s">
        <v>61</v>
      </c>
      <c r="BC74" s="121" t="s">
        <v>61</v>
      </c>
      <c r="BD74" s="121" t="s">
        <v>6</v>
      </c>
      <c r="BE74" s="126">
        <v>0</v>
      </c>
      <c r="BF74" s="121" t="s">
        <v>251</v>
      </c>
      <c r="BG74" s="128" t="s">
        <v>11</v>
      </c>
      <c r="BH74" s="128" t="s">
        <v>11</v>
      </c>
      <c r="BI74" s="128" t="s">
        <v>61</v>
      </c>
      <c r="BJ74" s="121" t="s">
        <v>61</v>
      </c>
      <c r="BK74" s="121" t="s">
        <v>61</v>
      </c>
      <c r="BL74" s="121" t="str">
        <f>IF(BK74="NA","NA",IF(BK74="Not Reported","Not Reported",IF(BK74&lt;$L$74,"Not Met","Met")))</f>
        <v>Not Reported</v>
      </c>
      <c r="BM74" s="258" t="s">
        <v>61</v>
      </c>
      <c r="BN74" s="121" t="str">
        <f>IF(BM74="NA","NA",IF(BM74="Not Reported","Not Reported",IF(BM74&lt;$L$74,"Not Met","Met")))</f>
        <v>Not Reported</v>
      </c>
      <c r="BO74" s="121" t="s">
        <v>61</v>
      </c>
      <c r="BP74" s="121" t="s">
        <v>61</v>
      </c>
      <c r="BQ74" s="128" t="s">
        <v>61</v>
      </c>
      <c r="BR74" s="121" t="s">
        <v>61</v>
      </c>
      <c r="BS74" s="26" t="s">
        <v>61</v>
      </c>
      <c r="BT74" s="121" t="str">
        <f>IF(BS74="NA","NA",IF(BS74="Not Reported","Not Reported",IF(BS74&lt;$L$74,"Not Met","Met")))</f>
        <v>Not Reported</v>
      </c>
      <c r="BU74" s="26" t="s">
        <v>61</v>
      </c>
      <c r="BV74" s="121" t="str">
        <f>IF(BU74="NA","NA",IF(BU74="Not Reported","Not Reported",IF(BU74&lt;$L$74,"Not Met","Met")))</f>
        <v>Not Reported</v>
      </c>
    </row>
    <row r="75" spans="1:74" x14ac:dyDescent="0.2">
      <c r="A75" s="121">
        <v>74</v>
      </c>
      <c r="B75" s="123" t="s">
        <v>452</v>
      </c>
      <c r="C75" s="122" t="s">
        <v>903</v>
      </c>
      <c r="D75" s="123" t="s">
        <v>113</v>
      </c>
      <c r="E75" s="123" t="s">
        <v>899</v>
      </c>
      <c r="F75" s="123" t="s">
        <v>190</v>
      </c>
      <c r="G75" s="174" t="s">
        <v>273</v>
      </c>
      <c r="H75" s="122" t="s">
        <v>192</v>
      </c>
      <c r="I75" s="124" t="s">
        <v>246</v>
      </c>
      <c r="J75" s="124" t="s">
        <v>214</v>
      </c>
      <c r="K75" s="122" t="s">
        <v>326</v>
      </c>
      <c r="L75" s="128">
        <v>0.2</v>
      </c>
      <c r="M75" s="128">
        <v>0.2</v>
      </c>
      <c r="N75" s="145" t="s">
        <v>368</v>
      </c>
      <c r="O75" s="145" t="s">
        <v>369</v>
      </c>
      <c r="P75" s="122" t="s">
        <v>207</v>
      </c>
      <c r="Q75" s="128">
        <v>4.1666666666666664E-2</v>
      </c>
      <c r="R75" s="121" t="s">
        <v>198</v>
      </c>
      <c r="S75" s="121" t="s">
        <v>6</v>
      </c>
      <c r="T75" s="131" t="s">
        <v>61</v>
      </c>
      <c r="U75" s="121" t="s">
        <v>6</v>
      </c>
      <c r="V75" s="121" t="s">
        <v>6</v>
      </c>
      <c r="W75" s="121" t="s">
        <v>6</v>
      </c>
      <c r="X75" s="143" t="s">
        <v>61</v>
      </c>
      <c r="Y75" s="121" t="s">
        <v>6</v>
      </c>
      <c r="Z75" s="121" t="s">
        <v>6</v>
      </c>
      <c r="AA75" s="131" t="s">
        <v>61</v>
      </c>
      <c r="AB75" s="127" t="s">
        <v>61</v>
      </c>
      <c r="AC75" s="121" t="s">
        <v>6</v>
      </c>
      <c r="AD75" s="121" t="s">
        <v>61</v>
      </c>
      <c r="AE75" s="121" t="s">
        <v>61</v>
      </c>
      <c r="AF75" s="127" t="s">
        <v>61</v>
      </c>
      <c r="AG75" s="121" t="s">
        <v>61</v>
      </c>
      <c r="AH75" s="121" t="s">
        <v>61</v>
      </c>
      <c r="AI75" s="121" t="s">
        <v>6</v>
      </c>
      <c r="AJ75" s="121" t="s">
        <v>61</v>
      </c>
      <c r="AK75" s="128" t="s">
        <v>6</v>
      </c>
      <c r="AL75" s="121" t="s">
        <v>61</v>
      </c>
      <c r="AM75" s="143">
        <f>1/16</f>
        <v>6.25E-2</v>
      </c>
      <c r="AN75" s="121" t="s">
        <v>198</v>
      </c>
      <c r="AO75" s="143">
        <f>1/16</f>
        <v>6.25E-2</v>
      </c>
      <c r="AP75" s="121" t="s">
        <v>198</v>
      </c>
      <c r="AQ75" s="147" t="s">
        <v>61</v>
      </c>
      <c r="AR75" s="121" t="s">
        <v>61</v>
      </c>
      <c r="AS75" s="147" t="s">
        <v>61</v>
      </c>
      <c r="AT75" s="147" t="s">
        <v>61</v>
      </c>
      <c r="AU75" s="128" t="s">
        <v>61</v>
      </c>
      <c r="AV75" s="128" t="s">
        <v>61</v>
      </c>
      <c r="AW75" s="128" t="s">
        <v>61</v>
      </c>
      <c r="AX75" s="121" t="s">
        <v>61</v>
      </c>
      <c r="AY75" s="128" t="s">
        <v>61</v>
      </c>
      <c r="AZ75" s="121" t="s">
        <v>61</v>
      </c>
      <c r="BA75" s="128" t="s">
        <v>61</v>
      </c>
      <c r="BB75" s="121" t="s">
        <v>61</v>
      </c>
      <c r="BC75" s="121" t="s">
        <v>61</v>
      </c>
      <c r="BD75" s="121" t="s">
        <v>6</v>
      </c>
      <c r="BE75" s="126" t="s">
        <v>61</v>
      </c>
      <c r="BF75" s="121" t="s">
        <v>61</v>
      </c>
      <c r="BG75" s="128" t="s">
        <v>11</v>
      </c>
      <c r="BH75" s="128" t="s">
        <v>11</v>
      </c>
      <c r="BI75" s="128" t="s">
        <v>61</v>
      </c>
      <c r="BJ75" s="121" t="s">
        <v>61</v>
      </c>
      <c r="BK75" s="121" t="s">
        <v>61</v>
      </c>
      <c r="BL75" s="174" t="str">
        <f>IF(BK75="NA","NA",IF(BK75="Not Reported","Not Reported",IF(BK75&gt;$L$75,"Not Met","Met")))</f>
        <v>Not Reported</v>
      </c>
      <c r="BM75" s="258" t="s">
        <v>61</v>
      </c>
      <c r="BN75" s="162" t="str">
        <f>IF(BM75="NA","NA",IF(BM75="Not Reported","Not Reported",IF(BM75&gt;$L$75,"Not Met","Met")))</f>
        <v>Not Reported</v>
      </c>
      <c r="BO75" s="121" t="s">
        <v>61</v>
      </c>
      <c r="BP75" s="162" t="s">
        <v>61</v>
      </c>
      <c r="BQ75" s="128" t="s">
        <v>61</v>
      </c>
      <c r="BR75" s="162" t="s">
        <v>61</v>
      </c>
      <c r="BS75" s="26" t="s">
        <v>61</v>
      </c>
      <c r="BT75" s="162" t="str">
        <f>IF(BS75="NA","NA",IF(BS75="Not Reported","Not Reported",IF(BS75&gt;$L$75,"Not Met","Met")))</f>
        <v>Not Reported</v>
      </c>
      <c r="BU75" s="315" t="s">
        <v>61</v>
      </c>
      <c r="BV75" s="162" t="str">
        <f>IF(BU75="NA","NA",IF(BU75="Not Reported","Not Reported",IF(BU75&gt;$L$75,"Not Met","Met")))</f>
        <v>Not Reported</v>
      </c>
    </row>
    <row r="76" spans="1:74" x14ac:dyDescent="0.2">
      <c r="A76" s="121">
        <v>75</v>
      </c>
      <c r="B76" s="123" t="s">
        <v>452</v>
      </c>
      <c r="C76" s="122" t="s">
        <v>903</v>
      </c>
      <c r="D76" s="123" t="s">
        <v>113</v>
      </c>
      <c r="E76" s="123" t="s">
        <v>899</v>
      </c>
      <c r="F76" s="123" t="s">
        <v>190</v>
      </c>
      <c r="G76" s="174" t="s">
        <v>273</v>
      </c>
      <c r="H76" s="122" t="s">
        <v>192</v>
      </c>
      <c r="I76" s="124" t="s">
        <v>284</v>
      </c>
      <c r="J76" s="124" t="s">
        <v>285</v>
      </c>
      <c r="K76" s="145" t="s">
        <v>284</v>
      </c>
      <c r="L76" s="128">
        <v>0.75</v>
      </c>
      <c r="M76" s="128">
        <v>0.75</v>
      </c>
      <c r="N76" s="145" t="s">
        <v>287</v>
      </c>
      <c r="O76" s="145" t="s">
        <v>288</v>
      </c>
      <c r="P76" s="122" t="s">
        <v>207</v>
      </c>
      <c r="Q76" s="146">
        <v>0.85</v>
      </c>
      <c r="R76" s="121" t="s">
        <v>198</v>
      </c>
      <c r="S76" s="126">
        <v>0.9</v>
      </c>
      <c r="T76" s="121" t="s">
        <v>198</v>
      </c>
      <c r="U76" s="126">
        <v>0.79</v>
      </c>
      <c r="V76" s="121" t="s">
        <v>198</v>
      </c>
      <c r="W76" s="126">
        <v>0.83</v>
      </c>
      <c r="X76" s="121" t="s">
        <v>198</v>
      </c>
      <c r="Y76" s="126">
        <v>0.76</v>
      </c>
      <c r="Z76" s="121" t="s">
        <v>198</v>
      </c>
      <c r="AA76" s="126">
        <v>0.88</v>
      </c>
      <c r="AB76" s="121" t="s">
        <v>198</v>
      </c>
      <c r="AC76" s="121" t="s">
        <v>6</v>
      </c>
      <c r="AD76" s="121" t="s">
        <v>61</v>
      </c>
      <c r="AE76" s="126">
        <v>0.75</v>
      </c>
      <c r="AF76" s="121" t="s">
        <v>198</v>
      </c>
      <c r="AG76" s="142">
        <v>0.59</v>
      </c>
      <c r="AH76" s="147" t="s">
        <v>251</v>
      </c>
      <c r="AI76" s="146">
        <v>0.85</v>
      </c>
      <c r="AJ76" s="121" t="s">
        <v>198</v>
      </c>
      <c r="AK76" s="128" t="s">
        <v>6</v>
      </c>
      <c r="AL76" s="121" t="s">
        <v>61</v>
      </c>
      <c r="AM76" s="146">
        <v>0.91</v>
      </c>
      <c r="AN76" s="121" t="s">
        <v>198</v>
      </c>
      <c r="AO76" s="146">
        <v>1</v>
      </c>
      <c r="AP76" s="121" t="s">
        <v>198</v>
      </c>
      <c r="AQ76" s="147" t="s">
        <v>61</v>
      </c>
      <c r="AR76" s="121" t="s">
        <v>61</v>
      </c>
      <c r="AS76" s="147" t="s">
        <v>61</v>
      </c>
      <c r="AT76" s="147" t="s">
        <v>61</v>
      </c>
      <c r="AU76" s="128" t="s">
        <v>61</v>
      </c>
      <c r="AV76" s="128" t="s">
        <v>61</v>
      </c>
      <c r="AW76" s="128" t="s">
        <v>61</v>
      </c>
      <c r="AX76" s="121" t="s">
        <v>61</v>
      </c>
      <c r="AY76" s="128" t="s">
        <v>61</v>
      </c>
      <c r="AZ76" s="121" t="s">
        <v>61</v>
      </c>
      <c r="BA76" s="128" t="s">
        <v>61</v>
      </c>
      <c r="BB76" s="121" t="s">
        <v>61</v>
      </c>
      <c r="BC76" s="121" t="s">
        <v>61</v>
      </c>
      <c r="BD76" s="121" t="s">
        <v>6</v>
      </c>
      <c r="BE76" s="121" t="s">
        <v>61</v>
      </c>
      <c r="BF76" s="121" t="s">
        <v>61</v>
      </c>
      <c r="BG76" s="128" t="s">
        <v>11</v>
      </c>
      <c r="BH76" s="128" t="s">
        <v>11</v>
      </c>
      <c r="BI76" s="128" t="s">
        <v>61</v>
      </c>
      <c r="BJ76" s="121" t="s">
        <v>61</v>
      </c>
      <c r="BK76" s="121" t="s">
        <v>61</v>
      </c>
      <c r="BL76" s="128" t="str">
        <f>IF(BK76="NA","NA",IF(BK76="Not Reported","Not Reported",IF(BK76&lt;$L$76,"Not Met","Met")))</f>
        <v>Not Reported</v>
      </c>
      <c r="BM76" s="258" t="s">
        <v>61</v>
      </c>
      <c r="BN76" s="128" t="str">
        <f>IF(BM76="NA","NA",IF(BM76="Not Reported","Not Reported",IF(BM76&lt;$L$76,"Not Met","Met")))</f>
        <v>Not Reported</v>
      </c>
      <c r="BO76" s="121" t="s">
        <v>61</v>
      </c>
      <c r="BP76" s="128" t="s">
        <v>61</v>
      </c>
      <c r="BQ76" s="128" t="s">
        <v>61</v>
      </c>
      <c r="BR76" s="128" t="s">
        <v>61</v>
      </c>
      <c r="BS76" s="26" t="s">
        <v>61</v>
      </c>
      <c r="BT76" s="128" t="str">
        <f>IF(BS76="NA","NA",IF(BS76="Not Reported","Not Reported",IF(BS76&lt;$L$76,"Not Met","Met")))</f>
        <v>Not Reported</v>
      </c>
      <c r="BU76" s="26" t="s">
        <v>61</v>
      </c>
      <c r="BV76" s="128" t="str">
        <f>IF(BU76="NA","NA",IF(BU76="Not Reported","Not Reported",IF(BU76&lt;$L$76,"Not Met","Met")))</f>
        <v>Not Reported</v>
      </c>
    </row>
    <row r="77" spans="1:74" x14ac:dyDescent="0.2">
      <c r="A77" s="121">
        <v>76</v>
      </c>
      <c r="B77" s="123" t="s">
        <v>452</v>
      </c>
      <c r="C77" s="122" t="s">
        <v>903</v>
      </c>
      <c r="D77" s="123" t="s">
        <v>113</v>
      </c>
      <c r="E77" s="123" t="s">
        <v>899</v>
      </c>
      <c r="F77" s="123" t="s">
        <v>190</v>
      </c>
      <c r="G77" s="174" t="s">
        <v>273</v>
      </c>
      <c r="H77" s="122" t="s">
        <v>192</v>
      </c>
      <c r="I77" s="123" t="s">
        <v>296</v>
      </c>
      <c r="J77" s="123" t="s">
        <v>296</v>
      </c>
      <c r="K77" s="145" t="s">
        <v>296</v>
      </c>
      <c r="L77" s="128">
        <v>0.9</v>
      </c>
      <c r="M77" s="128">
        <v>0.9</v>
      </c>
      <c r="N77" s="145" t="s">
        <v>297</v>
      </c>
      <c r="O77" s="145" t="s">
        <v>298</v>
      </c>
      <c r="P77" s="122" t="s">
        <v>207</v>
      </c>
      <c r="Q77" s="128">
        <v>1.1363636363636365</v>
      </c>
      <c r="R77" s="121" t="s">
        <v>198</v>
      </c>
      <c r="S77" s="126">
        <v>0.92</v>
      </c>
      <c r="T77" s="121" t="s">
        <v>198</v>
      </c>
      <c r="U77" s="126">
        <v>0.5</v>
      </c>
      <c r="V77" s="147" t="s">
        <v>251</v>
      </c>
      <c r="W77" s="126">
        <v>0.57999999999999996</v>
      </c>
      <c r="X77" s="147" t="s">
        <v>251</v>
      </c>
      <c r="Y77" s="146">
        <v>0.47</v>
      </c>
      <c r="Z77" s="121" t="s">
        <v>251</v>
      </c>
      <c r="AA77" s="131" t="s">
        <v>61</v>
      </c>
      <c r="AB77" s="127" t="s">
        <v>61</v>
      </c>
      <c r="AC77" s="121" t="s">
        <v>6</v>
      </c>
      <c r="AD77" s="121" t="s">
        <v>61</v>
      </c>
      <c r="AE77" s="121" t="s">
        <v>61</v>
      </c>
      <c r="AF77" s="127" t="s">
        <v>61</v>
      </c>
      <c r="AG77" s="146">
        <v>0.91</v>
      </c>
      <c r="AH77" s="121" t="s">
        <v>198</v>
      </c>
      <c r="AI77" s="126">
        <v>0.83</v>
      </c>
      <c r="AJ77" s="147" t="s">
        <v>251</v>
      </c>
      <c r="AK77" s="128" t="s">
        <v>6</v>
      </c>
      <c r="AL77" s="121" t="s">
        <v>61</v>
      </c>
      <c r="AM77" s="126">
        <f>3/16</f>
        <v>0.1875</v>
      </c>
      <c r="AN77" s="121" t="s">
        <v>251</v>
      </c>
      <c r="AO77" s="126">
        <v>0.08</v>
      </c>
      <c r="AP77" s="121" t="s">
        <v>251</v>
      </c>
      <c r="AQ77" s="147" t="s">
        <v>61</v>
      </c>
      <c r="AR77" s="121" t="s">
        <v>61</v>
      </c>
      <c r="AS77" s="147" t="s">
        <v>61</v>
      </c>
      <c r="AT77" s="147" t="s">
        <v>61</v>
      </c>
      <c r="AU77" s="128" t="s">
        <v>61</v>
      </c>
      <c r="AV77" s="128" t="s">
        <v>61</v>
      </c>
      <c r="AW77" s="128" t="s">
        <v>61</v>
      </c>
      <c r="AX77" s="121" t="s">
        <v>61</v>
      </c>
      <c r="AY77" s="128" t="s">
        <v>61</v>
      </c>
      <c r="AZ77" s="121" t="s">
        <v>61</v>
      </c>
      <c r="BA77" s="128" t="s">
        <v>61</v>
      </c>
      <c r="BB77" s="121" t="s">
        <v>61</v>
      </c>
      <c r="BC77" s="126">
        <v>0.13</v>
      </c>
      <c r="BD77" s="121" t="s">
        <v>251</v>
      </c>
      <c r="BE77" s="126">
        <v>0.71</v>
      </c>
      <c r="BF77" s="121" t="s">
        <v>251</v>
      </c>
      <c r="BG77" s="128" t="s">
        <v>11</v>
      </c>
      <c r="BH77" s="128" t="s">
        <v>11</v>
      </c>
      <c r="BI77" s="128" t="s">
        <v>61</v>
      </c>
      <c r="BJ77" s="121" t="s">
        <v>61</v>
      </c>
      <c r="BK77" s="121" t="s">
        <v>61</v>
      </c>
      <c r="BL77" s="128" t="str">
        <f>IF(BK77="NA","NA",IF(BK77="Not Reported","Not Reported",IF(BK77&lt;$L$77,"Not Met","Met")))</f>
        <v>Not Reported</v>
      </c>
      <c r="BM77" s="258" t="s">
        <v>61</v>
      </c>
      <c r="BN77" s="128" t="str">
        <f>IF(BM77="NA","NA",IF(BM77="Not Reported","Not Reported",IF(BM77&lt;$L$77,"Not Met","Met")))</f>
        <v>Not Reported</v>
      </c>
      <c r="BO77" s="128">
        <v>0.42</v>
      </c>
      <c r="BP77" s="128" t="s">
        <v>251</v>
      </c>
      <c r="BQ77" s="128" t="s">
        <v>61</v>
      </c>
      <c r="BR77" s="128" t="s">
        <v>61</v>
      </c>
      <c r="BS77" s="26" t="s">
        <v>61</v>
      </c>
      <c r="BT77" s="128" t="str">
        <f>IF(BS77="NA","NA",IF(BS77="Not Reported","Not Reported",IF(BS77&lt;$L$77,"Not Met","Met")))</f>
        <v>Not Reported</v>
      </c>
      <c r="BU77" s="26" t="s">
        <v>61</v>
      </c>
      <c r="BV77" s="128" t="str">
        <f>IF(BU77="NA","NA",IF(BU77="Not Reported","Not Reported",IF(BU77&lt;$L$77,"Not Met","Met")))</f>
        <v>Not Reported</v>
      </c>
    </row>
    <row r="78" spans="1:74" customFormat="1" x14ac:dyDescent="0.25">
      <c r="A78" s="121">
        <v>77</v>
      </c>
      <c r="B78" s="122" t="s">
        <v>36</v>
      </c>
      <c r="C78" s="122" t="s">
        <v>903</v>
      </c>
      <c r="D78" s="123" t="s">
        <v>113</v>
      </c>
      <c r="E78" s="123" t="s">
        <v>899</v>
      </c>
      <c r="F78" s="123" t="s">
        <v>190</v>
      </c>
      <c r="G78" s="122" t="s">
        <v>273</v>
      </c>
      <c r="H78" s="122" t="s">
        <v>192</v>
      </c>
      <c r="I78" s="124" t="s">
        <v>274</v>
      </c>
      <c r="J78" s="124" t="s">
        <v>214</v>
      </c>
      <c r="K78" s="145" t="s">
        <v>864</v>
      </c>
      <c r="L78" s="147">
        <v>45</v>
      </c>
      <c r="M78" s="147" t="s">
        <v>868</v>
      </c>
      <c r="N78" s="145" t="s">
        <v>276</v>
      </c>
      <c r="O78" s="145" t="s">
        <v>277</v>
      </c>
      <c r="P78" s="122" t="s">
        <v>207</v>
      </c>
      <c r="Q78" s="121">
        <v>45</v>
      </c>
      <c r="R78" s="121" t="s">
        <v>198</v>
      </c>
      <c r="S78" s="121">
        <v>45</v>
      </c>
      <c r="T78" s="121" t="s">
        <v>198</v>
      </c>
      <c r="U78" s="121" t="s">
        <v>478</v>
      </c>
      <c r="V78" s="121" t="s">
        <v>198</v>
      </c>
      <c r="W78" s="121" t="s">
        <v>479</v>
      </c>
      <c r="X78" s="147" t="s">
        <v>251</v>
      </c>
      <c r="Y78" s="147" t="s">
        <v>340</v>
      </c>
      <c r="Z78" s="121" t="s">
        <v>198</v>
      </c>
      <c r="AA78" s="121" t="s">
        <v>340</v>
      </c>
      <c r="AB78" s="121" t="s">
        <v>198</v>
      </c>
      <c r="AC78" s="121" t="s">
        <v>6</v>
      </c>
      <c r="AD78" s="121" t="s">
        <v>61</v>
      </c>
      <c r="AE78" s="121">
        <v>60</v>
      </c>
      <c r="AF78" s="147" t="s">
        <v>251</v>
      </c>
      <c r="AG78" s="147" t="s">
        <v>480</v>
      </c>
      <c r="AH78" s="147" t="s">
        <v>251</v>
      </c>
      <c r="AI78" s="147" t="s">
        <v>481</v>
      </c>
      <c r="AJ78" s="147" t="s">
        <v>251</v>
      </c>
      <c r="AK78" s="147" t="s">
        <v>482</v>
      </c>
      <c r="AL78" s="147" t="s">
        <v>251</v>
      </c>
      <c r="AM78" s="147" t="s">
        <v>61</v>
      </c>
      <c r="AN78" s="121" t="s">
        <v>61</v>
      </c>
      <c r="AO78" s="147" t="s">
        <v>483</v>
      </c>
      <c r="AP78" s="121" t="s">
        <v>251</v>
      </c>
      <c r="AQ78" s="147" t="s">
        <v>484</v>
      </c>
      <c r="AR78" s="121" t="s">
        <v>251</v>
      </c>
      <c r="AS78" s="147" t="s">
        <v>481</v>
      </c>
      <c r="AT78" s="121" t="s">
        <v>251</v>
      </c>
      <c r="AU78" s="121">
        <v>73</v>
      </c>
      <c r="AV78" s="121" t="s">
        <v>251</v>
      </c>
      <c r="AW78" s="121">
        <v>54</v>
      </c>
      <c r="AX78" s="121" t="s">
        <v>251</v>
      </c>
      <c r="AY78" s="162">
        <v>63</v>
      </c>
      <c r="AZ78" s="121" t="s">
        <v>251</v>
      </c>
      <c r="BA78" s="162">
        <v>56</v>
      </c>
      <c r="BB78" s="121" t="s">
        <v>251</v>
      </c>
      <c r="BC78" s="173">
        <v>71</v>
      </c>
      <c r="BD78" s="121" t="s">
        <v>251</v>
      </c>
      <c r="BE78" s="121">
        <v>56</v>
      </c>
      <c r="BF78" s="121" t="s">
        <v>251</v>
      </c>
      <c r="BG78" s="173">
        <v>56</v>
      </c>
      <c r="BH78" s="121" t="s">
        <v>251</v>
      </c>
      <c r="BI78" s="173">
        <v>61</v>
      </c>
      <c r="BJ78" s="121" t="s">
        <v>251</v>
      </c>
      <c r="BK78" s="175">
        <v>66</v>
      </c>
      <c r="BL78" s="121" t="str">
        <f>IF(BK78="NA","NA",IF(BK78="Not Reported","Not Reported",IF(BK78&gt;$L$78,"Not Met","Met")))</f>
        <v>Not Met</v>
      </c>
      <c r="BM78" s="263">
        <v>45</v>
      </c>
      <c r="BN78" s="121" t="str">
        <f>IF(BM78="NA","NA",IF(BM78="Not Reported","Not Reported",IF(BM78&gt;$L$78,"Not Met","Met")))</f>
        <v>Met</v>
      </c>
      <c r="BO78" s="121" t="s">
        <v>61</v>
      </c>
      <c r="BP78" s="121" t="s">
        <v>61</v>
      </c>
      <c r="BQ78" s="121" t="s">
        <v>61</v>
      </c>
      <c r="BR78" s="121" t="s">
        <v>61</v>
      </c>
      <c r="BS78" s="26" t="s">
        <v>61</v>
      </c>
      <c r="BT78" s="121" t="str">
        <f>IF(BS78="NA","NA",IF(BS78="Not Reported","Not Reported",IF(BS78&gt;$L$78,"Not Met","Met")))</f>
        <v>Not Reported</v>
      </c>
      <c r="BU78" s="26" t="s">
        <v>61</v>
      </c>
      <c r="BV78" s="121" t="str">
        <f>IF(BU78="NA","NA",IF(BU78="Not Reported","Not Reported",IF(BU78&gt;$L$78,"Not Met","Met")))</f>
        <v>Not Reported</v>
      </c>
    </row>
    <row r="79" spans="1:74" customFormat="1" x14ac:dyDescent="0.25">
      <c r="A79" s="121">
        <v>78</v>
      </c>
      <c r="B79" s="122" t="s">
        <v>36</v>
      </c>
      <c r="C79" s="122" t="s">
        <v>903</v>
      </c>
      <c r="D79" s="123" t="s">
        <v>113</v>
      </c>
      <c r="E79" s="123" t="s">
        <v>899</v>
      </c>
      <c r="F79" s="123" t="s">
        <v>190</v>
      </c>
      <c r="G79" s="122" t="s">
        <v>273</v>
      </c>
      <c r="H79" s="122" t="s">
        <v>192</v>
      </c>
      <c r="I79" s="124" t="s">
        <v>274</v>
      </c>
      <c r="J79" s="124" t="s">
        <v>214</v>
      </c>
      <c r="K79" s="145" t="s">
        <v>865</v>
      </c>
      <c r="L79" s="147">
        <v>90</v>
      </c>
      <c r="M79" s="147" t="s">
        <v>869</v>
      </c>
      <c r="N79" s="145" t="s">
        <v>276</v>
      </c>
      <c r="O79" s="145" t="s">
        <v>277</v>
      </c>
      <c r="P79" s="122" t="s">
        <v>207</v>
      </c>
      <c r="Q79" s="147">
        <v>117</v>
      </c>
      <c r="R79" s="147" t="s">
        <v>366</v>
      </c>
      <c r="S79" s="147">
        <v>86</v>
      </c>
      <c r="T79" s="121" t="s">
        <v>198</v>
      </c>
      <c r="U79" s="121" t="s">
        <v>329</v>
      </c>
      <c r="V79" s="121" t="s">
        <v>198</v>
      </c>
      <c r="W79" s="121" t="s">
        <v>329</v>
      </c>
      <c r="X79" s="121" t="s">
        <v>198</v>
      </c>
      <c r="Y79" s="121" t="s">
        <v>485</v>
      </c>
      <c r="Z79" s="121" t="s">
        <v>198</v>
      </c>
      <c r="AA79" s="121" t="s">
        <v>486</v>
      </c>
      <c r="AB79" s="147" t="s">
        <v>251</v>
      </c>
      <c r="AC79" s="121" t="s">
        <v>6</v>
      </c>
      <c r="AD79" s="121" t="s">
        <v>61</v>
      </c>
      <c r="AE79" s="121">
        <v>126</v>
      </c>
      <c r="AF79" s="147" t="s">
        <v>251</v>
      </c>
      <c r="AG79" s="147" t="s">
        <v>11</v>
      </c>
      <c r="AH79" s="147" t="s">
        <v>11</v>
      </c>
      <c r="AI79" s="147" t="s">
        <v>487</v>
      </c>
      <c r="AJ79" s="121" t="s">
        <v>198</v>
      </c>
      <c r="AK79" s="147" t="s">
        <v>488</v>
      </c>
      <c r="AL79" s="147" t="s">
        <v>251</v>
      </c>
      <c r="AM79" s="147" t="s">
        <v>61</v>
      </c>
      <c r="AN79" s="121" t="s">
        <v>61</v>
      </c>
      <c r="AO79" s="147" t="s">
        <v>489</v>
      </c>
      <c r="AP79" s="121" t="s">
        <v>198</v>
      </c>
      <c r="AQ79" s="147" t="s">
        <v>490</v>
      </c>
      <c r="AR79" s="121" t="s">
        <v>198</v>
      </c>
      <c r="AS79" s="147" t="s">
        <v>491</v>
      </c>
      <c r="AT79" s="121" t="s">
        <v>198</v>
      </c>
      <c r="AU79" s="121">
        <v>108</v>
      </c>
      <c r="AV79" s="121" t="s">
        <v>251</v>
      </c>
      <c r="AW79" s="121">
        <v>59</v>
      </c>
      <c r="AX79" s="121" t="s">
        <v>198</v>
      </c>
      <c r="AY79" s="162">
        <v>114</v>
      </c>
      <c r="AZ79" s="121" t="s">
        <v>251</v>
      </c>
      <c r="BA79" s="162">
        <v>85</v>
      </c>
      <c r="BB79" s="121" t="s">
        <v>198</v>
      </c>
      <c r="BC79" s="173">
        <v>93</v>
      </c>
      <c r="BD79" s="121" t="s">
        <v>251</v>
      </c>
      <c r="BE79" s="121">
        <v>72</v>
      </c>
      <c r="BF79" s="121" t="s">
        <v>198</v>
      </c>
      <c r="BG79" s="173">
        <v>88</v>
      </c>
      <c r="BH79" s="121" t="s">
        <v>198</v>
      </c>
      <c r="BI79" s="173">
        <v>85</v>
      </c>
      <c r="BJ79" s="121" t="s">
        <v>198</v>
      </c>
      <c r="BK79" s="175">
        <v>89</v>
      </c>
      <c r="BL79" s="121" t="str">
        <f>IF(BK79="NA","NA",IF(BK79="Not Reported","Not Reported",IF(BK79&gt;$L$79,"Not Met","Met")))</f>
        <v>Met</v>
      </c>
      <c r="BM79" s="263" t="s">
        <v>11</v>
      </c>
      <c r="BN79" s="121" t="str">
        <f>IF(BM79="NA","NA",IF(BM79="Not Reported","Not Reported",IF(BM79&gt;$L$79,"Not Met","Met")))</f>
        <v>NA</v>
      </c>
      <c r="BO79" s="121" t="s">
        <v>61</v>
      </c>
      <c r="BP79" s="121" t="s">
        <v>61</v>
      </c>
      <c r="BQ79" s="121" t="s">
        <v>61</v>
      </c>
      <c r="BR79" s="121" t="s">
        <v>61</v>
      </c>
      <c r="BS79" s="26" t="s">
        <v>61</v>
      </c>
      <c r="BT79" s="121" t="str">
        <f>IF(BS79="NA","NA",IF(BS79="Not Reported","Not Reported",IF(BS79&gt;$L$79,"Not Met","Met")))</f>
        <v>Not Reported</v>
      </c>
      <c r="BU79" s="26" t="s">
        <v>61</v>
      </c>
      <c r="BV79" s="121" t="str">
        <f>IF(BU79="NA","NA",IF(BU79="Not Reported","Not Reported",IF(BU79&gt;$L$79,"Not Met","Met")))</f>
        <v>Not Reported</v>
      </c>
    </row>
    <row r="80" spans="1:74" customFormat="1" x14ac:dyDescent="0.25">
      <c r="A80" s="121">
        <v>79</v>
      </c>
      <c r="B80" s="122" t="s">
        <v>36</v>
      </c>
      <c r="C80" s="122" t="s">
        <v>903</v>
      </c>
      <c r="D80" s="123" t="s">
        <v>113</v>
      </c>
      <c r="E80" s="123" t="s">
        <v>899</v>
      </c>
      <c r="F80" s="123" t="s">
        <v>190</v>
      </c>
      <c r="G80" s="122" t="s">
        <v>273</v>
      </c>
      <c r="H80" s="122" t="s">
        <v>192</v>
      </c>
      <c r="I80" s="124" t="s">
        <v>274</v>
      </c>
      <c r="J80" s="124" t="s">
        <v>214</v>
      </c>
      <c r="K80" s="145" t="s">
        <v>866</v>
      </c>
      <c r="L80" s="147">
        <v>75</v>
      </c>
      <c r="M80" s="147" t="s">
        <v>870</v>
      </c>
      <c r="N80" s="145" t="s">
        <v>276</v>
      </c>
      <c r="O80" s="145" t="s">
        <v>277</v>
      </c>
      <c r="P80" s="122" t="s">
        <v>207</v>
      </c>
      <c r="Q80" s="121">
        <v>75</v>
      </c>
      <c r="R80" s="121" t="s">
        <v>198</v>
      </c>
      <c r="S80" s="121">
        <v>75</v>
      </c>
      <c r="T80" s="121" t="s">
        <v>198</v>
      </c>
      <c r="U80" s="121" t="s">
        <v>492</v>
      </c>
      <c r="V80" s="121" t="s">
        <v>198</v>
      </c>
      <c r="W80" s="121" t="s">
        <v>331</v>
      </c>
      <c r="X80" s="121" t="s">
        <v>198</v>
      </c>
      <c r="Y80" s="121" t="s">
        <v>493</v>
      </c>
      <c r="Z80" s="121" t="s">
        <v>251</v>
      </c>
      <c r="AA80" s="121" t="s">
        <v>11</v>
      </c>
      <c r="AB80" s="128" t="s">
        <v>11</v>
      </c>
      <c r="AC80" s="121" t="s">
        <v>6</v>
      </c>
      <c r="AD80" s="121" t="s">
        <v>61</v>
      </c>
      <c r="AE80" s="121">
        <v>128</v>
      </c>
      <c r="AF80" s="147" t="s">
        <v>251</v>
      </c>
      <c r="AG80" s="147" t="s">
        <v>494</v>
      </c>
      <c r="AH80" s="147" t="s">
        <v>251</v>
      </c>
      <c r="AI80" s="147" t="s">
        <v>323</v>
      </c>
      <c r="AJ80" s="128" t="s">
        <v>11</v>
      </c>
      <c r="AK80" s="147" t="s">
        <v>495</v>
      </c>
      <c r="AL80" s="147" t="s">
        <v>251</v>
      </c>
      <c r="AM80" s="147" t="s">
        <v>61</v>
      </c>
      <c r="AN80" s="121" t="s">
        <v>61</v>
      </c>
      <c r="AO80" s="147" t="s">
        <v>11</v>
      </c>
      <c r="AP80" s="147" t="s">
        <v>11</v>
      </c>
      <c r="AQ80" s="147" t="s">
        <v>11</v>
      </c>
      <c r="AR80" s="147" t="s">
        <v>11</v>
      </c>
      <c r="AS80" s="147" t="s">
        <v>496</v>
      </c>
      <c r="AT80" s="121" t="s">
        <v>251</v>
      </c>
      <c r="AU80" s="121">
        <v>135</v>
      </c>
      <c r="AV80" s="121" t="s">
        <v>251</v>
      </c>
      <c r="AW80" s="121">
        <v>110</v>
      </c>
      <c r="AX80" s="121" t="s">
        <v>251</v>
      </c>
      <c r="AY80" s="162">
        <v>74</v>
      </c>
      <c r="AZ80" s="121" t="s">
        <v>198</v>
      </c>
      <c r="BA80" s="162">
        <v>86</v>
      </c>
      <c r="BB80" s="121" t="s">
        <v>251</v>
      </c>
      <c r="BC80" s="173">
        <v>97</v>
      </c>
      <c r="BD80" s="121" t="s">
        <v>251</v>
      </c>
      <c r="BE80" s="121" t="s">
        <v>11</v>
      </c>
      <c r="BF80" s="121" t="s">
        <v>11</v>
      </c>
      <c r="BG80" s="173">
        <v>82</v>
      </c>
      <c r="BH80" s="121" t="s">
        <v>251</v>
      </c>
      <c r="BI80" s="173">
        <v>82</v>
      </c>
      <c r="BJ80" s="121" t="s">
        <v>251</v>
      </c>
      <c r="BK80" s="175">
        <v>76</v>
      </c>
      <c r="BL80" s="121" t="str">
        <f>IF(BK80="NA","NA",IF(BK80="Not Reported","Not Reported",IF(BK80&gt;$L$80,"Not Met","Met")))</f>
        <v>Not Met</v>
      </c>
      <c r="BM80" s="263">
        <v>68</v>
      </c>
      <c r="BN80" s="121" t="str">
        <f>IF(BM80="NA","NA",IF(BM80="Not Reported","Not Reported",IF(BM80&gt;$L$80,"Not Met","Met")))</f>
        <v>Met</v>
      </c>
      <c r="BO80" s="121" t="s">
        <v>61</v>
      </c>
      <c r="BP80" s="121" t="s">
        <v>61</v>
      </c>
      <c r="BQ80" s="121" t="s">
        <v>61</v>
      </c>
      <c r="BR80" s="121" t="s">
        <v>61</v>
      </c>
      <c r="BS80" s="26" t="s">
        <v>61</v>
      </c>
      <c r="BT80" s="121" t="str">
        <f>IF(BS80="NA","NA",IF(BS80="Not Reported","Not Reported",IF(BS80&gt;$L$80,"Not Met","Met")))</f>
        <v>Not Reported</v>
      </c>
      <c r="BU80" s="26" t="s">
        <v>61</v>
      </c>
      <c r="BV80" s="121" t="str">
        <f>IF(BU80="NA","NA",IF(BU80="Not Reported","Not Reported",IF(BU80&gt;$L$80,"Not Met","Met")))</f>
        <v>Not Reported</v>
      </c>
    </row>
    <row r="81" spans="1:74" customFormat="1" x14ac:dyDescent="0.25">
      <c r="A81" s="121">
        <v>80</v>
      </c>
      <c r="B81" s="122" t="s">
        <v>36</v>
      </c>
      <c r="C81" s="122" t="s">
        <v>903</v>
      </c>
      <c r="D81" s="123" t="s">
        <v>113</v>
      </c>
      <c r="E81" s="123" t="s">
        <v>899</v>
      </c>
      <c r="F81" s="123" t="s">
        <v>190</v>
      </c>
      <c r="G81" s="122" t="s">
        <v>273</v>
      </c>
      <c r="H81" s="122" t="s">
        <v>192</v>
      </c>
      <c r="I81" s="124" t="s">
        <v>213</v>
      </c>
      <c r="J81" s="124" t="s">
        <v>214</v>
      </c>
      <c r="K81" s="129" t="s">
        <v>859</v>
      </c>
      <c r="L81" s="147">
        <v>30</v>
      </c>
      <c r="M81" s="147" t="s">
        <v>871</v>
      </c>
      <c r="N81" s="145" t="s">
        <v>341</v>
      </c>
      <c r="O81" s="145" t="s">
        <v>342</v>
      </c>
      <c r="P81" s="122" t="s">
        <v>207</v>
      </c>
      <c r="Q81" s="121">
        <v>25</v>
      </c>
      <c r="R81" s="121" t="s">
        <v>198</v>
      </c>
      <c r="S81" s="121">
        <v>20</v>
      </c>
      <c r="T81" s="121" t="s">
        <v>198</v>
      </c>
      <c r="U81" s="121" t="s">
        <v>233</v>
      </c>
      <c r="V81" s="121" t="s">
        <v>198</v>
      </c>
      <c r="W81" s="121" t="s">
        <v>497</v>
      </c>
      <c r="X81" s="121" t="s">
        <v>198</v>
      </c>
      <c r="Y81" s="121" t="s">
        <v>498</v>
      </c>
      <c r="Z81" s="121" t="s">
        <v>198</v>
      </c>
      <c r="AA81" s="121">
        <v>23</v>
      </c>
      <c r="AB81" s="121" t="s">
        <v>198</v>
      </c>
      <c r="AC81" s="121" t="s">
        <v>6</v>
      </c>
      <c r="AD81" s="121" t="s">
        <v>61</v>
      </c>
      <c r="AE81" s="121">
        <v>17</v>
      </c>
      <c r="AF81" s="121" t="s">
        <v>198</v>
      </c>
      <c r="AG81" s="121" t="s">
        <v>457</v>
      </c>
      <c r="AH81" s="121" t="s">
        <v>198</v>
      </c>
      <c r="AI81" s="121" t="s">
        <v>446</v>
      </c>
      <c r="AJ81" s="121" t="s">
        <v>198</v>
      </c>
      <c r="AK81" s="121" t="s">
        <v>497</v>
      </c>
      <c r="AL81" s="121" t="s">
        <v>198</v>
      </c>
      <c r="AM81" s="147" t="s">
        <v>61</v>
      </c>
      <c r="AN81" s="121" t="s">
        <v>61</v>
      </c>
      <c r="AO81" s="147" t="s">
        <v>220</v>
      </c>
      <c r="AP81" s="121" t="s">
        <v>198</v>
      </c>
      <c r="AQ81" s="147" t="s">
        <v>447</v>
      </c>
      <c r="AR81" s="121" t="s">
        <v>198</v>
      </c>
      <c r="AS81" s="147" t="s">
        <v>499</v>
      </c>
      <c r="AT81" s="121" t="s">
        <v>198</v>
      </c>
      <c r="AU81" s="121">
        <v>32</v>
      </c>
      <c r="AV81" s="121" t="s">
        <v>251</v>
      </c>
      <c r="AW81" s="121">
        <v>27</v>
      </c>
      <c r="AX81" s="121" t="s">
        <v>198</v>
      </c>
      <c r="AY81" s="162">
        <v>38</v>
      </c>
      <c r="AZ81" s="121" t="s">
        <v>251</v>
      </c>
      <c r="BA81" s="162">
        <v>29</v>
      </c>
      <c r="BB81" s="121" t="s">
        <v>198</v>
      </c>
      <c r="BC81" s="173">
        <v>33</v>
      </c>
      <c r="BD81" s="121" t="s">
        <v>251</v>
      </c>
      <c r="BE81" s="121">
        <v>40</v>
      </c>
      <c r="BF81" s="121" t="s">
        <v>251</v>
      </c>
      <c r="BG81" s="173">
        <v>30</v>
      </c>
      <c r="BH81" s="121" t="s">
        <v>198</v>
      </c>
      <c r="BI81" s="173">
        <v>30</v>
      </c>
      <c r="BJ81" s="121" t="s">
        <v>198</v>
      </c>
      <c r="BK81" s="175">
        <v>31</v>
      </c>
      <c r="BL81" s="121" t="str">
        <f>IF(BK81="NA","NA",IF(BK81="Not Reported","Not Reported",IF(BK81&gt;$L$81,"Not Met","Met")))</f>
        <v>Not Met</v>
      </c>
      <c r="BM81" s="263">
        <v>24</v>
      </c>
      <c r="BN81" s="121" t="str">
        <f>IF(BM81="NA","NA",IF(BM81="Not Reported","Not Reported",IF(BM81&gt;$L$81,"Not Met","Met")))</f>
        <v>Met</v>
      </c>
      <c r="BO81" s="121" t="s">
        <v>61</v>
      </c>
      <c r="BP81" s="121" t="s">
        <v>61</v>
      </c>
      <c r="BQ81" s="121" t="s">
        <v>61</v>
      </c>
      <c r="BR81" s="121" t="s">
        <v>61</v>
      </c>
      <c r="BS81" s="26" t="s">
        <v>61</v>
      </c>
      <c r="BT81" s="121" t="str">
        <f>IF(BS81="NA","NA",IF(BS81="Not Reported","Not Reported",IF(BS81&gt;$L$81,"Not Met","Met")))</f>
        <v>Not Reported</v>
      </c>
      <c r="BU81" s="26" t="s">
        <v>61</v>
      </c>
      <c r="BV81" s="121" t="str">
        <f>IF(BU81="NA","NA",IF(BU81="Not Reported","Not Reported",IF(BU81&gt;$L$81,"Not Met","Met")))</f>
        <v>Not Reported</v>
      </c>
    </row>
    <row r="82" spans="1:74" customFormat="1" x14ac:dyDescent="0.25">
      <c r="A82" s="121">
        <v>81</v>
      </c>
      <c r="B82" s="122" t="s">
        <v>36</v>
      </c>
      <c r="C82" s="122" t="s">
        <v>903</v>
      </c>
      <c r="D82" s="123" t="s">
        <v>113</v>
      </c>
      <c r="E82" s="123" t="s">
        <v>899</v>
      </c>
      <c r="F82" s="123" t="s">
        <v>190</v>
      </c>
      <c r="G82" s="122" t="s">
        <v>273</v>
      </c>
      <c r="H82" s="122" t="s">
        <v>192</v>
      </c>
      <c r="I82" s="124" t="s">
        <v>213</v>
      </c>
      <c r="J82" s="124" t="s">
        <v>214</v>
      </c>
      <c r="K82" s="129" t="s">
        <v>860</v>
      </c>
      <c r="L82" s="147">
        <v>45</v>
      </c>
      <c r="M82" s="147" t="s">
        <v>872</v>
      </c>
      <c r="N82" s="145" t="s">
        <v>341</v>
      </c>
      <c r="O82" s="145" t="s">
        <v>342</v>
      </c>
      <c r="P82" s="122" t="s">
        <v>207</v>
      </c>
      <c r="Q82" s="121">
        <v>36</v>
      </c>
      <c r="R82" s="121" t="s">
        <v>198</v>
      </c>
      <c r="S82" s="121">
        <v>35</v>
      </c>
      <c r="T82" s="121" t="s">
        <v>198</v>
      </c>
      <c r="U82" s="121" t="s">
        <v>500</v>
      </c>
      <c r="V82" s="121" t="s">
        <v>198</v>
      </c>
      <c r="W82" s="121" t="s">
        <v>492</v>
      </c>
      <c r="X82" s="121" t="s">
        <v>198</v>
      </c>
      <c r="Y82" s="121" t="s">
        <v>362</v>
      </c>
      <c r="Z82" s="121" t="s">
        <v>198</v>
      </c>
      <c r="AA82" s="121" t="s">
        <v>11</v>
      </c>
      <c r="AB82" s="128" t="s">
        <v>11</v>
      </c>
      <c r="AC82" s="121" t="s">
        <v>6</v>
      </c>
      <c r="AD82" s="121" t="s">
        <v>61</v>
      </c>
      <c r="AE82" s="121" t="s">
        <v>11</v>
      </c>
      <c r="AF82" s="128" t="s">
        <v>11</v>
      </c>
      <c r="AG82" s="128" t="s">
        <v>11</v>
      </c>
      <c r="AH82" s="128" t="s">
        <v>11</v>
      </c>
      <c r="AI82" s="128" t="s">
        <v>471</v>
      </c>
      <c r="AJ82" s="121" t="s">
        <v>198</v>
      </c>
      <c r="AK82" s="128" t="s">
        <v>471</v>
      </c>
      <c r="AL82" s="121" t="s">
        <v>198</v>
      </c>
      <c r="AM82" s="147" t="s">
        <v>61</v>
      </c>
      <c r="AN82" s="121" t="s">
        <v>61</v>
      </c>
      <c r="AO82" s="147" t="s">
        <v>438</v>
      </c>
      <c r="AP82" s="121" t="s">
        <v>198</v>
      </c>
      <c r="AQ82" s="147" t="s">
        <v>501</v>
      </c>
      <c r="AR82" s="121" t="s">
        <v>198</v>
      </c>
      <c r="AS82" s="147" t="s">
        <v>492</v>
      </c>
      <c r="AT82" s="121" t="s">
        <v>198</v>
      </c>
      <c r="AU82" s="121">
        <v>48</v>
      </c>
      <c r="AV82" s="121" t="s">
        <v>251</v>
      </c>
      <c r="AW82" s="121">
        <v>42</v>
      </c>
      <c r="AX82" s="121" t="s">
        <v>198</v>
      </c>
      <c r="AY82" s="162">
        <v>45</v>
      </c>
      <c r="AZ82" s="121" t="s">
        <v>198</v>
      </c>
      <c r="BA82" s="162">
        <v>43</v>
      </c>
      <c r="BB82" s="121" t="s">
        <v>198</v>
      </c>
      <c r="BC82" s="173">
        <v>54</v>
      </c>
      <c r="BD82" s="121" t="s">
        <v>251</v>
      </c>
      <c r="BE82" s="176">
        <v>34</v>
      </c>
      <c r="BF82" s="121" t="s">
        <v>198</v>
      </c>
      <c r="BG82" s="173">
        <v>40</v>
      </c>
      <c r="BH82" s="121" t="s">
        <v>198</v>
      </c>
      <c r="BI82" s="173">
        <v>33</v>
      </c>
      <c r="BJ82" s="121" t="s">
        <v>198</v>
      </c>
      <c r="BK82" s="175">
        <v>45</v>
      </c>
      <c r="BL82" s="121" t="str">
        <f>IF(BK82="NA","NA",IF(BK82="Not Reported","Not Reported",IF(BK82&gt;$L$82,"Not Met","Met")))</f>
        <v>Met</v>
      </c>
      <c r="BM82" s="89">
        <v>57</v>
      </c>
      <c r="BN82" s="121" t="str">
        <f>IF(BM82="NA","NA",IF(BM82="Not Reported","Not Reported",IF(BM82&gt;$L$82,"Not Met","Met")))</f>
        <v>Not Met</v>
      </c>
      <c r="BO82" s="121" t="s">
        <v>61</v>
      </c>
      <c r="BP82" s="121" t="s">
        <v>61</v>
      </c>
      <c r="BQ82" s="121" t="s">
        <v>61</v>
      </c>
      <c r="BR82" s="121" t="s">
        <v>61</v>
      </c>
      <c r="BS82" s="26" t="s">
        <v>61</v>
      </c>
      <c r="BT82" s="121" t="str">
        <f>IF(BS82="NA","NA",IF(BS82="Not Reported","Not Reported",IF(BS82&gt;$L$82,"Not Met","Met")))</f>
        <v>Not Reported</v>
      </c>
      <c r="BU82" s="26" t="s">
        <v>61</v>
      </c>
      <c r="BV82" s="121" t="str">
        <f>IF(BU82="NA","NA",IF(BU82="Not Reported","Not Reported",IF(BU82&gt;$L$82,"Not Met","Met")))</f>
        <v>Not Reported</v>
      </c>
    </row>
    <row r="83" spans="1:74" customFormat="1" x14ac:dyDescent="0.25">
      <c r="A83" s="121">
        <v>82</v>
      </c>
      <c r="B83" s="122" t="s">
        <v>36</v>
      </c>
      <c r="C83" s="122" t="s">
        <v>903</v>
      </c>
      <c r="D83" s="123" t="s">
        <v>113</v>
      </c>
      <c r="E83" s="123" t="s">
        <v>899</v>
      </c>
      <c r="F83" s="123" t="s">
        <v>190</v>
      </c>
      <c r="G83" s="122" t="s">
        <v>273</v>
      </c>
      <c r="H83" s="122" t="s">
        <v>192</v>
      </c>
      <c r="I83" s="124" t="s">
        <v>213</v>
      </c>
      <c r="J83" s="124" t="s">
        <v>214</v>
      </c>
      <c r="K83" s="129" t="s">
        <v>861</v>
      </c>
      <c r="L83" s="147">
        <v>45</v>
      </c>
      <c r="M83" s="147" t="s">
        <v>873</v>
      </c>
      <c r="N83" s="145" t="s">
        <v>341</v>
      </c>
      <c r="O83" s="145" t="s">
        <v>342</v>
      </c>
      <c r="P83" s="122" t="s">
        <v>207</v>
      </c>
      <c r="Q83" s="121">
        <v>33</v>
      </c>
      <c r="R83" s="121" t="s">
        <v>198</v>
      </c>
      <c r="S83" s="121">
        <v>28</v>
      </c>
      <c r="T83" s="121" t="s">
        <v>198</v>
      </c>
      <c r="U83" s="121" t="s">
        <v>470</v>
      </c>
      <c r="V83" s="121" t="s">
        <v>198</v>
      </c>
      <c r="W83" s="121" t="s">
        <v>502</v>
      </c>
      <c r="X83" s="147" t="s">
        <v>251</v>
      </c>
      <c r="Y83" s="147" t="s">
        <v>348</v>
      </c>
      <c r="Z83" s="121" t="s">
        <v>198</v>
      </c>
      <c r="AA83" s="121" t="s">
        <v>11</v>
      </c>
      <c r="AB83" s="128" t="s">
        <v>11</v>
      </c>
      <c r="AC83" s="121" t="s">
        <v>6</v>
      </c>
      <c r="AD83" s="121" t="s">
        <v>61</v>
      </c>
      <c r="AE83" s="121" t="s">
        <v>11</v>
      </c>
      <c r="AF83" s="128" t="s">
        <v>11</v>
      </c>
      <c r="AG83" s="128" t="s">
        <v>11</v>
      </c>
      <c r="AH83" s="128" t="s">
        <v>11</v>
      </c>
      <c r="AI83" s="128" t="s">
        <v>323</v>
      </c>
      <c r="AJ83" s="128" t="s">
        <v>11</v>
      </c>
      <c r="AK83" s="128" t="s">
        <v>323</v>
      </c>
      <c r="AL83" s="128" t="s">
        <v>11</v>
      </c>
      <c r="AM83" s="147" t="s">
        <v>61</v>
      </c>
      <c r="AN83" s="121" t="s">
        <v>61</v>
      </c>
      <c r="AO83" s="147" t="s">
        <v>11</v>
      </c>
      <c r="AP83" s="121" t="s">
        <v>11</v>
      </c>
      <c r="AQ83" s="147" t="s">
        <v>503</v>
      </c>
      <c r="AR83" s="121" t="s">
        <v>251</v>
      </c>
      <c r="AS83" s="147" t="s">
        <v>503</v>
      </c>
      <c r="AT83" s="121" t="s">
        <v>251</v>
      </c>
      <c r="AU83" s="121">
        <v>56</v>
      </c>
      <c r="AV83" s="121" t="s">
        <v>251</v>
      </c>
      <c r="AW83" s="121">
        <v>33</v>
      </c>
      <c r="AX83" s="121" t="s">
        <v>198</v>
      </c>
      <c r="AY83" s="162">
        <v>13</v>
      </c>
      <c r="AZ83" s="121" t="s">
        <v>198</v>
      </c>
      <c r="BA83" s="162">
        <v>32</v>
      </c>
      <c r="BB83" s="121" t="s">
        <v>198</v>
      </c>
      <c r="BC83" s="173">
        <v>96</v>
      </c>
      <c r="BD83" s="121" t="s">
        <v>251</v>
      </c>
      <c r="BE83" s="173">
        <v>36</v>
      </c>
      <c r="BF83" s="121" t="s">
        <v>198</v>
      </c>
      <c r="BG83" s="173">
        <v>30</v>
      </c>
      <c r="BH83" s="121" t="s">
        <v>198</v>
      </c>
      <c r="BI83" s="173">
        <v>24</v>
      </c>
      <c r="BJ83" s="121" t="s">
        <v>198</v>
      </c>
      <c r="BK83" s="175">
        <v>38</v>
      </c>
      <c r="BL83" s="121" t="str">
        <f>IF(BK83="NA","NA",IF(BK83="Not Reported","Not Reported",IF(BK83&gt;$L$83,"Not Met","Met")))</f>
        <v>Met</v>
      </c>
      <c r="BM83" s="263">
        <v>42</v>
      </c>
      <c r="BN83" s="121" t="str">
        <f>IF(BM83="NA","NA",IF(BM83="Not Reported","Not Reported",IF(BM83&gt;$L$83,"Not Met","Met")))</f>
        <v>Met</v>
      </c>
      <c r="BO83" s="121" t="s">
        <v>61</v>
      </c>
      <c r="BP83" s="121" t="s">
        <v>61</v>
      </c>
      <c r="BQ83" s="121" t="s">
        <v>61</v>
      </c>
      <c r="BR83" s="121" t="s">
        <v>61</v>
      </c>
      <c r="BS83" s="26" t="s">
        <v>61</v>
      </c>
      <c r="BT83" s="121" t="str">
        <f>IF(BS83="NA","NA",IF(BS83="Not Reported","Not Reported",IF(BS83&gt;$L$83,"Not Met","Met")))</f>
        <v>Not Reported</v>
      </c>
      <c r="BU83" s="26" t="s">
        <v>61</v>
      </c>
      <c r="BV83" s="121" t="str">
        <f>IF(BU83="NA","NA",IF(BU83="Not Reported","Not Reported",IF(BU83&gt;$L$83,"Not Met","Met")))</f>
        <v>Not Reported</v>
      </c>
    </row>
    <row r="84" spans="1:74" x14ac:dyDescent="0.2">
      <c r="A84" s="121">
        <v>83</v>
      </c>
      <c r="B84" s="122" t="s">
        <v>36</v>
      </c>
      <c r="C84" s="122" t="s">
        <v>903</v>
      </c>
      <c r="D84" s="123" t="s">
        <v>113</v>
      </c>
      <c r="E84" s="123" t="s">
        <v>899</v>
      </c>
      <c r="F84" s="123" t="s">
        <v>190</v>
      </c>
      <c r="G84" s="123" t="s">
        <v>191</v>
      </c>
      <c r="H84" s="122" t="s">
        <v>212</v>
      </c>
      <c r="I84" s="124" t="s">
        <v>296</v>
      </c>
      <c r="J84" s="124" t="s">
        <v>296</v>
      </c>
      <c r="K84" s="122" t="s">
        <v>350</v>
      </c>
      <c r="L84" s="146">
        <v>0.9</v>
      </c>
      <c r="M84" s="146">
        <v>0.9</v>
      </c>
      <c r="N84" s="122" t="s">
        <v>351</v>
      </c>
      <c r="O84" s="122" t="s">
        <v>352</v>
      </c>
      <c r="P84" s="122" t="s">
        <v>207</v>
      </c>
      <c r="Q84" s="126">
        <v>0.96</v>
      </c>
      <c r="R84" s="121" t="s">
        <v>198</v>
      </c>
      <c r="S84" s="121">
        <v>90</v>
      </c>
      <c r="T84" s="121" t="s">
        <v>198</v>
      </c>
      <c r="U84" s="146">
        <v>0.69</v>
      </c>
      <c r="V84" s="147" t="s">
        <v>251</v>
      </c>
      <c r="W84" s="146">
        <v>0.9</v>
      </c>
      <c r="X84" s="121" t="s">
        <v>198</v>
      </c>
      <c r="Y84" s="126">
        <v>0.93</v>
      </c>
      <c r="Z84" s="121" t="s">
        <v>198</v>
      </c>
      <c r="AA84" s="126">
        <v>0.91</v>
      </c>
      <c r="AB84" s="121" t="s">
        <v>198</v>
      </c>
      <c r="AC84" s="121" t="s">
        <v>6</v>
      </c>
      <c r="AD84" s="121" t="s">
        <v>61</v>
      </c>
      <c r="AE84" s="126">
        <v>0.93</v>
      </c>
      <c r="AF84" s="121" t="s">
        <v>198</v>
      </c>
      <c r="AG84" s="126">
        <v>0.93</v>
      </c>
      <c r="AH84" s="121" t="s">
        <v>198</v>
      </c>
      <c r="AI84" s="126">
        <v>0.91</v>
      </c>
      <c r="AJ84" s="121" t="s">
        <v>198</v>
      </c>
      <c r="AK84" s="126">
        <v>0.93</v>
      </c>
      <c r="AL84" s="121" t="s">
        <v>198</v>
      </c>
      <c r="AM84" s="147" t="s">
        <v>61</v>
      </c>
      <c r="AN84" s="121" t="s">
        <v>61</v>
      </c>
      <c r="AO84" s="146">
        <v>0.9</v>
      </c>
      <c r="AP84" s="121" t="s">
        <v>198</v>
      </c>
      <c r="AQ84" s="146">
        <v>0.9</v>
      </c>
      <c r="AR84" s="121" t="s">
        <v>198</v>
      </c>
      <c r="AS84" s="146">
        <v>0.92</v>
      </c>
      <c r="AT84" s="121" t="s">
        <v>198</v>
      </c>
      <c r="AU84" s="126">
        <v>0.91</v>
      </c>
      <c r="AV84" s="121" t="s">
        <v>198</v>
      </c>
      <c r="AW84" s="126">
        <v>0.92</v>
      </c>
      <c r="AX84" s="121" t="s">
        <v>198</v>
      </c>
      <c r="AY84" s="177">
        <f>42/57</f>
        <v>0.73684210526315785</v>
      </c>
      <c r="AZ84" s="121" t="s">
        <v>251</v>
      </c>
      <c r="BA84" s="177">
        <f>116/138</f>
        <v>0.84057971014492749</v>
      </c>
      <c r="BB84" s="121" t="s">
        <v>251</v>
      </c>
      <c r="BC84" s="178">
        <v>0.63</v>
      </c>
      <c r="BD84" s="121" t="s">
        <v>251</v>
      </c>
      <c r="BE84" s="177">
        <f>32/53</f>
        <v>0.60377358490566035</v>
      </c>
      <c r="BF84" s="121" t="s">
        <v>251</v>
      </c>
      <c r="BG84" s="178">
        <v>0.91</v>
      </c>
      <c r="BH84" s="121" t="s">
        <v>198</v>
      </c>
      <c r="BI84" s="178">
        <v>1</v>
      </c>
      <c r="BJ84" s="121" t="s">
        <v>198</v>
      </c>
      <c r="BK84" s="179">
        <v>0.36</v>
      </c>
      <c r="BL84" s="128" t="str">
        <f>IF(BK84="NA","NA",IF(BK84="Not Reported","Not Reported",IF(BK84&lt;$L$84,"Not Met","Met")))</f>
        <v>Not Met</v>
      </c>
      <c r="BM84" s="264">
        <v>0.35</v>
      </c>
      <c r="BN84" s="128" t="str">
        <f>IF(BM84="NA","NA",IF(BM84="Not Reported","Not Reported",IF(BM84&lt;$L$84,"Not Met","Met")))</f>
        <v>Not Met</v>
      </c>
      <c r="BO84" s="121" t="s">
        <v>61</v>
      </c>
      <c r="BP84" s="128" t="s">
        <v>61</v>
      </c>
      <c r="BQ84" s="121" t="s">
        <v>61</v>
      </c>
      <c r="BR84" s="128" t="s">
        <v>61</v>
      </c>
      <c r="BS84" s="26" t="s">
        <v>61</v>
      </c>
      <c r="BT84" s="128" t="str">
        <f>IF(BS84="NA","NA",IF(BS84="Not Reported","Not Reported",IF(BS84&lt;$L$84,"Not Met","Met")))</f>
        <v>Not Reported</v>
      </c>
      <c r="BU84" s="26" t="s">
        <v>61</v>
      </c>
      <c r="BV84" s="128" t="str">
        <f>IF(BU84="NA","NA",IF(BU84="Not Reported","Not Reported",IF(BU84&lt;$L$84,"Not Met","Met")))</f>
        <v>Not Reported</v>
      </c>
    </row>
    <row r="85" spans="1:74" x14ac:dyDescent="0.2">
      <c r="A85" s="121">
        <v>84</v>
      </c>
      <c r="B85" s="122" t="s">
        <v>36</v>
      </c>
      <c r="C85" s="122" t="s">
        <v>903</v>
      </c>
      <c r="D85" s="123" t="s">
        <v>113</v>
      </c>
      <c r="E85" s="123" t="s">
        <v>899</v>
      </c>
      <c r="F85" s="123" t="s">
        <v>190</v>
      </c>
      <c r="G85" s="123" t="s">
        <v>191</v>
      </c>
      <c r="H85" s="122" t="s">
        <v>212</v>
      </c>
      <c r="I85" s="124" t="s">
        <v>313</v>
      </c>
      <c r="J85" s="124" t="s">
        <v>313</v>
      </c>
      <c r="K85" s="122" t="s">
        <v>354</v>
      </c>
      <c r="L85" s="147">
        <v>0.9</v>
      </c>
      <c r="M85" s="146">
        <v>0.9</v>
      </c>
      <c r="N85" s="122" t="s">
        <v>504</v>
      </c>
      <c r="O85" s="122" t="s">
        <v>355</v>
      </c>
      <c r="P85" s="122" t="s">
        <v>207</v>
      </c>
      <c r="Q85" s="146">
        <v>0.98</v>
      </c>
      <c r="R85" s="121" t="s">
        <v>198</v>
      </c>
      <c r="S85" s="126">
        <v>0.98</v>
      </c>
      <c r="T85" s="121" t="s">
        <v>198</v>
      </c>
      <c r="U85" s="126">
        <v>0.98</v>
      </c>
      <c r="V85" s="121" t="s">
        <v>198</v>
      </c>
      <c r="W85" s="126">
        <v>0.93</v>
      </c>
      <c r="X85" s="121" t="s">
        <v>198</v>
      </c>
      <c r="Y85" s="126">
        <v>0.95</v>
      </c>
      <c r="Z85" s="121" t="s">
        <v>198</v>
      </c>
      <c r="AA85" s="126">
        <v>0.98</v>
      </c>
      <c r="AB85" s="121" t="s">
        <v>198</v>
      </c>
      <c r="AC85" s="121" t="s">
        <v>6</v>
      </c>
      <c r="AD85" s="121" t="s">
        <v>61</v>
      </c>
      <c r="AE85" s="126">
        <v>0.87</v>
      </c>
      <c r="AF85" s="147" t="s">
        <v>251</v>
      </c>
      <c r="AG85" s="146">
        <v>0.91</v>
      </c>
      <c r="AH85" s="121" t="s">
        <v>198</v>
      </c>
      <c r="AI85" s="126">
        <v>0.9</v>
      </c>
      <c r="AJ85" s="121" t="s">
        <v>198</v>
      </c>
      <c r="AK85" s="126">
        <v>0.89</v>
      </c>
      <c r="AL85" s="147" t="s">
        <v>251</v>
      </c>
      <c r="AM85" s="147" t="s">
        <v>61</v>
      </c>
      <c r="AN85" s="121" t="s">
        <v>61</v>
      </c>
      <c r="AO85" s="146">
        <v>0.92</v>
      </c>
      <c r="AP85" s="121" t="s">
        <v>198</v>
      </c>
      <c r="AQ85" s="146">
        <v>0.77</v>
      </c>
      <c r="AR85" s="121" t="s">
        <v>251</v>
      </c>
      <c r="AS85" s="146">
        <v>0.87</v>
      </c>
      <c r="AT85" s="121" t="s">
        <v>251</v>
      </c>
      <c r="AU85" s="126">
        <v>0.88</v>
      </c>
      <c r="AV85" s="121" t="s">
        <v>251</v>
      </c>
      <c r="AW85" s="126">
        <v>0.94</v>
      </c>
      <c r="AX85" s="121" t="s">
        <v>198</v>
      </c>
      <c r="AY85" s="177">
        <f>31/42</f>
        <v>0.73809523809523814</v>
      </c>
      <c r="AZ85" s="121" t="s">
        <v>251</v>
      </c>
      <c r="BA85" s="177">
        <f>105/130</f>
        <v>0.80769230769230771</v>
      </c>
      <c r="BB85" s="121" t="s">
        <v>251</v>
      </c>
      <c r="BC85" s="178">
        <v>0.7</v>
      </c>
      <c r="BD85" s="121" t="s">
        <v>251</v>
      </c>
      <c r="BE85" s="177">
        <f>8/32</f>
        <v>0.25</v>
      </c>
      <c r="BF85" s="121" t="s">
        <v>251</v>
      </c>
      <c r="BG85" s="178">
        <v>0.5</v>
      </c>
      <c r="BH85" s="121" t="s">
        <v>251</v>
      </c>
      <c r="BI85" s="178">
        <v>0.55000000000000004</v>
      </c>
      <c r="BJ85" s="121" t="s">
        <v>251</v>
      </c>
      <c r="BK85" s="179">
        <v>0.73</v>
      </c>
      <c r="BL85" s="121" t="str">
        <f>IF(BK85="NA","NA",IF(BK85="Not Reported","Not Reported",IF(BK85&gt;$L$15,"Not Met","Met")))</f>
        <v>Met</v>
      </c>
      <c r="BM85" s="264">
        <v>0.96</v>
      </c>
      <c r="BN85" s="128" t="str">
        <f>IF(BM85="NA","NA",IF(BM85="Not Reported","Not Reported",IF(BM85&lt;$L$85,"Not Met","Met")))</f>
        <v>Met</v>
      </c>
      <c r="BO85" s="121" t="s">
        <v>61</v>
      </c>
      <c r="BP85" s="128" t="s">
        <v>61</v>
      </c>
      <c r="BQ85" s="121" t="s">
        <v>61</v>
      </c>
      <c r="BR85" s="128" t="s">
        <v>61</v>
      </c>
      <c r="BS85" s="26" t="s">
        <v>61</v>
      </c>
      <c r="BT85" s="128" t="str">
        <f>IF(BS85="NA","NA",IF(BS85="Not Reported","Not Reported",IF(BS85&lt;$L$85,"Not Met","Met")))</f>
        <v>Not Reported</v>
      </c>
      <c r="BU85" s="26" t="s">
        <v>61</v>
      </c>
      <c r="BV85" s="128" t="str">
        <f>IF(BU85="NA","NA",IF(BU85="Not Reported","Not Reported",IF(BU85&lt;$L$85,"Not Met","Met")))</f>
        <v>Not Reported</v>
      </c>
    </row>
    <row r="86" spans="1:74" x14ac:dyDescent="0.2">
      <c r="A86" s="121">
        <v>85</v>
      </c>
      <c r="B86" s="122" t="s">
        <v>36</v>
      </c>
      <c r="C86" s="122" t="s">
        <v>903</v>
      </c>
      <c r="D86" s="123" t="s">
        <v>113</v>
      </c>
      <c r="E86" s="123" t="s">
        <v>899</v>
      </c>
      <c r="F86" s="123" t="s">
        <v>190</v>
      </c>
      <c r="G86" s="122" t="s">
        <v>273</v>
      </c>
      <c r="H86" s="122" t="s">
        <v>192</v>
      </c>
      <c r="I86" s="124" t="s">
        <v>289</v>
      </c>
      <c r="J86" s="124" t="s">
        <v>285</v>
      </c>
      <c r="K86" s="145" t="s">
        <v>289</v>
      </c>
      <c r="L86" s="146">
        <v>0.2</v>
      </c>
      <c r="M86" s="146">
        <v>0.2</v>
      </c>
      <c r="N86" s="145" t="s">
        <v>290</v>
      </c>
      <c r="O86" s="145" t="s">
        <v>291</v>
      </c>
      <c r="P86" s="122" t="s">
        <v>207</v>
      </c>
      <c r="Q86" s="146">
        <v>0.24</v>
      </c>
      <c r="R86" s="121" t="s">
        <v>198</v>
      </c>
      <c r="S86" s="126">
        <v>0.23</v>
      </c>
      <c r="T86" s="121" t="s">
        <v>198</v>
      </c>
      <c r="U86" s="126">
        <v>0.21</v>
      </c>
      <c r="V86" s="121" t="s">
        <v>198</v>
      </c>
      <c r="W86" s="143">
        <v>0.22</v>
      </c>
      <c r="X86" s="121" t="s">
        <v>198</v>
      </c>
      <c r="Y86" s="126">
        <v>0.22</v>
      </c>
      <c r="Z86" s="121" t="s">
        <v>198</v>
      </c>
      <c r="AA86" s="143">
        <v>0.24</v>
      </c>
      <c r="AB86" s="121" t="s">
        <v>198</v>
      </c>
      <c r="AC86" s="121" t="s">
        <v>6</v>
      </c>
      <c r="AD86" s="121" t="s">
        <v>61</v>
      </c>
      <c r="AE86" s="126">
        <v>0.23</v>
      </c>
      <c r="AF86" s="121" t="s">
        <v>198</v>
      </c>
      <c r="AG86" s="126">
        <v>0.21</v>
      </c>
      <c r="AH86" s="121" t="s">
        <v>198</v>
      </c>
      <c r="AI86" s="126">
        <v>0.23</v>
      </c>
      <c r="AJ86" s="121" t="s">
        <v>198</v>
      </c>
      <c r="AK86" s="126">
        <v>0.22</v>
      </c>
      <c r="AL86" s="121" t="s">
        <v>198</v>
      </c>
      <c r="AM86" s="147" t="s">
        <v>61</v>
      </c>
      <c r="AN86" s="121" t="s">
        <v>61</v>
      </c>
      <c r="AO86" s="146">
        <v>0.22</v>
      </c>
      <c r="AP86" s="121" t="s">
        <v>198</v>
      </c>
      <c r="AQ86" s="146">
        <v>0.25</v>
      </c>
      <c r="AR86" s="121" t="s">
        <v>198</v>
      </c>
      <c r="AS86" s="146">
        <v>0.23</v>
      </c>
      <c r="AT86" s="121" t="s">
        <v>198</v>
      </c>
      <c r="AU86" s="126">
        <v>0.27</v>
      </c>
      <c r="AV86" s="121" t="s">
        <v>198</v>
      </c>
      <c r="AW86" s="126">
        <v>0.26</v>
      </c>
      <c r="AX86" s="121" t="s">
        <v>198</v>
      </c>
      <c r="AY86" s="178">
        <v>0.2</v>
      </c>
      <c r="AZ86" s="121" t="s">
        <v>198</v>
      </c>
      <c r="BA86" s="178">
        <v>0.24</v>
      </c>
      <c r="BB86" s="121" t="s">
        <v>198</v>
      </c>
      <c r="BC86" s="178">
        <v>0.18</v>
      </c>
      <c r="BD86" s="121" t="s">
        <v>251</v>
      </c>
      <c r="BE86" s="178">
        <v>0.16</v>
      </c>
      <c r="BF86" s="121" t="s">
        <v>251</v>
      </c>
      <c r="BG86" s="178">
        <v>0.16</v>
      </c>
      <c r="BH86" s="121" t="s">
        <v>251</v>
      </c>
      <c r="BI86" s="178">
        <v>0.16</v>
      </c>
      <c r="BJ86" s="121" t="s">
        <v>251</v>
      </c>
      <c r="BK86" s="179">
        <v>0.18</v>
      </c>
      <c r="BL86" s="128" t="str">
        <f>IF(BK86="NA","NA",IF(BK86="Not Reported","Not Reported",IF(BK86&lt;$L$86,"Not Met","Met")))</f>
        <v>Not Met</v>
      </c>
      <c r="BM86" s="264">
        <v>0.14000000000000001</v>
      </c>
      <c r="BN86" s="128" t="str">
        <f>IF(BM86="NA","NA",IF(BM86="Not Reported","Not Reported",IF(BM86&lt;$L$86,"Not Met","Met")))</f>
        <v>Not Met</v>
      </c>
      <c r="BO86" s="121" t="s">
        <v>61</v>
      </c>
      <c r="BP86" s="128" t="s">
        <v>61</v>
      </c>
      <c r="BQ86" s="121" t="s">
        <v>61</v>
      </c>
      <c r="BR86" s="128" t="s">
        <v>61</v>
      </c>
      <c r="BS86" s="26" t="s">
        <v>61</v>
      </c>
      <c r="BT86" s="128" t="str">
        <f>IF(BS86="NA","NA",IF(BS86="Not Reported","Not Reported",IF(BS86&lt;$L$86,"Not Met","Met")))</f>
        <v>Not Reported</v>
      </c>
      <c r="BU86" s="26" t="s">
        <v>61</v>
      </c>
      <c r="BV86" s="128" t="str">
        <f>IF(BU86="NA","NA",IF(BU86="Not Reported","Not Reported",IF(BU86&lt;$L$86,"Not Met","Met")))</f>
        <v>Not Reported</v>
      </c>
    </row>
    <row r="87" spans="1:74" x14ac:dyDescent="0.2">
      <c r="A87" s="121">
        <v>86</v>
      </c>
      <c r="B87" s="122" t="s">
        <v>36</v>
      </c>
      <c r="C87" s="122" t="s">
        <v>903</v>
      </c>
      <c r="D87" s="123" t="s">
        <v>113</v>
      </c>
      <c r="E87" s="123" t="s">
        <v>899</v>
      </c>
      <c r="F87" s="123" t="s">
        <v>190</v>
      </c>
      <c r="G87" s="122" t="s">
        <v>273</v>
      </c>
      <c r="H87" s="122" t="s">
        <v>192</v>
      </c>
      <c r="I87" s="124" t="s">
        <v>292</v>
      </c>
      <c r="J87" s="124" t="s">
        <v>293</v>
      </c>
      <c r="K87" s="122" t="s">
        <v>292</v>
      </c>
      <c r="L87" s="146">
        <v>0.1</v>
      </c>
      <c r="M87" s="147" t="s">
        <v>505</v>
      </c>
      <c r="N87" s="122" t="s">
        <v>294</v>
      </c>
      <c r="O87" s="122" t="s">
        <v>295</v>
      </c>
      <c r="P87" s="122" t="s">
        <v>207</v>
      </c>
      <c r="Q87" s="126">
        <v>0.02</v>
      </c>
      <c r="R87" s="121" t="s">
        <v>198</v>
      </c>
      <c r="S87" s="126">
        <v>0.04</v>
      </c>
      <c r="T87" s="121" t="s">
        <v>198</v>
      </c>
      <c r="U87" s="126">
        <v>7.0000000000000007E-2</v>
      </c>
      <c r="V87" s="121" t="s">
        <v>198</v>
      </c>
      <c r="W87" s="143">
        <v>0.08</v>
      </c>
      <c r="X87" s="121" t="s">
        <v>198</v>
      </c>
      <c r="Y87" s="126">
        <v>0.04</v>
      </c>
      <c r="Z87" s="121" t="s">
        <v>198</v>
      </c>
      <c r="AA87" s="143">
        <v>4.4776119402985072E-2</v>
      </c>
      <c r="AB87" s="121" t="s">
        <v>198</v>
      </c>
      <c r="AC87" s="121" t="s">
        <v>6</v>
      </c>
      <c r="AD87" s="121" t="s">
        <v>61</v>
      </c>
      <c r="AE87" s="126">
        <v>0.08</v>
      </c>
      <c r="AF87" s="121" t="s">
        <v>198</v>
      </c>
      <c r="AG87" s="126">
        <v>0.04</v>
      </c>
      <c r="AH87" s="121" t="s">
        <v>198</v>
      </c>
      <c r="AI87" s="126">
        <v>0</v>
      </c>
      <c r="AJ87" s="121" t="s">
        <v>198</v>
      </c>
      <c r="AK87" s="126">
        <v>0.04</v>
      </c>
      <c r="AL87" s="121" t="s">
        <v>198</v>
      </c>
      <c r="AM87" s="147" t="s">
        <v>61</v>
      </c>
      <c r="AN87" s="121" t="s">
        <v>61</v>
      </c>
      <c r="AO87" s="146">
        <v>0</v>
      </c>
      <c r="AP87" s="121" t="s">
        <v>198</v>
      </c>
      <c r="AQ87" s="146">
        <v>0</v>
      </c>
      <c r="AR87" s="121" t="s">
        <v>198</v>
      </c>
      <c r="AS87" s="146">
        <v>0</v>
      </c>
      <c r="AT87" s="121" t="s">
        <v>198</v>
      </c>
      <c r="AU87" s="126">
        <v>0.02</v>
      </c>
      <c r="AV87" s="121" t="s">
        <v>198</v>
      </c>
      <c r="AW87" s="126">
        <v>0</v>
      </c>
      <c r="AX87" s="121" t="s">
        <v>198</v>
      </c>
      <c r="AY87" s="178">
        <v>0.02</v>
      </c>
      <c r="AZ87" s="121" t="s">
        <v>198</v>
      </c>
      <c r="BA87" s="178">
        <v>0.03</v>
      </c>
      <c r="BB87" s="121" t="s">
        <v>198</v>
      </c>
      <c r="BC87" s="178">
        <v>0</v>
      </c>
      <c r="BD87" s="121" t="s">
        <v>198</v>
      </c>
      <c r="BE87" s="178">
        <v>0.05</v>
      </c>
      <c r="BF87" s="121" t="s">
        <v>198</v>
      </c>
      <c r="BG87" s="178">
        <v>0.04</v>
      </c>
      <c r="BH87" s="121" t="s">
        <v>198</v>
      </c>
      <c r="BI87" s="178">
        <v>0.06</v>
      </c>
      <c r="BJ87" s="121" t="s">
        <v>198</v>
      </c>
      <c r="BK87" s="179">
        <v>0.1</v>
      </c>
      <c r="BL87" s="128" t="str">
        <f>IF(BK87="NA","NA",IF(BK87="Not Reported","Not Reported",IF(BK87&gt;=$L$87,"Not Met","Met")))</f>
        <v>Not Met</v>
      </c>
      <c r="BM87" s="264">
        <v>0</v>
      </c>
      <c r="BN87" s="128" t="str">
        <f>IF(BM87="NA","NA",IF(BM87="Not Reported","Not Reported",IF(BM87&gt;=$L$87,"Not Met","Met")))</f>
        <v>Met</v>
      </c>
      <c r="BO87" s="121" t="s">
        <v>61</v>
      </c>
      <c r="BP87" s="128" t="s">
        <v>61</v>
      </c>
      <c r="BQ87" s="121" t="s">
        <v>61</v>
      </c>
      <c r="BR87" s="128" t="s">
        <v>61</v>
      </c>
      <c r="BS87" s="26" t="s">
        <v>61</v>
      </c>
      <c r="BT87" s="128" t="str">
        <f>IF(BS87="NA","NA",IF(BS87="Not Reported","Not Reported",IF(BS87&gt;=$L$87,"Not Met","Met")))</f>
        <v>Not Reported</v>
      </c>
      <c r="BU87" s="26" t="s">
        <v>61</v>
      </c>
      <c r="BV87" s="128" t="str">
        <f>IF(BU87="NA","NA",IF(BU87="Not Reported","Not Reported",IF(BU87&gt;=$L$87,"Not Met","Met")))</f>
        <v>Not Reported</v>
      </c>
    </row>
    <row r="88" spans="1:74" x14ac:dyDescent="0.2">
      <c r="A88" s="121">
        <v>87</v>
      </c>
      <c r="B88" s="122" t="s">
        <v>36</v>
      </c>
      <c r="C88" s="122" t="s">
        <v>903</v>
      </c>
      <c r="D88" s="123" t="s">
        <v>113</v>
      </c>
      <c r="E88" s="123" t="s">
        <v>899</v>
      </c>
      <c r="F88" s="123" t="s">
        <v>190</v>
      </c>
      <c r="G88" s="122" t="s">
        <v>273</v>
      </c>
      <c r="H88" s="122" t="s">
        <v>192</v>
      </c>
      <c r="I88" s="124" t="s">
        <v>246</v>
      </c>
      <c r="J88" s="124" t="s">
        <v>214</v>
      </c>
      <c r="K88" s="122" t="s">
        <v>326</v>
      </c>
      <c r="L88" s="128">
        <v>0.2</v>
      </c>
      <c r="M88" s="128">
        <v>0.2</v>
      </c>
      <c r="N88" s="145" t="s">
        <v>368</v>
      </c>
      <c r="O88" s="145" t="s">
        <v>369</v>
      </c>
      <c r="P88" s="122" t="s">
        <v>207</v>
      </c>
      <c r="Q88" s="146">
        <v>0.2</v>
      </c>
      <c r="R88" s="121" t="s">
        <v>198</v>
      </c>
      <c r="S88" s="126">
        <v>0.02</v>
      </c>
      <c r="T88" s="121" t="s">
        <v>198</v>
      </c>
      <c r="U88" s="121" t="s">
        <v>6</v>
      </c>
      <c r="V88" s="121" t="s">
        <v>6</v>
      </c>
      <c r="W88" s="126">
        <v>0.27</v>
      </c>
      <c r="X88" s="147" t="s">
        <v>251</v>
      </c>
      <c r="Y88" s="146">
        <v>0.31</v>
      </c>
      <c r="Z88" s="121" t="s">
        <v>251</v>
      </c>
      <c r="AA88" s="146">
        <v>0.31</v>
      </c>
      <c r="AB88" s="147" t="s">
        <v>251</v>
      </c>
      <c r="AC88" s="121" t="s">
        <v>6</v>
      </c>
      <c r="AD88" s="121" t="s">
        <v>61</v>
      </c>
      <c r="AE88" s="126">
        <v>0.27</v>
      </c>
      <c r="AF88" s="147" t="s">
        <v>251</v>
      </c>
      <c r="AG88" s="126">
        <v>0.28999999999999998</v>
      </c>
      <c r="AH88" s="147" t="s">
        <v>251</v>
      </c>
      <c r="AI88" s="146">
        <v>0.19</v>
      </c>
      <c r="AJ88" s="121" t="s">
        <v>198</v>
      </c>
      <c r="AK88" s="146">
        <v>0.19</v>
      </c>
      <c r="AL88" s="121" t="s">
        <v>198</v>
      </c>
      <c r="AM88" s="147" t="s">
        <v>61</v>
      </c>
      <c r="AN88" s="121" t="s">
        <v>61</v>
      </c>
      <c r="AO88" s="146">
        <v>0.3</v>
      </c>
      <c r="AP88" s="121" t="s">
        <v>251</v>
      </c>
      <c r="AQ88" s="146">
        <v>0.31</v>
      </c>
      <c r="AR88" s="121" t="s">
        <v>251</v>
      </c>
      <c r="AS88" s="146">
        <v>0.3</v>
      </c>
      <c r="AT88" s="121" t="s">
        <v>251</v>
      </c>
      <c r="AU88" s="126">
        <v>0.3</v>
      </c>
      <c r="AV88" s="121" t="s">
        <v>251</v>
      </c>
      <c r="AW88" s="126">
        <v>0.22</v>
      </c>
      <c r="AX88" s="121" t="s">
        <v>251</v>
      </c>
      <c r="AY88" s="177">
        <f>18/57</f>
        <v>0.31578947368421051</v>
      </c>
      <c r="AZ88" s="121" t="s">
        <v>251</v>
      </c>
      <c r="BA88" s="177">
        <f>18/57</f>
        <v>0.31578947368421051</v>
      </c>
      <c r="BB88" s="121" t="s">
        <v>251</v>
      </c>
      <c r="BC88" s="178">
        <v>0.2</v>
      </c>
      <c r="BD88" s="121" t="s">
        <v>198</v>
      </c>
      <c r="BE88" s="178">
        <v>0.21</v>
      </c>
      <c r="BF88" s="121" t="s">
        <v>251</v>
      </c>
      <c r="BG88" s="178">
        <v>0.21</v>
      </c>
      <c r="BH88" s="121" t="s">
        <v>251</v>
      </c>
      <c r="BI88" s="178">
        <v>0.21</v>
      </c>
      <c r="BJ88" s="121" t="s">
        <v>251</v>
      </c>
      <c r="BK88" s="179">
        <v>0.22</v>
      </c>
      <c r="BL88" s="174" t="str">
        <f>IF(BK88="NA","NA",IF(BK88="Not Reported","Not Reported",IF(BK88&gt;$L$88,"Not Met","Met")))</f>
        <v>Not Met</v>
      </c>
      <c r="BM88" s="264">
        <v>0.2</v>
      </c>
      <c r="BN88" s="162" t="str">
        <f>IF(BM88="NA","NA",IF(BM88="Not Reported","Not Reported",IF(BM88&gt;$L$88,"Not Met","Met")))</f>
        <v>Met</v>
      </c>
      <c r="BO88" s="121" t="s">
        <v>61</v>
      </c>
      <c r="BP88" s="162" t="s">
        <v>61</v>
      </c>
      <c r="BQ88" s="121" t="s">
        <v>61</v>
      </c>
      <c r="BR88" s="162" t="s">
        <v>61</v>
      </c>
      <c r="BS88" s="26" t="s">
        <v>61</v>
      </c>
      <c r="BT88" s="162" t="str">
        <f>IF(BS88="NA","NA",IF(BS88="Not Reported","Not Reported",IF(BS88&gt;$L$88,"Not Met","Met")))</f>
        <v>Not Reported</v>
      </c>
      <c r="BU88" s="26" t="s">
        <v>61</v>
      </c>
      <c r="BV88" s="162" t="str">
        <f>IF(BU88="NA","NA",IF(BU88="Not Reported","Not Reported",IF(BU88&gt;$L$88,"Not Met","Met")))</f>
        <v>Not Reported</v>
      </c>
    </row>
    <row r="89" spans="1:74" x14ac:dyDescent="0.2">
      <c r="A89" s="121">
        <v>88</v>
      </c>
      <c r="B89" s="122" t="s">
        <v>36</v>
      </c>
      <c r="C89" s="122" t="s">
        <v>903</v>
      </c>
      <c r="D89" s="123" t="s">
        <v>113</v>
      </c>
      <c r="E89" s="123" t="s">
        <v>899</v>
      </c>
      <c r="F89" s="123" t="s">
        <v>190</v>
      </c>
      <c r="G89" s="122" t="s">
        <v>273</v>
      </c>
      <c r="H89" s="122" t="s">
        <v>192</v>
      </c>
      <c r="I89" s="124" t="s">
        <v>284</v>
      </c>
      <c r="J89" s="124" t="s">
        <v>285</v>
      </c>
      <c r="K89" s="145" t="s">
        <v>284</v>
      </c>
      <c r="L89" s="128">
        <v>0.75</v>
      </c>
      <c r="M89" s="128">
        <v>0.75</v>
      </c>
      <c r="N89" s="145" t="s">
        <v>287</v>
      </c>
      <c r="O89" s="145" t="s">
        <v>288</v>
      </c>
      <c r="P89" s="122" t="s">
        <v>207</v>
      </c>
      <c r="Q89" s="146">
        <v>0.79</v>
      </c>
      <c r="R89" s="121" t="s">
        <v>198</v>
      </c>
      <c r="S89" s="126">
        <v>0.73</v>
      </c>
      <c r="T89" s="147" t="s">
        <v>251</v>
      </c>
      <c r="U89" s="126">
        <v>0.83</v>
      </c>
      <c r="V89" s="121" t="s">
        <v>198</v>
      </c>
      <c r="W89" s="143">
        <v>0.77</v>
      </c>
      <c r="X89" s="121" t="s">
        <v>198</v>
      </c>
      <c r="Y89" s="126">
        <v>0.77</v>
      </c>
      <c r="Z89" s="121" t="s">
        <v>198</v>
      </c>
      <c r="AA89" s="143">
        <v>0.73</v>
      </c>
      <c r="AB89" s="147" t="s">
        <v>251</v>
      </c>
      <c r="AC89" s="121" t="s">
        <v>6</v>
      </c>
      <c r="AD89" s="121" t="s">
        <v>61</v>
      </c>
      <c r="AE89" s="126">
        <v>0.79</v>
      </c>
      <c r="AF89" s="121" t="s">
        <v>198</v>
      </c>
      <c r="AG89" s="126">
        <v>0.76</v>
      </c>
      <c r="AH89" s="121" t="s">
        <v>198</v>
      </c>
      <c r="AI89" s="126">
        <v>0.78</v>
      </c>
      <c r="AJ89" s="121" t="s">
        <v>198</v>
      </c>
      <c r="AK89" s="126">
        <v>0.78</v>
      </c>
      <c r="AL89" s="121" t="s">
        <v>198</v>
      </c>
      <c r="AM89" s="147" t="s">
        <v>61</v>
      </c>
      <c r="AN89" s="121" t="s">
        <v>61</v>
      </c>
      <c r="AO89" s="146">
        <v>0.76</v>
      </c>
      <c r="AP89" s="121" t="s">
        <v>198</v>
      </c>
      <c r="AQ89" s="146">
        <v>0.76</v>
      </c>
      <c r="AR89" s="121" t="s">
        <v>198</v>
      </c>
      <c r="AS89" s="146">
        <v>0.76</v>
      </c>
      <c r="AT89" s="121" t="s">
        <v>198</v>
      </c>
      <c r="AU89" s="126">
        <v>0.78</v>
      </c>
      <c r="AV89" s="121" t="s">
        <v>198</v>
      </c>
      <c r="AW89" s="126">
        <v>0.78</v>
      </c>
      <c r="AX89" s="121" t="s">
        <v>198</v>
      </c>
      <c r="AY89" s="178">
        <v>0.72</v>
      </c>
      <c r="AZ89" s="121" t="s">
        <v>251</v>
      </c>
      <c r="BA89" s="178">
        <v>0.76</v>
      </c>
      <c r="BB89" s="121" t="s">
        <v>198</v>
      </c>
      <c r="BC89" s="180">
        <v>0.77</v>
      </c>
      <c r="BD89" s="121" t="s">
        <v>198</v>
      </c>
      <c r="BE89" s="177">
        <f>216/249</f>
        <v>0.86746987951807231</v>
      </c>
      <c r="BF89" s="121" t="s">
        <v>198</v>
      </c>
      <c r="BG89" s="178">
        <v>0.8</v>
      </c>
      <c r="BH89" s="121" t="s">
        <v>198</v>
      </c>
      <c r="BI89" s="178">
        <v>0.81</v>
      </c>
      <c r="BJ89" s="121" t="s">
        <v>198</v>
      </c>
      <c r="BK89" s="179">
        <v>0.86</v>
      </c>
      <c r="BL89" s="128" t="str">
        <f>IF(BK89="NA","NA",IF(BK89="Not Reported","Not Reported",IF(BK89&lt;$L$89,"Not Met","Met")))</f>
        <v>Met</v>
      </c>
      <c r="BM89" s="264">
        <v>0.95</v>
      </c>
      <c r="BN89" s="128" t="str">
        <f>IF(BM89="NA","NA",IF(BM89="Not Reported","Not Reported",IF(BM89&lt;$L$89,"Not Met","Met")))</f>
        <v>Met</v>
      </c>
      <c r="BO89" s="121" t="s">
        <v>61</v>
      </c>
      <c r="BP89" s="128" t="s">
        <v>61</v>
      </c>
      <c r="BQ89" s="121" t="s">
        <v>61</v>
      </c>
      <c r="BR89" s="128" t="s">
        <v>61</v>
      </c>
      <c r="BS89" s="26" t="s">
        <v>61</v>
      </c>
      <c r="BT89" s="128" t="str">
        <f>IF(BS89="NA","NA",IF(BS89="Not Reported","Not Reported",IF(BS89&lt;$L$89,"Not Met","Met")))</f>
        <v>Not Reported</v>
      </c>
      <c r="BU89" s="26" t="s">
        <v>61</v>
      </c>
      <c r="BV89" s="128" t="str">
        <f>IF(BU89="NA","NA",IF(BU89="Not Reported","Not Reported",IF(BU89&lt;$L$89,"Not Met","Met")))</f>
        <v>Not Reported</v>
      </c>
    </row>
    <row r="90" spans="1:74" x14ac:dyDescent="0.25">
      <c r="A90" s="121">
        <v>89</v>
      </c>
      <c r="B90" s="122" t="s">
        <v>37</v>
      </c>
      <c r="C90" s="122" t="s">
        <v>903</v>
      </c>
      <c r="D90" s="123" t="s">
        <v>111</v>
      </c>
      <c r="E90" s="123" t="s">
        <v>899</v>
      </c>
      <c r="F90" s="123" t="s">
        <v>190</v>
      </c>
      <c r="G90" s="122" t="s">
        <v>273</v>
      </c>
      <c r="H90" s="122" t="s">
        <v>192</v>
      </c>
      <c r="I90" s="124" t="s">
        <v>274</v>
      </c>
      <c r="J90" s="124" t="s">
        <v>214</v>
      </c>
      <c r="K90" s="145" t="s">
        <v>274</v>
      </c>
      <c r="L90" s="147">
        <v>90</v>
      </c>
      <c r="M90" s="147" t="s">
        <v>370</v>
      </c>
      <c r="N90" s="122" t="s">
        <v>528</v>
      </c>
      <c r="O90" s="122" t="s">
        <v>528</v>
      </c>
      <c r="P90" s="122" t="s">
        <v>207</v>
      </c>
      <c r="Q90" s="127" t="s">
        <v>11</v>
      </c>
      <c r="R90" s="128" t="s">
        <v>11</v>
      </c>
      <c r="S90" s="128" t="s">
        <v>454</v>
      </c>
      <c r="T90" s="121" t="s">
        <v>198</v>
      </c>
      <c r="U90" s="121" t="s">
        <v>323</v>
      </c>
      <c r="V90" s="128" t="s">
        <v>11</v>
      </c>
      <c r="W90" s="121" t="s">
        <v>11</v>
      </c>
      <c r="X90" s="128" t="s">
        <v>11</v>
      </c>
      <c r="Y90" s="128" t="s">
        <v>323</v>
      </c>
      <c r="Z90" s="128" t="s">
        <v>323</v>
      </c>
      <c r="AA90" s="128" t="s">
        <v>323</v>
      </c>
      <c r="AB90" s="128" t="s">
        <v>11</v>
      </c>
      <c r="AC90" s="128" t="s">
        <v>323</v>
      </c>
      <c r="AD90" s="128" t="s">
        <v>323</v>
      </c>
      <c r="AE90" s="128" t="s">
        <v>323</v>
      </c>
      <c r="AF90" s="128" t="s">
        <v>11</v>
      </c>
      <c r="AG90" s="128" t="s">
        <v>323</v>
      </c>
      <c r="AH90" s="128" t="s">
        <v>11</v>
      </c>
      <c r="AI90" s="128" t="s">
        <v>323</v>
      </c>
      <c r="AJ90" s="128" t="s">
        <v>11</v>
      </c>
      <c r="AK90" s="128" t="s">
        <v>323</v>
      </c>
      <c r="AL90" s="128" t="s">
        <v>11</v>
      </c>
      <c r="AM90" s="128" t="s">
        <v>323</v>
      </c>
      <c r="AN90" s="128" t="s">
        <v>11</v>
      </c>
      <c r="AO90" s="128" t="s">
        <v>323</v>
      </c>
      <c r="AP90" s="128" t="s">
        <v>11</v>
      </c>
      <c r="AQ90" s="128" t="s">
        <v>323</v>
      </c>
      <c r="AR90" s="128" t="s">
        <v>11</v>
      </c>
      <c r="AS90" s="128" t="s">
        <v>323</v>
      </c>
      <c r="AT90" s="128" t="s">
        <v>11</v>
      </c>
      <c r="AU90" s="128" t="s">
        <v>323</v>
      </c>
      <c r="AV90" s="128" t="s">
        <v>11</v>
      </c>
      <c r="AW90" s="128" t="s">
        <v>323</v>
      </c>
      <c r="AX90" s="128" t="s">
        <v>11</v>
      </c>
      <c r="AY90" s="128" t="s">
        <v>323</v>
      </c>
      <c r="AZ90" s="128" t="s">
        <v>11</v>
      </c>
      <c r="BA90" s="128" t="s">
        <v>323</v>
      </c>
      <c r="BB90" s="128" t="s">
        <v>11</v>
      </c>
      <c r="BC90" s="127" t="s">
        <v>11</v>
      </c>
      <c r="BD90" s="128" t="s">
        <v>11</v>
      </c>
      <c r="BE90" s="127" t="s">
        <v>11</v>
      </c>
      <c r="BF90" s="128" t="s">
        <v>11</v>
      </c>
      <c r="BG90" s="127" t="s">
        <v>11</v>
      </c>
      <c r="BH90" s="128" t="s">
        <v>11</v>
      </c>
      <c r="BI90" s="127" t="s">
        <v>11</v>
      </c>
      <c r="BJ90" s="128" t="s">
        <v>11</v>
      </c>
      <c r="BK90" s="127" t="s">
        <v>11</v>
      </c>
      <c r="BL90" s="121" t="str">
        <f>IF(BK90="NA","NA",IF(BK90="Not Reported","Not Reported",IF(BK90&gt;$L$90,"Not Met","Met")))</f>
        <v>NA</v>
      </c>
      <c r="BM90" s="257" t="s">
        <v>11</v>
      </c>
      <c r="BN90" s="121" t="str">
        <f>IF(BM90="NA","NA",IF(BM90="Not Reported","Not Reported",IF(BM90&gt;$L$90,"Not Met","Met")))</f>
        <v>NA</v>
      </c>
      <c r="BO90" s="121" t="s">
        <v>11</v>
      </c>
      <c r="BP90" s="121" t="s">
        <v>11</v>
      </c>
      <c r="BQ90" s="121" t="s">
        <v>11</v>
      </c>
      <c r="BR90" s="121" t="s">
        <v>11</v>
      </c>
      <c r="BS90" s="338" t="s">
        <v>11</v>
      </c>
      <c r="BT90" s="121" t="str">
        <f>IF(BS90="NA","NA",IF(BS90="Not Reported","Not Reported",IF(BS90&gt;$L$90,"Not Met","Met")))</f>
        <v>NA</v>
      </c>
      <c r="BU90" s="338" t="s">
        <v>11</v>
      </c>
      <c r="BV90" s="121" t="str">
        <f>IF(BU90="NA","NA",IF(BU90="Not Reported","Not Reported",IF(BU90&gt;$L$90,"Not Met","Met")))</f>
        <v>NA</v>
      </c>
    </row>
    <row r="91" spans="1:74" x14ac:dyDescent="0.25">
      <c r="A91" s="121">
        <v>90</v>
      </c>
      <c r="B91" s="122" t="s">
        <v>37</v>
      </c>
      <c r="C91" s="122" t="s">
        <v>903</v>
      </c>
      <c r="D91" s="123" t="s">
        <v>111</v>
      </c>
      <c r="E91" s="123" t="s">
        <v>899</v>
      </c>
      <c r="F91" s="123" t="s">
        <v>190</v>
      </c>
      <c r="G91" s="122" t="s">
        <v>273</v>
      </c>
      <c r="H91" s="122" t="s">
        <v>192</v>
      </c>
      <c r="I91" s="124" t="s">
        <v>289</v>
      </c>
      <c r="J91" s="124" t="s">
        <v>285</v>
      </c>
      <c r="K91" s="145" t="s">
        <v>289</v>
      </c>
      <c r="L91" s="146">
        <v>0.2</v>
      </c>
      <c r="M91" s="146">
        <v>0.2</v>
      </c>
      <c r="N91" s="122" t="s">
        <v>529</v>
      </c>
      <c r="O91" s="123" t="s">
        <v>529</v>
      </c>
      <c r="P91" s="122" t="s">
        <v>207</v>
      </c>
      <c r="Q91" s="146">
        <v>0.15</v>
      </c>
      <c r="R91" s="147" t="s">
        <v>251</v>
      </c>
      <c r="S91" s="146">
        <v>0.16</v>
      </c>
      <c r="T91" s="147" t="s">
        <v>251</v>
      </c>
      <c r="U91" s="146">
        <v>0.25</v>
      </c>
      <c r="V91" s="121" t="s">
        <v>198</v>
      </c>
      <c r="W91" s="121" t="s">
        <v>11</v>
      </c>
      <c r="X91" s="128" t="s">
        <v>11</v>
      </c>
      <c r="Y91" s="128" t="s">
        <v>323</v>
      </c>
      <c r="Z91" s="128" t="s">
        <v>323</v>
      </c>
      <c r="AA91" s="128" t="s">
        <v>323</v>
      </c>
      <c r="AB91" s="128" t="s">
        <v>11</v>
      </c>
      <c r="AC91" s="128" t="s">
        <v>323</v>
      </c>
      <c r="AD91" s="128" t="s">
        <v>323</v>
      </c>
      <c r="AE91" s="128" t="s">
        <v>323</v>
      </c>
      <c r="AF91" s="128" t="s">
        <v>11</v>
      </c>
      <c r="AG91" s="128" t="s">
        <v>323</v>
      </c>
      <c r="AH91" s="128" t="s">
        <v>11</v>
      </c>
      <c r="AI91" s="128" t="s">
        <v>323</v>
      </c>
      <c r="AJ91" s="128" t="s">
        <v>11</v>
      </c>
      <c r="AK91" s="128" t="s">
        <v>323</v>
      </c>
      <c r="AL91" s="128" t="s">
        <v>11</v>
      </c>
      <c r="AM91" s="128" t="s">
        <v>323</v>
      </c>
      <c r="AN91" s="128" t="s">
        <v>11</v>
      </c>
      <c r="AO91" s="128" t="s">
        <v>323</v>
      </c>
      <c r="AP91" s="128" t="s">
        <v>11</v>
      </c>
      <c r="AQ91" s="128" t="s">
        <v>323</v>
      </c>
      <c r="AR91" s="128" t="s">
        <v>11</v>
      </c>
      <c r="AS91" s="128" t="s">
        <v>323</v>
      </c>
      <c r="AT91" s="128" t="s">
        <v>11</v>
      </c>
      <c r="AU91" s="128" t="s">
        <v>323</v>
      </c>
      <c r="AV91" s="128" t="s">
        <v>11</v>
      </c>
      <c r="AW91" s="128" t="s">
        <v>323</v>
      </c>
      <c r="AX91" s="128" t="s">
        <v>11</v>
      </c>
      <c r="AY91" s="128" t="s">
        <v>323</v>
      </c>
      <c r="AZ91" s="128" t="s">
        <v>11</v>
      </c>
      <c r="BA91" s="128" t="s">
        <v>323</v>
      </c>
      <c r="BB91" s="128" t="s">
        <v>11</v>
      </c>
      <c r="BC91" s="127" t="s">
        <v>11</v>
      </c>
      <c r="BD91" s="128" t="s">
        <v>11</v>
      </c>
      <c r="BE91" s="127" t="s">
        <v>11</v>
      </c>
      <c r="BF91" s="128" t="s">
        <v>11</v>
      </c>
      <c r="BG91" s="127" t="s">
        <v>11</v>
      </c>
      <c r="BH91" s="128" t="s">
        <v>11</v>
      </c>
      <c r="BI91" s="127" t="s">
        <v>11</v>
      </c>
      <c r="BJ91" s="128" t="s">
        <v>11</v>
      </c>
      <c r="BK91" s="127" t="s">
        <v>11</v>
      </c>
      <c r="BL91" s="128" t="str">
        <f>IF(BK91="NA","NA",IF(BK91="Not Reported","Not Reported",IF(BK91&lt;$L$91,"Not Met","Met")))</f>
        <v>NA</v>
      </c>
      <c r="BM91" s="257" t="s">
        <v>11</v>
      </c>
      <c r="BN91" s="128" t="str">
        <f>IF(BM91="NA","NA",IF(BM91="Not Reported","Not Reported",IF(BM91&lt;$L$91,"Not Met","Met")))</f>
        <v>NA</v>
      </c>
      <c r="BO91" s="121" t="s">
        <v>11</v>
      </c>
      <c r="BP91" s="128" t="s">
        <v>11</v>
      </c>
      <c r="BQ91" s="121" t="s">
        <v>11</v>
      </c>
      <c r="BR91" s="128" t="s">
        <v>11</v>
      </c>
      <c r="BS91" s="338" t="s">
        <v>11</v>
      </c>
      <c r="BT91" s="128" t="str">
        <f>IF(BS91="NA","NA",IF(BS91="Not Reported","Not Reported",IF(BS91&lt;$L$91,"Not Met","Met")))</f>
        <v>NA</v>
      </c>
      <c r="BU91" s="338" t="s">
        <v>11</v>
      </c>
      <c r="BV91" s="128" t="str">
        <f>IF(BU91="NA","NA",IF(BU91="Not Reported","Not Reported",IF(BU91&lt;$L$91,"Not Met","Met")))</f>
        <v>NA</v>
      </c>
    </row>
    <row r="92" spans="1:74" x14ac:dyDescent="0.25">
      <c r="A92" s="121">
        <v>91</v>
      </c>
      <c r="B92" s="122" t="s">
        <v>37</v>
      </c>
      <c r="C92" s="122" t="s">
        <v>903</v>
      </c>
      <c r="D92" s="123" t="s">
        <v>111</v>
      </c>
      <c r="E92" s="123" t="s">
        <v>899</v>
      </c>
      <c r="F92" s="123" t="s">
        <v>190</v>
      </c>
      <c r="G92" s="122" t="s">
        <v>273</v>
      </c>
      <c r="H92" s="122" t="s">
        <v>192</v>
      </c>
      <c r="I92" s="124" t="s">
        <v>292</v>
      </c>
      <c r="J92" s="124" t="s">
        <v>293</v>
      </c>
      <c r="K92" s="122" t="s">
        <v>292</v>
      </c>
      <c r="L92" s="146">
        <v>0.2</v>
      </c>
      <c r="M92" s="146">
        <v>0.2</v>
      </c>
      <c r="N92" s="122" t="s">
        <v>294</v>
      </c>
      <c r="O92" s="122" t="s">
        <v>295</v>
      </c>
      <c r="P92" s="122" t="s">
        <v>207</v>
      </c>
      <c r="Q92" s="127" t="s">
        <v>11</v>
      </c>
      <c r="R92" s="128" t="s">
        <v>11</v>
      </c>
      <c r="S92" s="128">
        <v>0</v>
      </c>
      <c r="T92" s="121" t="s">
        <v>198</v>
      </c>
      <c r="U92" s="126">
        <v>0</v>
      </c>
      <c r="V92" s="121" t="s">
        <v>198</v>
      </c>
      <c r="W92" s="121" t="s">
        <v>11</v>
      </c>
      <c r="X92" s="128" t="s">
        <v>11</v>
      </c>
      <c r="Y92" s="128" t="s">
        <v>323</v>
      </c>
      <c r="Z92" s="128" t="s">
        <v>323</v>
      </c>
      <c r="AA92" s="128" t="s">
        <v>323</v>
      </c>
      <c r="AB92" s="128" t="s">
        <v>11</v>
      </c>
      <c r="AC92" s="128" t="s">
        <v>323</v>
      </c>
      <c r="AD92" s="128" t="s">
        <v>323</v>
      </c>
      <c r="AE92" s="128" t="s">
        <v>323</v>
      </c>
      <c r="AF92" s="128" t="s">
        <v>11</v>
      </c>
      <c r="AG92" s="128" t="s">
        <v>323</v>
      </c>
      <c r="AH92" s="128" t="s">
        <v>11</v>
      </c>
      <c r="AI92" s="128" t="s">
        <v>323</v>
      </c>
      <c r="AJ92" s="128" t="s">
        <v>11</v>
      </c>
      <c r="AK92" s="128" t="s">
        <v>323</v>
      </c>
      <c r="AL92" s="128" t="s">
        <v>11</v>
      </c>
      <c r="AM92" s="128" t="s">
        <v>323</v>
      </c>
      <c r="AN92" s="128" t="s">
        <v>11</v>
      </c>
      <c r="AO92" s="128" t="s">
        <v>323</v>
      </c>
      <c r="AP92" s="128" t="s">
        <v>11</v>
      </c>
      <c r="AQ92" s="128" t="s">
        <v>323</v>
      </c>
      <c r="AR92" s="128" t="s">
        <v>11</v>
      </c>
      <c r="AS92" s="128" t="s">
        <v>323</v>
      </c>
      <c r="AT92" s="128" t="s">
        <v>11</v>
      </c>
      <c r="AU92" s="128" t="s">
        <v>323</v>
      </c>
      <c r="AV92" s="128" t="s">
        <v>11</v>
      </c>
      <c r="AW92" s="128" t="s">
        <v>323</v>
      </c>
      <c r="AX92" s="128" t="s">
        <v>11</v>
      </c>
      <c r="AY92" s="128" t="s">
        <v>323</v>
      </c>
      <c r="AZ92" s="128" t="s">
        <v>11</v>
      </c>
      <c r="BA92" s="128" t="s">
        <v>323</v>
      </c>
      <c r="BB92" s="128" t="s">
        <v>11</v>
      </c>
      <c r="BC92" s="127" t="s">
        <v>11</v>
      </c>
      <c r="BD92" s="128" t="s">
        <v>11</v>
      </c>
      <c r="BE92" s="127" t="s">
        <v>11</v>
      </c>
      <c r="BF92" s="128" t="s">
        <v>11</v>
      </c>
      <c r="BG92" s="127" t="s">
        <v>11</v>
      </c>
      <c r="BH92" s="128" t="s">
        <v>11</v>
      </c>
      <c r="BI92" s="127" t="s">
        <v>11</v>
      </c>
      <c r="BJ92" s="128" t="s">
        <v>11</v>
      </c>
      <c r="BK92" s="127" t="s">
        <v>11</v>
      </c>
      <c r="BL92" s="128" t="str">
        <f>IF(BK92="NA","NA",IF(BK92="Not Reported","Not Reported",IF(BK92&gt;$L$92,"Not Met","Met")))</f>
        <v>NA</v>
      </c>
      <c r="BM92" s="257" t="s">
        <v>11</v>
      </c>
      <c r="BN92" s="128" t="str">
        <f>IF(BM92="NA","NA",IF(BM92="Not Reported","Not Reported",IF(BM92&gt;$L$92,"Not Met","Met")))</f>
        <v>NA</v>
      </c>
      <c r="BO92" s="121" t="s">
        <v>11</v>
      </c>
      <c r="BP92" s="128" t="s">
        <v>11</v>
      </c>
      <c r="BQ92" s="121" t="s">
        <v>11</v>
      </c>
      <c r="BR92" s="128" t="s">
        <v>11</v>
      </c>
      <c r="BS92" s="338" t="s">
        <v>11</v>
      </c>
      <c r="BT92" s="128" t="str">
        <f>IF(BS92="NA","NA",IF(BS92="Not Reported","Not Reported",IF(BS92&gt;$L$92,"Not Met","Met")))</f>
        <v>NA</v>
      </c>
      <c r="BU92" s="338" t="s">
        <v>11</v>
      </c>
      <c r="BV92" s="128" t="str">
        <f>IF(BU92="NA","NA",IF(BU92="Not Reported","Not Reported",IF(BU92&gt;$L$92,"Not Met","Met")))</f>
        <v>NA</v>
      </c>
    </row>
    <row r="93" spans="1:74" x14ac:dyDescent="0.25">
      <c r="A93" s="121">
        <v>92</v>
      </c>
      <c r="B93" s="122" t="s">
        <v>37</v>
      </c>
      <c r="C93" s="122" t="s">
        <v>903</v>
      </c>
      <c r="D93" s="123" t="s">
        <v>111</v>
      </c>
      <c r="E93" s="123" t="s">
        <v>899</v>
      </c>
      <c r="F93" s="123" t="s">
        <v>190</v>
      </c>
      <c r="G93" s="123" t="s">
        <v>191</v>
      </c>
      <c r="H93" s="122" t="s">
        <v>192</v>
      </c>
      <c r="I93" s="124" t="s">
        <v>213</v>
      </c>
      <c r="J93" s="124" t="s">
        <v>214</v>
      </c>
      <c r="K93" s="129" t="s">
        <v>530</v>
      </c>
      <c r="L93" s="147">
        <v>45</v>
      </c>
      <c r="M93" s="147" t="s">
        <v>361</v>
      </c>
      <c r="N93" s="129" t="s">
        <v>531</v>
      </c>
      <c r="O93" s="129" t="s">
        <v>531</v>
      </c>
      <c r="P93" s="122" t="s">
        <v>207</v>
      </c>
      <c r="Q93" s="127" t="s">
        <v>11</v>
      </c>
      <c r="R93" s="128" t="s">
        <v>11</v>
      </c>
      <c r="S93" s="128" t="s">
        <v>470</v>
      </c>
      <c r="T93" s="121" t="s">
        <v>198</v>
      </c>
      <c r="U93" s="121" t="s">
        <v>222</v>
      </c>
      <c r="V93" s="121" t="s">
        <v>198</v>
      </c>
      <c r="W93" s="121" t="s">
        <v>11</v>
      </c>
      <c r="X93" s="128" t="s">
        <v>11</v>
      </c>
      <c r="Y93" s="128" t="s">
        <v>323</v>
      </c>
      <c r="Z93" s="128" t="s">
        <v>323</v>
      </c>
      <c r="AA93" s="128" t="s">
        <v>323</v>
      </c>
      <c r="AB93" s="128" t="s">
        <v>11</v>
      </c>
      <c r="AC93" s="128" t="s">
        <v>323</v>
      </c>
      <c r="AD93" s="128" t="s">
        <v>323</v>
      </c>
      <c r="AE93" s="128" t="s">
        <v>323</v>
      </c>
      <c r="AF93" s="128" t="s">
        <v>11</v>
      </c>
      <c r="AG93" s="128" t="s">
        <v>323</v>
      </c>
      <c r="AH93" s="128" t="s">
        <v>11</v>
      </c>
      <c r="AI93" s="128" t="s">
        <v>323</v>
      </c>
      <c r="AJ93" s="128" t="s">
        <v>11</v>
      </c>
      <c r="AK93" s="128" t="s">
        <v>323</v>
      </c>
      <c r="AL93" s="128" t="s">
        <v>11</v>
      </c>
      <c r="AM93" s="128" t="s">
        <v>323</v>
      </c>
      <c r="AN93" s="128" t="s">
        <v>11</v>
      </c>
      <c r="AO93" s="128" t="s">
        <v>323</v>
      </c>
      <c r="AP93" s="128" t="s">
        <v>11</v>
      </c>
      <c r="AQ93" s="128" t="s">
        <v>323</v>
      </c>
      <c r="AR93" s="128" t="s">
        <v>11</v>
      </c>
      <c r="AS93" s="128" t="s">
        <v>323</v>
      </c>
      <c r="AT93" s="128" t="s">
        <v>11</v>
      </c>
      <c r="AU93" s="128" t="s">
        <v>323</v>
      </c>
      <c r="AV93" s="128" t="s">
        <v>11</v>
      </c>
      <c r="AW93" s="128" t="s">
        <v>323</v>
      </c>
      <c r="AX93" s="128" t="s">
        <v>11</v>
      </c>
      <c r="AY93" s="128" t="s">
        <v>323</v>
      </c>
      <c r="AZ93" s="128" t="s">
        <v>11</v>
      </c>
      <c r="BA93" s="128" t="s">
        <v>323</v>
      </c>
      <c r="BB93" s="128" t="s">
        <v>11</v>
      </c>
      <c r="BC93" s="127" t="s">
        <v>11</v>
      </c>
      <c r="BD93" s="128" t="s">
        <v>11</v>
      </c>
      <c r="BE93" s="127" t="s">
        <v>11</v>
      </c>
      <c r="BF93" s="128" t="s">
        <v>11</v>
      </c>
      <c r="BG93" s="127" t="s">
        <v>11</v>
      </c>
      <c r="BH93" s="128" t="s">
        <v>11</v>
      </c>
      <c r="BI93" s="127" t="s">
        <v>11</v>
      </c>
      <c r="BJ93" s="128" t="s">
        <v>11</v>
      </c>
      <c r="BK93" s="127" t="s">
        <v>11</v>
      </c>
      <c r="BL93" s="128" t="str">
        <f>IF(BK93="NA","NA",IF(BK93="Not Reported","Not Reported",IF(BK93&gt;$L$93,"Not Met","Met")))</f>
        <v>NA</v>
      </c>
      <c r="BM93" s="257" t="s">
        <v>11</v>
      </c>
      <c r="BN93" s="128" t="str">
        <f>IF(BM93="NA","NA",IF(BM93="Not Reported","Not Reported",IF(BM93&gt;$L$93,"Not Met","Met")))</f>
        <v>NA</v>
      </c>
      <c r="BO93" s="121" t="s">
        <v>11</v>
      </c>
      <c r="BP93" s="128" t="s">
        <v>11</v>
      </c>
      <c r="BQ93" s="121" t="s">
        <v>11</v>
      </c>
      <c r="BR93" s="128" t="s">
        <v>11</v>
      </c>
      <c r="BS93" s="338" t="s">
        <v>11</v>
      </c>
      <c r="BT93" s="128" t="str">
        <f>IF(BS93="NA","NA",IF(BS93="Not Reported","Not Reported",IF(BS93&gt;$L$93,"Not Met","Met")))</f>
        <v>NA</v>
      </c>
      <c r="BU93" s="338" t="s">
        <v>11</v>
      </c>
      <c r="BV93" s="128" t="str">
        <f>IF(BU93="NA","NA",IF(BU93="Not Reported","Not Reported",IF(BU93&gt;$L$93,"Not Met","Met")))</f>
        <v>NA</v>
      </c>
    </row>
    <row r="94" spans="1:74" x14ac:dyDescent="0.25">
      <c r="A94" s="121">
        <v>93</v>
      </c>
      <c r="B94" s="122" t="s">
        <v>37</v>
      </c>
      <c r="C94" s="122" t="s">
        <v>903</v>
      </c>
      <c r="D94" s="123" t="s">
        <v>111</v>
      </c>
      <c r="E94" s="123" t="s">
        <v>899</v>
      </c>
      <c r="F94" s="123" t="s">
        <v>190</v>
      </c>
      <c r="G94" s="123" t="s">
        <v>273</v>
      </c>
      <c r="H94" s="122" t="s">
        <v>192</v>
      </c>
      <c r="I94" s="124" t="s">
        <v>284</v>
      </c>
      <c r="J94" s="124" t="s">
        <v>285</v>
      </c>
      <c r="K94" s="145" t="s">
        <v>284</v>
      </c>
      <c r="L94" s="146">
        <v>0.6</v>
      </c>
      <c r="M94" s="146">
        <v>0.6</v>
      </c>
      <c r="N94" s="129" t="s">
        <v>287</v>
      </c>
      <c r="O94" s="129" t="s">
        <v>288</v>
      </c>
      <c r="P94" s="122" t="s">
        <v>207</v>
      </c>
      <c r="Q94" s="126">
        <v>0.64</v>
      </c>
      <c r="R94" s="121" t="s">
        <v>198</v>
      </c>
      <c r="S94" s="126">
        <v>0.61</v>
      </c>
      <c r="T94" s="121" t="s">
        <v>198</v>
      </c>
      <c r="U94" s="126">
        <v>0.63</v>
      </c>
      <c r="V94" s="121" t="s">
        <v>198</v>
      </c>
      <c r="W94" s="121" t="s">
        <v>11</v>
      </c>
      <c r="X94" s="128" t="s">
        <v>11</v>
      </c>
      <c r="Y94" s="128" t="s">
        <v>323</v>
      </c>
      <c r="Z94" s="128" t="s">
        <v>323</v>
      </c>
      <c r="AA94" s="128" t="s">
        <v>323</v>
      </c>
      <c r="AB94" s="128" t="s">
        <v>11</v>
      </c>
      <c r="AC94" s="128" t="s">
        <v>323</v>
      </c>
      <c r="AD94" s="128" t="s">
        <v>323</v>
      </c>
      <c r="AE94" s="128" t="s">
        <v>323</v>
      </c>
      <c r="AF94" s="128" t="s">
        <v>11</v>
      </c>
      <c r="AG94" s="128" t="s">
        <v>323</v>
      </c>
      <c r="AH94" s="128" t="s">
        <v>11</v>
      </c>
      <c r="AI94" s="128" t="s">
        <v>323</v>
      </c>
      <c r="AJ94" s="128" t="s">
        <v>11</v>
      </c>
      <c r="AK94" s="128" t="s">
        <v>323</v>
      </c>
      <c r="AL94" s="128" t="s">
        <v>11</v>
      </c>
      <c r="AM94" s="128" t="s">
        <v>323</v>
      </c>
      <c r="AN94" s="128" t="s">
        <v>11</v>
      </c>
      <c r="AO94" s="128" t="s">
        <v>323</v>
      </c>
      <c r="AP94" s="128" t="s">
        <v>11</v>
      </c>
      <c r="AQ94" s="128" t="s">
        <v>323</v>
      </c>
      <c r="AR94" s="128" t="s">
        <v>11</v>
      </c>
      <c r="AS94" s="128" t="s">
        <v>323</v>
      </c>
      <c r="AT94" s="128" t="s">
        <v>11</v>
      </c>
      <c r="AU94" s="128" t="s">
        <v>323</v>
      </c>
      <c r="AV94" s="128" t="s">
        <v>11</v>
      </c>
      <c r="AW94" s="128" t="s">
        <v>323</v>
      </c>
      <c r="AX94" s="128" t="s">
        <v>11</v>
      </c>
      <c r="AY94" s="128" t="s">
        <v>323</v>
      </c>
      <c r="AZ94" s="128" t="s">
        <v>11</v>
      </c>
      <c r="BA94" s="128" t="s">
        <v>323</v>
      </c>
      <c r="BB94" s="128" t="s">
        <v>11</v>
      </c>
      <c r="BC94" s="127" t="s">
        <v>11</v>
      </c>
      <c r="BD94" s="128" t="s">
        <v>11</v>
      </c>
      <c r="BE94" s="127" t="s">
        <v>11</v>
      </c>
      <c r="BF94" s="128" t="s">
        <v>11</v>
      </c>
      <c r="BG94" s="127" t="s">
        <v>11</v>
      </c>
      <c r="BH94" s="128" t="s">
        <v>11</v>
      </c>
      <c r="BI94" s="127" t="s">
        <v>11</v>
      </c>
      <c r="BJ94" s="128" t="s">
        <v>11</v>
      </c>
      <c r="BK94" s="127" t="s">
        <v>11</v>
      </c>
      <c r="BL94" s="128" t="str">
        <f>IF(BK94="NA","NA",IF(BK94="Not Reported","Not Reported",IF(BK94&lt;$L$94,"Not Met","Met")))</f>
        <v>NA</v>
      </c>
      <c r="BM94" s="257" t="s">
        <v>11</v>
      </c>
      <c r="BN94" s="128" t="str">
        <f>IF(BM94="NA","NA",IF(BM94="Not Reported","Not Reported",IF(BM94&lt;$L$94,"Not Met","Met")))</f>
        <v>NA</v>
      </c>
      <c r="BO94" s="121" t="s">
        <v>11</v>
      </c>
      <c r="BP94" s="128" t="s">
        <v>11</v>
      </c>
      <c r="BQ94" s="121" t="s">
        <v>11</v>
      </c>
      <c r="BR94" s="128" t="s">
        <v>11</v>
      </c>
      <c r="BS94" s="338" t="s">
        <v>11</v>
      </c>
      <c r="BT94" s="128" t="str">
        <f>IF(BS94="NA","NA",IF(BS94="Not Reported","Not Reported",IF(BS94&lt;$L$94,"Not Met","Met")))</f>
        <v>NA</v>
      </c>
      <c r="BU94" s="338" t="s">
        <v>11</v>
      </c>
      <c r="BV94" s="128" t="str">
        <f>IF(BU94="NA","NA",IF(BU94="Not Reported","Not Reported",IF(BU94&lt;$L$94,"Not Met","Met")))</f>
        <v>NA</v>
      </c>
    </row>
    <row r="95" spans="1:74" x14ac:dyDescent="0.2">
      <c r="A95" s="121">
        <v>94</v>
      </c>
      <c r="B95" s="122" t="s">
        <v>37</v>
      </c>
      <c r="C95" s="122" t="s">
        <v>903</v>
      </c>
      <c r="D95" s="123" t="s">
        <v>111</v>
      </c>
      <c r="E95" s="123" t="s">
        <v>899</v>
      </c>
      <c r="F95" s="123" t="s">
        <v>190</v>
      </c>
      <c r="G95" s="123" t="s">
        <v>273</v>
      </c>
      <c r="H95" s="122" t="s">
        <v>192</v>
      </c>
      <c r="I95" s="124" t="s">
        <v>246</v>
      </c>
      <c r="J95" s="124" t="s">
        <v>214</v>
      </c>
      <c r="K95" s="122" t="s">
        <v>326</v>
      </c>
      <c r="L95" s="146">
        <v>0.15</v>
      </c>
      <c r="M95" s="146" t="s">
        <v>532</v>
      </c>
      <c r="N95" s="122" t="s">
        <v>327</v>
      </c>
      <c r="O95" s="122" t="s">
        <v>328</v>
      </c>
      <c r="P95" s="122" t="s">
        <v>207</v>
      </c>
      <c r="Q95" s="126">
        <v>0.12</v>
      </c>
      <c r="R95" s="121" t="s">
        <v>198</v>
      </c>
      <c r="S95" s="126">
        <v>0.33</v>
      </c>
      <c r="T95" s="147" t="s">
        <v>251</v>
      </c>
      <c r="U95" s="146">
        <v>0.4</v>
      </c>
      <c r="V95" s="147" t="s">
        <v>251</v>
      </c>
      <c r="W95" s="121" t="s">
        <v>11</v>
      </c>
      <c r="X95" s="128" t="s">
        <v>11</v>
      </c>
      <c r="Y95" s="128" t="s">
        <v>323</v>
      </c>
      <c r="Z95" s="128" t="s">
        <v>323</v>
      </c>
      <c r="AA95" s="128" t="s">
        <v>323</v>
      </c>
      <c r="AB95" s="128" t="s">
        <v>11</v>
      </c>
      <c r="AC95" s="128" t="s">
        <v>323</v>
      </c>
      <c r="AD95" s="128" t="s">
        <v>323</v>
      </c>
      <c r="AE95" s="128" t="s">
        <v>323</v>
      </c>
      <c r="AF95" s="128" t="s">
        <v>11</v>
      </c>
      <c r="AG95" s="128" t="s">
        <v>323</v>
      </c>
      <c r="AH95" s="128" t="s">
        <v>11</v>
      </c>
      <c r="AI95" s="128" t="s">
        <v>323</v>
      </c>
      <c r="AJ95" s="128" t="s">
        <v>11</v>
      </c>
      <c r="AK95" s="128" t="s">
        <v>323</v>
      </c>
      <c r="AL95" s="128" t="s">
        <v>11</v>
      </c>
      <c r="AM95" s="128" t="s">
        <v>323</v>
      </c>
      <c r="AN95" s="128" t="s">
        <v>11</v>
      </c>
      <c r="AO95" s="128" t="s">
        <v>323</v>
      </c>
      <c r="AP95" s="128" t="s">
        <v>11</v>
      </c>
      <c r="AQ95" s="128" t="s">
        <v>323</v>
      </c>
      <c r="AR95" s="128" t="s">
        <v>11</v>
      </c>
      <c r="AS95" s="128" t="s">
        <v>323</v>
      </c>
      <c r="AT95" s="128" t="s">
        <v>11</v>
      </c>
      <c r="AU95" s="128" t="s">
        <v>323</v>
      </c>
      <c r="AV95" s="128" t="s">
        <v>11</v>
      </c>
      <c r="AW95" s="128" t="s">
        <v>323</v>
      </c>
      <c r="AX95" s="128" t="s">
        <v>11</v>
      </c>
      <c r="AY95" s="128" t="s">
        <v>323</v>
      </c>
      <c r="AZ95" s="128" t="s">
        <v>11</v>
      </c>
      <c r="BA95" s="128" t="s">
        <v>323</v>
      </c>
      <c r="BB95" s="128" t="s">
        <v>11</v>
      </c>
      <c r="BC95" s="127" t="s">
        <v>11</v>
      </c>
      <c r="BD95" s="128" t="s">
        <v>11</v>
      </c>
      <c r="BE95" s="127" t="s">
        <v>11</v>
      </c>
      <c r="BF95" s="128" t="s">
        <v>11</v>
      </c>
      <c r="BG95" s="127" t="s">
        <v>11</v>
      </c>
      <c r="BH95" s="128" t="s">
        <v>11</v>
      </c>
      <c r="BI95" s="127" t="s">
        <v>11</v>
      </c>
      <c r="BJ95" s="128" t="s">
        <v>11</v>
      </c>
      <c r="BK95" s="127" t="s">
        <v>11</v>
      </c>
      <c r="BL95" s="174" t="str">
        <f>IF(BK95="NA","NA",IF(BK95="Not Reported","Not Reported",IF(BK95&gt;$L$95,"Not Met","Met")))</f>
        <v>NA</v>
      </c>
      <c r="BM95" s="257" t="s">
        <v>11</v>
      </c>
      <c r="BN95" s="162" t="str">
        <f>IF(BM95="NA","NA",IF(BM95="Not Reported","Not Reported",IF(BM95&gt;$L$95,"Not Met","Met")))</f>
        <v>NA</v>
      </c>
      <c r="BO95" s="121" t="s">
        <v>11</v>
      </c>
      <c r="BP95" s="162" t="s">
        <v>11</v>
      </c>
      <c r="BQ95" s="121" t="s">
        <v>11</v>
      </c>
      <c r="BR95" s="162" t="s">
        <v>11</v>
      </c>
      <c r="BS95" s="338" t="s">
        <v>11</v>
      </c>
      <c r="BT95" s="162" t="str">
        <f>IF(BS95="NA","NA",IF(BS95="Not Reported","Not Reported",IF(BS95&gt;$L$95,"Not Met","Met")))</f>
        <v>NA</v>
      </c>
      <c r="BU95" s="338" t="s">
        <v>11</v>
      </c>
      <c r="BV95" s="162" t="str">
        <f>IF(BU95="NA","NA",IF(BU95="Not Reported","Not Reported",IF(BU95&gt;$L$95,"Not Met","Met")))</f>
        <v>NA</v>
      </c>
    </row>
    <row r="96" spans="1:74" x14ac:dyDescent="0.25">
      <c r="A96" s="121">
        <v>95</v>
      </c>
      <c r="B96" s="122" t="s">
        <v>37</v>
      </c>
      <c r="C96" s="122" t="s">
        <v>903</v>
      </c>
      <c r="D96" s="123" t="s">
        <v>111</v>
      </c>
      <c r="E96" s="123" t="s">
        <v>899</v>
      </c>
      <c r="F96" s="123" t="s">
        <v>190</v>
      </c>
      <c r="G96" s="123" t="s">
        <v>273</v>
      </c>
      <c r="H96" s="122" t="s">
        <v>192</v>
      </c>
      <c r="I96" s="123" t="s">
        <v>296</v>
      </c>
      <c r="J96" s="123" t="s">
        <v>296</v>
      </c>
      <c r="K96" s="145" t="s">
        <v>296</v>
      </c>
      <c r="L96" s="146" t="s">
        <v>889</v>
      </c>
      <c r="M96" s="146" t="s">
        <v>533</v>
      </c>
      <c r="N96" s="129" t="s">
        <v>297</v>
      </c>
      <c r="O96" s="129" t="s">
        <v>298</v>
      </c>
      <c r="P96" s="122" t="s">
        <v>207</v>
      </c>
      <c r="Q96" s="146">
        <v>0.67</v>
      </c>
      <c r="R96" s="147" t="s">
        <v>251</v>
      </c>
      <c r="S96" s="146">
        <v>0.33</v>
      </c>
      <c r="T96" s="147" t="s">
        <v>251</v>
      </c>
      <c r="U96" s="146">
        <v>0.6</v>
      </c>
      <c r="V96" s="147" t="s">
        <v>251</v>
      </c>
      <c r="W96" s="121" t="s">
        <v>11</v>
      </c>
      <c r="X96" s="128" t="s">
        <v>11</v>
      </c>
      <c r="Y96" s="128" t="s">
        <v>323</v>
      </c>
      <c r="Z96" s="128" t="s">
        <v>323</v>
      </c>
      <c r="AA96" s="128" t="s">
        <v>323</v>
      </c>
      <c r="AB96" s="128" t="s">
        <v>11</v>
      </c>
      <c r="AC96" s="128" t="s">
        <v>323</v>
      </c>
      <c r="AD96" s="128" t="s">
        <v>323</v>
      </c>
      <c r="AE96" s="128" t="s">
        <v>323</v>
      </c>
      <c r="AF96" s="128" t="s">
        <v>11</v>
      </c>
      <c r="AG96" s="128" t="s">
        <v>323</v>
      </c>
      <c r="AH96" s="128" t="s">
        <v>11</v>
      </c>
      <c r="AI96" s="128" t="s">
        <v>323</v>
      </c>
      <c r="AJ96" s="128" t="s">
        <v>11</v>
      </c>
      <c r="AK96" s="128" t="s">
        <v>323</v>
      </c>
      <c r="AL96" s="128" t="s">
        <v>11</v>
      </c>
      <c r="AM96" s="128" t="s">
        <v>323</v>
      </c>
      <c r="AN96" s="128" t="s">
        <v>11</v>
      </c>
      <c r="AO96" s="128" t="s">
        <v>323</v>
      </c>
      <c r="AP96" s="128" t="s">
        <v>11</v>
      </c>
      <c r="AQ96" s="128" t="s">
        <v>323</v>
      </c>
      <c r="AR96" s="128" t="s">
        <v>11</v>
      </c>
      <c r="AS96" s="128" t="s">
        <v>323</v>
      </c>
      <c r="AT96" s="128" t="s">
        <v>11</v>
      </c>
      <c r="AU96" s="128" t="s">
        <v>323</v>
      </c>
      <c r="AV96" s="128" t="s">
        <v>11</v>
      </c>
      <c r="AW96" s="128" t="s">
        <v>323</v>
      </c>
      <c r="AX96" s="128" t="s">
        <v>11</v>
      </c>
      <c r="AY96" s="128" t="s">
        <v>323</v>
      </c>
      <c r="AZ96" s="128" t="s">
        <v>11</v>
      </c>
      <c r="BA96" s="128" t="s">
        <v>323</v>
      </c>
      <c r="BB96" s="128" t="s">
        <v>11</v>
      </c>
      <c r="BC96" s="127" t="s">
        <v>11</v>
      </c>
      <c r="BD96" s="128" t="s">
        <v>11</v>
      </c>
      <c r="BE96" s="127" t="s">
        <v>11</v>
      </c>
      <c r="BF96" s="128" t="s">
        <v>11</v>
      </c>
      <c r="BG96" s="127" t="s">
        <v>11</v>
      </c>
      <c r="BH96" s="128" t="s">
        <v>11</v>
      </c>
      <c r="BI96" s="127" t="s">
        <v>11</v>
      </c>
      <c r="BJ96" s="128" t="s">
        <v>11</v>
      </c>
      <c r="BK96" s="127" t="s">
        <v>11</v>
      </c>
      <c r="BL96" s="128" t="str">
        <f>IF(BK96="NA","NA",IF(BK96="Not Reported","Not Reported",IF(BK96&lt;$L$96,"Not Met","Met")))</f>
        <v>NA</v>
      </c>
      <c r="BM96" s="257" t="s">
        <v>11</v>
      </c>
      <c r="BN96" s="128" t="str">
        <f>IF(BM96="NA","NA",IF(BM96="Not Reported","Not Reported",IF(BM96&lt;$L$96,"Not Met","Met")))</f>
        <v>NA</v>
      </c>
      <c r="BO96" s="121" t="s">
        <v>11</v>
      </c>
      <c r="BP96" s="128" t="s">
        <v>11</v>
      </c>
      <c r="BQ96" s="121" t="s">
        <v>11</v>
      </c>
      <c r="BR96" s="128" t="s">
        <v>11</v>
      </c>
      <c r="BS96" s="338" t="s">
        <v>11</v>
      </c>
      <c r="BT96" s="128" t="str">
        <f>IF(BS96="NA","NA",IF(BS96="Not Reported","Not Reported",IF(BS96&lt;$L$96,"Not Met","Met")))</f>
        <v>NA</v>
      </c>
      <c r="BU96" s="338" t="s">
        <v>11</v>
      </c>
      <c r="BV96" s="128" t="str">
        <f>IF(BU96="NA","NA",IF(BU96="Not Reported","Not Reported",IF(BU96&lt;$L$96,"Not Met","Met")))</f>
        <v>NA</v>
      </c>
    </row>
    <row r="97" spans="1:74" x14ac:dyDescent="0.2">
      <c r="A97" s="121">
        <v>96</v>
      </c>
      <c r="B97" s="122" t="s">
        <v>5</v>
      </c>
      <c r="C97" s="122" t="s">
        <v>901</v>
      </c>
      <c r="D97" s="123" t="s">
        <v>102</v>
      </c>
      <c r="E97" s="123" t="s">
        <v>900</v>
      </c>
      <c r="F97" s="123" t="s">
        <v>190</v>
      </c>
      <c r="G97" s="123" t="s">
        <v>191</v>
      </c>
      <c r="H97" s="122" t="s">
        <v>212</v>
      </c>
      <c r="I97" s="124" t="s">
        <v>296</v>
      </c>
      <c r="J97" s="124" t="s">
        <v>296</v>
      </c>
      <c r="K97" s="122" t="s">
        <v>350</v>
      </c>
      <c r="L97" s="146">
        <v>0.9</v>
      </c>
      <c r="M97" s="146">
        <v>0.9</v>
      </c>
      <c r="N97" s="122" t="s">
        <v>351</v>
      </c>
      <c r="O97" s="122" t="s">
        <v>352</v>
      </c>
      <c r="P97" s="122" t="s">
        <v>207</v>
      </c>
      <c r="Q97" s="178">
        <v>1.37</v>
      </c>
      <c r="R97" s="121" t="s">
        <v>198</v>
      </c>
      <c r="S97" s="142">
        <v>1.38</v>
      </c>
      <c r="T97" s="121" t="s">
        <v>198</v>
      </c>
      <c r="U97" s="142">
        <v>1.25</v>
      </c>
      <c r="V97" s="121" t="s">
        <v>198</v>
      </c>
      <c r="W97" s="131" t="s">
        <v>61</v>
      </c>
      <c r="X97" s="131" t="s">
        <v>61</v>
      </c>
      <c r="Y97" s="131" t="s">
        <v>61</v>
      </c>
      <c r="Z97" s="131" t="s">
        <v>61</v>
      </c>
      <c r="AA97" s="131" t="s">
        <v>61</v>
      </c>
      <c r="AB97" s="127" t="s">
        <v>61</v>
      </c>
      <c r="AC97" s="131" t="s">
        <v>61</v>
      </c>
      <c r="AD97" s="121" t="s">
        <v>61</v>
      </c>
      <c r="AE97" s="131" t="s">
        <v>61</v>
      </c>
      <c r="AF97" s="127" t="s">
        <v>61</v>
      </c>
      <c r="AG97" s="131" t="s">
        <v>61</v>
      </c>
      <c r="AH97" s="127" t="s">
        <v>61</v>
      </c>
      <c r="AI97" s="131" t="s">
        <v>61</v>
      </c>
      <c r="AJ97" s="121" t="s">
        <v>61</v>
      </c>
      <c r="AK97" s="131" t="s">
        <v>61</v>
      </c>
      <c r="AL97" s="121" t="s">
        <v>61</v>
      </c>
      <c r="AM97" s="121" t="s">
        <v>61</v>
      </c>
      <c r="AN97" s="121" t="s">
        <v>61</v>
      </c>
      <c r="AO97" s="121" t="s">
        <v>61</v>
      </c>
      <c r="AP97" s="121" t="s">
        <v>61</v>
      </c>
      <c r="AQ97" s="121" t="s">
        <v>61</v>
      </c>
      <c r="AR97" s="121" t="s">
        <v>61</v>
      </c>
      <c r="AS97" s="121" t="s">
        <v>61</v>
      </c>
      <c r="AT97" s="121" t="s">
        <v>61</v>
      </c>
      <c r="AU97" s="121" t="s">
        <v>61</v>
      </c>
      <c r="AV97" s="121" t="s">
        <v>61</v>
      </c>
      <c r="AW97" s="121" t="s">
        <v>61</v>
      </c>
      <c r="AX97" s="121" t="s">
        <v>61</v>
      </c>
      <c r="AY97" s="121" t="s">
        <v>61</v>
      </c>
      <c r="AZ97" s="121" t="s">
        <v>61</v>
      </c>
      <c r="BA97" s="121" t="s">
        <v>61</v>
      </c>
      <c r="BB97" s="121" t="s">
        <v>61</v>
      </c>
      <c r="BC97" s="121" t="s">
        <v>61</v>
      </c>
      <c r="BD97" s="121" t="s">
        <v>6</v>
      </c>
      <c r="BE97" s="121" t="s">
        <v>61</v>
      </c>
      <c r="BF97" s="121" t="s">
        <v>61</v>
      </c>
      <c r="BG97" s="121" t="s">
        <v>61</v>
      </c>
      <c r="BH97" s="121" t="s">
        <v>61</v>
      </c>
      <c r="BI97" s="121" t="s">
        <v>61</v>
      </c>
      <c r="BJ97" s="121" t="s">
        <v>61</v>
      </c>
      <c r="BK97" s="121" t="s">
        <v>61</v>
      </c>
      <c r="BL97" s="128" t="str">
        <f>IF(BK97="NA","NA",IF(BK97="Not Reported","Not Reported",IF(BK97&lt;$L$97,"Not Met","Met")))</f>
        <v>Not Reported</v>
      </c>
      <c r="BM97" s="128" t="s">
        <v>61</v>
      </c>
      <c r="BN97" s="128" t="str">
        <f>IF(BM97="NA","NA",IF(BM97="Not Reported","Not Reported",IF(BM97&lt;$L$97,"Not Met","Met")))</f>
        <v>Not Reported</v>
      </c>
      <c r="BO97" s="128" t="s">
        <v>61</v>
      </c>
      <c r="BP97" s="128" t="s">
        <v>61</v>
      </c>
      <c r="BQ97" s="128" t="s">
        <v>61</v>
      </c>
      <c r="BR97" s="128" t="s">
        <v>61</v>
      </c>
      <c r="BS97" s="315">
        <v>0.63</v>
      </c>
      <c r="BT97" s="128" t="str">
        <f>IF(BS97="NA","NA",IF(BS97="Not Reported","Not Reported",IF(BS97&lt;$L$97,"Not Met","Met")))</f>
        <v>Not Met</v>
      </c>
      <c r="BU97" s="315">
        <v>0.99</v>
      </c>
      <c r="BV97" s="128" t="str">
        <f>IF(BU97="NA","NA",IF(BU97="Not Reported","Not Reported",IF(BU97&lt;$L$97,"Not Met","Met")))</f>
        <v>Met</v>
      </c>
    </row>
    <row r="98" spans="1:74" x14ac:dyDescent="0.25">
      <c r="A98" s="121">
        <v>97</v>
      </c>
      <c r="B98" s="122" t="s">
        <v>5</v>
      </c>
      <c r="C98" s="122" t="s">
        <v>901</v>
      </c>
      <c r="D98" s="123" t="s">
        <v>102</v>
      </c>
      <c r="E98" s="123" t="s">
        <v>900</v>
      </c>
      <c r="F98" s="123" t="s">
        <v>190</v>
      </c>
      <c r="G98" s="123" t="s">
        <v>191</v>
      </c>
      <c r="H98" s="122" t="s">
        <v>212</v>
      </c>
      <c r="I98" s="122" t="s">
        <v>354</v>
      </c>
      <c r="J98" s="124" t="s">
        <v>313</v>
      </c>
      <c r="K98" s="122" t="s">
        <v>354</v>
      </c>
      <c r="L98" s="147">
        <v>0.9</v>
      </c>
      <c r="M98" s="146">
        <v>0.9</v>
      </c>
      <c r="N98" s="122" t="s">
        <v>504</v>
      </c>
      <c r="O98" s="122" t="s">
        <v>355</v>
      </c>
      <c r="P98" s="122" t="s">
        <v>207</v>
      </c>
      <c r="Q98" s="142">
        <v>0.46</v>
      </c>
      <c r="R98" s="121" t="s">
        <v>251</v>
      </c>
      <c r="S98" s="142">
        <v>0.45</v>
      </c>
      <c r="T98" s="147" t="s">
        <v>251</v>
      </c>
      <c r="U98" s="142">
        <v>0.7</v>
      </c>
      <c r="V98" s="147" t="s">
        <v>251</v>
      </c>
      <c r="W98" s="131" t="s">
        <v>61</v>
      </c>
      <c r="X98" s="131" t="s">
        <v>61</v>
      </c>
      <c r="Y98" s="131" t="s">
        <v>61</v>
      </c>
      <c r="Z98" s="131" t="s">
        <v>61</v>
      </c>
      <c r="AA98" s="131" t="s">
        <v>61</v>
      </c>
      <c r="AB98" s="127" t="s">
        <v>61</v>
      </c>
      <c r="AC98" s="131" t="s">
        <v>61</v>
      </c>
      <c r="AD98" s="121" t="s">
        <v>61</v>
      </c>
      <c r="AE98" s="131" t="s">
        <v>61</v>
      </c>
      <c r="AF98" s="127" t="s">
        <v>61</v>
      </c>
      <c r="AG98" s="131" t="s">
        <v>61</v>
      </c>
      <c r="AH98" s="127" t="s">
        <v>61</v>
      </c>
      <c r="AI98" s="131" t="s">
        <v>61</v>
      </c>
      <c r="AJ98" s="121" t="s">
        <v>61</v>
      </c>
      <c r="AK98" s="131" t="s">
        <v>61</v>
      </c>
      <c r="AL98" s="121" t="s">
        <v>61</v>
      </c>
      <c r="AM98" s="121" t="s">
        <v>61</v>
      </c>
      <c r="AN98" s="121" t="s">
        <v>61</v>
      </c>
      <c r="AO98" s="121" t="s">
        <v>61</v>
      </c>
      <c r="AP98" s="121" t="s">
        <v>61</v>
      </c>
      <c r="AQ98" s="121" t="s">
        <v>61</v>
      </c>
      <c r="AR98" s="121" t="s">
        <v>61</v>
      </c>
      <c r="AS98" s="121" t="s">
        <v>61</v>
      </c>
      <c r="AT98" s="121" t="s">
        <v>61</v>
      </c>
      <c r="AU98" s="121" t="s">
        <v>61</v>
      </c>
      <c r="AV98" s="121" t="s">
        <v>61</v>
      </c>
      <c r="AW98" s="121" t="s">
        <v>61</v>
      </c>
      <c r="AX98" s="121" t="s">
        <v>61</v>
      </c>
      <c r="AY98" s="121" t="s">
        <v>61</v>
      </c>
      <c r="AZ98" s="121" t="s">
        <v>61</v>
      </c>
      <c r="BA98" s="121" t="s">
        <v>61</v>
      </c>
      <c r="BB98" s="121" t="s">
        <v>61</v>
      </c>
      <c r="BC98" s="121" t="s">
        <v>61</v>
      </c>
      <c r="BD98" s="121" t="s">
        <v>6</v>
      </c>
      <c r="BE98" s="121" t="s">
        <v>61</v>
      </c>
      <c r="BF98" s="121" t="s">
        <v>61</v>
      </c>
      <c r="BG98" s="121" t="s">
        <v>61</v>
      </c>
      <c r="BH98" s="121" t="s">
        <v>61</v>
      </c>
      <c r="BI98" s="121" t="s">
        <v>61</v>
      </c>
      <c r="BJ98" s="121" t="s">
        <v>61</v>
      </c>
      <c r="BK98" s="121" t="s">
        <v>61</v>
      </c>
      <c r="BL98" s="121" t="str">
        <f>IF(BK98="NA","NA",IF(BK98="Not Reported","Not Reported",IF(BK98&gt;$L$15,"Not Met","Met")))</f>
        <v>Not Reported</v>
      </c>
      <c r="BM98" s="128" t="s">
        <v>61</v>
      </c>
      <c r="BN98" s="128" t="str">
        <f>IF(BM98="NA","NA",IF(BM98="Not Reported","Not Reported",IF(BM98&lt;$L$98,"Not Met","Met")))</f>
        <v>Not Reported</v>
      </c>
      <c r="BO98" s="128" t="s">
        <v>61</v>
      </c>
      <c r="BP98" s="128" t="s">
        <v>61</v>
      </c>
      <c r="BQ98" s="128" t="s">
        <v>61</v>
      </c>
      <c r="BR98" s="128" t="s">
        <v>61</v>
      </c>
      <c r="BS98" s="315">
        <v>0.6</v>
      </c>
      <c r="BT98" s="128" t="str">
        <f>IF(BS98="NA","NA",IF(BS98="Not Reported","Not Reported",IF(BS98&lt;$L$98,"Not Met","Met")))</f>
        <v>Not Met</v>
      </c>
      <c r="BU98" s="315">
        <v>0.66</v>
      </c>
      <c r="BV98" s="128" t="str">
        <f>IF(BU98="NA","NA",IF(BU98="Not Reported","Not Reported",IF(BU98&lt;$L$98,"Not Met","Met")))</f>
        <v>Not Met</v>
      </c>
    </row>
    <row r="99" spans="1:74" x14ac:dyDescent="0.25">
      <c r="A99" s="121">
        <v>98</v>
      </c>
      <c r="B99" s="122" t="s">
        <v>5</v>
      </c>
      <c r="C99" s="122" t="s">
        <v>901</v>
      </c>
      <c r="D99" s="123" t="s">
        <v>102</v>
      </c>
      <c r="E99" s="123" t="s">
        <v>900</v>
      </c>
      <c r="F99" s="123" t="s">
        <v>190</v>
      </c>
      <c r="G99" s="122" t="s">
        <v>273</v>
      </c>
      <c r="H99" s="122" t="s">
        <v>192</v>
      </c>
      <c r="I99" s="124" t="s">
        <v>274</v>
      </c>
      <c r="J99" s="124" t="s">
        <v>214</v>
      </c>
      <c r="K99" s="145" t="s">
        <v>274</v>
      </c>
      <c r="L99" s="147">
        <v>135</v>
      </c>
      <c r="M99" s="146" t="s">
        <v>875</v>
      </c>
      <c r="N99" s="122" t="s">
        <v>276</v>
      </c>
      <c r="O99" s="122" t="s">
        <v>277</v>
      </c>
      <c r="P99" s="122" t="s">
        <v>207</v>
      </c>
      <c r="Q99" s="147" t="s">
        <v>534</v>
      </c>
      <c r="R99" s="121" t="s">
        <v>198</v>
      </c>
      <c r="S99" s="147" t="s">
        <v>535</v>
      </c>
      <c r="T99" s="121" t="s">
        <v>198</v>
      </c>
      <c r="U99" s="147" t="s">
        <v>536</v>
      </c>
      <c r="V99" s="121" t="s">
        <v>198</v>
      </c>
      <c r="W99" s="131" t="s">
        <v>61</v>
      </c>
      <c r="X99" s="131" t="s">
        <v>61</v>
      </c>
      <c r="Y99" s="131" t="s">
        <v>61</v>
      </c>
      <c r="Z99" s="131" t="s">
        <v>61</v>
      </c>
      <c r="AA99" s="131" t="s">
        <v>61</v>
      </c>
      <c r="AB99" s="127" t="s">
        <v>61</v>
      </c>
      <c r="AC99" s="131" t="s">
        <v>61</v>
      </c>
      <c r="AD99" s="121" t="s">
        <v>61</v>
      </c>
      <c r="AE99" s="131" t="s">
        <v>61</v>
      </c>
      <c r="AF99" s="127" t="s">
        <v>61</v>
      </c>
      <c r="AG99" s="131" t="s">
        <v>61</v>
      </c>
      <c r="AH99" s="127" t="s">
        <v>61</v>
      </c>
      <c r="AI99" s="131" t="s">
        <v>61</v>
      </c>
      <c r="AJ99" s="121" t="s">
        <v>61</v>
      </c>
      <c r="AK99" s="131" t="s">
        <v>61</v>
      </c>
      <c r="AL99" s="121" t="s">
        <v>61</v>
      </c>
      <c r="AM99" s="121" t="s">
        <v>61</v>
      </c>
      <c r="AN99" s="121" t="s">
        <v>61</v>
      </c>
      <c r="AO99" s="121" t="s">
        <v>61</v>
      </c>
      <c r="AP99" s="121" t="s">
        <v>61</v>
      </c>
      <c r="AQ99" s="121" t="s">
        <v>61</v>
      </c>
      <c r="AR99" s="121" t="s">
        <v>61</v>
      </c>
      <c r="AS99" s="121" t="s">
        <v>61</v>
      </c>
      <c r="AT99" s="121" t="s">
        <v>61</v>
      </c>
      <c r="AU99" s="121" t="s">
        <v>61</v>
      </c>
      <c r="AV99" s="121" t="s">
        <v>61</v>
      </c>
      <c r="AW99" s="121" t="s">
        <v>61</v>
      </c>
      <c r="AX99" s="121" t="s">
        <v>61</v>
      </c>
      <c r="AY99" s="121" t="s">
        <v>61</v>
      </c>
      <c r="AZ99" s="121" t="s">
        <v>61</v>
      </c>
      <c r="BA99" s="121" t="s">
        <v>61</v>
      </c>
      <c r="BB99" s="121" t="s">
        <v>61</v>
      </c>
      <c r="BC99" s="121" t="s">
        <v>61</v>
      </c>
      <c r="BD99" s="121" t="s">
        <v>6</v>
      </c>
      <c r="BE99" s="121" t="s">
        <v>61</v>
      </c>
      <c r="BF99" s="121" t="s">
        <v>61</v>
      </c>
      <c r="BG99" s="121" t="s">
        <v>61</v>
      </c>
      <c r="BH99" s="121" t="s">
        <v>61</v>
      </c>
      <c r="BI99" s="121" t="s">
        <v>61</v>
      </c>
      <c r="BJ99" s="121" t="s">
        <v>61</v>
      </c>
      <c r="BK99" s="121" t="s">
        <v>61</v>
      </c>
      <c r="BL99" s="121" t="str">
        <f>IF(BK99="NA","NA",IF(BK99="Not Reported","Not Reported",IF(BK99&gt;$L$99,"Not Met","Met")))</f>
        <v>Not Reported</v>
      </c>
      <c r="BM99" s="128" t="s">
        <v>61</v>
      </c>
      <c r="BN99" s="121" t="str">
        <f>IF(BM99="NA","NA",IF(BM99="Not Reported","Not Reported",IF(BM99&gt;$L$99,"Not Met","Met")))</f>
        <v>Not Reported</v>
      </c>
      <c r="BO99" s="128" t="s">
        <v>61</v>
      </c>
      <c r="BP99" s="121" t="s">
        <v>61</v>
      </c>
      <c r="BQ99" s="128" t="s">
        <v>61</v>
      </c>
      <c r="BR99" s="121" t="s">
        <v>61</v>
      </c>
      <c r="BS99" s="26">
        <v>75</v>
      </c>
      <c r="BT99" s="121" t="str">
        <f>IF(BS99="NA","NA",IF(BS99="Not Reported","Not Reported",IF(BS99&gt;$L$99,"Not Met","Met")))</f>
        <v>Met</v>
      </c>
      <c r="BU99" s="26">
        <v>47</v>
      </c>
      <c r="BV99" s="121" t="str">
        <f>IF(BU99="NA","NA",IF(BU99="Not Reported","Not Reported",IF(BU99&gt;$L$99,"Not Met","Met")))</f>
        <v>Met</v>
      </c>
    </row>
    <row r="100" spans="1:74" x14ac:dyDescent="0.25">
      <c r="A100" s="121">
        <v>99</v>
      </c>
      <c r="B100" s="122" t="s">
        <v>5</v>
      </c>
      <c r="C100" s="122" t="s">
        <v>901</v>
      </c>
      <c r="D100" s="123" t="s">
        <v>102</v>
      </c>
      <c r="E100" s="123" t="s">
        <v>900</v>
      </c>
      <c r="F100" s="123" t="s">
        <v>190</v>
      </c>
      <c r="G100" s="122" t="s">
        <v>273</v>
      </c>
      <c r="H100" s="122" t="s">
        <v>192</v>
      </c>
      <c r="I100" s="124" t="s">
        <v>213</v>
      </c>
      <c r="J100" s="124" t="s">
        <v>214</v>
      </c>
      <c r="K100" s="129" t="s">
        <v>213</v>
      </c>
      <c r="L100" s="147">
        <v>45</v>
      </c>
      <c r="M100" s="146" t="s">
        <v>340</v>
      </c>
      <c r="N100" s="122" t="s">
        <v>341</v>
      </c>
      <c r="O100" s="122" t="s">
        <v>342</v>
      </c>
      <c r="P100" s="122" t="s">
        <v>207</v>
      </c>
      <c r="Q100" s="127" t="s">
        <v>537</v>
      </c>
      <c r="R100" s="121" t="s">
        <v>251</v>
      </c>
      <c r="S100" s="127" t="s">
        <v>374</v>
      </c>
      <c r="T100" s="147" t="s">
        <v>251</v>
      </c>
      <c r="U100" s="147" t="s">
        <v>538</v>
      </c>
      <c r="V100" s="147" t="s">
        <v>251</v>
      </c>
      <c r="W100" s="131" t="s">
        <v>61</v>
      </c>
      <c r="X100" s="131" t="s">
        <v>61</v>
      </c>
      <c r="Y100" s="131" t="s">
        <v>61</v>
      </c>
      <c r="Z100" s="131" t="s">
        <v>61</v>
      </c>
      <c r="AA100" s="131" t="s">
        <v>61</v>
      </c>
      <c r="AB100" s="127" t="s">
        <v>61</v>
      </c>
      <c r="AC100" s="131" t="s">
        <v>61</v>
      </c>
      <c r="AD100" s="121" t="s">
        <v>61</v>
      </c>
      <c r="AE100" s="131" t="s">
        <v>61</v>
      </c>
      <c r="AF100" s="127" t="s">
        <v>61</v>
      </c>
      <c r="AG100" s="131" t="s">
        <v>61</v>
      </c>
      <c r="AH100" s="127" t="s">
        <v>61</v>
      </c>
      <c r="AI100" s="131" t="s">
        <v>61</v>
      </c>
      <c r="AJ100" s="121" t="s">
        <v>61</v>
      </c>
      <c r="AK100" s="131" t="s">
        <v>61</v>
      </c>
      <c r="AL100" s="121" t="s">
        <v>61</v>
      </c>
      <c r="AM100" s="121" t="s">
        <v>61</v>
      </c>
      <c r="AN100" s="121" t="s">
        <v>61</v>
      </c>
      <c r="AO100" s="121" t="s">
        <v>61</v>
      </c>
      <c r="AP100" s="121" t="s">
        <v>61</v>
      </c>
      <c r="AQ100" s="121" t="s">
        <v>61</v>
      </c>
      <c r="AR100" s="121" t="s">
        <v>61</v>
      </c>
      <c r="AS100" s="121" t="s">
        <v>61</v>
      </c>
      <c r="AT100" s="121" t="s">
        <v>61</v>
      </c>
      <c r="AU100" s="121" t="s">
        <v>61</v>
      </c>
      <c r="AV100" s="121" t="s">
        <v>61</v>
      </c>
      <c r="AW100" s="121" t="s">
        <v>61</v>
      </c>
      <c r="AX100" s="121" t="s">
        <v>61</v>
      </c>
      <c r="AY100" s="121" t="s">
        <v>61</v>
      </c>
      <c r="AZ100" s="121" t="s">
        <v>61</v>
      </c>
      <c r="BA100" s="121" t="s">
        <v>61</v>
      </c>
      <c r="BB100" s="121" t="s">
        <v>61</v>
      </c>
      <c r="BC100" s="121" t="s">
        <v>61</v>
      </c>
      <c r="BD100" s="121" t="s">
        <v>6</v>
      </c>
      <c r="BE100" s="121" t="s">
        <v>61</v>
      </c>
      <c r="BF100" s="121" t="s">
        <v>61</v>
      </c>
      <c r="BG100" s="121" t="s">
        <v>61</v>
      </c>
      <c r="BH100" s="121" t="s">
        <v>61</v>
      </c>
      <c r="BI100" s="121" t="s">
        <v>61</v>
      </c>
      <c r="BJ100" s="121" t="s">
        <v>61</v>
      </c>
      <c r="BK100" s="121" t="s">
        <v>61</v>
      </c>
      <c r="BL100" s="121" t="str">
        <f>IF(BK100="NA","NA",IF(BK100="Not Reported","Not Reported",IF(BK100&gt;$L$100,"Not Met","Met")))</f>
        <v>Not Reported</v>
      </c>
      <c r="BM100" s="128" t="s">
        <v>61</v>
      </c>
      <c r="BN100" s="121" t="str">
        <f>IF(BM100="NA","NA",IF(BM100="Not Reported","Not Reported",IF(BM100&gt;$L$100,"Not Met","Met")))</f>
        <v>Not Reported</v>
      </c>
      <c r="BO100" s="128" t="s">
        <v>61</v>
      </c>
      <c r="BP100" s="121" t="s">
        <v>61</v>
      </c>
      <c r="BQ100" s="128" t="s">
        <v>61</v>
      </c>
      <c r="BR100" s="121" t="s">
        <v>61</v>
      </c>
      <c r="BS100" s="26">
        <v>45</v>
      </c>
      <c r="BT100" s="121" t="str">
        <f>IF(BS100="NA","NA",IF(BS100="Not Reported","Not Reported",IF(BS100&gt;$L$100,"Not Met","Met")))</f>
        <v>Met</v>
      </c>
      <c r="BU100" s="26">
        <v>71</v>
      </c>
      <c r="BV100" s="121" t="str">
        <f>IF(BU100="NA","NA",IF(BU100="Not Reported","Not Reported",IF(BU100&gt;$L$100,"Not Met","Met")))</f>
        <v>Not Met</v>
      </c>
    </row>
    <row r="101" spans="1:74" x14ac:dyDescent="0.2">
      <c r="A101" s="121">
        <v>100</v>
      </c>
      <c r="B101" s="122" t="s">
        <v>5</v>
      </c>
      <c r="C101" s="122" t="s">
        <v>901</v>
      </c>
      <c r="D101" s="123" t="s">
        <v>102</v>
      </c>
      <c r="E101" s="123" t="s">
        <v>900</v>
      </c>
      <c r="F101" s="123" t="s">
        <v>190</v>
      </c>
      <c r="G101" s="122" t="s">
        <v>273</v>
      </c>
      <c r="H101" s="122" t="s">
        <v>192</v>
      </c>
      <c r="I101" s="124" t="s">
        <v>246</v>
      </c>
      <c r="J101" s="124" t="s">
        <v>214</v>
      </c>
      <c r="K101" s="122" t="s">
        <v>326</v>
      </c>
      <c r="L101" s="146">
        <v>0.4</v>
      </c>
      <c r="M101" s="146">
        <v>0.4</v>
      </c>
      <c r="N101" s="122" t="s">
        <v>368</v>
      </c>
      <c r="O101" s="122" t="s">
        <v>369</v>
      </c>
      <c r="P101" s="122" t="s">
        <v>207</v>
      </c>
      <c r="Q101" s="128">
        <v>0.54</v>
      </c>
      <c r="R101" s="121" t="s">
        <v>251</v>
      </c>
      <c r="S101" s="128">
        <v>0.42</v>
      </c>
      <c r="T101" s="147" t="s">
        <v>251</v>
      </c>
      <c r="U101" s="178">
        <v>0.33</v>
      </c>
      <c r="V101" s="121" t="s">
        <v>198</v>
      </c>
      <c r="W101" s="131" t="s">
        <v>61</v>
      </c>
      <c r="X101" s="131" t="s">
        <v>61</v>
      </c>
      <c r="Y101" s="131" t="s">
        <v>61</v>
      </c>
      <c r="Z101" s="131" t="s">
        <v>61</v>
      </c>
      <c r="AA101" s="131" t="s">
        <v>61</v>
      </c>
      <c r="AB101" s="127" t="s">
        <v>61</v>
      </c>
      <c r="AC101" s="131" t="s">
        <v>61</v>
      </c>
      <c r="AD101" s="121" t="s">
        <v>61</v>
      </c>
      <c r="AE101" s="131" t="s">
        <v>61</v>
      </c>
      <c r="AF101" s="127" t="s">
        <v>61</v>
      </c>
      <c r="AG101" s="131" t="s">
        <v>61</v>
      </c>
      <c r="AH101" s="127" t="s">
        <v>61</v>
      </c>
      <c r="AI101" s="131" t="s">
        <v>61</v>
      </c>
      <c r="AJ101" s="121" t="s">
        <v>61</v>
      </c>
      <c r="AK101" s="131" t="s">
        <v>61</v>
      </c>
      <c r="AL101" s="121" t="s">
        <v>61</v>
      </c>
      <c r="AM101" s="121" t="s">
        <v>61</v>
      </c>
      <c r="AN101" s="121" t="s">
        <v>61</v>
      </c>
      <c r="AO101" s="121" t="s">
        <v>61</v>
      </c>
      <c r="AP101" s="121" t="s">
        <v>61</v>
      </c>
      <c r="AQ101" s="121" t="s">
        <v>61</v>
      </c>
      <c r="AR101" s="121" t="s">
        <v>61</v>
      </c>
      <c r="AS101" s="121" t="s">
        <v>61</v>
      </c>
      <c r="AT101" s="121" t="s">
        <v>61</v>
      </c>
      <c r="AU101" s="121" t="s">
        <v>61</v>
      </c>
      <c r="AV101" s="121" t="s">
        <v>61</v>
      </c>
      <c r="AW101" s="121" t="s">
        <v>61</v>
      </c>
      <c r="AX101" s="121" t="s">
        <v>61</v>
      </c>
      <c r="AY101" s="121" t="s">
        <v>61</v>
      </c>
      <c r="AZ101" s="121" t="s">
        <v>61</v>
      </c>
      <c r="BA101" s="121" t="s">
        <v>61</v>
      </c>
      <c r="BB101" s="121" t="s">
        <v>61</v>
      </c>
      <c r="BC101" s="121" t="s">
        <v>61</v>
      </c>
      <c r="BD101" s="121" t="s">
        <v>6</v>
      </c>
      <c r="BE101" s="121" t="s">
        <v>61</v>
      </c>
      <c r="BF101" s="121" t="s">
        <v>61</v>
      </c>
      <c r="BG101" s="121" t="s">
        <v>61</v>
      </c>
      <c r="BH101" s="121" t="s">
        <v>61</v>
      </c>
      <c r="BI101" s="121" t="s">
        <v>61</v>
      </c>
      <c r="BJ101" s="121" t="s">
        <v>61</v>
      </c>
      <c r="BK101" s="121" t="s">
        <v>61</v>
      </c>
      <c r="BL101" s="174" t="str">
        <f>IF(BK101="NA","NA",IF(BK101="Not Reported","Not Reported",IF(BK101&gt;$L$101,"Not Met","Met")))</f>
        <v>Not Reported</v>
      </c>
      <c r="BM101" s="128" t="s">
        <v>61</v>
      </c>
      <c r="BN101" s="121" t="str">
        <f>IF(BM101="NA","NA",IF(BM101="Not Reported","Not Reported",IF(BM101&gt;$L$101,"Not Met","Met")))</f>
        <v>Not Reported</v>
      </c>
      <c r="BO101" s="128" t="s">
        <v>61</v>
      </c>
      <c r="BP101" s="121" t="s">
        <v>61</v>
      </c>
      <c r="BQ101" s="128" t="s">
        <v>61</v>
      </c>
      <c r="BR101" s="121" t="s">
        <v>61</v>
      </c>
      <c r="BS101" s="315">
        <v>0.32</v>
      </c>
      <c r="BT101" s="121" t="str">
        <f>IF(BS101="NA","NA",IF(BS101="Not Reported","Not Reported",IF(BS101&gt;$L$101,"Not Met","Met")))</f>
        <v>Met</v>
      </c>
      <c r="BU101" s="315">
        <v>0.36</v>
      </c>
      <c r="BV101" s="121" t="str">
        <f>IF(BU101="NA","NA",IF(BU101="Not Reported","Not Reported",IF(BU101&gt;$L$101,"Not Met","Met")))</f>
        <v>Met</v>
      </c>
    </row>
    <row r="102" spans="1:74" x14ac:dyDescent="0.2">
      <c r="A102" s="121">
        <v>101</v>
      </c>
      <c r="B102" s="122" t="s">
        <v>5</v>
      </c>
      <c r="C102" s="122" t="s">
        <v>901</v>
      </c>
      <c r="D102" s="123" t="s">
        <v>102</v>
      </c>
      <c r="E102" s="123" t="s">
        <v>900</v>
      </c>
      <c r="F102" s="123" t="s">
        <v>190</v>
      </c>
      <c r="G102" s="122" t="s">
        <v>273</v>
      </c>
      <c r="H102" s="122" t="s">
        <v>192</v>
      </c>
      <c r="I102" s="124" t="s">
        <v>284</v>
      </c>
      <c r="J102" s="124" t="s">
        <v>285</v>
      </c>
      <c r="K102" s="145" t="s">
        <v>284</v>
      </c>
      <c r="L102" s="146">
        <v>0.2</v>
      </c>
      <c r="M102" s="146">
        <v>0.2</v>
      </c>
      <c r="N102" s="122" t="s">
        <v>287</v>
      </c>
      <c r="O102" s="122" t="s">
        <v>288</v>
      </c>
      <c r="P102" s="122" t="s">
        <v>207</v>
      </c>
      <c r="Q102" s="146">
        <v>0.56000000000000005</v>
      </c>
      <c r="R102" s="121" t="s">
        <v>198</v>
      </c>
      <c r="S102" s="181">
        <v>0.62</v>
      </c>
      <c r="T102" s="121" t="s">
        <v>198</v>
      </c>
      <c r="U102" s="177">
        <f>27/44</f>
        <v>0.61363636363636365</v>
      </c>
      <c r="V102" s="121" t="s">
        <v>198</v>
      </c>
      <c r="W102" s="131" t="s">
        <v>61</v>
      </c>
      <c r="X102" s="131" t="s">
        <v>61</v>
      </c>
      <c r="Y102" s="131" t="s">
        <v>61</v>
      </c>
      <c r="Z102" s="131" t="s">
        <v>61</v>
      </c>
      <c r="AA102" s="131" t="s">
        <v>61</v>
      </c>
      <c r="AB102" s="127" t="s">
        <v>61</v>
      </c>
      <c r="AC102" s="131" t="s">
        <v>61</v>
      </c>
      <c r="AD102" s="121" t="s">
        <v>61</v>
      </c>
      <c r="AE102" s="131" t="s">
        <v>61</v>
      </c>
      <c r="AF102" s="127" t="s">
        <v>61</v>
      </c>
      <c r="AG102" s="131" t="s">
        <v>61</v>
      </c>
      <c r="AH102" s="127" t="s">
        <v>61</v>
      </c>
      <c r="AI102" s="131" t="s">
        <v>61</v>
      </c>
      <c r="AJ102" s="121" t="s">
        <v>61</v>
      </c>
      <c r="AK102" s="131" t="s">
        <v>61</v>
      </c>
      <c r="AL102" s="121" t="s">
        <v>61</v>
      </c>
      <c r="AM102" s="121" t="s">
        <v>61</v>
      </c>
      <c r="AN102" s="121" t="s">
        <v>61</v>
      </c>
      <c r="AO102" s="121" t="s">
        <v>61</v>
      </c>
      <c r="AP102" s="121" t="s">
        <v>61</v>
      </c>
      <c r="AQ102" s="121" t="s">
        <v>61</v>
      </c>
      <c r="AR102" s="121" t="s">
        <v>61</v>
      </c>
      <c r="AS102" s="121" t="s">
        <v>61</v>
      </c>
      <c r="AT102" s="121" t="s">
        <v>61</v>
      </c>
      <c r="AU102" s="121" t="s">
        <v>61</v>
      </c>
      <c r="AV102" s="121" t="s">
        <v>61</v>
      </c>
      <c r="AW102" s="121" t="s">
        <v>61</v>
      </c>
      <c r="AX102" s="121" t="s">
        <v>61</v>
      </c>
      <c r="AY102" s="121" t="s">
        <v>61</v>
      </c>
      <c r="AZ102" s="121" t="s">
        <v>61</v>
      </c>
      <c r="BA102" s="121" t="s">
        <v>61</v>
      </c>
      <c r="BB102" s="121" t="s">
        <v>61</v>
      </c>
      <c r="BC102" s="121" t="s">
        <v>61</v>
      </c>
      <c r="BD102" s="121" t="s">
        <v>6</v>
      </c>
      <c r="BE102" s="121" t="s">
        <v>61</v>
      </c>
      <c r="BF102" s="121" t="s">
        <v>61</v>
      </c>
      <c r="BG102" s="121" t="s">
        <v>61</v>
      </c>
      <c r="BH102" s="121" t="s">
        <v>61</v>
      </c>
      <c r="BI102" s="121" t="s">
        <v>61</v>
      </c>
      <c r="BJ102" s="121" t="s">
        <v>61</v>
      </c>
      <c r="BK102" s="121" t="s">
        <v>61</v>
      </c>
      <c r="BL102" s="128" t="str">
        <f>IF(BK102="NA","NA",IF(BK102="Not Reported","Not Reported",IF(BK102&lt;$L$102,"Not Met","Met")))</f>
        <v>Not Reported</v>
      </c>
      <c r="BM102" s="128" t="s">
        <v>61</v>
      </c>
      <c r="BN102" s="121" t="str">
        <f>IF(BM102="NA","NA",IF(BM102="Not Reported","Not Reported",IF(BM102&lt;$L$102,"Not Met","Met")))</f>
        <v>Not Reported</v>
      </c>
      <c r="BO102" s="128" t="s">
        <v>61</v>
      </c>
      <c r="BP102" s="121" t="s">
        <v>61</v>
      </c>
      <c r="BQ102" s="128" t="s">
        <v>61</v>
      </c>
      <c r="BR102" s="121" t="s">
        <v>61</v>
      </c>
      <c r="BS102" s="315">
        <v>0.41</v>
      </c>
      <c r="BT102" s="121" t="str">
        <f>IF(BS102="NA","NA",IF(BS102="Not Reported","Not Reported",IF(BS102&lt;$L$102,"Not Met","Met")))</f>
        <v>Met</v>
      </c>
      <c r="BU102" s="315">
        <v>0.46</v>
      </c>
      <c r="BV102" s="121" t="str">
        <f>IF(BU102="NA","NA",IF(BU102="Not Reported","Not Reported",IF(BU102&lt;$L$102,"Not Met","Met")))</f>
        <v>Met</v>
      </c>
    </row>
    <row r="103" spans="1:74" x14ac:dyDescent="0.25">
      <c r="A103" s="121">
        <v>102</v>
      </c>
      <c r="B103" s="122" t="s">
        <v>5</v>
      </c>
      <c r="C103" s="122" t="s">
        <v>901</v>
      </c>
      <c r="D103" s="123" t="s">
        <v>102</v>
      </c>
      <c r="E103" s="123" t="s">
        <v>900</v>
      </c>
      <c r="F103" s="123" t="s">
        <v>190</v>
      </c>
      <c r="G103" s="122" t="s">
        <v>273</v>
      </c>
      <c r="H103" s="122" t="s">
        <v>192</v>
      </c>
      <c r="I103" s="124" t="s">
        <v>289</v>
      </c>
      <c r="J103" s="124" t="s">
        <v>285</v>
      </c>
      <c r="K103" s="145" t="s">
        <v>289</v>
      </c>
      <c r="L103" s="146">
        <v>0.2</v>
      </c>
      <c r="M103" s="146">
        <v>0.2</v>
      </c>
      <c r="N103" s="122" t="s">
        <v>290</v>
      </c>
      <c r="O103" s="122" t="s">
        <v>291</v>
      </c>
      <c r="P103" s="122" t="s">
        <v>207</v>
      </c>
      <c r="Q103" s="146">
        <v>0.17</v>
      </c>
      <c r="R103" s="121" t="s">
        <v>251</v>
      </c>
      <c r="S103" s="182">
        <v>0.33</v>
      </c>
      <c r="T103" s="121" t="s">
        <v>198</v>
      </c>
      <c r="U103" s="128">
        <f>9/44</f>
        <v>0.20454545454545456</v>
      </c>
      <c r="V103" s="121" t="s">
        <v>198</v>
      </c>
      <c r="W103" s="131" t="s">
        <v>61</v>
      </c>
      <c r="X103" s="131" t="s">
        <v>61</v>
      </c>
      <c r="Y103" s="131" t="s">
        <v>61</v>
      </c>
      <c r="Z103" s="131" t="s">
        <v>61</v>
      </c>
      <c r="AA103" s="131" t="s">
        <v>61</v>
      </c>
      <c r="AB103" s="127" t="s">
        <v>61</v>
      </c>
      <c r="AC103" s="131" t="s">
        <v>61</v>
      </c>
      <c r="AD103" s="121" t="s">
        <v>61</v>
      </c>
      <c r="AE103" s="131" t="s">
        <v>61</v>
      </c>
      <c r="AF103" s="127" t="s">
        <v>61</v>
      </c>
      <c r="AG103" s="131" t="s">
        <v>61</v>
      </c>
      <c r="AH103" s="127" t="s">
        <v>61</v>
      </c>
      <c r="AI103" s="131" t="s">
        <v>61</v>
      </c>
      <c r="AJ103" s="121" t="s">
        <v>61</v>
      </c>
      <c r="AK103" s="131" t="s">
        <v>61</v>
      </c>
      <c r="AL103" s="121" t="s">
        <v>61</v>
      </c>
      <c r="AM103" s="121" t="s">
        <v>61</v>
      </c>
      <c r="AN103" s="121" t="s">
        <v>61</v>
      </c>
      <c r="AO103" s="121" t="s">
        <v>61</v>
      </c>
      <c r="AP103" s="121" t="s">
        <v>61</v>
      </c>
      <c r="AQ103" s="121" t="s">
        <v>61</v>
      </c>
      <c r="AR103" s="121" t="s">
        <v>61</v>
      </c>
      <c r="AS103" s="121" t="s">
        <v>61</v>
      </c>
      <c r="AT103" s="121" t="s">
        <v>61</v>
      </c>
      <c r="AU103" s="121" t="s">
        <v>61</v>
      </c>
      <c r="AV103" s="121" t="s">
        <v>61</v>
      </c>
      <c r="AW103" s="121" t="s">
        <v>61</v>
      </c>
      <c r="AX103" s="121" t="s">
        <v>61</v>
      </c>
      <c r="AY103" s="121" t="s">
        <v>61</v>
      </c>
      <c r="AZ103" s="121" t="s">
        <v>61</v>
      </c>
      <c r="BA103" s="121" t="s">
        <v>61</v>
      </c>
      <c r="BB103" s="121" t="s">
        <v>61</v>
      </c>
      <c r="BC103" s="121" t="s">
        <v>61</v>
      </c>
      <c r="BD103" s="121" t="s">
        <v>6</v>
      </c>
      <c r="BE103" s="121" t="s">
        <v>61</v>
      </c>
      <c r="BF103" s="121" t="s">
        <v>61</v>
      </c>
      <c r="BG103" s="121" t="s">
        <v>61</v>
      </c>
      <c r="BH103" s="121" t="s">
        <v>61</v>
      </c>
      <c r="BI103" s="121" t="s">
        <v>61</v>
      </c>
      <c r="BJ103" s="121" t="s">
        <v>61</v>
      </c>
      <c r="BK103" s="121" t="s">
        <v>61</v>
      </c>
      <c r="BL103" s="128" t="str">
        <f>IF(BK103="NA","NA",IF(BK103="Not Reported","Not Reported",IF(BK103&lt;$L$103,"Not Met","Met")))</f>
        <v>Not Reported</v>
      </c>
      <c r="BM103" s="128" t="s">
        <v>61</v>
      </c>
      <c r="BN103" s="121" t="str">
        <f>IF(BM103="NA","NA",IF(BM103="Not Reported","Not Reported",IF(BM103&lt;$L$103,"Not Met","Met")))</f>
        <v>Not Reported</v>
      </c>
      <c r="BO103" s="128" t="s">
        <v>61</v>
      </c>
      <c r="BP103" s="121" t="s">
        <v>61</v>
      </c>
      <c r="BQ103" s="128" t="s">
        <v>61</v>
      </c>
      <c r="BR103" s="121" t="s">
        <v>61</v>
      </c>
      <c r="BS103" s="315">
        <v>0.11</v>
      </c>
      <c r="BT103" s="121" t="str">
        <f>IF(BS103="NA","NA",IF(BS103="Not Reported","Not Reported",IF(BS103&lt;$L$103,"Not Met","Met")))</f>
        <v>Not Met</v>
      </c>
      <c r="BU103" s="315">
        <v>0.09</v>
      </c>
      <c r="BV103" s="121" t="str">
        <f>IF(BU103="NA","NA",IF(BU103="Not Reported","Not Reported",IF(BU103&lt;$L$103,"Not Met","Met")))</f>
        <v>Not Met</v>
      </c>
    </row>
    <row r="104" spans="1:74" x14ac:dyDescent="0.25">
      <c r="A104" s="121">
        <v>103</v>
      </c>
      <c r="B104" s="122" t="s">
        <v>5</v>
      </c>
      <c r="C104" s="122" t="s">
        <v>901</v>
      </c>
      <c r="D104" s="123" t="s">
        <v>102</v>
      </c>
      <c r="E104" s="123" t="s">
        <v>900</v>
      </c>
      <c r="F104" s="123" t="s">
        <v>190</v>
      </c>
      <c r="G104" s="122" t="s">
        <v>273</v>
      </c>
      <c r="H104" s="122" t="s">
        <v>192</v>
      </c>
      <c r="I104" s="124" t="s">
        <v>292</v>
      </c>
      <c r="J104" s="124" t="s">
        <v>293</v>
      </c>
      <c r="K104" s="122" t="s">
        <v>292</v>
      </c>
      <c r="L104" s="146">
        <v>0.2</v>
      </c>
      <c r="M104" s="146">
        <v>0.2</v>
      </c>
      <c r="N104" s="122" t="s">
        <v>294</v>
      </c>
      <c r="O104" s="122" t="s">
        <v>539</v>
      </c>
      <c r="P104" s="122" t="s">
        <v>207</v>
      </c>
      <c r="Q104" s="146">
        <v>0.15</v>
      </c>
      <c r="R104" s="121" t="s">
        <v>198</v>
      </c>
      <c r="S104" s="146">
        <v>0</v>
      </c>
      <c r="T104" s="121" t="s">
        <v>198</v>
      </c>
      <c r="U104" s="146">
        <v>0.2</v>
      </c>
      <c r="V104" s="121" t="s">
        <v>198</v>
      </c>
      <c r="W104" s="131" t="s">
        <v>61</v>
      </c>
      <c r="X104" s="131" t="s">
        <v>61</v>
      </c>
      <c r="Y104" s="131" t="s">
        <v>61</v>
      </c>
      <c r="Z104" s="131" t="s">
        <v>61</v>
      </c>
      <c r="AA104" s="131" t="s">
        <v>61</v>
      </c>
      <c r="AB104" s="127" t="s">
        <v>61</v>
      </c>
      <c r="AC104" s="131" t="s">
        <v>61</v>
      </c>
      <c r="AD104" s="121" t="s">
        <v>61</v>
      </c>
      <c r="AE104" s="131" t="s">
        <v>61</v>
      </c>
      <c r="AF104" s="127" t="s">
        <v>61</v>
      </c>
      <c r="AG104" s="131" t="s">
        <v>61</v>
      </c>
      <c r="AH104" s="127" t="s">
        <v>61</v>
      </c>
      <c r="AI104" s="131" t="s">
        <v>61</v>
      </c>
      <c r="AJ104" s="121" t="s">
        <v>61</v>
      </c>
      <c r="AK104" s="131" t="s">
        <v>61</v>
      </c>
      <c r="AL104" s="121" t="s">
        <v>61</v>
      </c>
      <c r="AM104" s="121" t="s">
        <v>61</v>
      </c>
      <c r="AN104" s="121" t="s">
        <v>61</v>
      </c>
      <c r="AO104" s="121" t="s">
        <v>61</v>
      </c>
      <c r="AP104" s="121" t="s">
        <v>61</v>
      </c>
      <c r="AQ104" s="121" t="s">
        <v>61</v>
      </c>
      <c r="AR104" s="121" t="s">
        <v>61</v>
      </c>
      <c r="AS104" s="121" t="s">
        <v>61</v>
      </c>
      <c r="AT104" s="121" t="s">
        <v>61</v>
      </c>
      <c r="AU104" s="121" t="s">
        <v>61</v>
      </c>
      <c r="AV104" s="121" t="s">
        <v>61</v>
      </c>
      <c r="AW104" s="121" t="s">
        <v>61</v>
      </c>
      <c r="AX104" s="121" t="s">
        <v>61</v>
      </c>
      <c r="AY104" s="121" t="s">
        <v>61</v>
      </c>
      <c r="AZ104" s="121" t="s">
        <v>61</v>
      </c>
      <c r="BA104" s="121" t="s">
        <v>61</v>
      </c>
      <c r="BB104" s="121" t="s">
        <v>61</v>
      </c>
      <c r="BC104" s="121" t="s">
        <v>61</v>
      </c>
      <c r="BD104" s="121" t="s">
        <v>6</v>
      </c>
      <c r="BE104" s="121" t="s">
        <v>61</v>
      </c>
      <c r="BF104" s="121" t="s">
        <v>61</v>
      </c>
      <c r="BG104" s="121" t="s">
        <v>61</v>
      </c>
      <c r="BH104" s="121" t="s">
        <v>61</v>
      </c>
      <c r="BI104" s="121" t="s">
        <v>61</v>
      </c>
      <c r="BJ104" s="121" t="s">
        <v>61</v>
      </c>
      <c r="BK104" s="121" t="s">
        <v>61</v>
      </c>
      <c r="BL104" s="128" t="str">
        <f>IF(BK104="NA","NA",IF(BK104="Not Reported","Not Reported",IF(BK104&gt;$L$104,"Not Met","Met")))</f>
        <v>Not Reported</v>
      </c>
      <c r="BM104" s="128" t="s">
        <v>61</v>
      </c>
      <c r="BN104" s="121" t="str">
        <f>IF(BM104="NA","NA",IF(BM104="Not Reported","Not Reported",IF(BM104&gt;$L$104,"Not Met","Met")))</f>
        <v>Not Reported</v>
      </c>
      <c r="BO104" s="128" t="s">
        <v>61</v>
      </c>
      <c r="BP104" s="121" t="s">
        <v>61</v>
      </c>
      <c r="BQ104" s="128" t="s">
        <v>61</v>
      </c>
      <c r="BR104" s="121" t="s">
        <v>61</v>
      </c>
      <c r="BS104" s="315">
        <v>0.2</v>
      </c>
      <c r="BT104" s="121" t="str">
        <f>IF(BS104="NA","NA",IF(BS104="Not Reported","Not Reported",IF(BS104&gt;$L$104,"Not Met","Met")))</f>
        <v>Met</v>
      </c>
      <c r="BU104" s="315">
        <v>7.0000000000000007E-2</v>
      </c>
      <c r="BV104" s="121" t="str">
        <f>IF(BU104="NA","NA",IF(BU104="Not Reported","Not Reported",IF(BU104&gt;$L$104,"Not Met","Met")))</f>
        <v>Met</v>
      </c>
    </row>
    <row r="105" spans="1:74" x14ac:dyDescent="0.2">
      <c r="A105" s="121">
        <v>104</v>
      </c>
      <c r="B105" s="122" t="s">
        <v>30</v>
      </c>
      <c r="C105" s="122" t="s">
        <v>904</v>
      </c>
      <c r="D105" s="123" t="s">
        <v>109</v>
      </c>
      <c r="E105" s="123" t="s">
        <v>900</v>
      </c>
      <c r="F105" s="123" t="s">
        <v>190</v>
      </c>
      <c r="G105" s="123" t="s">
        <v>191</v>
      </c>
      <c r="H105" s="122" t="s">
        <v>212</v>
      </c>
      <c r="I105" s="124" t="s">
        <v>274</v>
      </c>
      <c r="J105" s="124" t="s">
        <v>214</v>
      </c>
      <c r="K105" s="145" t="s">
        <v>274</v>
      </c>
      <c r="L105" s="130">
        <v>100</v>
      </c>
      <c r="M105" s="128" t="s">
        <v>540</v>
      </c>
      <c r="N105" s="122" t="s">
        <v>541</v>
      </c>
      <c r="O105" s="122" t="s">
        <v>541</v>
      </c>
      <c r="P105" s="123" t="s">
        <v>207</v>
      </c>
      <c r="Q105" s="178" t="s">
        <v>364</v>
      </c>
      <c r="R105" s="178" t="s">
        <v>198</v>
      </c>
      <c r="S105" s="178" t="s">
        <v>542</v>
      </c>
      <c r="T105" s="121" t="s">
        <v>198</v>
      </c>
      <c r="U105" s="178" t="s">
        <v>335</v>
      </c>
      <c r="V105" s="121" t="s">
        <v>198</v>
      </c>
      <c r="W105" s="178" t="s">
        <v>543</v>
      </c>
      <c r="X105" s="121" t="s">
        <v>198</v>
      </c>
      <c r="Y105" s="121" t="s">
        <v>542</v>
      </c>
      <c r="Z105" s="121" t="s">
        <v>198</v>
      </c>
      <c r="AA105" s="121" t="s">
        <v>542</v>
      </c>
      <c r="AB105" s="121" t="s">
        <v>198</v>
      </c>
      <c r="AC105" s="121" t="s">
        <v>542</v>
      </c>
      <c r="AD105" s="121" t="s">
        <v>198</v>
      </c>
      <c r="AE105" s="121" t="s">
        <v>544</v>
      </c>
      <c r="AF105" s="121" t="s">
        <v>198</v>
      </c>
      <c r="AG105" s="121" t="s">
        <v>545</v>
      </c>
      <c r="AH105" s="121" t="s">
        <v>198</v>
      </c>
      <c r="AI105" s="121" t="s">
        <v>334</v>
      </c>
      <c r="AJ105" s="121" t="s">
        <v>198</v>
      </c>
      <c r="AK105" s="121" t="s">
        <v>546</v>
      </c>
      <c r="AL105" s="121" t="s">
        <v>198</v>
      </c>
      <c r="AM105" s="121" t="s">
        <v>547</v>
      </c>
      <c r="AN105" s="121" t="s">
        <v>198</v>
      </c>
      <c r="AO105" s="183">
        <v>64</v>
      </c>
      <c r="AP105" s="121" t="s">
        <v>198</v>
      </c>
      <c r="AQ105" s="183">
        <v>96</v>
      </c>
      <c r="AR105" s="121" t="s">
        <v>198</v>
      </c>
      <c r="AS105" s="183">
        <v>74</v>
      </c>
      <c r="AT105" s="121" t="s">
        <v>198</v>
      </c>
      <c r="AU105" s="121">
        <v>85</v>
      </c>
      <c r="AV105" s="121" t="s">
        <v>198</v>
      </c>
      <c r="AW105" s="127">
        <v>89</v>
      </c>
      <c r="AX105" s="121" t="s">
        <v>198</v>
      </c>
      <c r="AY105" s="121">
        <v>53</v>
      </c>
      <c r="AZ105" s="121" t="s">
        <v>198</v>
      </c>
      <c r="BA105" s="121">
        <v>73</v>
      </c>
      <c r="BB105" s="121" t="s">
        <v>198</v>
      </c>
      <c r="BC105" s="121">
        <v>55</v>
      </c>
      <c r="BD105" s="121" t="s">
        <v>198</v>
      </c>
      <c r="BE105" s="160">
        <v>48</v>
      </c>
      <c r="BF105" s="121" t="s">
        <v>198</v>
      </c>
      <c r="BG105" s="121">
        <v>137</v>
      </c>
      <c r="BH105" s="121" t="s">
        <v>251</v>
      </c>
      <c r="BI105" s="121" t="s">
        <v>6</v>
      </c>
      <c r="BJ105" s="121" t="s">
        <v>61</v>
      </c>
      <c r="BK105" s="121">
        <v>124</v>
      </c>
      <c r="BL105" s="121" t="str">
        <f>IF(BK105="NA","NA",IF(BK105="Not Reported","Not Reported",IF(BK105&gt;$L$105,"Not Met","Met")))</f>
        <v>Not Met</v>
      </c>
      <c r="BM105" s="265">
        <v>103</v>
      </c>
      <c r="BN105" s="121" t="str">
        <f>IF(BM105="NA","NA",IF(BM105="Not Reported","Not Reported",IF(BM105&gt;$L$105,"Not Met","Met")))</f>
        <v>Not Met</v>
      </c>
      <c r="BO105" s="121" t="s">
        <v>61</v>
      </c>
      <c r="BP105" s="121" t="s">
        <v>61</v>
      </c>
      <c r="BQ105" s="121" t="s">
        <v>61</v>
      </c>
      <c r="BR105" s="121" t="s">
        <v>61</v>
      </c>
      <c r="BS105" s="121" t="s">
        <v>61</v>
      </c>
      <c r="BT105" s="121" t="str">
        <f>IF(BS105="NA","NA",IF(BS105="Not Reported","Not Reported",IF(BS105&gt;$L$105,"Not Met","Met")))</f>
        <v>Not Reported</v>
      </c>
      <c r="BU105" s="121" t="s">
        <v>61</v>
      </c>
      <c r="BV105" s="121" t="str">
        <f>IF(BU105="NA","NA",IF(BU105="Not Reported","Not Reported",IF(BU105&gt;$L$105,"Not Met","Met")))</f>
        <v>Not Reported</v>
      </c>
    </row>
    <row r="106" spans="1:74" x14ac:dyDescent="0.2">
      <c r="A106" s="121">
        <v>105</v>
      </c>
      <c r="B106" s="122" t="s">
        <v>30</v>
      </c>
      <c r="C106" s="122" t="s">
        <v>904</v>
      </c>
      <c r="D106" s="123" t="s">
        <v>109</v>
      </c>
      <c r="E106" s="123" t="s">
        <v>900</v>
      </c>
      <c r="F106" s="123" t="s">
        <v>190</v>
      </c>
      <c r="G106" s="123" t="s">
        <v>191</v>
      </c>
      <c r="H106" s="122" t="s">
        <v>212</v>
      </c>
      <c r="I106" s="123" t="s">
        <v>213</v>
      </c>
      <c r="J106" s="123" t="s">
        <v>214</v>
      </c>
      <c r="K106" s="122" t="s">
        <v>548</v>
      </c>
      <c r="L106" s="184">
        <v>35</v>
      </c>
      <c r="M106" s="147" t="s">
        <v>549</v>
      </c>
      <c r="N106" s="122" t="s">
        <v>550</v>
      </c>
      <c r="O106" s="122" t="s">
        <v>550</v>
      </c>
      <c r="P106" s="123" t="s">
        <v>207</v>
      </c>
      <c r="Q106" s="178" t="s">
        <v>551</v>
      </c>
      <c r="R106" s="178" t="s">
        <v>251</v>
      </c>
      <c r="S106" s="178" t="s">
        <v>552</v>
      </c>
      <c r="T106" s="147" t="s">
        <v>198</v>
      </c>
      <c r="U106" s="178" t="s">
        <v>545</v>
      </c>
      <c r="V106" s="121" t="s">
        <v>198</v>
      </c>
      <c r="W106" s="178" t="s">
        <v>483</v>
      </c>
      <c r="X106" s="147" t="s">
        <v>251</v>
      </c>
      <c r="Y106" s="147" t="s">
        <v>336</v>
      </c>
      <c r="Z106" s="121" t="s">
        <v>198</v>
      </c>
      <c r="AA106" s="147" t="s">
        <v>336</v>
      </c>
      <c r="AB106" s="121" t="s">
        <v>198</v>
      </c>
      <c r="AC106" s="147" t="s">
        <v>336</v>
      </c>
      <c r="AD106" s="121" t="s">
        <v>198</v>
      </c>
      <c r="AE106" s="147" t="s">
        <v>553</v>
      </c>
      <c r="AF106" s="121" t="s">
        <v>198</v>
      </c>
      <c r="AG106" s="147" t="s">
        <v>501</v>
      </c>
      <c r="AH106" s="147" t="s">
        <v>251</v>
      </c>
      <c r="AI106" s="147" t="s">
        <v>554</v>
      </c>
      <c r="AJ106" s="121" t="s">
        <v>198</v>
      </c>
      <c r="AK106" s="147" t="s">
        <v>555</v>
      </c>
      <c r="AL106" s="147" t="s">
        <v>251</v>
      </c>
      <c r="AM106" s="147" t="s">
        <v>553</v>
      </c>
      <c r="AN106" s="121" t="s">
        <v>251</v>
      </c>
      <c r="AO106" s="183">
        <v>46</v>
      </c>
      <c r="AP106" s="121" t="s">
        <v>251</v>
      </c>
      <c r="AQ106" s="183">
        <v>45</v>
      </c>
      <c r="AR106" s="121" t="s">
        <v>251</v>
      </c>
      <c r="AS106" s="183">
        <v>48</v>
      </c>
      <c r="AT106" s="121" t="s">
        <v>251</v>
      </c>
      <c r="AU106" s="121">
        <v>39</v>
      </c>
      <c r="AV106" s="121" t="s">
        <v>251</v>
      </c>
      <c r="AW106" s="127">
        <v>13</v>
      </c>
      <c r="AX106" s="121" t="s">
        <v>198</v>
      </c>
      <c r="AY106" s="121">
        <v>98</v>
      </c>
      <c r="AZ106" s="121" t="s">
        <v>251</v>
      </c>
      <c r="BA106" s="121">
        <v>71</v>
      </c>
      <c r="BB106" s="121" t="s">
        <v>251</v>
      </c>
      <c r="BC106" s="121">
        <v>40</v>
      </c>
      <c r="BD106" s="121" t="s">
        <v>251</v>
      </c>
      <c r="BE106" s="160">
        <v>25</v>
      </c>
      <c r="BF106" s="121" t="s">
        <v>198</v>
      </c>
      <c r="BG106" s="121">
        <v>58</v>
      </c>
      <c r="BH106" s="121" t="s">
        <v>251</v>
      </c>
      <c r="BI106" s="121" t="s">
        <v>6</v>
      </c>
      <c r="BJ106" s="121" t="s">
        <v>61</v>
      </c>
      <c r="BK106" s="121" t="s">
        <v>603</v>
      </c>
      <c r="BL106" s="121" t="str">
        <f>IF(BK106="NA","NA",IF(BK106="Not Reported","Not Reported",IF(BK106&gt;$L$106,"Not Met","Met")))</f>
        <v>Not Met</v>
      </c>
      <c r="BM106" s="265">
        <v>64</v>
      </c>
      <c r="BN106" s="121" t="str">
        <f>IF(BM106="NA","NA",IF(BM106="Not Reported","Not Reported",IF(BM106&gt;$L$106,"Not Met","Met")))</f>
        <v>Not Met</v>
      </c>
      <c r="BO106" s="121" t="s">
        <v>61</v>
      </c>
      <c r="BP106" s="121" t="s">
        <v>61</v>
      </c>
      <c r="BQ106" s="121" t="s">
        <v>61</v>
      </c>
      <c r="BR106" s="121" t="s">
        <v>61</v>
      </c>
      <c r="BS106" s="121" t="s">
        <v>61</v>
      </c>
      <c r="BT106" s="121" t="str">
        <f>IF(BS106="NA","NA",IF(BS106="Not Reported","Not Reported",IF(BS106&gt;$L$106,"Not Met","Met")))</f>
        <v>Not Reported</v>
      </c>
      <c r="BU106" s="121" t="s">
        <v>61</v>
      </c>
      <c r="BV106" s="121" t="str">
        <f>IF(BU106="NA","NA",IF(BU106="Not Reported","Not Reported",IF(BU106&gt;$L$106,"Not Met","Met")))</f>
        <v>Not Reported</v>
      </c>
    </row>
    <row r="107" spans="1:74" x14ac:dyDescent="0.2">
      <c r="A107" s="121">
        <v>106</v>
      </c>
      <c r="B107" s="122" t="s">
        <v>30</v>
      </c>
      <c r="C107" s="122" t="s">
        <v>904</v>
      </c>
      <c r="D107" s="123" t="s">
        <v>109</v>
      </c>
      <c r="E107" s="123" t="s">
        <v>900</v>
      </c>
      <c r="F107" s="123" t="s">
        <v>190</v>
      </c>
      <c r="G107" s="122" t="s">
        <v>273</v>
      </c>
      <c r="H107" s="122" t="s">
        <v>192</v>
      </c>
      <c r="I107" s="124" t="s">
        <v>289</v>
      </c>
      <c r="J107" s="124" t="s">
        <v>285</v>
      </c>
      <c r="K107" s="145" t="s">
        <v>289</v>
      </c>
      <c r="L107" s="146">
        <v>0.3</v>
      </c>
      <c r="M107" s="146">
        <v>0.3</v>
      </c>
      <c r="N107" s="122" t="s">
        <v>529</v>
      </c>
      <c r="O107" s="122" t="s">
        <v>529</v>
      </c>
      <c r="P107" s="123" t="s">
        <v>207</v>
      </c>
      <c r="Q107" s="146">
        <v>0.08</v>
      </c>
      <c r="R107" s="185" t="s">
        <v>251</v>
      </c>
      <c r="S107" s="146">
        <v>0.08</v>
      </c>
      <c r="T107" s="147" t="s">
        <v>251</v>
      </c>
      <c r="U107" s="146">
        <v>0.32</v>
      </c>
      <c r="V107" s="121" t="s">
        <v>198</v>
      </c>
      <c r="W107" s="146">
        <v>0.34</v>
      </c>
      <c r="X107" s="121" t="s">
        <v>198</v>
      </c>
      <c r="Y107" s="126">
        <v>0.28999999999999998</v>
      </c>
      <c r="Z107" s="121" t="s">
        <v>251</v>
      </c>
      <c r="AA107" s="126">
        <v>0.28999999999999998</v>
      </c>
      <c r="AB107" s="147" t="s">
        <v>251</v>
      </c>
      <c r="AC107" s="126">
        <v>0.28999999999999998</v>
      </c>
      <c r="AD107" s="121" t="s">
        <v>251</v>
      </c>
      <c r="AE107" s="126">
        <v>0.31</v>
      </c>
      <c r="AF107" s="147" t="s">
        <v>198</v>
      </c>
      <c r="AG107" s="126">
        <v>0.16</v>
      </c>
      <c r="AH107" s="147" t="s">
        <v>251</v>
      </c>
      <c r="AI107" s="126">
        <v>0.17</v>
      </c>
      <c r="AJ107" s="147" t="s">
        <v>251</v>
      </c>
      <c r="AK107" s="126">
        <v>0.21</v>
      </c>
      <c r="AL107" s="147" t="s">
        <v>251</v>
      </c>
      <c r="AM107" s="126">
        <v>0.08</v>
      </c>
      <c r="AN107" s="121" t="s">
        <v>251</v>
      </c>
      <c r="AO107" s="126">
        <v>0.22</v>
      </c>
      <c r="AP107" s="121" t="s">
        <v>251</v>
      </c>
      <c r="AQ107" s="126">
        <v>0.15</v>
      </c>
      <c r="AR107" s="121" t="s">
        <v>251</v>
      </c>
      <c r="AS107" s="146">
        <v>0.15</v>
      </c>
      <c r="AT107" s="121" t="s">
        <v>251</v>
      </c>
      <c r="AU107" s="126">
        <v>0.14000000000000001</v>
      </c>
      <c r="AV107" s="121" t="s">
        <v>251</v>
      </c>
      <c r="AW107" s="177">
        <f>2/20</f>
        <v>0.1</v>
      </c>
      <c r="AX107" s="121" t="s">
        <v>251</v>
      </c>
      <c r="AY107" s="143">
        <f>8/183</f>
        <v>4.3715846994535519E-2</v>
      </c>
      <c r="AZ107" s="121" t="s">
        <v>251</v>
      </c>
      <c r="BA107" s="143">
        <f>14/233</f>
        <v>6.0085836909871244E-2</v>
      </c>
      <c r="BB107" s="121" t="s">
        <v>251</v>
      </c>
      <c r="BC107" s="126">
        <v>0.05</v>
      </c>
      <c r="BD107" s="121" t="s">
        <v>251</v>
      </c>
      <c r="BE107" s="126">
        <v>0.03</v>
      </c>
      <c r="BF107" s="121" t="s">
        <v>251</v>
      </c>
      <c r="BG107" s="126">
        <v>0.02</v>
      </c>
      <c r="BH107" s="121" t="s">
        <v>251</v>
      </c>
      <c r="BI107" s="121" t="s">
        <v>6</v>
      </c>
      <c r="BJ107" s="121" t="s">
        <v>61</v>
      </c>
      <c r="BK107" s="126">
        <v>0.04</v>
      </c>
      <c r="BL107" s="128" t="str">
        <f>IF(BK107="NA","NA",IF(BK107="Not Reported","Not Reported",IF(BK107&lt;$L$107,"Not Met","Met")))</f>
        <v>Not Met</v>
      </c>
      <c r="BM107" s="266">
        <f>3/68</f>
        <v>4.4117647058823532E-2</v>
      </c>
      <c r="BN107" s="128" t="str">
        <f>IF(BM107="NA","NA",IF(BM107="Not Reported","Not Reported",IF(BM107&lt;$L$107,"Not Met","Met")))</f>
        <v>Not Met</v>
      </c>
      <c r="BO107" s="121" t="s">
        <v>61</v>
      </c>
      <c r="BP107" s="128" t="s">
        <v>61</v>
      </c>
      <c r="BQ107" s="121" t="s">
        <v>61</v>
      </c>
      <c r="BR107" s="128" t="s">
        <v>61</v>
      </c>
      <c r="BS107" s="121" t="s">
        <v>61</v>
      </c>
      <c r="BT107" s="128" t="str">
        <f>IF(BS107="NA","NA",IF(BS107="Not Reported","Not Reported",IF(BS107&lt;$L$107,"Not Met","Met")))</f>
        <v>Not Reported</v>
      </c>
      <c r="BU107" s="121" t="s">
        <v>61</v>
      </c>
      <c r="BV107" s="128" t="str">
        <f>IF(BU107="NA","NA",IF(BU107="Not Reported","Not Reported",IF(BU107&lt;$L$107,"Not Met","Met")))</f>
        <v>Not Reported</v>
      </c>
    </row>
    <row r="108" spans="1:74" x14ac:dyDescent="0.2">
      <c r="A108" s="121">
        <v>107</v>
      </c>
      <c r="B108" s="122" t="s">
        <v>30</v>
      </c>
      <c r="C108" s="122" t="s">
        <v>904</v>
      </c>
      <c r="D108" s="123" t="s">
        <v>109</v>
      </c>
      <c r="E108" s="123" t="s">
        <v>900</v>
      </c>
      <c r="F108" s="123" t="s">
        <v>190</v>
      </c>
      <c r="G108" s="122" t="s">
        <v>273</v>
      </c>
      <c r="H108" s="122" t="s">
        <v>192</v>
      </c>
      <c r="I108" s="124" t="s">
        <v>292</v>
      </c>
      <c r="J108" s="124" t="s">
        <v>293</v>
      </c>
      <c r="K108" s="122" t="s">
        <v>292</v>
      </c>
      <c r="L108" s="128">
        <v>0.3</v>
      </c>
      <c r="M108" s="128">
        <v>0.3</v>
      </c>
      <c r="N108" s="122" t="s">
        <v>294</v>
      </c>
      <c r="O108" s="122" t="s">
        <v>295</v>
      </c>
      <c r="P108" s="123" t="s">
        <v>207</v>
      </c>
      <c r="Q108" s="146">
        <v>0.5</v>
      </c>
      <c r="R108" s="121" t="s">
        <v>251</v>
      </c>
      <c r="S108" s="146">
        <v>0.4</v>
      </c>
      <c r="T108" s="121" t="s">
        <v>251</v>
      </c>
      <c r="U108" s="146">
        <v>0.1</v>
      </c>
      <c r="V108" s="121" t="s">
        <v>198</v>
      </c>
      <c r="W108" s="146">
        <v>0.3</v>
      </c>
      <c r="X108" s="121" t="s">
        <v>198</v>
      </c>
      <c r="Y108" s="126">
        <v>0.25</v>
      </c>
      <c r="Z108" s="121" t="s">
        <v>198</v>
      </c>
      <c r="AA108" s="126">
        <v>0.25</v>
      </c>
      <c r="AB108" s="121" t="s">
        <v>198</v>
      </c>
      <c r="AC108" s="126">
        <v>0.25</v>
      </c>
      <c r="AD108" s="121" t="s">
        <v>198</v>
      </c>
      <c r="AE108" s="126">
        <v>0.2</v>
      </c>
      <c r="AF108" s="121" t="s">
        <v>198</v>
      </c>
      <c r="AG108" s="126">
        <v>0</v>
      </c>
      <c r="AH108" s="121" t="s">
        <v>198</v>
      </c>
      <c r="AI108" s="126">
        <v>0</v>
      </c>
      <c r="AJ108" s="121" t="s">
        <v>198</v>
      </c>
      <c r="AK108" s="126">
        <v>7.0000000000000007E-2</v>
      </c>
      <c r="AL108" s="121" t="s">
        <v>198</v>
      </c>
      <c r="AM108" s="126">
        <v>0</v>
      </c>
      <c r="AN108" s="121" t="s">
        <v>198</v>
      </c>
      <c r="AO108" s="126">
        <v>7.0000000000000007E-2</v>
      </c>
      <c r="AP108" s="121" t="s">
        <v>198</v>
      </c>
      <c r="AQ108" s="178">
        <v>0</v>
      </c>
      <c r="AR108" s="121" t="s">
        <v>198</v>
      </c>
      <c r="AS108" s="177">
        <v>3.125E-2</v>
      </c>
      <c r="AT108" s="121" t="s">
        <v>198</v>
      </c>
      <c r="AU108" s="126">
        <v>0.3</v>
      </c>
      <c r="AV108" s="121" t="s">
        <v>198</v>
      </c>
      <c r="AW108" s="141">
        <f>0/2</f>
        <v>0</v>
      </c>
      <c r="AX108" s="121" t="s">
        <v>198</v>
      </c>
      <c r="AY108" s="143">
        <v>0.14000000000000001</v>
      </c>
      <c r="AZ108" s="121" t="s">
        <v>198</v>
      </c>
      <c r="BA108" s="143">
        <v>0.31</v>
      </c>
      <c r="BB108" s="121" t="s">
        <v>251</v>
      </c>
      <c r="BC108" s="146">
        <v>0.14000000000000001</v>
      </c>
      <c r="BD108" s="121" t="s">
        <v>198</v>
      </c>
      <c r="BE108" s="126">
        <v>0</v>
      </c>
      <c r="BF108" s="121" t="s">
        <v>198</v>
      </c>
      <c r="BG108" s="126">
        <v>0.2</v>
      </c>
      <c r="BH108" s="121" t="s">
        <v>198</v>
      </c>
      <c r="BI108" s="121" t="s">
        <v>6</v>
      </c>
      <c r="BJ108" s="121" t="s">
        <v>61</v>
      </c>
      <c r="BK108" s="126">
        <v>0.2</v>
      </c>
      <c r="BL108" s="128" t="str">
        <f>IF(BK108="NA","NA",IF(BK108="Not Reported","Not Reported",IF(BK108&gt;$L$108,"Not Met","Met")))</f>
        <v>Met</v>
      </c>
      <c r="BM108" s="267">
        <v>0</v>
      </c>
      <c r="BN108" s="128" t="str">
        <f>IF(BM108="NA","NA",IF(BM108="Not Reported","Not Reported",IF(BM108&gt;$L$108,"Not Met","Met")))</f>
        <v>Met</v>
      </c>
      <c r="BO108" s="121" t="s">
        <v>61</v>
      </c>
      <c r="BP108" s="128" t="s">
        <v>61</v>
      </c>
      <c r="BQ108" s="121" t="s">
        <v>61</v>
      </c>
      <c r="BR108" s="128" t="s">
        <v>61</v>
      </c>
      <c r="BS108" s="121" t="s">
        <v>61</v>
      </c>
      <c r="BT108" s="128" t="str">
        <f>IF(BS108="NA","NA",IF(BS108="Not Reported","Not Reported",IF(BS108&gt;$L$108,"Not Met","Met")))</f>
        <v>Not Reported</v>
      </c>
      <c r="BU108" s="121" t="s">
        <v>61</v>
      </c>
      <c r="BV108" s="128" t="str">
        <f>IF(BU108="NA","NA",IF(BU108="Not Reported","Not Reported",IF(BU108&gt;$L$108,"Not Met","Met")))</f>
        <v>Not Reported</v>
      </c>
    </row>
    <row r="109" spans="1:74" ht="24" x14ac:dyDescent="0.2">
      <c r="A109" s="121">
        <v>108</v>
      </c>
      <c r="B109" s="122" t="s">
        <v>30</v>
      </c>
      <c r="C109" s="122" t="s">
        <v>904</v>
      </c>
      <c r="D109" s="123" t="s">
        <v>109</v>
      </c>
      <c r="E109" s="123" t="s">
        <v>900</v>
      </c>
      <c r="F109" s="123" t="s">
        <v>190</v>
      </c>
      <c r="G109" s="122" t="s">
        <v>273</v>
      </c>
      <c r="H109" s="122" t="s">
        <v>192</v>
      </c>
      <c r="I109" s="124" t="s">
        <v>284</v>
      </c>
      <c r="J109" s="124" t="s">
        <v>285</v>
      </c>
      <c r="K109" s="145" t="s">
        <v>284</v>
      </c>
      <c r="L109" s="128">
        <v>0.6</v>
      </c>
      <c r="M109" s="128">
        <v>0.6</v>
      </c>
      <c r="N109" s="149" t="s">
        <v>287</v>
      </c>
      <c r="O109" s="186" t="s">
        <v>288</v>
      </c>
      <c r="P109" s="123" t="s">
        <v>207</v>
      </c>
      <c r="Q109" s="146">
        <v>0.56000000000000005</v>
      </c>
      <c r="R109" s="185" t="s">
        <v>251</v>
      </c>
      <c r="S109" s="146">
        <v>0.55000000000000004</v>
      </c>
      <c r="T109" s="147" t="s">
        <v>251</v>
      </c>
      <c r="U109" s="146">
        <v>0.86</v>
      </c>
      <c r="V109" s="121" t="s">
        <v>198</v>
      </c>
      <c r="W109" s="146">
        <v>0.84</v>
      </c>
      <c r="X109" s="121" t="s">
        <v>198</v>
      </c>
      <c r="Y109" s="126">
        <v>0.81</v>
      </c>
      <c r="Z109" s="121" t="s">
        <v>198</v>
      </c>
      <c r="AA109" s="126">
        <v>0.81</v>
      </c>
      <c r="AB109" s="121" t="s">
        <v>198</v>
      </c>
      <c r="AC109" s="126">
        <v>0.81</v>
      </c>
      <c r="AD109" s="121" t="s">
        <v>198</v>
      </c>
      <c r="AE109" s="126">
        <v>0.67</v>
      </c>
      <c r="AF109" s="121" t="s">
        <v>198</v>
      </c>
      <c r="AG109" s="126">
        <v>0.69</v>
      </c>
      <c r="AH109" s="121" t="s">
        <v>198</v>
      </c>
      <c r="AI109" s="126">
        <v>0.7</v>
      </c>
      <c r="AJ109" s="121" t="s">
        <v>198</v>
      </c>
      <c r="AK109" s="126">
        <v>0.69</v>
      </c>
      <c r="AL109" s="121" t="s">
        <v>198</v>
      </c>
      <c r="AM109" s="126">
        <v>0.64</v>
      </c>
      <c r="AN109" s="121" t="s">
        <v>198</v>
      </c>
      <c r="AO109" s="146">
        <v>0.77</v>
      </c>
      <c r="AP109" s="121" t="s">
        <v>198</v>
      </c>
      <c r="AQ109" s="177">
        <v>0.85135135135135132</v>
      </c>
      <c r="AR109" s="121" t="s">
        <v>198</v>
      </c>
      <c r="AS109" s="177">
        <v>0.90235690235690236</v>
      </c>
      <c r="AT109" s="121" t="s">
        <v>198</v>
      </c>
      <c r="AU109" s="126">
        <v>0.7</v>
      </c>
      <c r="AV109" s="121" t="s">
        <v>198</v>
      </c>
      <c r="AW109" s="177">
        <f>17/20</f>
        <v>0.85</v>
      </c>
      <c r="AX109" s="121" t="s">
        <v>198</v>
      </c>
      <c r="AY109" s="143">
        <v>0.82</v>
      </c>
      <c r="AZ109" s="121" t="s">
        <v>198</v>
      </c>
      <c r="BA109" s="143">
        <v>0.81</v>
      </c>
      <c r="BB109" s="121" t="s">
        <v>198</v>
      </c>
      <c r="BC109" s="126">
        <v>0.84</v>
      </c>
      <c r="BD109" s="121" t="s">
        <v>198</v>
      </c>
      <c r="BE109" s="126">
        <f>66/90</f>
        <v>0.73333333333333328</v>
      </c>
      <c r="BF109" s="121" t="s">
        <v>198</v>
      </c>
      <c r="BG109" s="126">
        <v>0.8</v>
      </c>
      <c r="BH109" s="121" t="s">
        <v>198</v>
      </c>
      <c r="BI109" s="121" t="s">
        <v>6</v>
      </c>
      <c r="BJ109" s="121" t="s">
        <v>61</v>
      </c>
      <c r="BK109" s="126">
        <v>0.96</v>
      </c>
      <c r="BL109" s="128" t="str">
        <f>IF(BK109="NA","NA",IF(BK109="Not Reported","Not Reported",IF(BK109&lt;$L$109,"Not Met","Met")))</f>
        <v>Met</v>
      </c>
      <c r="BM109" s="267">
        <v>0.85</v>
      </c>
      <c r="BN109" s="128" t="str">
        <f>IF(BM109="NA","NA",IF(BM109="Not Reported","Not Reported",IF(BM109&lt;$L$109,"Not Met","Met")))</f>
        <v>Met</v>
      </c>
      <c r="BO109" s="121" t="s">
        <v>61</v>
      </c>
      <c r="BP109" s="128" t="s">
        <v>61</v>
      </c>
      <c r="BQ109" s="121" t="s">
        <v>61</v>
      </c>
      <c r="BR109" s="128" t="s">
        <v>61</v>
      </c>
      <c r="BS109" s="121" t="s">
        <v>61</v>
      </c>
      <c r="BT109" s="128" t="str">
        <f>IF(BS109="NA","NA",IF(BS109="Not Reported","Not Reported",IF(BS109&lt;$L$109,"Not Met","Met")))</f>
        <v>Not Reported</v>
      </c>
      <c r="BU109" s="121" t="s">
        <v>61</v>
      </c>
      <c r="BV109" s="128" t="str">
        <f>IF(BU109="NA","NA",IF(BU109="Not Reported","Not Reported",IF(BU109&lt;$L$109,"Not Met","Met")))</f>
        <v>Not Reported</v>
      </c>
    </row>
    <row r="110" spans="1:74" ht="24" x14ac:dyDescent="0.2">
      <c r="A110" s="121">
        <v>109</v>
      </c>
      <c r="B110" s="122" t="s">
        <v>30</v>
      </c>
      <c r="C110" s="122" t="s">
        <v>904</v>
      </c>
      <c r="D110" s="123" t="s">
        <v>109</v>
      </c>
      <c r="E110" s="123" t="s">
        <v>900</v>
      </c>
      <c r="F110" s="123" t="s">
        <v>190</v>
      </c>
      <c r="G110" s="122" t="s">
        <v>273</v>
      </c>
      <c r="H110" s="122" t="s">
        <v>192</v>
      </c>
      <c r="I110" s="123" t="s">
        <v>296</v>
      </c>
      <c r="J110" s="123" t="s">
        <v>296</v>
      </c>
      <c r="K110" s="145" t="s">
        <v>296</v>
      </c>
      <c r="L110" s="128">
        <v>0.7</v>
      </c>
      <c r="M110" s="128">
        <v>0.7</v>
      </c>
      <c r="N110" s="149" t="s">
        <v>297</v>
      </c>
      <c r="O110" s="186" t="s">
        <v>298</v>
      </c>
      <c r="P110" s="123" t="s">
        <v>207</v>
      </c>
      <c r="Q110" s="146">
        <v>0.04</v>
      </c>
      <c r="R110" s="185" t="s">
        <v>251</v>
      </c>
      <c r="S110" s="146">
        <v>0.06</v>
      </c>
      <c r="T110" s="147" t="s">
        <v>251</v>
      </c>
      <c r="U110" s="146">
        <v>0.12</v>
      </c>
      <c r="V110" s="121" t="s">
        <v>198</v>
      </c>
      <c r="W110" s="146">
        <v>0.7</v>
      </c>
      <c r="X110" s="121" t="s">
        <v>198</v>
      </c>
      <c r="Y110" s="126">
        <v>0.67</v>
      </c>
      <c r="Z110" s="121" t="s">
        <v>198</v>
      </c>
      <c r="AA110" s="126">
        <v>0.67</v>
      </c>
      <c r="AB110" s="121" t="s">
        <v>251</v>
      </c>
      <c r="AC110" s="126">
        <v>0.67</v>
      </c>
      <c r="AD110" s="121" t="s">
        <v>198</v>
      </c>
      <c r="AE110" s="126">
        <v>0.75</v>
      </c>
      <c r="AF110" s="121" t="s">
        <v>198</v>
      </c>
      <c r="AG110" s="126">
        <v>0.68</v>
      </c>
      <c r="AH110" s="147" t="s">
        <v>251</v>
      </c>
      <c r="AI110" s="126">
        <v>0.45</v>
      </c>
      <c r="AJ110" s="147" t="s">
        <v>251</v>
      </c>
      <c r="AK110" s="126">
        <v>0.63</v>
      </c>
      <c r="AL110" s="147" t="s">
        <v>251</v>
      </c>
      <c r="AM110" s="126">
        <v>0.33</v>
      </c>
      <c r="AN110" s="121" t="s">
        <v>251</v>
      </c>
      <c r="AO110" s="177">
        <v>0.16666666666666666</v>
      </c>
      <c r="AP110" s="121" t="s">
        <v>251</v>
      </c>
      <c r="AQ110" s="177">
        <v>0.21428571428571427</v>
      </c>
      <c r="AR110" s="121" t="s">
        <v>251</v>
      </c>
      <c r="AS110" s="177">
        <v>0.6428571428571429</v>
      </c>
      <c r="AT110" s="121" t="s">
        <v>251</v>
      </c>
      <c r="AU110" s="126">
        <v>0.56000000000000005</v>
      </c>
      <c r="AV110" s="121" t="s">
        <v>251</v>
      </c>
      <c r="AW110" s="141">
        <v>0.28999999999999998</v>
      </c>
      <c r="AX110" s="121" t="s">
        <v>251</v>
      </c>
      <c r="AY110" s="126">
        <v>0</v>
      </c>
      <c r="AZ110" s="121" t="s">
        <v>251</v>
      </c>
      <c r="BA110" s="143">
        <v>0.77</v>
      </c>
      <c r="BB110" s="121" t="s">
        <v>198</v>
      </c>
      <c r="BC110" s="126">
        <v>0.88</v>
      </c>
      <c r="BD110" s="121" t="s">
        <v>198</v>
      </c>
      <c r="BE110" s="121" t="s">
        <v>6</v>
      </c>
      <c r="BF110" s="121" t="s">
        <v>61</v>
      </c>
      <c r="BG110" s="126">
        <v>1.33</v>
      </c>
      <c r="BH110" s="121" t="s">
        <v>198</v>
      </c>
      <c r="BI110" s="121" t="s">
        <v>6</v>
      </c>
      <c r="BJ110" s="121" t="s">
        <v>61</v>
      </c>
      <c r="BK110" s="126">
        <v>1</v>
      </c>
      <c r="BL110" s="128" t="str">
        <f>IF(BK110="NA","NA",IF(BK110="Not Reported","Not Reported",IF(BK110&lt;$L$110,"Not Met","Met")))</f>
        <v>Met</v>
      </c>
      <c r="BM110" s="267">
        <f>4/4</f>
        <v>1</v>
      </c>
      <c r="BN110" s="128" t="str">
        <f>IF(BM110="NA","NA",IF(BM110="Not Reported","Not Reported",IF(BM110&lt;$L$110,"Not Met","Met")))</f>
        <v>Met</v>
      </c>
      <c r="BO110" s="121" t="s">
        <v>61</v>
      </c>
      <c r="BP110" s="128" t="s">
        <v>61</v>
      </c>
      <c r="BQ110" s="121" t="s">
        <v>61</v>
      </c>
      <c r="BR110" s="128" t="s">
        <v>61</v>
      </c>
      <c r="BS110" s="121" t="s">
        <v>61</v>
      </c>
      <c r="BT110" s="128" t="str">
        <f>IF(BS110="NA","NA",IF(BS110="Not Reported","Not Reported",IF(BS110&lt;$L$110,"Not Met","Met")))</f>
        <v>Not Reported</v>
      </c>
      <c r="BU110" s="121" t="s">
        <v>61</v>
      </c>
      <c r="BV110" s="128" t="str">
        <f>IF(BU110="NA","NA",IF(BU110="Not Reported","Not Reported",IF(BU110&lt;$L$110,"Not Met","Met")))</f>
        <v>Not Reported</v>
      </c>
    </row>
    <row r="111" spans="1:74" ht="36" x14ac:dyDescent="0.2">
      <c r="A111" s="121">
        <v>110</v>
      </c>
      <c r="B111" s="122" t="s">
        <v>30</v>
      </c>
      <c r="C111" s="122" t="s">
        <v>904</v>
      </c>
      <c r="D111" s="123" t="s">
        <v>109</v>
      </c>
      <c r="E111" s="123" t="s">
        <v>900</v>
      </c>
      <c r="F111" s="123" t="s">
        <v>190</v>
      </c>
      <c r="G111" s="122" t="s">
        <v>273</v>
      </c>
      <c r="H111" s="122" t="s">
        <v>192</v>
      </c>
      <c r="I111" s="124" t="s">
        <v>246</v>
      </c>
      <c r="J111" s="124" t="s">
        <v>214</v>
      </c>
      <c r="K111" s="122" t="s">
        <v>326</v>
      </c>
      <c r="L111" s="128">
        <v>0.25</v>
      </c>
      <c r="M111" s="128" t="s">
        <v>556</v>
      </c>
      <c r="N111" s="149" t="s">
        <v>368</v>
      </c>
      <c r="O111" s="186" t="s">
        <v>369</v>
      </c>
      <c r="P111" s="123" t="s">
        <v>207</v>
      </c>
      <c r="Q111" s="146">
        <v>0.2</v>
      </c>
      <c r="R111" s="185" t="s">
        <v>198</v>
      </c>
      <c r="S111" s="146">
        <v>0.21</v>
      </c>
      <c r="T111" s="121" t="s">
        <v>198</v>
      </c>
      <c r="U111" s="146">
        <v>0.23</v>
      </c>
      <c r="V111" s="121" t="s">
        <v>198</v>
      </c>
      <c r="W111" s="146">
        <v>0.24</v>
      </c>
      <c r="X111" s="121" t="s">
        <v>198</v>
      </c>
      <c r="Y111" s="126">
        <v>0.25</v>
      </c>
      <c r="Z111" s="121" t="s">
        <v>198</v>
      </c>
      <c r="AA111" s="126">
        <v>0.25</v>
      </c>
      <c r="AB111" s="121" t="s">
        <v>198</v>
      </c>
      <c r="AC111" s="126">
        <v>0.25</v>
      </c>
      <c r="AD111" s="121" t="s">
        <v>198</v>
      </c>
      <c r="AE111" s="126">
        <v>0.52</v>
      </c>
      <c r="AF111" s="147" t="s">
        <v>251</v>
      </c>
      <c r="AG111" s="126">
        <v>0.49</v>
      </c>
      <c r="AH111" s="147" t="s">
        <v>251</v>
      </c>
      <c r="AI111" s="126">
        <v>0.43</v>
      </c>
      <c r="AJ111" s="147" t="s">
        <v>251</v>
      </c>
      <c r="AK111" s="126">
        <v>0.48</v>
      </c>
      <c r="AL111" s="147" t="s">
        <v>251</v>
      </c>
      <c r="AM111" s="126">
        <v>0.39</v>
      </c>
      <c r="AN111" s="121" t="s">
        <v>251</v>
      </c>
      <c r="AO111" s="126">
        <v>0.33</v>
      </c>
      <c r="AP111" s="121" t="s">
        <v>251</v>
      </c>
      <c r="AQ111" s="177">
        <v>0.14000000000000001</v>
      </c>
      <c r="AR111" s="121" t="s">
        <v>198</v>
      </c>
      <c r="AS111" s="126" t="s">
        <v>61</v>
      </c>
      <c r="AT111" s="126" t="s">
        <v>61</v>
      </c>
      <c r="AU111" s="126">
        <v>0.19</v>
      </c>
      <c r="AV111" s="121" t="s">
        <v>198</v>
      </c>
      <c r="AW111" s="141">
        <f>3/14</f>
        <v>0.21428571428571427</v>
      </c>
      <c r="AX111" s="121" t="s">
        <v>198</v>
      </c>
      <c r="AY111" s="143">
        <v>0.5</v>
      </c>
      <c r="AZ111" s="121" t="s">
        <v>251</v>
      </c>
      <c r="BA111" s="143">
        <v>0.28999999999999998</v>
      </c>
      <c r="BB111" s="121" t="s">
        <v>251</v>
      </c>
      <c r="BC111" s="126">
        <v>0.33</v>
      </c>
      <c r="BD111" s="121" t="s">
        <v>251</v>
      </c>
      <c r="BE111" s="126">
        <v>0.12</v>
      </c>
      <c r="BF111" s="121" t="s">
        <v>198</v>
      </c>
      <c r="BG111" s="126">
        <v>0.31</v>
      </c>
      <c r="BH111" s="121" t="s">
        <v>251</v>
      </c>
      <c r="BI111" s="121" t="s">
        <v>6</v>
      </c>
      <c r="BJ111" s="121" t="s">
        <v>61</v>
      </c>
      <c r="BK111" s="126">
        <v>0.15</v>
      </c>
      <c r="BL111" s="174" t="str">
        <f>IF(BK111="NA","NA",IF(BK111="Not Reported","Not Reported",IF(BK111&gt;=$L$111,"Not Met","Met")))</f>
        <v>Met</v>
      </c>
      <c r="BM111" s="267">
        <v>0</v>
      </c>
      <c r="BN111" s="162" t="str">
        <f>IF(BM111="NA","NA",IF(BM111="Not Reported","Not Reported",IF(BM111&gt;=$L$111,"Not Met","Met")))</f>
        <v>Met</v>
      </c>
      <c r="BO111" s="121" t="s">
        <v>61</v>
      </c>
      <c r="BP111" s="162" t="s">
        <v>61</v>
      </c>
      <c r="BQ111" s="121" t="s">
        <v>61</v>
      </c>
      <c r="BR111" s="162" t="s">
        <v>61</v>
      </c>
      <c r="BS111" s="121" t="s">
        <v>61</v>
      </c>
      <c r="BT111" s="162" t="str">
        <f>IF(BS111="NA","NA",IF(BS111="Not Reported","Not Reported",IF(BS111&gt;=$L$111,"Not Met","Met")))</f>
        <v>Not Reported</v>
      </c>
      <c r="BU111" s="121" t="s">
        <v>61</v>
      </c>
      <c r="BV111" s="162" t="str">
        <f>IF(BU111="NA","NA",IF(BU111="Not Reported","Not Reported",IF(BU111&gt;=$L$111,"Not Met","Met")))</f>
        <v>Not Reported</v>
      </c>
    </row>
    <row r="112" spans="1:74" ht="24" x14ac:dyDescent="0.2">
      <c r="A112" s="121">
        <v>111</v>
      </c>
      <c r="B112" s="122" t="s">
        <v>30</v>
      </c>
      <c r="C112" s="122" t="s">
        <v>904</v>
      </c>
      <c r="D112" s="123" t="s">
        <v>109</v>
      </c>
      <c r="E112" s="123" t="s">
        <v>900</v>
      </c>
      <c r="F112" s="123" t="s">
        <v>190</v>
      </c>
      <c r="G112" s="122" t="s">
        <v>273</v>
      </c>
      <c r="H112" s="122" t="s">
        <v>192</v>
      </c>
      <c r="I112" s="124" t="s">
        <v>257</v>
      </c>
      <c r="J112" s="124" t="s">
        <v>258</v>
      </c>
      <c r="K112" s="122" t="s">
        <v>259</v>
      </c>
      <c r="L112" s="128">
        <v>0.5</v>
      </c>
      <c r="M112" s="128">
        <v>0.5</v>
      </c>
      <c r="N112" s="149" t="s">
        <v>557</v>
      </c>
      <c r="O112" s="186"/>
      <c r="P112" s="123" t="s">
        <v>207</v>
      </c>
      <c r="Q112" s="146"/>
      <c r="R112" s="185"/>
      <c r="S112" s="146"/>
      <c r="T112" s="121"/>
      <c r="U112" s="146"/>
      <c r="V112" s="121"/>
      <c r="W112" s="146">
        <v>0.14000000000000001</v>
      </c>
      <c r="X112" s="121" t="s">
        <v>251</v>
      </c>
      <c r="Y112" s="126">
        <v>0.25</v>
      </c>
      <c r="Z112" s="121" t="s">
        <v>198</v>
      </c>
      <c r="AA112" s="126">
        <v>0.25</v>
      </c>
      <c r="AB112" s="121" t="s">
        <v>251</v>
      </c>
      <c r="AC112" s="126">
        <v>0.25</v>
      </c>
      <c r="AD112" s="121" t="s">
        <v>198</v>
      </c>
      <c r="AE112" s="126">
        <v>0.2</v>
      </c>
      <c r="AF112" s="147" t="s">
        <v>251</v>
      </c>
      <c r="AG112" s="126">
        <v>0</v>
      </c>
      <c r="AH112" s="147" t="s">
        <v>251</v>
      </c>
      <c r="AI112" s="126">
        <v>0.3</v>
      </c>
      <c r="AJ112" s="147" t="s">
        <v>251</v>
      </c>
      <c r="AK112" s="126">
        <v>0.17</v>
      </c>
      <c r="AL112" s="147" t="s">
        <v>251</v>
      </c>
      <c r="AM112" s="126">
        <v>0</v>
      </c>
      <c r="AN112" s="121" t="s">
        <v>251</v>
      </c>
      <c r="AO112" s="126">
        <v>0.5</v>
      </c>
      <c r="AP112" s="121" t="s">
        <v>198</v>
      </c>
      <c r="AQ112" s="177">
        <v>0.16666666666666666</v>
      </c>
      <c r="AR112" s="121" t="s">
        <v>251</v>
      </c>
      <c r="AS112" s="177">
        <v>0.2</v>
      </c>
      <c r="AT112" s="121" t="s">
        <v>251</v>
      </c>
      <c r="AU112" s="126">
        <v>0.11</v>
      </c>
      <c r="AV112" s="121" t="s">
        <v>251</v>
      </c>
      <c r="AW112" s="141">
        <v>0</v>
      </c>
      <c r="AX112" s="121" t="s">
        <v>251</v>
      </c>
      <c r="AY112" s="143">
        <v>0.17</v>
      </c>
      <c r="AZ112" s="121" t="s">
        <v>251</v>
      </c>
      <c r="BA112" s="143">
        <v>0.27</v>
      </c>
      <c r="BB112" s="121" t="s">
        <v>251</v>
      </c>
      <c r="BC112" s="126">
        <v>0</v>
      </c>
      <c r="BD112" s="121" t="s">
        <v>251</v>
      </c>
      <c r="BE112" s="126">
        <v>0</v>
      </c>
      <c r="BF112" s="121" t="s">
        <v>251</v>
      </c>
      <c r="BG112" s="126">
        <v>0.25</v>
      </c>
      <c r="BH112" s="121" t="s">
        <v>251</v>
      </c>
      <c r="BI112" s="121" t="s">
        <v>6</v>
      </c>
      <c r="BJ112" s="121" t="s">
        <v>61</v>
      </c>
      <c r="BK112" s="126">
        <v>0</v>
      </c>
      <c r="BL112" s="121" t="str">
        <f>IF(BK112="NA","NA",IF(BK112="Not Reported","Not Reported",IF(BK112&lt;$L$112,"Not Met","Met")))</f>
        <v>Not Met</v>
      </c>
      <c r="BM112" s="267">
        <v>0</v>
      </c>
      <c r="BN112" s="121" t="str">
        <f>IF(BM112="NA","NA",IF(BM112="Not Reported","Not Reported",IF(BM112&lt;$L$112,"Not Met","Met")))</f>
        <v>Not Met</v>
      </c>
      <c r="BO112" s="121" t="s">
        <v>61</v>
      </c>
      <c r="BP112" s="121" t="s">
        <v>61</v>
      </c>
      <c r="BQ112" s="121" t="s">
        <v>61</v>
      </c>
      <c r="BR112" s="121" t="s">
        <v>61</v>
      </c>
      <c r="BS112" s="121" t="s">
        <v>61</v>
      </c>
      <c r="BT112" s="121" t="str">
        <f>IF(BS112="NA","NA",IF(BS112="Not Reported","Not Reported",IF(BS112&lt;$L$112,"Not Met","Met")))</f>
        <v>Not Reported</v>
      </c>
      <c r="BU112" s="121" t="s">
        <v>61</v>
      </c>
      <c r="BV112" s="121" t="str">
        <f>IF(BU112="NA","NA",IF(BU112="Not Reported","Not Reported",IF(BU112&lt;$L$112,"Not Met","Met")))</f>
        <v>Not Reported</v>
      </c>
    </row>
    <row r="113" spans="1:75" x14ac:dyDescent="0.25">
      <c r="A113" s="121">
        <v>112</v>
      </c>
      <c r="B113" s="122" t="s">
        <v>7</v>
      </c>
      <c r="C113" s="122" t="s">
        <v>901</v>
      </c>
      <c r="D113" s="123" t="s">
        <v>102</v>
      </c>
      <c r="E113" s="123" t="s">
        <v>900</v>
      </c>
      <c r="F113" s="123" t="s">
        <v>190</v>
      </c>
      <c r="G113" s="123" t="s">
        <v>191</v>
      </c>
      <c r="H113" s="122" t="s">
        <v>192</v>
      </c>
      <c r="I113" s="124" t="s">
        <v>274</v>
      </c>
      <c r="J113" s="124" t="s">
        <v>214</v>
      </c>
      <c r="K113" s="145" t="s">
        <v>274</v>
      </c>
      <c r="L113" s="187" t="s">
        <v>854</v>
      </c>
      <c r="M113" s="187" t="s">
        <v>558</v>
      </c>
      <c r="N113" s="188" t="s">
        <v>559</v>
      </c>
      <c r="O113" s="188" t="s">
        <v>560</v>
      </c>
      <c r="P113" s="123" t="s">
        <v>207</v>
      </c>
      <c r="Q113" s="121">
        <v>47</v>
      </c>
      <c r="R113" s="121" t="s">
        <v>198</v>
      </c>
      <c r="S113" s="121" t="s">
        <v>561</v>
      </c>
      <c r="T113" s="147" t="s">
        <v>251</v>
      </c>
      <c r="U113" s="121" t="s">
        <v>562</v>
      </c>
      <c r="V113" s="121" t="s">
        <v>198</v>
      </c>
      <c r="W113" s="121" t="s">
        <v>563</v>
      </c>
      <c r="X113" s="121" t="s">
        <v>198</v>
      </c>
      <c r="Y113" s="121">
        <v>56</v>
      </c>
      <c r="Z113" s="121" t="s">
        <v>198</v>
      </c>
      <c r="AA113" s="121" t="s">
        <v>564</v>
      </c>
      <c r="AB113" s="121" t="s">
        <v>198</v>
      </c>
      <c r="AC113" s="121" t="s">
        <v>61</v>
      </c>
      <c r="AD113" s="121" t="s">
        <v>61</v>
      </c>
      <c r="AE113" s="121">
        <v>62</v>
      </c>
      <c r="AF113" s="121" t="s">
        <v>198</v>
      </c>
      <c r="AG113" s="121">
        <v>63</v>
      </c>
      <c r="AH113" s="121" t="s">
        <v>198</v>
      </c>
      <c r="AI113" s="121">
        <v>54</v>
      </c>
      <c r="AJ113" s="121" t="s">
        <v>198</v>
      </c>
      <c r="AK113" s="121" t="s">
        <v>61</v>
      </c>
      <c r="AL113" s="121" t="s">
        <v>61</v>
      </c>
      <c r="AM113" s="121" t="s">
        <v>565</v>
      </c>
      <c r="AN113" s="121" t="s">
        <v>198</v>
      </c>
      <c r="AO113" s="121">
        <v>51</v>
      </c>
      <c r="AP113" s="121" t="s">
        <v>198</v>
      </c>
      <c r="AQ113" s="121">
        <v>70</v>
      </c>
      <c r="AR113" s="121" t="s">
        <v>198</v>
      </c>
      <c r="AS113" s="121">
        <v>61</v>
      </c>
      <c r="AT113" s="121" t="s">
        <v>198</v>
      </c>
      <c r="AU113" s="187">
        <v>48</v>
      </c>
      <c r="AV113" s="121" t="s">
        <v>198</v>
      </c>
      <c r="AW113" s="121">
        <v>70</v>
      </c>
      <c r="AX113" s="121" t="s">
        <v>198</v>
      </c>
      <c r="AY113" s="121">
        <v>65</v>
      </c>
      <c r="AZ113" s="121" t="s">
        <v>198</v>
      </c>
      <c r="BA113" s="121">
        <v>59</v>
      </c>
      <c r="BB113" s="121" t="s">
        <v>198</v>
      </c>
      <c r="BC113" s="121">
        <v>54</v>
      </c>
      <c r="BD113" s="121" t="s">
        <v>198</v>
      </c>
      <c r="BE113" s="121">
        <v>26</v>
      </c>
      <c r="BF113" s="121" t="s">
        <v>198</v>
      </c>
      <c r="BG113" s="189">
        <v>44</v>
      </c>
      <c r="BH113" s="121" t="s">
        <v>198</v>
      </c>
      <c r="BI113" s="189">
        <v>52</v>
      </c>
      <c r="BJ113" s="121" t="s">
        <v>198</v>
      </c>
      <c r="BK113" s="189">
        <v>52</v>
      </c>
      <c r="BL113" s="121" t="str">
        <f>IF(BK113="NA","NA",IF(BK113="Not Reported","Not Reported",IF(BK113&gt;$L$113,"Not Met","Met")))</f>
        <v>Met</v>
      </c>
      <c r="BM113" s="258">
        <v>24</v>
      </c>
      <c r="BN113" s="121" t="str">
        <f>IF(BM113="NA","NA",IF(BM113="Not Reported","Not Reported",IF(BM113&gt;$L$113,"Not Met","Met")))</f>
        <v>Met</v>
      </c>
      <c r="BO113" s="121" t="s">
        <v>61</v>
      </c>
      <c r="BP113" s="121" t="s">
        <v>61</v>
      </c>
      <c r="BQ113" s="121" t="s">
        <v>61</v>
      </c>
      <c r="BR113" s="121" t="s">
        <v>61</v>
      </c>
      <c r="BS113" s="26">
        <v>59</v>
      </c>
      <c r="BT113" s="121" t="str">
        <f>IF(BS113="NA","NA",IF(BS113="Not Reported","Not Reported",IF(BS113&gt;$L$113,"Not Met","Met")))</f>
        <v>Met</v>
      </c>
      <c r="BU113" s="406">
        <v>49</v>
      </c>
      <c r="BV113" s="121" t="str">
        <f>IF(BU113="NA","NA",IF(BU113="Not Reported","Not Reported",IF(BU113&gt;$L$113,"Not Met","Met")))</f>
        <v>Met</v>
      </c>
    </row>
    <row r="114" spans="1:75" x14ac:dyDescent="0.2">
      <c r="A114" s="121">
        <v>113</v>
      </c>
      <c r="B114" s="122" t="s">
        <v>7</v>
      </c>
      <c r="C114" s="122" t="s">
        <v>901</v>
      </c>
      <c r="D114" s="123" t="s">
        <v>102</v>
      </c>
      <c r="E114" s="123" t="s">
        <v>900</v>
      </c>
      <c r="F114" s="123" t="s">
        <v>190</v>
      </c>
      <c r="G114" s="123" t="s">
        <v>191</v>
      </c>
      <c r="H114" s="122" t="s">
        <v>192</v>
      </c>
      <c r="I114" s="124" t="s">
        <v>213</v>
      </c>
      <c r="J114" s="124" t="s">
        <v>214</v>
      </c>
      <c r="K114" s="129" t="s">
        <v>213</v>
      </c>
      <c r="L114" s="147">
        <v>45</v>
      </c>
      <c r="M114" s="147" t="s">
        <v>361</v>
      </c>
      <c r="N114" s="122" t="s">
        <v>566</v>
      </c>
      <c r="O114" s="123" t="s">
        <v>567</v>
      </c>
      <c r="P114" s="123" t="s">
        <v>207</v>
      </c>
      <c r="Q114" s="162">
        <v>37</v>
      </c>
      <c r="R114" s="121" t="s">
        <v>198</v>
      </c>
      <c r="S114" s="162" t="s">
        <v>568</v>
      </c>
      <c r="T114" s="121" t="s">
        <v>198</v>
      </c>
      <c r="U114" s="162" t="s">
        <v>569</v>
      </c>
      <c r="V114" s="121" t="s">
        <v>198</v>
      </c>
      <c r="W114" s="162" t="s">
        <v>570</v>
      </c>
      <c r="X114" s="121" t="s">
        <v>198</v>
      </c>
      <c r="Y114" s="162">
        <v>33</v>
      </c>
      <c r="Z114" s="121" t="s">
        <v>198</v>
      </c>
      <c r="AA114" s="162" t="s">
        <v>571</v>
      </c>
      <c r="AB114" s="121" t="s">
        <v>198</v>
      </c>
      <c r="AC114" s="121" t="s">
        <v>61</v>
      </c>
      <c r="AD114" s="121" t="s">
        <v>61</v>
      </c>
      <c r="AE114" s="162">
        <v>40</v>
      </c>
      <c r="AF114" s="121" t="s">
        <v>198</v>
      </c>
      <c r="AG114" s="162">
        <v>34</v>
      </c>
      <c r="AH114" s="121" t="s">
        <v>198</v>
      </c>
      <c r="AI114" s="162">
        <v>37</v>
      </c>
      <c r="AJ114" s="121" t="s">
        <v>198</v>
      </c>
      <c r="AK114" s="121" t="s">
        <v>61</v>
      </c>
      <c r="AL114" s="121" t="s">
        <v>61</v>
      </c>
      <c r="AM114" s="162" t="s">
        <v>570</v>
      </c>
      <c r="AN114" s="121" t="s">
        <v>198</v>
      </c>
      <c r="AO114" s="162">
        <v>29</v>
      </c>
      <c r="AP114" s="121" t="s">
        <v>198</v>
      </c>
      <c r="AQ114" s="121">
        <v>35</v>
      </c>
      <c r="AR114" s="121" t="s">
        <v>198</v>
      </c>
      <c r="AS114" s="121">
        <v>31</v>
      </c>
      <c r="AT114" s="121" t="s">
        <v>198</v>
      </c>
      <c r="AU114" s="187">
        <v>23</v>
      </c>
      <c r="AV114" s="121" t="s">
        <v>198</v>
      </c>
      <c r="AW114" s="162">
        <v>31</v>
      </c>
      <c r="AX114" s="121" t="s">
        <v>198</v>
      </c>
      <c r="AY114" s="162">
        <v>44</v>
      </c>
      <c r="AZ114" s="121" t="s">
        <v>198</v>
      </c>
      <c r="BA114" s="162">
        <v>29</v>
      </c>
      <c r="BB114" s="121" t="s">
        <v>198</v>
      </c>
      <c r="BC114" s="162">
        <v>23</v>
      </c>
      <c r="BD114" s="121" t="s">
        <v>198</v>
      </c>
      <c r="BE114" s="162">
        <v>17</v>
      </c>
      <c r="BF114" s="121" t="s">
        <v>198</v>
      </c>
      <c r="BG114" s="162">
        <v>25</v>
      </c>
      <c r="BH114" s="121" t="s">
        <v>198</v>
      </c>
      <c r="BI114" s="162">
        <v>31</v>
      </c>
      <c r="BJ114" s="121" t="s">
        <v>198</v>
      </c>
      <c r="BK114" s="162">
        <v>31</v>
      </c>
      <c r="BL114" s="121" t="str">
        <f>IF(BK114="NA","NA",IF(BK114="Not Reported","Not Reported",IF(BK114&gt;$L$114,"Not Met","Met")))</f>
        <v>Met</v>
      </c>
      <c r="BM114" s="258">
        <v>35</v>
      </c>
      <c r="BN114" s="121" t="str">
        <f>IF(BM114="NA","NA",IF(BM114="Not Reported","Not Reported",IF(BM114&gt;$L$114,"Not Met","Met")))</f>
        <v>Met</v>
      </c>
      <c r="BO114" s="121" t="s">
        <v>61</v>
      </c>
      <c r="BP114" s="121" t="s">
        <v>61</v>
      </c>
      <c r="BQ114" s="121" t="s">
        <v>61</v>
      </c>
      <c r="BR114" s="121" t="s">
        <v>61</v>
      </c>
      <c r="BS114" s="26">
        <v>32</v>
      </c>
      <c r="BT114" s="121" t="str">
        <f>IF(BS114="NA","NA",IF(BS114="Not Reported","Not Reported",IF(BS114&gt;$L$114,"Not Met","Met")))</f>
        <v>Met</v>
      </c>
      <c r="BU114" s="296">
        <v>28</v>
      </c>
      <c r="BV114" s="121" t="str">
        <f>IF(BU114="NA","NA",IF(BU114="Not Reported","Not Reported",IF(BU114&gt;$L$114,"Not Met","Met")))</f>
        <v>Met</v>
      </c>
    </row>
    <row r="115" spans="1:75" x14ac:dyDescent="0.2">
      <c r="A115" s="121">
        <v>114</v>
      </c>
      <c r="B115" s="122" t="s">
        <v>7</v>
      </c>
      <c r="C115" s="122" t="s">
        <v>901</v>
      </c>
      <c r="D115" s="123" t="s">
        <v>102</v>
      </c>
      <c r="E115" s="123" t="s">
        <v>900</v>
      </c>
      <c r="F115" s="123" t="s">
        <v>190</v>
      </c>
      <c r="G115" s="123" t="s">
        <v>191</v>
      </c>
      <c r="H115" s="122" t="s">
        <v>192</v>
      </c>
      <c r="I115" s="124" t="s">
        <v>313</v>
      </c>
      <c r="J115" s="124" t="s">
        <v>313</v>
      </c>
      <c r="K115" s="123" t="s">
        <v>572</v>
      </c>
      <c r="L115" s="146">
        <v>0.8</v>
      </c>
      <c r="M115" s="146">
        <v>0.8</v>
      </c>
      <c r="N115" s="122" t="s">
        <v>541</v>
      </c>
      <c r="O115" s="122" t="s">
        <v>541</v>
      </c>
      <c r="P115" s="123" t="s">
        <v>207</v>
      </c>
      <c r="Q115" s="177">
        <f>15/16</f>
        <v>0.9375</v>
      </c>
      <c r="R115" s="121" t="s">
        <v>198</v>
      </c>
      <c r="S115" s="128">
        <v>0.87878787878787878</v>
      </c>
      <c r="T115" s="121" t="s">
        <v>198</v>
      </c>
      <c r="U115" s="177">
        <v>0.72727272727272729</v>
      </c>
      <c r="V115" s="147" t="s">
        <v>251</v>
      </c>
      <c r="W115" s="177">
        <f>17/26</f>
        <v>0.65384615384615385</v>
      </c>
      <c r="X115" s="147" t="s">
        <v>251</v>
      </c>
      <c r="Y115" s="177">
        <f>30/34</f>
        <v>0.88235294117647056</v>
      </c>
      <c r="Z115" s="121" t="s">
        <v>198</v>
      </c>
      <c r="AA115" s="177">
        <f>33/39</f>
        <v>0.84615384615384615</v>
      </c>
      <c r="AB115" s="121" t="s">
        <v>198</v>
      </c>
      <c r="AC115" s="121" t="s">
        <v>61</v>
      </c>
      <c r="AD115" s="121" t="s">
        <v>61</v>
      </c>
      <c r="AE115" s="177">
        <f>24/27</f>
        <v>0.88888888888888884</v>
      </c>
      <c r="AF115" s="121" t="s">
        <v>198</v>
      </c>
      <c r="AG115" s="177">
        <v>0.84615384615384615</v>
      </c>
      <c r="AH115" s="121" t="s">
        <v>198</v>
      </c>
      <c r="AI115" s="177">
        <f>31/35</f>
        <v>0.88571428571428568</v>
      </c>
      <c r="AJ115" s="121" t="s">
        <v>198</v>
      </c>
      <c r="AK115" s="121" t="s">
        <v>61</v>
      </c>
      <c r="AL115" s="121" t="s">
        <v>61</v>
      </c>
      <c r="AM115" s="146">
        <v>0.94</v>
      </c>
      <c r="AN115" s="121" t="s">
        <v>198</v>
      </c>
      <c r="AO115" s="146">
        <v>0.74</v>
      </c>
      <c r="AP115" s="121" t="s">
        <v>251</v>
      </c>
      <c r="AQ115" s="126">
        <v>0.77</v>
      </c>
      <c r="AR115" s="121" t="s">
        <v>251</v>
      </c>
      <c r="AS115" s="143">
        <f>61/78</f>
        <v>0.78205128205128205</v>
      </c>
      <c r="AT115" s="121" t="s">
        <v>251</v>
      </c>
      <c r="AU115" s="190">
        <f>22/24</f>
        <v>0.91666666666666663</v>
      </c>
      <c r="AV115" s="121" t="s">
        <v>198</v>
      </c>
      <c r="AW115" s="177">
        <f>12/13</f>
        <v>0.92307692307692313</v>
      </c>
      <c r="AX115" s="121" t="s">
        <v>198</v>
      </c>
      <c r="AY115" s="177">
        <f>17/19</f>
        <v>0.89473684210526316</v>
      </c>
      <c r="AZ115" s="121" t="s">
        <v>198</v>
      </c>
      <c r="BA115" s="177">
        <f>51/56</f>
        <v>0.9107142857142857</v>
      </c>
      <c r="BB115" s="121" t="s">
        <v>198</v>
      </c>
      <c r="BC115" s="177">
        <f>6/9</f>
        <v>0.66666666666666663</v>
      </c>
      <c r="BD115" s="121" t="s">
        <v>251</v>
      </c>
      <c r="BE115" s="177">
        <f>25/26</f>
        <v>0.96153846153846156</v>
      </c>
      <c r="BF115" s="121" t="s">
        <v>198</v>
      </c>
      <c r="BG115" s="177">
        <f>40/44</f>
        <v>0.90909090909090906</v>
      </c>
      <c r="BH115" s="121" t="s">
        <v>198</v>
      </c>
      <c r="BI115" s="177">
        <f>16/16</f>
        <v>1</v>
      </c>
      <c r="BJ115" s="121" t="s">
        <v>198</v>
      </c>
      <c r="BK115" s="177">
        <f>16/16</f>
        <v>1</v>
      </c>
      <c r="BL115" s="128" t="str">
        <f>IF(BK115="NA","NA",IF(BK115="Not Reported","Not Reported",IF(BK115&lt;$L$115,"Not Met","Met")))</f>
        <v>Met</v>
      </c>
      <c r="BM115" s="262">
        <v>0.97</v>
      </c>
      <c r="BN115" s="128" t="str">
        <f>IF(BM115="NA","NA",IF(BM115="Not Reported","Not Reported",IF(BM115&lt;$L$115,"Not Met","Met")))</f>
        <v>Met</v>
      </c>
      <c r="BO115" s="121" t="s">
        <v>61</v>
      </c>
      <c r="BP115" s="128" t="s">
        <v>61</v>
      </c>
      <c r="BQ115" s="121" t="s">
        <v>61</v>
      </c>
      <c r="BR115" s="128" t="s">
        <v>61</v>
      </c>
      <c r="BS115" s="315">
        <v>0.92</v>
      </c>
      <c r="BT115" s="128" t="str">
        <f>IF(BS115="NA","NA",IF(BS115="Not Reported","Not Reported",IF(BS115&lt;$L$115,"Not Met","Met")))</f>
        <v>Met</v>
      </c>
      <c r="BU115" s="407">
        <v>0.88</v>
      </c>
      <c r="BV115" s="128" t="str">
        <f>IF(BU115="NA","NA",IF(BU115="Not Reported","Not Reported",IF(BU115&lt;$L$115,"Not Met","Met")))</f>
        <v>Met</v>
      </c>
      <c r="BW115" s="29"/>
    </row>
    <row r="116" spans="1:75" x14ac:dyDescent="0.2">
      <c r="A116" s="121">
        <v>115</v>
      </c>
      <c r="B116" s="122" t="s">
        <v>7</v>
      </c>
      <c r="C116" s="122" t="s">
        <v>901</v>
      </c>
      <c r="D116" s="123" t="s">
        <v>102</v>
      </c>
      <c r="E116" s="123" t="s">
        <v>900</v>
      </c>
      <c r="F116" s="123" t="s">
        <v>190</v>
      </c>
      <c r="G116" s="123" t="s">
        <v>191</v>
      </c>
      <c r="H116" s="122" t="s">
        <v>192</v>
      </c>
      <c r="I116" s="124"/>
      <c r="J116" s="124"/>
      <c r="K116" s="191" t="s">
        <v>573</v>
      </c>
      <c r="L116" s="152">
        <v>4.7222222222222221E-2</v>
      </c>
      <c r="M116" s="152">
        <v>4.7222222222222221E-2</v>
      </c>
      <c r="N116" s="122" t="s">
        <v>286</v>
      </c>
      <c r="O116" s="122" t="s">
        <v>286</v>
      </c>
      <c r="P116" s="123" t="s">
        <v>207</v>
      </c>
      <c r="Q116" s="192">
        <v>4.6527777777777779E-2</v>
      </c>
      <c r="R116" s="121" t="s">
        <v>198</v>
      </c>
      <c r="S116" s="152">
        <v>4.3749999999999997E-2</v>
      </c>
      <c r="T116" s="121" t="s">
        <v>198</v>
      </c>
      <c r="U116" s="192">
        <v>4.4444444444444446E-2</v>
      </c>
      <c r="V116" s="121" t="s">
        <v>198</v>
      </c>
      <c r="W116" s="192">
        <v>4.3749999999999997E-2</v>
      </c>
      <c r="X116" s="121" t="s">
        <v>198</v>
      </c>
      <c r="Y116" s="192">
        <v>4.5138888888888888E-2</v>
      </c>
      <c r="Z116" s="121" t="s">
        <v>198</v>
      </c>
      <c r="AA116" s="192">
        <v>4.3749999999999997E-2</v>
      </c>
      <c r="AB116" s="121" t="s">
        <v>198</v>
      </c>
      <c r="AC116" s="121" t="s">
        <v>61</v>
      </c>
      <c r="AD116" s="121" t="s">
        <v>61</v>
      </c>
      <c r="AE116" s="192">
        <v>4.4444444444444446E-2</v>
      </c>
      <c r="AF116" s="121" t="s">
        <v>198</v>
      </c>
      <c r="AG116" s="192">
        <v>4.4444444444444446E-2</v>
      </c>
      <c r="AH116" s="121" t="s">
        <v>198</v>
      </c>
      <c r="AI116" s="192">
        <v>4.3749999999999997E-2</v>
      </c>
      <c r="AJ116" s="121" t="s">
        <v>198</v>
      </c>
      <c r="AK116" s="121" t="s">
        <v>61</v>
      </c>
      <c r="AL116" s="121" t="s">
        <v>61</v>
      </c>
      <c r="AM116" s="193">
        <v>4.4444444444444446E-2</v>
      </c>
      <c r="AN116" s="121" t="s">
        <v>198</v>
      </c>
      <c r="AO116" s="193">
        <v>4.3749999999999997E-2</v>
      </c>
      <c r="AP116" s="121" t="s">
        <v>198</v>
      </c>
      <c r="AQ116" s="194">
        <v>4.3749999999999997E-2</v>
      </c>
      <c r="AR116" s="121" t="s">
        <v>198</v>
      </c>
      <c r="AS116" s="194">
        <v>4.3749999999999997E-2</v>
      </c>
      <c r="AT116" s="121" t="s">
        <v>198</v>
      </c>
      <c r="AU116" s="194">
        <v>4.3055555555555555E-2</v>
      </c>
      <c r="AV116" s="121" t="s">
        <v>198</v>
      </c>
      <c r="AW116" s="192">
        <v>4.6527777777777779E-2</v>
      </c>
      <c r="AX116" s="121" t="s">
        <v>198</v>
      </c>
      <c r="AY116" s="192">
        <v>4.6527777777777779E-2</v>
      </c>
      <c r="AZ116" s="121" t="s">
        <v>198</v>
      </c>
      <c r="BA116" s="192">
        <v>4.5138888888888888E-2</v>
      </c>
      <c r="BB116" s="121" t="s">
        <v>198</v>
      </c>
      <c r="BC116" s="192">
        <v>4.3749999999999997E-2</v>
      </c>
      <c r="BD116" s="121" t="s">
        <v>198</v>
      </c>
      <c r="BE116" s="192">
        <v>4.3055555555555555E-2</v>
      </c>
      <c r="BF116" s="121" t="s">
        <v>198</v>
      </c>
      <c r="BG116" s="192">
        <v>4.3055555555555555E-2</v>
      </c>
      <c r="BH116" s="121" t="s">
        <v>198</v>
      </c>
      <c r="BI116" s="192">
        <v>4.3749999999999997E-2</v>
      </c>
      <c r="BJ116" s="121" t="s">
        <v>198</v>
      </c>
      <c r="BK116" s="192">
        <v>4.3749999999999997E-2</v>
      </c>
      <c r="BL116" s="128" t="str">
        <f>IF(BK116="NA","NA",IF(BK116="Not Reported","Not Reported",IF(BK116&gt;$L$116,"Not Met","Met")))</f>
        <v>Met</v>
      </c>
      <c r="BM116" s="269">
        <v>4.3055555555555555E-2</v>
      </c>
      <c r="BN116" s="128" t="str">
        <f>IF(BM116="NA","NA",IF(BM116="Not Reported","Not Reported",IF(BM116&gt;$L$116,"Not Met","Met")))</f>
        <v>Met</v>
      </c>
      <c r="BO116" s="121" t="s">
        <v>61</v>
      </c>
      <c r="BP116" s="128" t="s">
        <v>61</v>
      </c>
      <c r="BQ116" s="121" t="s">
        <v>61</v>
      </c>
      <c r="BR116" s="128" t="s">
        <v>61</v>
      </c>
      <c r="BS116" s="320">
        <v>4.3749999999999997E-2</v>
      </c>
      <c r="BT116" s="128" t="str">
        <f>IF(BS116="NA","NA",IF(BS116="Not Reported","Not Reported",IF(BS116&gt;$L$116,"Not Met","Met")))</f>
        <v>Met</v>
      </c>
      <c r="BU116" s="408">
        <v>4.3749999999999997E-2</v>
      </c>
      <c r="BV116" s="128" t="str">
        <f>IF(BU116="NA","NA",IF(BU116="Not Reported","Not Reported",IF(BU116&gt;$L$116,"Not Met","Met")))</f>
        <v>Met</v>
      </c>
    </row>
    <row r="117" spans="1:75" x14ac:dyDescent="0.2">
      <c r="A117" s="121">
        <v>116</v>
      </c>
      <c r="B117" s="122" t="s">
        <v>7</v>
      </c>
      <c r="C117" s="122" t="s">
        <v>901</v>
      </c>
      <c r="D117" s="123" t="s">
        <v>102</v>
      </c>
      <c r="E117" s="123" t="s">
        <v>900</v>
      </c>
      <c r="F117" s="123" t="s">
        <v>190</v>
      </c>
      <c r="G117" s="123" t="s">
        <v>191</v>
      </c>
      <c r="H117" s="122" t="s">
        <v>192</v>
      </c>
      <c r="I117" s="124" t="s">
        <v>313</v>
      </c>
      <c r="J117" s="124" t="s">
        <v>313</v>
      </c>
      <c r="K117" s="191" t="s">
        <v>314</v>
      </c>
      <c r="L117" s="146">
        <v>0.15</v>
      </c>
      <c r="M117" s="147" t="s">
        <v>574</v>
      </c>
      <c r="N117" s="123" t="s">
        <v>514</v>
      </c>
      <c r="O117" s="123" t="s">
        <v>515</v>
      </c>
      <c r="P117" s="123" t="s">
        <v>207</v>
      </c>
      <c r="Q117" s="177">
        <f>6/15</f>
        <v>0.4</v>
      </c>
      <c r="R117" s="121" t="s">
        <v>198</v>
      </c>
      <c r="S117" s="128">
        <v>0.37931034482758619</v>
      </c>
      <c r="T117" s="121" t="s">
        <v>198</v>
      </c>
      <c r="U117" s="177">
        <v>0.4375</v>
      </c>
      <c r="V117" s="121" t="s">
        <v>198</v>
      </c>
      <c r="W117" s="177">
        <f>7/17</f>
        <v>0.41176470588235292</v>
      </c>
      <c r="X117" s="121" t="s">
        <v>198</v>
      </c>
      <c r="Y117" s="177">
        <f>11/30</f>
        <v>0.36666666666666664</v>
      </c>
      <c r="Z117" s="121" t="s">
        <v>198</v>
      </c>
      <c r="AA117" s="177">
        <f>11/33</f>
        <v>0.33333333333333331</v>
      </c>
      <c r="AB117" s="121" t="s">
        <v>198</v>
      </c>
      <c r="AC117" s="121" t="s">
        <v>61</v>
      </c>
      <c r="AD117" s="121" t="s">
        <v>61</v>
      </c>
      <c r="AE117" s="177">
        <f>7/24</f>
        <v>0.29166666666666669</v>
      </c>
      <c r="AF117" s="121" t="s">
        <v>198</v>
      </c>
      <c r="AG117" s="177">
        <v>0.27272727272727271</v>
      </c>
      <c r="AH117" s="121" t="s">
        <v>198</v>
      </c>
      <c r="AI117" s="177">
        <f>5/31</f>
        <v>0.16129032258064516</v>
      </c>
      <c r="AJ117" s="121" t="s">
        <v>198</v>
      </c>
      <c r="AK117" s="121" t="s">
        <v>61</v>
      </c>
      <c r="AL117" s="121" t="s">
        <v>61</v>
      </c>
      <c r="AM117" s="178">
        <v>0.27</v>
      </c>
      <c r="AN117" s="121" t="s">
        <v>198</v>
      </c>
      <c r="AO117" s="178">
        <v>0.35</v>
      </c>
      <c r="AP117" s="121" t="s">
        <v>198</v>
      </c>
      <c r="AQ117" s="126">
        <v>0.2</v>
      </c>
      <c r="AR117" s="121" t="s">
        <v>198</v>
      </c>
      <c r="AS117" s="143">
        <f>17/61</f>
        <v>0.27868852459016391</v>
      </c>
      <c r="AT117" s="121" t="s">
        <v>198</v>
      </c>
      <c r="AU117" s="190">
        <f>9/22</f>
        <v>0.40909090909090912</v>
      </c>
      <c r="AV117" s="121" t="s">
        <v>198</v>
      </c>
      <c r="AW117" s="177">
        <f>2/12</f>
        <v>0.16666666666666666</v>
      </c>
      <c r="AX117" s="121" t="s">
        <v>198</v>
      </c>
      <c r="AY117" s="177">
        <f>5/17</f>
        <v>0.29411764705882354</v>
      </c>
      <c r="AZ117" s="121" t="s">
        <v>198</v>
      </c>
      <c r="BA117" s="177">
        <f>16/51</f>
        <v>0.31372549019607843</v>
      </c>
      <c r="BB117" s="121" t="s">
        <v>198</v>
      </c>
      <c r="BC117" s="177">
        <f>0/6</f>
        <v>0</v>
      </c>
      <c r="BD117" s="121" t="s">
        <v>251</v>
      </c>
      <c r="BE117" s="143">
        <f>2/25</f>
        <v>0.08</v>
      </c>
      <c r="BF117" s="121" t="s">
        <v>251</v>
      </c>
      <c r="BG117" s="177">
        <f>5/40</f>
        <v>0.125</v>
      </c>
      <c r="BH117" s="121" t="s">
        <v>251</v>
      </c>
      <c r="BI117" s="177">
        <f>9/16</f>
        <v>0.5625</v>
      </c>
      <c r="BJ117" s="121" t="s">
        <v>198</v>
      </c>
      <c r="BK117" s="177">
        <f>0/16</f>
        <v>0</v>
      </c>
      <c r="BL117" s="121" t="str">
        <f>IF(BK117="NA","NA",IF(BK117="Not Reported","Not Reported",IF(BK117&lt;$L$117,"Not Met","Met")))</f>
        <v>Not Met</v>
      </c>
      <c r="BM117" s="262">
        <v>0.06</v>
      </c>
      <c r="BN117" s="121" t="str">
        <f>IF(BM117="NA","NA",IF(BM117="Not Reported","Not Reported",IF(BM117&lt;$L$117,"Not Met","Met")))</f>
        <v>Not Met</v>
      </c>
      <c r="BO117" s="121" t="s">
        <v>61</v>
      </c>
      <c r="BP117" s="121" t="s">
        <v>61</v>
      </c>
      <c r="BQ117" s="121" t="s">
        <v>61</v>
      </c>
      <c r="BR117" s="121" t="s">
        <v>61</v>
      </c>
      <c r="BS117" s="315">
        <v>0.36</v>
      </c>
      <c r="BT117" s="121" t="str">
        <f>IF(BS117="NA","NA",IF(BS117="Not Reported","Not Reported",IF(BS117&lt;$L$117,"Not Met","Met")))</f>
        <v>Met</v>
      </c>
      <c r="BU117" s="407">
        <v>0.16</v>
      </c>
      <c r="BV117" s="121" t="str">
        <f>IF(BU117="NA","NA",IF(BU117="Not Reported","Not Reported",IF(BU117&lt;$L$117,"Not Met","Met")))</f>
        <v>Met</v>
      </c>
    </row>
    <row r="118" spans="1:75" x14ac:dyDescent="0.2">
      <c r="A118" s="121">
        <v>117</v>
      </c>
      <c r="B118" s="122" t="s">
        <v>7</v>
      </c>
      <c r="C118" s="122" t="s">
        <v>901</v>
      </c>
      <c r="D118" s="123" t="s">
        <v>102</v>
      </c>
      <c r="E118" s="123" t="s">
        <v>900</v>
      </c>
      <c r="F118" s="123" t="s">
        <v>190</v>
      </c>
      <c r="G118" s="174" t="s">
        <v>273</v>
      </c>
      <c r="H118" s="122" t="s">
        <v>192</v>
      </c>
      <c r="I118" s="124" t="s">
        <v>246</v>
      </c>
      <c r="J118" s="124" t="s">
        <v>214</v>
      </c>
      <c r="K118" s="122" t="s">
        <v>326</v>
      </c>
      <c r="L118" s="128">
        <v>0.2</v>
      </c>
      <c r="M118" s="128">
        <v>0.2</v>
      </c>
      <c r="N118" s="122" t="s">
        <v>368</v>
      </c>
      <c r="O118" s="122" t="s">
        <v>369</v>
      </c>
      <c r="P118" s="122" t="s">
        <v>207</v>
      </c>
      <c r="Q118" s="143">
        <f>9/53</f>
        <v>0.16981132075471697</v>
      </c>
      <c r="R118" s="121" t="s">
        <v>198</v>
      </c>
      <c r="S118" s="143">
        <v>0.25</v>
      </c>
      <c r="T118" s="147" t="s">
        <v>251</v>
      </c>
      <c r="U118" s="143">
        <v>0.16</v>
      </c>
      <c r="V118" s="121" t="s">
        <v>198</v>
      </c>
      <c r="W118" s="143">
        <f>10/60</f>
        <v>0.16666666666666666</v>
      </c>
      <c r="X118" s="121" t="s">
        <v>198</v>
      </c>
      <c r="Y118" s="143">
        <f>2/55</f>
        <v>3.6363636363636362E-2</v>
      </c>
      <c r="Z118" s="121" t="s">
        <v>198</v>
      </c>
      <c r="AA118" s="143">
        <f>8/60</f>
        <v>0.13333333333333333</v>
      </c>
      <c r="AB118" s="121" t="s">
        <v>198</v>
      </c>
      <c r="AC118" s="121" t="s">
        <v>61</v>
      </c>
      <c r="AD118" s="121" t="s">
        <v>61</v>
      </c>
      <c r="AE118" s="143">
        <f>10/64</f>
        <v>0.15625</v>
      </c>
      <c r="AF118" s="121" t="s">
        <v>198</v>
      </c>
      <c r="AG118" s="143">
        <v>0.2391304347826087</v>
      </c>
      <c r="AH118" s="121" t="s">
        <v>198</v>
      </c>
      <c r="AI118" s="143">
        <f>6/54</f>
        <v>0.1111111111111111</v>
      </c>
      <c r="AJ118" s="121" t="s">
        <v>198</v>
      </c>
      <c r="AK118" s="121" t="s">
        <v>61</v>
      </c>
      <c r="AL118" s="121" t="s">
        <v>61</v>
      </c>
      <c r="AM118" s="146">
        <v>0.14000000000000001</v>
      </c>
      <c r="AN118" s="121" t="s">
        <v>198</v>
      </c>
      <c r="AO118" s="146">
        <v>0.11</v>
      </c>
      <c r="AP118" s="121" t="s">
        <v>198</v>
      </c>
      <c r="AQ118" s="143">
        <f>5/31</f>
        <v>0.16129032258064516</v>
      </c>
      <c r="AR118" s="121" t="s">
        <v>198</v>
      </c>
      <c r="AS118" s="143">
        <f>11/49</f>
        <v>0.22448979591836735</v>
      </c>
      <c r="AT118" s="121" t="s">
        <v>251</v>
      </c>
      <c r="AU118" s="190">
        <f>3/38</f>
        <v>7.8947368421052627E-2</v>
      </c>
      <c r="AV118" s="121" t="s">
        <v>198</v>
      </c>
      <c r="AW118" s="143">
        <f>5/32</f>
        <v>0.15625</v>
      </c>
      <c r="AX118" s="121" t="s">
        <v>198</v>
      </c>
      <c r="AY118" s="143">
        <f>3/17</f>
        <v>0.17647058823529413</v>
      </c>
      <c r="AZ118" s="121" t="s">
        <v>198</v>
      </c>
      <c r="BA118" s="143">
        <f>11/87</f>
        <v>0.12643678160919541</v>
      </c>
      <c r="BB118" s="121" t="s">
        <v>198</v>
      </c>
      <c r="BC118" s="177">
        <f>6/56</f>
        <v>0.10714285714285714</v>
      </c>
      <c r="BD118" s="121" t="s">
        <v>198</v>
      </c>
      <c r="BE118" s="143">
        <f>5/30</f>
        <v>0.16666666666666666</v>
      </c>
      <c r="BF118" s="121" t="s">
        <v>198</v>
      </c>
      <c r="BG118" s="195">
        <f>5/25</f>
        <v>0.2</v>
      </c>
      <c r="BH118" s="121" t="s">
        <v>198</v>
      </c>
      <c r="BI118" s="195">
        <f>2/20</f>
        <v>0.1</v>
      </c>
      <c r="BJ118" s="121" t="s">
        <v>198</v>
      </c>
      <c r="BK118" s="195">
        <f>2/20</f>
        <v>0.1</v>
      </c>
      <c r="BL118" s="174" t="str">
        <f>IF(BK118="NA","NA",IF(BK118="Not Reported","Not Reported",IF(BK118&gt;$L$118,"Not Met","Met")))</f>
        <v>Met</v>
      </c>
      <c r="BM118" s="262">
        <v>0.15</v>
      </c>
      <c r="BN118" s="162" t="str">
        <f>IF(BM118="NA","NA",IF(BM118="Not Reported","Not Reported",IF(BM118&gt;$L$118,"Not Met","Met")))</f>
        <v>Met</v>
      </c>
      <c r="BO118" s="121" t="s">
        <v>61</v>
      </c>
      <c r="BP118" s="162" t="s">
        <v>61</v>
      </c>
      <c r="BQ118" s="121" t="s">
        <v>61</v>
      </c>
      <c r="BR118" s="162" t="s">
        <v>61</v>
      </c>
      <c r="BS118" s="315">
        <v>0.19</v>
      </c>
      <c r="BT118" s="162" t="str">
        <f>IF(BS118="NA","NA",IF(BS118="Not Reported","Not Reported",IF(BS118&gt;$L$118,"Not Met","Met")))</f>
        <v>Met</v>
      </c>
      <c r="BU118" s="345">
        <v>0.16</v>
      </c>
      <c r="BV118" s="162" t="str">
        <f>IF(BU118="NA","NA",IF(BU118="Not Reported","Not Reported",IF(BU118&gt;$L$118,"Not Met","Met")))</f>
        <v>Met</v>
      </c>
    </row>
    <row r="119" spans="1:75" x14ac:dyDescent="0.2">
      <c r="A119" s="121">
        <v>118</v>
      </c>
      <c r="B119" s="122" t="s">
        <v>7</v>
      </c>
      <c r="C119" s="122" t="s">
        <v>901</v>
      </c>
      <c r="D119" s="123" t="s">
        <v>102</v>
      </c>
      <c r="E119" s="123" t="s">
        <v>900</v>
      </c>
      <c r="F119" s="123" t="s">
        <v>190</v>
      </c>
      <c r="G119" s="174" t="s">
        <v>273</v>
      </c>
      <c r="H119" s="122" t="s">
        <v>192</v>
      </c>
      <c r="I119" s="124" t="s">
        <v>284</v>
      </c>
      <c r="J119" s="124" t="s">
        <v>285</v>
      </c>
      <c r="K119" s="145" t="s">
        <v>284</v>
      </c>
      <c r="L119" s="128">
        <v>0.7</v>
      </c>
      <c r="M119" s="128">
        <v>0.7</v>
      </c>
      <c r="N119" s="122" t="s">
        <v>287</v>
      </c>
      <c r="O119" s="122" t="s">
        <v>288</v>
      </c>
      <c r="P119" s="122" t="s">
        <v>207</v>
      </c>
      <c r="Q119" s="143">
        <f>137/232</f>
        <v>0.59051724137931039</v>
      </c>
      <c r="R119" s="121" t="s">
        <v>251</v>
      </c>
      <c r="S119" s="143">
        <v>0.66101694915254239</v>
      </c>
      <c r="T119" s="147" t="s">
        <v>251</v>
      </c>
      <c r="U119" s="143">
        <v>0.66</v>
      </c>
      <c r="V119" s="147" t="s">
        <v>251</v>
      </c>
      <c r="W119" s="143">
        <f>30/137</f>
        <v>0.21897810218978103</v>
      </c>
      <c r="X119" s="147" t="s">
        <v>251</v>
      </c>
      <c r="Y119" s="143">
        <f>156/183</f>
        <v>0.85245901639344257</v>
      </c>
      <c r="Z119" s="121" t="s">
        <v>198</v>
      </c>
      <c r="AA119" s="143">
        <f>100/168</f>
        <v>0.59523809523809523</v>
      </c>
      <c r="AB119" s="147" t="s">
        <v>251</v>
      </c>
      <c r="AC119" s="121" t="s">
        <v>61</v>
      </c>
      <c r="AD119" s="121" t="s">
        <v>61</v>
      </c>
      <c r="AE119" s="143">
        <f>116/156</f>
        <v>0.74358974358974361</v>
      </c>
      <c r="AF119" s="121" t="s">
        <v>198</v>
      </c>
      <c r="AG119" s="143">
        <v>0.72185430463576161</v>
      </c>
      <c r="AH119" s="121" t="s">
        <v>198</v>
      </c>
      <c r="AI119" s="143">
        <f>36/48</f>
        <v>0.75</v>
      </c>
      <c r="AJ119" s="121" t="s">
        <v>198</v>
      </c>
      <c r="AK119" s="121" t="s">
        <v>61</v>
      </c>
      <c r="AL119" s="121" t="s">
        <v>61</v>
      </c>
      <c r="AM119" s="143">
        <v>0.88</v>
      </c>
      <c r="AN119" s="121" t="s">
        <v>198</v>
      </c>
      <c r="AO119" s="143">
        <v>0.73</v>
      </c>
      <c r="AP119" s="121" t="s">
        <v>198</v>
      </c>
      <c r="AQ119" s="143">
        <f>108/138</f>
        <v>0.78260869565217395</v>
      </c>
      <c r="AR119" s="121" t="s">
        <v>198</v>
      </c>
      <c r="AS119" s="143">
        <f>330/408</f>
        <v>0.80882352941176472</v>
      </c>
      <c r="AT119" s="121" t="s">
        <v>198</v>
      </c>
      <c r="AU119" s="190">
        <f>87/99</f>
        <v>0.87878787878787878</v>
      </c>
      <c r="AV119" s="121" t="s">
        <v>198</v>
      </c>
      <c r="AW119" s="143">
        <f>114/131</f>
        <v>0.87022900763358779</v>
      </c>
      <c r="AX119" s="121" t="s">
        <v>198</v>
      </c>
      <c r="AY119" s="143">
        <f>77/80</f>
        <v>0.96250000000000002</v>
      </c>
      <c r="AZ119" s="121" t="s">
        <v>198</v>
      </c>
      <c r="BA119" s="143">
        <f>278/310</f>
        <v>0.89677419354838706</v>
      </c>
      <c r="BB119" s="121" t="s">
        <v>198</v>
      </c>
      <c r="BC119" s="177">
        <f>61/70</f>
        <v>0.87142857142857144</v>
      </c>
      <c r="BD119" s="121" t="s">
        <v>198</v>
      </c>
      <c r="BE119" s="143">
        <f>50/60</f>
        <v>0.83333333333333337</v>
      </c>
      <c r="BF119" s="121" t="s">
        <v>198</v>
      </c>
      <c r="BG119" s="195">
        <v>0.91</v>
      </c>
      <c r="BH119" s="121" t="s">
        <v>198</v>
      </c>
      <c r="BI119" s="195">
        <f>65/65</f>
        <v>1</v>
      </c>
      <c r="BJ119" s="121" t="s">
        <v>198</v>
      </c>
      <c r="BK119" s="195">
        <f>65/65</f>
        <v>1</v>
      </c>
      <c r="BL119" s="128" t="str">
        <f>IF(BK119="NA","NA",IF(BK119="Not Reported","Not Reported",IF(BK119&lt;$L$119,"Not Met","Met")))</f>
        <v>Met</v>
      </c>
      <c r="BM119" s="262">
        <v>0.88</v>
      </c>
      <c r="BN119" s="128" t="str">
        <f>IF(BM119="NA","NA",IF(BM119="Not Reported","Not Reported",IF(BM119&lt;$L$119,"Not Met","Met")))</f>
        <v>Met</v>
      </c>
      <c r="BO119" s="121" t="s">
        <v>61</v>
      </c>
      <c r="BP119" s="128" t="s">
        <v>61</v>
      </c>
      <c r="BQ119" s="121" t="s">
        <v>61</v>
      </c>
      <c r="BR119" s="128" t="s">
        <v>61</v>
      </c>
      <c r="BS119" s="315">
        <v>0.89</v>
      </c>
      <c r="BT119" s="128" t="str">
        <f>IF(BS119="NA","NA",IF(BS119="Not Reported","Not Reported",IF(BS119&lt;$L$119,"Not Met","Met")))</f>
        <v>Met</v>
      </c>
      <c r="BU119" s="345">
        <v>0.93</v>
      </c>
      <c r="BV119" s="128" t="str">
        <f>IF(BU119="NA","NA",IF(BU119="Not Reported","Not Reported",IF(BU119&lt;$L$119,"Not Met","Met")))</f>
        <v>Met</v>
      </c>
      <c r="BW119" s="29"/>
    </row>
    <row r="120" spans="1:75" x14ac:dyDescent="0.2">
      <c r="A120" s="121">
        <v>119</v>
      </c>
      <c r="B120" s="122" t="s">
        <v>7</v>
      </c>
      <c r="C120" s="122" t="s">
        <v>901</v>
      </c>
      <c r="D120" s="123" t="s">
        <v>102</v>
      </c>
      <c r="E120" s="123" t="s">
        <v>900</v>
      </c>
      <c r="F120" s="123" t="s">
        <v>190</v>
      </c>
      <c r="G120" s="174" t="s">
        <v>273</v>
      </c>
      <c r="H120" s="122" t="s">
        <v>192</v>
      </c>
      <c r="I120" s="124" t="s">
        <v>289</v>
      </c>
      <c r="J120" s="124" t="s">
        <v>285</v>
      </c>
      <c r="K120" s="145" t="s">
        <v>289</v>
      </c>
      <c r="L120" s="128">
        <v>0.5</v>
      </c>
      <c r="M120" s="128">
        <v>0.5</v>
      </c>
      <c r="N120" s="122" t="s">
        <v>290</v>
      </c>
      <c r="O120" s="122" t="s">
        <v>291</v>
      </c>
      <c r="P120" s="122" t="s">
        <v>207</v>
      </c>
      <c r="Q120" s="143">
        <f>34/232</f>
        <v>0.14655172413793102</v>
      </c>
      <c r="R120" s="121" t="s">
        <v>251</v>
      </c>
      <c r="S120" s="143">
        <v>0.15819209039548024</v>
      </c>
      <c r="T120" s="147" t="s">
        <v>251</v>
      </c>
      <c r="U120" s="143">
        <v>0.10666666666666667</v>
      </c>
      <c r="V120" s="147" t="s">
        <v>251</v>
      </c>
      <c r="W120" s="143">
        <f>46/137</f>
        <v>0.33576642335766421</v>
      </c>
      <c r="X120" s="147" t="s">
        <v>251</v>
      </c>
      <c r="Y120" s="143">
        <f>39/183</f>
        <v>0.21311475409836064</v>
      </c>
      <c r="Z120" s="121" t="s">
        <v>251</v>
      </c>
      <c r="AA120" s="143">
        <f>32/168</f>
        <v>0.19047619047619047</v>
      </c>
      <c r="AB120" s="147" t="s">
        <v>251</v>
      </c>
      <c r="AC120" s="121" t="s">
        <v>61</v>
      </c>
      <c r="AD120" s="121" t="s">
        <v>61</v>
      </c>
      <c r="AE120" s="143">
        <f>33/156</f>
        <v>0.21153846153846154</v>
      </c>
      <c r="AF120" s="147" t="s">
        <v>251</v>
      </c>
      <c r="AG120" s="143">
        <v>0.19867549668874171</v>
      </c>
      <c r="AH120" s="147" t="s">
        <v>251</v>
      </c>
      <c r="AI120" s="143">
        <f>34/48</f>
        <v>0.70833333333333337</v>
      </c>
      <c r="AJ120" s="121" t="s">
        <v>198</v>
      </c>
      <c r="AK120" s="121" t="s">
        <v>61</v>
      </c>
      <c r="AL120" s="121" t="s">
        <v>61</v>
      </c>
      <c r="AM120" s="143">
        <v>0.23</v>
      </c>
      <c r="AN120" s="121" t="s">
        <v>251</v>
      </c>
      <c r="AO120" s="143">
        <v>0.19</v>
      </c>
      <c r="AP120" s="121" t="s">
        <v>251</v>
      </c>
      <c r="AQ120" s="143">
        <f>36/138</f>
        <v>0.2608695652173913</v>
      </c>
      <c r="AR120" s="121" t="s">
        <v>251</v>
      </c>
      <c r="AS120" s="143">
        <f>99/435</f>
        <v>0.22758620689655173</v>
      </c>
      <c r="AT120" s="121" t="s">
        <v>251</v>
      </c>
      <c r="AU120" s="190">
        <f>18/99</f>
        <v>0.18181818181818182</v>
      </c>
      <c r="AV120" s="121" t="s">
        <v>251</v>
      </c>
      <c r="AW120" s="143">
        <f>18/126</f>
        <v>0.14285714285714285</v>
      </c>
      <c r="AX120" s="121" t="s">
        <v>251</v>
      </c>
      <c r="AY120" s="143">
        <f>22/80</f>
        <v>0.27500000000000002</v>
      </c>
      <c r="AZ120" s="121" t="s">
        <v>251</v>
      </c>
      <c r="BA120" s="143">
        <f>99/305</f>
        <v>0.32459016393442625</v>
      </c>
      <c r="BB120" s="121" t="s">
        <v>251</v>
      </c>
      <c r="BC120" s="177">
        <f>19/70</f>
        <v>0.27142857142857141</v>
      </c>
      <c r="BD120" s="121" t="s">
        <v>251</v>
      </c>
      <c r="BE120" s="143">
        <f>17/60</f>
        <v>0.28333333333333333</v>
      </c>
      <c r="BF120" s="121" t="s">
        <v>251</v>
      </c>
      <c r="BG120" s="195">
        <v>0.36</v>
      </c>
      <c r="BH120" s="121" t="s">
        <v>251</v>
      </c>
      <c r="BI120" s="195">
        <f>23/65</f>
        <v>0.35384615384615387</v>
      </c>
      <c r="BJ120" s="121" t="s">
        <v>251</v>
      </c>
      <c r="BK120" s="195">
        <f>23/65</f>
        <v>0.35384615384615387</v>
      </c>
      <c r="BL120" s="128" t="str">
        <f>IF(BK120="NA","NA",IF(BK120="Not Reported","Not Reported",IF(BK120&lt;$L$120,"Not Met","Met")))</f>
        <v>Not Met</v>
      </c>
      <c r="BM120" s="262">
        <v>0.5</v>
      </c>
      <c r="BN120" s="128" t="str">
        <f>IF(BM120="NA","NA",IF(BM120="Not Reported","Not Reported",IF(BM120&lt;$L$120,"Not Met","Met")))</f>
        <v>Met</v>
      </c>
      <c r="BO120" s="121" t="s">
        <v>61</v>
      </c>
      <c r="BP120" s="128" t="s">
        <v>61</v>
      </c>
      <c r="BQ120" s="121" t="s">
        <v>61</v>
      </c>
      <c r="BR120" s="128" t="s">
        <v>61</v>
      </c>
      <c r="BS120" s="315">
        <v>0.34</v>
      </c>
      <c r="BT120" s="128" t="str">
        <f>IF(BS120="NA","NA",IF(BS120="Not Reported","Not Reported",IF(BS120&lt;$L$120,"Not Met","Met")))</f>
        <v>Not Met</v>
      </c>
      <c r="BU120" s="345">
        <v>0.3</v>
      </c>
      <c r="BV120" s="128" t="str">
        <f>IF(BU120="NA","NA",IF(BU120="Not Reported","Not Reported",IF(BU120&lt;$L$120,"Not Met","Met")))</f>
        <v>Not Met</v>
      </c>
    </row>
    <row r="121" spans="1:75" x14ac:dyDescent="0.2">
      <c r="A121" s="121">
        <v>120</v>
      </c>
      <c r="B121" s="122" t="s">
        <v>7</v>
      </c>
      <c r="C121" s="122" t="s">
        <v>901</v>
      </c>
      <c r="D121" s="123" t="s">
        <v>102</v>
      </c>
      <c r="E121" s="123" t="s">
        <v>900</v>
      </c>
      <c r="F121" s="123" t="s">
        <v>190</v>
      </c>
      <c r="G121" s="174" t="s">
        <v>273</v>
      </c>
      <c r="H121" s="122" t="s">
        <v>192</v>
      </c>
      <c r="I121" s="124" t="s">
        <v>292</v>
      </c>
      <c r="J121" s="124" t="s">
        <v>293</v>
      </c>
      <c r="K121" s="122" t="s">
        <v>292</v>
      </c>
      <c r="L121" s="128">
        <v>0.2</v>
      </c>
      <c r="M121" s="128">
        <v>0.2</v>
      </c>
      <c r="N121" s="122" t="s">
        <v>294</v>
      </c>
      <c r="O121" s="122" t="s">
        <v>575</v>
      </c>
      <c r="P121" s="122" t="s">
        <v>207</v>
      </c>
      <c r="Q121" s="143">
        <f>1/21</f>
        <v>4.7619047619047616E-2</v>
      </c>
      <c r="R121" s="121" t="s">
        <v>198</v>
      </c>
      <c r="S121" s="143">
        <v>0</v>
      </c>
      <c r="T121" s="121" t="s">
        <v>198</v>
      </c>
      <c r="U121" s="143">
        <v>0.11764705882352941</v>
      </c>
      <c r="V121" s="121" t="s">
        <v>198</v>
      </c>
      <c r="W121" s="143">
        <f>5/42</f>
        <v>0.11904761904761904</v>
      </c>
      <c r="X121" s="121" t="s">
        <v>198</v>
      </c>
      <c r="Y121" s="143">
        <f>0/30%</f>
        <v>0</v>
      </c>
      <c r="Z121" s="121" t="s">
        <v>198</v>
      </c>
      <c r="AA121" s="143">
        <f>2/36</f>
        <v>5.5555555555555552E-2</v>
      </c>
      <c r="AB121" s="121" t="s">
        <v>198</v>
      </c>
      <c r="AC121" s="121" t="s">
        <v>61</v>
      </c>
      <c r="AD121" s="121" t="s">
        <v>61</v>
      </c>
      <c r="AE121" s="143">
        <f>1/25</f>
        <v>0.04</v>
      </c>
      <c r="AF121" s="121" t="s">
        <v>198</v>
      </c>
      <c r="AG121" s="143">
        <v>3.3333333333333333E-2</v>
      </c>
      <c r="AH121" s="121" t="s">
        <v>198</v>
      </c>
      <c r="AI121" s="143">
        <f>0/32</f>
        <v>0</v>
      </c>
      <c r="AJ121" s="121" t="s">
        <v>198</v>
      </c>
      <c r="AK121" s="121" t="s">
        <v>61</v>
      </c>
      <c r="AL121" s="121" t="s">
        <v>61</v>
      </c>
      <c r="AM121" s="143">
        <v>0.08</v>
      </c>
      <c r="AN121" s="121" t="s">
        <v>198</v>
      </c>
      <c r="AO121" s="143">
        <v>0</v>
      </c>
      <c r="AP121" s="121" t="s">
        <v>198</v>
      </c>
      <c r="AQ121" s="143">
        <f>1/16</f>
        <v>6.25E-2</v>
      </c>
      <c r="AR121" s="121" t="s">
        <v>198</v>
      </c>
      <c r="AS121" s="143">
        <f>3/66</f>
        <v>4.5454545454545456E-2</v>
      </c>
      <c r="AT121" s="121" t="s">
        <v>198</v>
      </c>
      <c r="AU121" s="190">
        <f>0/27</f>
        <v>0</v>
      </c>
      <c r="AV121" s="121" t="s">
        <v>198</v>
      </c>
      <c r="AW121" s="143">
        <f>0/7</f>
        <v>0</v>
      </c>
      <c r="AX121" s="121" t="s">
        <v>198</v>
      </c>
      <c r="AY121" s="143">
        <f>1/11</f>
        <v>9.0909090909090912E-2</v>
      </c>
      <c r="AZ121" s="121" t="s">
        <v>198</v>
      </c>
      <c r="BA121" s="143">
        <f>1/45</f>
        <v>2.2222222222222223E-2</v>
      </c>
      <c r="BB121" s="121" t="s">
        <v>198</v>
      </c>
      <c r="BC121" s="177">
        <f>2/17</f>
        <v>0.11764705882352941</v>
      </c>
      <c r="BD121" s="121" t="s">
        <v>198</v>
      </c>
      <c r="BE121" s="143">
        <f>0/37</f>
        <v>0</v>
      </c>
      <c r="BF121" s="121" t="s">
        <v>198</v>
      </c>
      <c r="BG121" s="195">
        <f>2/21</f>
        <v>9.5238095238095233E-2</v>
      </c>
      <c r="BH121" s="121" t="s">
        <v>198</v>
      </c>
      <c r="BI121" s="195">
        <f>0/12</f>
        <v>0</v>
      </c>
      <c r="BJ121" s="121" t="s">
        <v>198</v>
      </c>
      <c r="BK121" s="195">
        <f>0/12</f>
        <v>0</v>
      </c>
      <c r="BL121" s="128" t="str">
        <f>IF(BK121="NA","NA",IF(BK121="Not Reported","Not Reported",IF(BK121&gt;$L$121,"Not Met","Met")))</f>
        <v>Met</v>
      </c>
      <c r="BM121" s="262">
        <v>0</v>
      </c>
      <c r="BN121" s="128" t="str">
        <f>IF(BM121="NA","NA",IF(BM121="Not Reported","Not Reported",IF(BM121&gt;$L$121,"Not Met","Met")))</f>
        <v>Met</v>
      </c>
      <c r="BO121" s="121" t="s">
        <v>61</v>
      </c>
      <c r="BP121" s="128" t="s">
        <v>61</v>
      </c>
      <c r="BQ121" s="121" t="s">
        <v>61</v>
      </c>
      <c r="BR121" s="128" t="s">
        <v>61</v>
      </c>
      <c r="BS121" s="315">
        <v>0</v>
      </c>
      <c r="BT121" s="128" t="str">
        <f>IF(BS121="NA","NA",IF(BS121="Not Reported","Not Reported",IF(BS121&gt;$L$121,"Not Met","Met")))</f>
        <v>Met</v>
      </c>
      <c r="BU121" s="345">
        <v>7.0000000000000007E-2</v>
      </c>
      <c r="BV121" s="128" t="str">
        <f>IF(BU121="NA","NA",IF(BU121="Not Reported","Not Reported",IF(BU121&gt;$L$121,"Not Met","Met")))</f>
        <v>Met</v>
      </c>
    </row>
    <row r="122" spans="1:75" x14ac:dyDescent="0.2">
      <c r="A122" s="121">
        <v>121</v>
      </c>
      <c r="B122" s="122" t="s">
        <v>7</v>
      </c>
      <c r="C122" s="122" t="s">
        <v>901</v>
      </c>
      <c r="D122" s="123" t="s">
        <v>102</v>
      </c>
      <c r="E122" s="123" t="s">
        <v>900</v>
      </c>
      <c r="F122" s="123" t="s">
        <v>190</v>
      </c>
      <c r="G122" s="174" t="s">
        <v>273</v>
      </c>
      <c r="H122" s="122" t="s">
        <v>192</v>
      </c>
      <c r="I122" s="123" t="s">
        <v>296</v>
      </c>
      <c r="J122" s="123" t="s">
        <v>296</v>
      </c>
      <c r="K122" s="145" t="s">
        <v>296</v>
      </c>
      <c r="L122" s="128">
        <v>0.2</v>
      </c>
      <c r="M122" s="128">
        <v>0.2</v>
      </c>
      <c r="N122" s="122" t="s">
        <v>297</v>
      </c>
      <c r="O122" s="122" t="s">
        <v>298</v>
      </c>
      <c r="P122" s="122" t="s">
        <v>207</v>
      </c>
      <c r="Q122" s="143">
        <f>15/61</f>
        <v>0.24590163934426229</v>
      </c>
      <c r="R122" s="121" t="s">
        <v>198</v>
      </c>
      <c r="S122" s="143">
        <v>0.65909090909090906</v>
      </c>
      <c r="T122" s="121" t="s">
        <v>198</v>
      </c>
      <c r="U122" s="143">
        <v>0.32</v>
      </c>
      <c r="V122" s="121" t="s">
        <v>198</v>
      </c>
      <c r="W122" s="143">
        <f>17/60</f>
        <v>0.28333333333333333</v>
      </c>
      <c r="X122" s="121" t="s">
        <v>198</v>
      </c>
      <c r="Y122" s="143">
        <f>30/55</f>
        <v>0.54545454545454541</v>
      </c>
      <c r="Z122" s="121" t="s">
        <v>198</v>
      </c>
      <c r="AA122" s="143">
        <f>30/55</f>
        <v>0.54545454545454541</v>
      </c>
      <c r="AB122" s="121" t="s">
        <v>198</v>
      </c>
      <c r="AC122" s="121" t="s">
        <v>61</v>
      </c>
      <c r="AD122" s="121" t="s">
        <v>61</v>
      </c>
      <c r="AE122" s="143">
        <f>24/73</f>
        <v>0.32876712328767121</v>
      </c>
      <c r="AF122" s="121" t="s">
        <v>198</v>
      </c>
      <c r="AG122" s="143">
        <v>0.47826086956521741</v>
      </c>
      <c r="AH122" s="121" t="s">
        <v>198</v>
      </c>
      <c r="AI122" s="143">
        <f>31/54</f>
        <v>0.57407407407407407</v>
      </c>
      <c r="AJ122" s="121" t="s">
        <v>198</v>
      </c>
      <c r="AK122" s="121" t="s">
        <v>61</v>
      </c>
      <c r="AL122" s="121" t="s">
        <v>61</v>
      </c>
      <c r="AM122" s="143">
        <v>0.71</v>
      </c>
      <c r="AN122" s="121" t="s">
        <v>198</v>
      </c>
      <c r="AO122" s="143">
        <v>0.96</v>
      </c>
      <c r="AP122" s="121" t="s">
        <v>198</v>
      </c>
      <c r="AQ122" s="143">
        <f>20/31</f>
        <v>0.64516129032258063</v>
      </c>
      <c r="AR122" s="121" t="s">
        <v>198</v>
      </c>
      <c r="AS122" s="143">
        <f>61/79</f>
        <v>0.77215189873417722</v>
      </c>
      <c r="AT122" s="121" t="s">
        <v>198</v>
      </c>
      <c r="AU122" s="190">
        <f>22/38</f>
        <v>0.57894736842105265</v>
      </c>
      <c r="AV122" s="121" t="s">
        <v>198</v>
      </c>
      <c r="AW122" s="143">
        <f>12/32</f>
        <v>0.375</v>
      </c>
      <c r="AX122" s="121" t="s">
        <v>198</v>
      </c>
      <c r="AY122" s="143">
        <f>17/17</f>
        <v>1</v>
      </c>
      <c r="AZ122" s="121" t="s">
        <v>198</v>
      </c>
      <c r="BA122" s="143">
        <f>51/87</f>
        <v>0.58620689655172409</v>
      </c>
      <c r="BB122" s="121" t="s">
        <v>198</v>
      </c>
      <c r="BC122" s="177">
        <f>6/56</f>
        <v>0.10714285714285714</v>
      </c>
      <c r="BD122" s="121" t="s">
        <v>251</v>
      </c>
      <c r="BE122" s="143">
        <f>25/30</f>
        <v>0.83333333333333337</v>
      </c>
      <c r="BF122" s="121" t="s">
        <v>198</v>
      </c>
      <c r="BG122" s="195">
        <f>40/25</f>
        <v>1.6</v>
      </c>
      <c r="BH122" s="121" t="s">
        <v>198</v>
      </c>
      <c r="BI122" s="195">
        <f>16/20</f>
        <v>0.8</v>
      </c>
      <c r="BJ122" s="121" t="s">
        <v>198</v>
      </c>
      <c r="BK122" s="195">
        <f>16/20</f>
        <v>0.8</v>
      </c>
      <c r="BL122" s="128" t="str">
        <f>IF(BK122="NA","NA",IF(BK122="Not Reported","Not Reported",IF(BK122&lt;$L$122,"Not Met","Met")))</f>
        <v>Met</v>
      </c>
      <c r="BM122" s="262">
        <v>1</v>
      </c>
      <c r="BN122" s="128" t="str">
        <f>IF(BM122="NA","NA",IF(BM122="Not Reported","Not Reported",IF(BM122&lt;$L$122,"Not Met","Met")))</f>
        <v>Met</v>
      </c>
      <c r="BO122" s="121" t="s">
        <v>61</v>
      </c>
      <c r="BP122" s="128" t="s">
        <v>61</v>
      </c>
      <c r="BQ122" s="121" t="s">
        <v>61</v>
      </c>
      <c r="BR122" s="128" t="s">
        <v>61</v>
      </c>
      <c r="BS122" s="315">
        <v>0.52</v>
      </c>
      <c r="BT122" s="128" t="str">
        <f>IF(BS122="NA","NA",IF(BS122="Not Reported","Not Reported",IF(BS122&lt;$L$122,"Not Met","Met")))</f>
        <v>Met</v>
      </c>
      <c r="BU122" s="345">
        <v>0.72</v>
      </c>
      <c r="BV122" s="128" t="str">
        <f>IF(BU122="NA","NA",IF(BU122="Not Reported","Not Reported",IF(BU122&lt;$L$122,"Not Met","Met")))</f>
        <v>Met</v>
      </c>
    </row>
    <row r="123" spans="1:75" x14ac:dyDescent="0.2">
      <c r="A123" s="121">
        <v>122</v>
      </c>
      <c r="B123" s="122" t="s">
        <v>7</v>
      </c>
      <c r="C123" s="122" t="s">
        <v>901</v>
      </c>
      <c r="D123" s="123" t="s">
        <v>102</v>
      </c>
      <c r="E123" s="123" t="s">
        <v>900</v>
      </c>
      <c r="F123" s="123" t="s">
        <v>190</v>
      </c>
      <c r="G123" s="174" t="s">
        <v>273</v>
      </c>
      <c r="H123" s="122" t="s">
        <v>192</v>
      </c>
      <c r="I123" s="124" t="s">
        <v>257</v>
      </c>
      <c r="J123" s="124" t="s">
        <v>258</v>
      </c>
      <c r="K123" s="123" t="s">
        <v>259</v>
      </c>
      <c r="L123" s="128">
        <v>0.35</v>
      </c>
      <c r="M123" s="128">
        <v>0.35</v>
      </c>
      <c r="N123" s="122" t="s">
        <v>476</v>
      </c>
      <c r="O123" s="122" t="s">
        <v>477</v>
      </c>
      <c r="P123" s="122" t="s">
        <v>207</v>
      </c>
      <c r="Q123" s="143">
        <f>8/15</f>
        <v>0.53333333333333333</v>
      </c>
      <c r="R123" s="121" t="s">
        <v>198</v>
      </c>
      <c r="S123" s="143">
        <v>0.34482758620689657</v>
      </c>
      <c r="T123" s="147" t="s">
        <v>251</v>
      </c>
      <c r="U123" s="143">
        <v>0.3125</v>
      </c>
      <c r="V123" s="147" t="s">
        <v>251</v>
      </c>
      <c r="W123" s="143">
        <f>10/17</f>
        <v>0.58823529411764708</v>
      </c>
      <c r="X123" s="121" t="s">
        <v>198</v>
      </c>
      <c r="Y123" s="143">
        <f>17/30</f>
        <v>0.56666666666666665</v>
      </c>
      <c r="Z123" s="121" t="s">
        <v>198</v>
      </c>
      <c r="AA123" s="143">
        <f>17/30</f>
        <v>0.56666666666666665</v>
      </c>
      <c r="AB123" s="121" t="s">
        <v>198</v>
      </c>
      <c r="AC123" s="121" t="s">
        <v>61</v>
      </c>
      <c r="AD123" s="121" t="s">
        <v>61</v>
      </c>
      <c r="AE123" s="143">
        <f>14/24</f>
        <v>0.58333333333333337</v>
      </c>
      <c r="AF123" s="121" t="s">
        <v>198</v>
      </c>
      <c r="AG123" s="143">
        <v>0.45454545454545453</v>
      </c>
      <c r="AH123" s="121" t="s">
        <v>198</v>
      </c>
      <c r="AI123" s="143">
        <f>16/31</f>
        <v>0.5161290322580645</v>
      </c>
      <c r="AJ123" s="121" t="s">
        <v>198</v>
      </c>
      <c r="AK123" s="121" t="s">
        <v>61</v>
      </c>
      <c r="AL123" s="121" t="s">
        <v>61</v>
      </c>
      <c r="AM123" s="143">
        <v>0.4</v>
      </c>
      <c r="AN123" s="121" t="s">
        <v>198</v>
      </c>
      <c r="AO123" s="143">
        <v>0.5</v>
      </c>
      <c r="AP123" s="121" t="s">
        <v>198</v>
      </c>
      <c r="AQ123" s="143">
        <f>9/20</f>
        <v>0.45</v>
      </c>
      <c r="AR123" s="121" t="s">
        <v>198</v>
      </c>
      <c r="AS123" s="143">
        <f>28/61</f>
        <v>0.45901639344262296</v>
      </c>
      <c r="AT123" s="121" t="s">
        <v>198</v>
      </c>
      <c r="AU123" s="190">
        <f>8/22</f>
        <v>0.36363636363636365</v>
      </c>
      <c r="AV123" s="121" t="s">
        <v>198</v>
      </c>
      <c r="AW123" s="143">
        <f>5/12</f>
        <v>0.41666666666666669</v>
      </c>
      <c r="AX123" s="121" t="s">
        <v>198</v>
      </c>
      <c r="AY123" s="143">
        <f>4/17</f>
        <v>0.23529411764705882</v>
      </c>
      <c r="AZ123" s="121" t="s">
        <v>251</v>
      </c>
      <c r="BA123" s="143">
        <f>17/51</f>
        <v>0.33333333333333331</v>
      </c>
      <c r="BB123" s="121" t="s">
        <v>251</v>
      </c>
      <c r="BC123" s="177">
        <f>4/6</f>
        <v>0.66666666666666663</v>
      </c>
      <c r="BD123" s="121" t="s">
        <v>198</v>
      </c>
      <c r="BE123" s="143">
        <f>16/25</f>
        <v>0.64</v>
      </c>
      <c r="BF123" s="121" t="s">
        <v>198</v>
      </c>
      <c r="BG123" s="195">
        <f>22/40</f>
        <v>0.55000000000000004</v>
      </c>
      <c r="BH123" s="121" t="s">
        <v>198</v>
      </c>
      <c r="BI123" s="195">
        <f>9/16</f>
        <v>0.5625</v>
      </c>
      <c r="BJ123" s="121" t="s">
        <v>198</v>
      </c>
      <c r="BK123" s="195">
        <f>9/16</f>
        <v>0.5625</v>
      </c>
      <c r="BL123" s="121" t="str">
        <f>IF(BK123="NA","NA",IF(BK123="Not Reported","Not Reported",IF(BK123&lt;$L$123,"Not Met","Met")))</f>
        <v>Met</v>
      </c>
      <c r="BM123" s="262">
        <v>0.22</v>
      </c>
      <c r="BN123" s="121" t="str">
        <f>IF(BM123="NA","NA",IF(BM123="Not Reported","Not Reported",IF(BM123&lt;$L$123,"Not Met","Met")))</f>
        <v>Not Met</v>
      </c>
      <c r="BO123" s="121" t="s">
        <v>61</v>
      </c>
      <c r="BP123" s="121" t="s">
        <v>61</v>
      </c>
      <c r="BQ123" s="121" t="s">
        <v>61</v>
      </c>
      <c r="BR123" s="121" t="s">
        <v>61</v>
      </c>
      <c r="BS123" s="315">
        <v>0.36</v>
      </c>
      <c r="BT123" s="121" t="str">
        <f>IF(BS123="NA","NA",IF(BS123="Not Reported","Not Reported",IF(BS123&lt;$L$123,"Not Met","Met")))</f>
        <v>Met</v>
      </c>
      <c r="BU123" s="345">
        <v>0.43</v>
      </c>
      <c r="BV123" s="121" t="str">
        <f>IF(BU123="NA","NA",IF(BU123="Not Reported","Not Reported",IF(BU123&lt;$L$123,"Not Met","Met")))</f>
        <v>Met</v>
      </c>
    </row>
    <row r="124" spans="1:75" x14ac:dyDescent="0.2">
      <c r="A124" s="121">
        <v>123</v>
      </c>
      <c r="B124" s="122" t="s">
        <v>9</v>
      </c>
      <c r="C124" s="122" t="s">
        <v>901</v>
      </c>
      <c r="D124" s="123" t="s">
        <v>102</v>
      </c>
      <c r="E124" s="123" t="s">
        <v>900</v>
      </c>
      <c r="F124" s="123" t="s">
        <v>190</v>
      </c>
      <c r="G124" s="123" t="s">
        <v>191</v>
      </c>
      <c r="H124" s="122" t="s">
        <v>192</v>
      </c>
      <c r="I124" s="124" t="s">
        <v>274</v>
      </c>
      <c r="J124" s="124" t="s">
        <v>214</v>
      </c>
      <c r="K124" s="145" t="s">
        <v>274</v>
      </c>
      <c r="L124" s="147">
        <v>120</v>
      </c>
      <c r="M124" s="147" t="s">
        <v>876</v>
      </c>
      <c r="N124" s="122" t="s">
        <v>559</v>
      </c>
      <c r="O124" s="123" t="s">
        <v>560</v>
      </c>
      <c r="P124" s="123" t="s">
        <v>207</v>
      </c>
      <c r="Q124" s="121">
        <v>50</v>
      </c>
      <c r="R124" s="121" t="s">
        <v>198</v>
      </c>
      <c r="S124" s="121">
        <v>86</v>
      </c>
      <c r="T124" s="121" t="s">
        <v>198</v>
      </c>
      <c r="U124" s="121" t="s">
        <v>576</v>
      </c>
      <c r="V124" s="121" t="s">
        <v>198</v>
      </c>
      <c r="W124" s="121" t="s">
        <v>577</v>
      </c>
      <c r="X124" s="121" t="s">
        <v>198</v>
      </c>
      <c r="Y124" s="121" t="s">
        <v>374</v>
      </c>
      <c r="Z124" s="121" t="s">
        <v>198</v>
      </c>
      <c r="AA124" s="121" t="s">
        <v>578</v>
      </c>
      <c r="AB124" s="121" t="s">
        <v>198</v>
      </c>
      <c r="AC124" s="121" t="s">
        <v>256</v>
      </c>
      <c r="AD124" s="121" t="s">
        <v>61</v>
      </c>
      <c r="AE124" s="121">
        <v>89</v>
      </c>
      <c r="AF124" s="121" t="s">
        <v>198</v>
      </c>
      <c r="AG124" s="121">
        <v>80</v>
      </c>
      <c r="AH124" s="121" t="s">
        <v>198</v>
      </c>
      <c r="AI124" s="162">
        <v>90</v>
      </c>
      <c r="AJ124" s="121" t="s">
        <v>198</v>
      </c>
      <c r="AK124" s="121" t="s">
        <v>61</v>
      </c>
      <c r="AL124" s="121" t="s">
        <v>61</v>
      </c>
      <c r="AM124" s="147">
        <v>102</v>
      </c>
      <c r="AN124" s="121" t="s">
        <v>198</v>
      </c>
      <c r="AO124" s="147">
        <v>76</v>
      </c>
      <c r="AP124" s="121" t="s">
        <v>198</v>
      </c>
      <c r="AQ124" s="196">
        <v>84</v>
      </c>
      <c r="AR124" s="121" t="s">
        <v>198</v>
      </c>
      <c r="AS124" s="196">
        <v>93</v>
      </c>
      <c r="AT124" s="121" t="s">
        <v>198</v>
      </c>
      <c r="AU124" s="172">
        <v>97</v>
      </c>
      <c r="AV124" s="121" t="s">
        <v>198</v>
      </c>
      <c r="AW124" s="121">
        <v>98</v>
      </c>
      <c r="AX124" s="121" t="s">
        <v>198</v>
      </c>
      <c r="AY124" s="121">
        <v>88</v>
      </c>
      <c r="AZ124" s="121" t="s">
        <v>198</v>
      </c>
      <c r="BA124" s="121">
        <v>94</v>
      </c>
      <c r="BB124" s="121" t="s">
        <v>198</v>
      </c>
      <c r="BC124" s="121">
        <v>83</v>
      </c>
      <c r="BD124" s="121" t="s">
        <v>198</v>
      </c>
      <c r="BE124" s="121">
        <v>86</v>
      </c>
      <c r="BF124" s="121" t="s">
        <v>198</v>
      </c>
      <c r="BG124" s="189">
        <v>104</v>
      </c>
      <c r="BH124" s="121" t="s">
        <v>198</v>
      </c>
      <c r="BI124" s="189">
        <v>85</v>
      </c>
      <c r="BJ124" s="121" t="s">
        <v>198</v>
      </c>
      <c r="BK124" s="121">
        <v>80</v>
      </c>
      <c r="BL124" s="121" t="str">
        <f>IF(BK124="NA","NA",IF(BK124="Not Reported","Not Reported",IF(BK124&gt;$L$124,"Not Met","Met")))</f>
        <v>Met</v>
      </c>
      <c r="BM124" s="258">
        <v>87</v>
      </c>
      <c r="BN124" s="121" t="str">
        <f>IF(BM124="NA","NA",IF(BM124="Not Reported","Not Reported",IF(BM124&gt;$L$124,"Not Met","Met")))</f>
        <v>Met</v>
      </c>
      <c r="BO124" s="121" t="s">
        <v>61</v>
      </c>
      <c r="BP124" s="121" t="s">
        <v>61</v>
      </c>
      <c r="BQ124" s="121" t="s">
        <v>61</v>
      </c>
      <c r="BR124" s="121" t="s">
        <v>61</v>
      </c>
      <c r="BS124" s="26">
        <v>85</v>
      </c>
      <c r="BT124" s="121" t="str">
        <f>IF(BS124="NA","NA",IF(BS124="Not Reported","Not Reported",IF(BS124&gt;$L$124,"Not Met","Met")))</f>
        <v>Met</v>
      </c>
      <c r="BU124" s="349">
        <v>90</v>
      </c>
      <c r="BV124" s="121" t="str">
        <f>IF(BU124="NA","NA",IF(BU124="Not Reported","Not Reported",IF(BU124&gt;$L$124,"Not Met","Met")))</f>
        <v>Met</v>
      </c>
    </row>
    <row r="125" spans="1:75" x14ac:dyDescent="0.2">
      <c r="A125" s="121">
        <v>124</v>
      </c>
      <c r="B125" s="122" t="s">
        <v>9</v>
      </c>
      <c r="C125" s="122" t="s">
        <v>901</v>
      </c>
      <c r="D125" s="123" t="s">
        <v>102</v>
      </c>
      <c r="E125" s="123" t="s">
        <v>900</v>
      </c>
      <c r="F125" s="123" t="s">
        <v>190</v>
      </c>
      <c r="G125" s="123" t="s">
        <v>191</v>
      </c>
      <c r="H125" s="122" t="s">
        <v>192</v>
      </c>
      <c r="I125" s="124" t="s">
        <v>213</v>
      </c>
      <c r="J125" s="124" t="s">
        <v>214</v>
      </c>
      <c r="K125" s="129" t="s">
        <v>213</v>
      </c>
      <c r="L125" s="147">
        <v>60</v>
      </c>
      <c r="M125" s="147" t="s">
        <v>579</v>
      </c>
      <c r="N125" s="122" t="s">
        <v>580</v>
      </c>
      <c r="O125" s="123" t="s">
        <v>567</v>
      </c>
      <c r="P125" s="123" t="s">
        <v>207</v>
      </c>
      <c r="Q125" s="121">
        <v>37</v>
      </c>
      <c r="R125" s="121" t="s">
        <v>198</v>
      </c>
      <c r="S125" s="121">
        <v>51</v>
      </c>
      <c r="T125" s="121" t="s">
        <v>198</v>
      </c>
      <c r="U125" s="121" t="s">
        <v>581</v>
      </c>
      <c r="V125" s="121" t="s">
        <v>198</v>
      </c>
      <c r="W125" s="121" t="s">
        <v>582</v>
      </c>
      <c r="X125" s="121" t="s">
        <v>198</v>
      </c>
      <c r="Y125" s="121" t="s">
        <v>583</v>
      </c>
      <c r="Z125" s="121" t="s">
        <v>198</v>
      </c>
      <c r="AA125" s="121" t="s">
        <v>584</v>
      </c>
      <c r="AB125" s="121" t="s">
        <v>198</v>
      </c>
      <c r="AC125" s="121" t="s">
        <v>256</v>
      </c>
      <c r="AD125" s="121" t="s">
        <v>61</v>
      </c>
      <c r="AE125" s="121">
        <v>51</v>
      </c>
      <c r="AF125" s="121" t="s">
        <v>198</v>
      </c>
      <c r="AG125" s="121">
        <v>27</v>
      </c>
      <c r="AH125" s="121" t="s">
        <v>198</v>
      </c>
      <c r="AI125" s="162">
        <v>30</v>
      </c>
      <c r="AJ125" s="121" t="s">
        <v>198</v>
      </c>
      <c r="AK125" s="121" t="s">
        <v>61</v>
      </c>
      <c r="AL125" s="121" t="s">
        <v>61</v>
      </c>
      <c r="AM125" s="147">
        <v>39</v>
      </c>
      <c r="AN125" s="121" t="s">
        <v>198</v>
      </c>
      <c r="AO125" s="147">
        <v>44</v>
      </c>
      <c r="AP125" s="121" t="s">
        <v>198</v>
      </c>
      <c r="AQ125" s="196">
        <v>31</v>
      </c>
      <c r="AR125" s="121" t="s">
        <v>198</v>
      </c>
      <c r="AS125" s="196">
        <v>37</v>
      </c>
      <c r="AT125" s="121" t="s">
        <v>198</v>
      </c>
      <c r="AU125" s="172">
        <v>50</v>
      </c>
      <c r="AV125" s="121" t="s">
        <v>198</v>
      </c>
      <c r="AW125" s="121">
        <v>33</v>
      </c>
      <c r="AX125" s="121" t="s">
        <v>198</v>
      </c>
      <c r="AY125" s="121">
        <v>54</v>
      </c>
      <c r="AZ125" s="121" t="s">
        <v>198</v>
      </c>
      <c r="BA125" s="121">
        <v>46</v>
      </c>
      <c r="BB125" s="121" t="s">
        <v>198</v>
      </c>
      <c r="BC125" s="121">
        <v>35</v>
      </c>
      <c r="BD125" s="121" t="s">
        <v>198</v>
      </c>
      <c r="BE125" s="121">
        <v>50</v>
      </c>
      <c r="BF125" s="121" t="s">
        <v>198</v>
      </c>
      <c r="BG125" s="189">
        <v>42</v>
      </c>
      <c r="BH125" s="121" t="s">
        <v>198</v>
      </c>
      <c r="BI125" s="189">
        <v>18</v>
      </c>
      <c r="BJ125" s="121" t="s">
        <v>198</v>
      </c>
      <c r="BK125" s="121" t="s">
        <v>442</v>
      </c>
      <c r="BL125" s="121" t="str">
        <f>IF(BK125="NA","NA",IF(BK125="Not Reported","Not Reported",IF(BK125&gt;$L$125,"Not Met","Met")))</f>
        <v>Not Met</v>
      </c>
      <c r="BM125" s="258">
        <v>32</v>
      </c>
      <c r="BN125" s="121" t="str">
        <f>IF(BM125="NA","NA",IF(BM125="Not Reported","Not Reported",IF(BM125&gt;$L$125,"Not Met","Met")))</f>
        <v>Met</v>
      </c>
      <c r="BO125" s="121" t="s">
        <v>61</v>
      </c>
      <c r="BP125" s="121" t="s">
        <v>61</v>
      </c>
      <c r="BQ125" s="121" t="s">
        <v>61</v>
      </c>
      <c r="BR125" s="121" t="s">
        <v>61</v>
      </c>
      <c r="BS125" s="26">
        <v>46</v>
      </c>
      <c r="BT125" s="121" t="str">
        <f>IF(BS125="NA","NA",IF(BS125="Not Reported","Not Reported",IF(BS125&gt;$L$125,"Not Met","Met")))</f>
        <v>Met</v>
      </c>
      <c r="BU125" s="349">
        <v>40</v>
      </c>
      <c r="BV125" s="121" t="str">
        <f>IF(BU125="NA","NA",IF(BU125="Not Reported","Not Reported",IF(BU125&gt;$L$125,"Not Met","Met")))</f>
        <v>Met</v>
      </c>
    </row>
    <row r="126" spans="1:75" x14ac:dyDescent="0.2">
      <c r="A126" s="121">
        <v>125</v>
      </c>
      <c r="B126" s="122" t="s">
        <v>9</v>
      </c>
      <c r="C126" s="122" t="s">
        <v>901</v>
      </c>
      <c r="D126" s="123" t="s">
        <v>102</v>
      </c>
      <c r="E126" s="123" t="s">
        <v>900</v>
      </c>
      <c r="F126" s="123" t="s">
        <v>190</v>
      </c>
      <c r="G126" s="123" t="s">
        <v>191</v>
      </c>
      <c r="H126" s="122" t="s">
        <v>192</v>
      </c>
      <c r="I126" s="124" t="s">
        <v>313</v>
      </c>
      <c r="J126" s="124" t="s">
        <v>313</v>
      </c>
      <c r="K126" s="123" t="s">
        <v>572</v>
      </c>
      <c r="L126" s="146">
        <v>0.8</v>
      </c>
      <c r="M126" s="146">
        <v>0.8</v>
      </c>
      <c r="N126" s="122" t="s">
        <v>541</v>
      </c>
      <c r="O126" s="122" t="s">
        <v>541</v>
      </c>
      <c r="P126" s="123" t="s">
        <v>207</v>
      </c>
      <c r="Q126" s="143">
        <f>5/6</f>
        <v>0.83333333333333337</v>
      </c>
      <c r="R126" s="121" t="s">
        <v>198</v>
      </c>
      <c r="S126" s="143">
        <v>0.75</v>
      </c>
      <c r="T126" s="147" t="s">
        <v>251</v>
      </c>
      <c r="U126" s="143">
        <v>0.9</v>
      </c>
      <c r="V126" s="121" t="s">
        <v>198</v>
      </c>
      <c r="W126" s="143">
        <f>4/7</f>
        <v>0.5714285714285714</v>
      </c>
      <c r="X126" s="147" t="s">
        <v>251</v>
      </c>
      <c r="Y126" s="143">
        <f>5/6</f>
        <v>0.83333333333333337</v>
      </c>
      <c r="Z126" s="121" t="s">
        <v>198</v>
      </c>
      <c r="AA126" s="143">
        <f>8/10</f>
        <v>0.8</v>
      </c>
      <c r="AB126" s="121" t="s">
        <v>198</v>
      </c>
      <c r="AC126" s="121" t="s">
        <v>256</v>
      </c>
      <c r="AD126" s="121" t="s">
        <v>61</v>
      </c>
      <c r="AE126" s="143">
        <f>5/5</f>
        <v>1</v>
      </c>
      <c r="AF126" s="121" t="s">
        <v>198</v>
      </c>
      <c r="AG126" s="143">
        <v>0.75</v>
      </c>
      <c r="AH126" s="147" t="s">
        <v>251</v>
      </c>
      <c r="AI126" s="177">
        <f>6/11</f>
        <v>0.54545454545454541</v>
      </c>
      <c r="AJ126" s="147" t="s">
        <v>251</v>
      </c>
      <c r="AK126" s="121" t="s">
        <v>61</v>
      </c>
      <c r="AL126" s="121" t="s">
        <v>61</v>
      </c>
      <c r="AM126" s="128">
        <v>0.77</v>
      </c>
      <c r="AN126" s="121" t="s">
        <v>251</v>
      </c>
      <c r="AO126" s="128">
        <v>0.67</v>
      </c>
      <c r="AP126" s="121" t="s">
        <v>251</v>
      </c>
      <c r="AQ126" s="143">
        <f>2/3</f>
        <v>0.66666666666666663</v>
      </c>
      <c r="AR126" s="121" t="s">
        <v>251</v>
      </c>
      <c r="AS126" s="143">
        <f>16/22</f>
        <v>0.72727272727272729</v>
      </c>
      <c r="AT126" s="121" t="s">
        <v>251</v>
      </c>
      <c r="AU126" s="128">
        <f>10/14</f>
        <v>0.7142857142857143</v>
      </c>
      <c r="AV126" s="121" t="s">
        <v>251</v>
      </c>
      <c r="AW126" s="143">
        <f>4/7</f>
        <v>0.5714285714285714</v>
      </c>
      <c r="AX126" s="121" t="s">
        <v>251</v>
      </c>
      <c r="AY126" s="143">
        <f>7/9</f>
        <v>0.77777777777777779</v>
      </c>
      <c r="AZ126" s="121" t="s">
        <v>251</v>
      </c>
      <c r="BA126" s="143">
        <f>21/30</f>
        <v>0.7</v>
      </c>
      <c r="BB126" s="121" t="s">
        <v>251</v>
      </c>
      <c r="BC126" s="143">
        <f>2/3</f>
        <v>0.66666666666666663</v>
      </c>
      <c r="BD126" s="121" t="s">
        <v>251</v>
      </c>
      <c r="BE126" s="143">
        <f>3/5</f>
        <v>0.6</v>
      </c>
      <c r="BF126" s="121" t="s">
        <v>251</v>
      </c>
      <c r="BG126" s="195">
        <f>5/6</f>
        <v>0.83333333333333337</v>
      </c>
      <c r="BH126" s="121" t="s">
        <v>198</v>
      </c>
      <c r="BI126" s="195">
        <f>12/14</f>
        <v>0.8571428571428571</v>
      </c>
      <c r="BJ126" s="121" t="s">
        <v>198</v>
      </c>
      <c r="BK126" s="126">
        <v>0.86</v>
      </c>
      <c r="BL126" s="128" t="str">
        <f>IF(BK126="NA","NA",IF(BK126="Not Reported","Not Reported",IF(BK126&lt;$L$126,"Not Met","Met")))</f>
        <v>Met</v>
      </c>
      <c r="BM126" s="262">
        <v>0.71</v>
      </c>
      <c r="BN126" s="128" t="str">
        <f>IF(BM126="NA","NA",IF(BM126="Not Reported","Not Reported",IF(BM126&lt;$L$126,"Not Met","Met")))</f>
        <v>Not Met</v>
      </c>
      <c r="BO126" s="121" t="s">
        <v>61</v>
      </c>
      <c r="BP126" s="128" t="s">
        <v>61</v>
      </c>
      <c r="BQ126" s="121" t="s">
        <v>61</v>
      </c>
      <c r="BR126" s="128" t="s">
        <v>61</v>
      </c>
      <c r="BS126" s="315">
        <v>0.86</v>
      </c>
      <c r="BT126" s="128" t="str">
        <f>IF(BS126="NA","NA",IF(BS126="Not Reported","Not Reported",IF(BS126&lt;$L$126,"Not Met","Met")))</f>
        <v>Met</v>
      </c>
      <c r="BU126" s="345">
        <v>0.75</v>
      </c>
      <c r="BV126" s="128" t="str">
        <f>IF(BU126="NA","NA",IF(BU126="Not Reported","Not Reported",IF(BU126&lt;$L$126,"Not Met","Met")))</f>
        <v>Not Met</v>
      </c>
    </row>
    <row r="127" spans="1:75" x14ac:dyDescent="0.25">
      <c r="A127" s="121">
        <v>126</v>
      </c>
      <c r="B127" s="122" t="s">
        <v>9</v>
      </c>
      <c r="C127" s="122" t="s">
        <v>901</v>
      </c>
      <c r="D127" s="123" t="s">
        <v>102</v>
      </c>
      <c r="E127" s="123" t="s">
        <v>900</v>
      </c>
      <c r="F127" s="123" t="s">
        <v>190</v>
      </c>
      <c r="G127" s="123" t="s">
        <v>191</v>
      </c>
      <c r="H127" s="122" t="s">
        <v>192</v>
      </c>
      <c r="I127" s="124"/>
      <c r="J127" s="124"/>
      <c r="K127" s="122" t="s">
        <v>585</v>
      </c>
      <c r="L127" s="152">
        <v>4.7222222222222221E-2</v>
      </c>
      <c r="M127" s="152">
        <v>4.7222222222222221E-2</v>
      </c>
      <c r="N127" s="122" t="s">
        <v>586</v>
      </c>
      <c r="O127" s="122" t="s">
        <v>586</v>
      </c>
      <c r="P127" s="123" t="s">
        <v>207</v>
      </c>
      <c r="Q127" s="158">
        <v>4.583333333333333E-2</v>
      </c>
      <c r="R127" s="121" t="s">
        <v>198</v>
      </c>
      <c r="S127" s="158">
        <v>4.5138888888888888E-2</v>
      </c>
      <c r="T127" s="121" t="s">
        <v>198</v>
      </c>
      <c r="U127" s="158">
        <v>4.4444444444444446E-2</v>
      </c>
      <c r="V127" s="121" t="s">
        <v>198</v>
      </c>
      <c r="W127" s="158">
        <v>4.5138888888888888E-2</v>
      </c>
      <c r="X127" s="121" t="s">
        <v>198</v>
      </c>
      <c r="Y127" s="158">
        <v>4.583333333333333E-2</v>
      </c>
      <c r="Z127" s="121" t="s">
        <v>198</v>
      </c>
      <c r="AA127" s="158">
        <v>4.4444444444444446E-2</v>
      </c>
      <c r="AB127" s="121" t="s">
        <v>198</v>
      </c>
      <c r="AC127" s="121" t="s">
        <v>256</v>
      </c>
      <c r="AD127" s="121" t="s">
        <v>61</v>
      </c>
      <c r="AE127" s="158">
        <v>4.3749999999999997E-2</v>
      </c>
      <c r="AF127" s="121" t="s">
        <v>198</v>
      </c>
      <c r="AG127" s="194">
        <v>4.4444444444444446E-2</v>
      </c>
      <c r="AH127" s="121" t="s">
        <v>198</v>
      </c>
      <c r="AI127" s="158">
        <v>4.2361111111111113E-2</v>
      </c>
      <c r="AJ127" s="121" t="s">
        <v>198</v>
      </c>
      <c r="AK127" s="121" t="s">
        <v>61</v>
      </c>
      <c r="AL127" s="121" t="s">
        <v>61</v>
      </c>
      <c r="AM127" s="158">
        <v>4.3749999999999997E-2</v>
      </c>
      <c r="AN127" s="121" t="s">
        <v>198</v>
      </c>
      <c r="AO127" s="158">
        <v>4.4444444444444446E-2</v>
      </c>
      <c r="AP127" s="121" t="s">
        <v>198</v>
      </c>
      <c r="AQ127" s="152">
        <v>4.4444444444444398E-2</v>
      </c>
      <c r="AR127" s="121" t="s">
        <v>198</v>
      </c>
      <c r="AS127" s="152">
        <v>4.3749999999999997E-2</v>
      </c>
      <c r="AT127" s="121" t="s">
        <v>198</v>
      </c>
      <c r="AU127" s="158">
        <v>4.3749999999999997E-2</v>
      </c>
      <c r="AV127" s="121" t="s">
        <v>198</v>
      </c>
      <c r="AW127" s="158">
        <v>4.3749999999999997E-2</v>
      </c>
      <c r="AX127" s="121" t="s">
        <v>198</v>
      </c>
      <c r="AY127" s="158">
        <v>4.4444444444444446E-2</v>
      </c>
      <c r="AZ127" s="121" t="s">
        <v>198</v>
      </c>
      <c r="BA127" s="158">
        <v>4.3749999999999997E-2</v>
      </c>
      <c r="BB127" s="121" t="s">
        <v>198</v>
      </c>
      <c r="BC127" s="158">
        <v>4.4444444444444446E-2</v>
      </c>
      <c r="BD127" s="121" t="s">
        <v>198</v>
      </c>
      <c r="BE127" s="143">
        <v>4.3749999999999997E-2</v>
      </c>
      <c r="BF127" s="121" t="s">
        <v>198</v>
      </c>
      <c r="BG127" s="197">
        <v>4.3749999999999997E-2</v>
      </c>
      <c r="BH127" s="121" t="s">
        <v>198</v>
      </c>
      <c r="BI127" s="197">
        <v>4.3749999999999997E-2</v>
      </c>
      <c r="BJ127" s="121" t="s">
        <v>198</v>
      </c>
      <c r="BK127" s="197">
        <v>4.3749999999999997E-2</v>
      </c>
      <c r="BL127" s="128" t="str">
        <f>IF(BK127="NA","NA",IF(BK127="Not Reported","Not Reported",IF(BK127&gt;$L$127,"Not Met","Met")))</f>
        <v>Met</v>
      </c>
      <c r="BM127" s="269">
        <v>4.4444444444444446E-2</v>
      </c>
      <c r="BN127" s="128" t="str">
        <f>IF(BM127="NA","NA",IF(BM127="Not Reported","Not Reported",IF(BM127&gt;$L$127,"Not Met","Met")))</f>
        <v>Met</v>
      </c>
      <c r="BO127" s="121" t="s">
        <v>61</v>
      </c>
      <c r="BP127" s="128" t="s">
        <v>61</v>
      </c>
      <c r="BQ127" s="121" t="s">
        <v>61</v>
      </c>
      <c r="BR127" s="128" t="s">
        <v>61</v>
      </c>
      <c r="BS127" s="320">
        <v>4.4444444444444446E-2</v>
      </c>
      <c r="BT127" s="128" t="str">
        <f>IF(BS127="NA","NA",IF(BS127="Not Reported","Not Reported",IF(BS127&gt;$L$127,"Not Met","Met")))</f>
        <v>Met</v>
      </c>
      <c r="BU127" s="409">
        <v>4.3749999999999997E-2</v>
      </c>
      <c r="BV127" s="128" t="str">
        <f>IF(BU127="NA","NA",IF(BU127="Not Reported","Not Reported",IF(BU127&gt;$L$127,"Not Met","Met")))</f>
        <v>Met</v>
      </c>
    </row>
    <row r="128" spans="1:75" x14ac:dyDescent="0.2">
      <c r="A128" s="121">
        <v>127</v>
      </c>
      <c r="B128" s="122" t="s">
        <v>9</v>
      </c>
      <c r="C128" s="122" t="s">
        <v>901</v>
      </c>
      <c r="D128" s="123" t="s">
        <v>102</v>
      </c>
      <c r="E128" s="123" t="s">
        <v>900</v>
      </c>
      <c r="F128" s="123" t="s">
        <v>190</v>
      </c>
      <c r="G128" s="123" t="s">
        <v>191</v>
      </c>
      <c r="H128" s="122" t="s">
        <v>192</v>
      </c>
      <c r="I128" s="124" t="s">
        <v>313</v>
      </c>
      <c r="J128" s="124" t="s">
        <v>313</v>
      </c>
      <c r="K128" s="122" t="s">
        <v>314</v>
      </c>
      <c r="L128" s="146">
        <v>0.15</v>
      </c>
      <c r="M128" s="147" t="s">
        <v>587</v>
      </c>
      <c r="N128" s="123" t="s">
        <v>588</v>
      </c>
      <c r="O128" s="123" t="s">
        <v>589</v>
      </c>
      <c r="P128" s="123" t="s">
        <v>207</v>
      </c>
      <c r="Q128" s="143">
        <f>1/5</f>
        <v>0.2</v>
      </c>
      <c r="R128" s="121" t="s">
        <v>198</v>
      </c>
      <c r="S128" s="143">
        <v>0.33333333333333331</v>
      </c>
      <c r="T128" s="121" t="s">
        <v>198</v>
      </c>
      <c r="U128" s="143">
        <v>0.33333333333333331</v>
      </c>
      <c r="V128" s="121" t="s">
        <v>198</v>
      </c>
      <c r="W128" s="143">
        <f>0/4</f>
        <v>0</v>
      </c>
      <c r="X128" s="147" t="s">
        <v>251</v>
      </c>
      <c r="Y128" s="143">
        <f>1/5</f>
        <v>0.2</v>
      </c>
      <c r="Z128" s="121" t="s">
        <v>198</v>
      </c>
      <c r="AA128" s="143">
        <f>1/8</f>
        <v>0.125</v>
      </c>
      <c r="AB128" s="147" t="s">
        <v>251</v>
      </c>
      <c r="AC128" s="121" t="s">
        <v>256</v>
      </c>
      <c r="AD128" s="121" t="s">
        <v>61</v>
      </c>
      <c r="AE128" s="143">
        <f>1/5</f>
        <v>0.2</v>
      </c>
      <c r="AF128" s="121" t="s">
        <v>198</v>
      </c>
      <c r="AG128" s="143">
        <v>0</v>
      </c>
      <c r="AH128" s="147" t="s">
        <v>251</v>
      </c>
      <c r="AI128" s="177">
        <f>2/6</f>
        <v>0.33333333333333331</v>
      </c>
      <c r="AJ128" s="121" t="s">
        <v>198</v>
      </c>
      <c r="AK128" s="121" t="s">
        <v>61</v>
      </c>
      <c r="AL128" s="121" t="s">
        <v>61</v>
      </c>
      <c r="AM128" s="128">
        <v>0.3</v>
      </c>
      <c r="AN128" s="121" t="s">
        <v>198</v>
      </c>
      <c r="AO128" s="128">
        <v>0</v>
      </c>
      <c r="AP128" s="121" t="s">
        <v>251</v>
      </c>
      <c r="AQ128" s="143">
        <f>1/2</f>
        <v>0.5</v>
      </c>
      <c r="AR128" s="121" t="s">
        <v>198</v>
      </c>
      <c r="AS128" s="143">
        <f>5/16</f>
        <v>0.3125</v>
      </c>
      <c r="AT128" s="121" t="s">
        <v>198</v>
      </c>
      <c r="AU128" s="128">
        <f>6/10</f>
        <v>0.6</v>
      </c>
      <c r="AV128" s="121" t="s">
        <v>198</v>
      </c>
      <c r="AW128" s="143">
        <f>1/4</f>
        <v>0.25</v>
      </c>
      <c r="AX128" s="121" t="s">
        <v>198</v>
      </c>
      <c r="AY128" s="143">
        <f>1/7</f>
        <v>0.14285714285714285</v>
      </c>
      <c r="AZ128" s="121" t="s">
        <v>251</v>
      </c>
      <c r="BA128" s="143">
        <f>14/21</f>
        <v>0.66666666666666663</v>
      </c>
      <c r="BB128" s="121" t="s">
        <v>198</v>
      </c>
      <c r="BC128" s="143">
        <f>0/2</f>
        <v>0</v>
      </c>
      <c r="BD128" s="121" t="s">
        <v>251</v>
      </c>
      <c r="BE128" s="143">
        <f>1/3</f>
        <v>0.33333333333333331</v>
      </c>
      <c r="BF128" s="121" t="s">
        <v>198</v>
      </c>
      <c r="BG128" s="198">
        <f>1/5</f>
        <v>0.2</v>
      </c>
      <c r="BH128" s="121" t="s">
        <v>198</v>
      </c>
      <c r="BI128" s="198">
        <f>5/12</f>
        <v>0.41666666666666669</v>
      </c>
      <c r="BJ128" s="121" t="s">
        <v>198</v>
      </c>
      <c r="BK128" s="198">
        <f>5/12</f>
        <v>0.41666666666666669</v>
      </c>
      <c r="BL128" s="121" t="str">
        <f>IF(BK128="NA","NA",IF(BK128="Not Reported","Not Reported",IF(BK128&lt;$L$128,"Not Met","Met")))</f>
        <v>Met</v>
      </c>
      <c r="BM128" s="262">
        <v>0.2</v>
      </c>
      <c r="BN128" s="121" t="str">
        <f>IF(BM128="NA","NA",IF(BM128="Not Reported","Not Reported",IF(BM128&lt;$L$128,"Not Met","Met")))</f>
        <v>Met</v>
      </c>
      <c r="BO128" s="121" t="s">
        <v>61</v>
      </c>
      <c r="BP128" s="121" t="s">
        <v>61</v>
      </c>
      <c r="BQ128" s="121" t="s">
        <v>61</v>
      </c>
      <c r="BR128" s="121" t="s">
        <v>61</v>
      </c>
      <c r="BS128" s="315">
        <v>0.17</v>
      </c>
      <c r="BT128" s="121" t="str">
        <f>IF(BS128="NA","NA",IF(BS128="Not Reported","Not Reported",IF(BS128&lt;$L$128,"Not Met","Met")))</f>
        <v>Met</v>
      </c>
      <c r="BU128" s="410">
        <v>0.23</v>
      </c>
      <c r="BV128" s="121" t="str">
        <f>IF(BU128="NA","NA",IF(BU128="Not Reported","Not Reported",IF(BU128&lt;$L$128,"Not Met","Met")))</f>
        <v>Met</v>
      </c>
    </row>
    <row r="129" spans="1:74" x14ac:dyDescent="0.2">
      <c r="A129" s="121">
        <v>128</v>
      </c>
      <c r="B129" s="122" t="s">
        <v>9</v>
      </c>
      <c r="C129" s="122" t="s">
        <v>901</v>
      </c>
      <c r="D129" s="123" t="s">
        <v>102</v>
      </c>
      <c r="E129" s="123" t="s">
        <v>900</v>
      </c>
      <c r="F129" s="123" t="s">
        <v>190</v>
      </c>
      <c r="G129" s="122" t="s">
        <v>273</v>
      </c>
      <c r="H129" s="122" t="s">
        <v>192</v>
      </c>
      <c r="I129" s="124" t="s">
        <v>246</v>
      </c>
      <c r="J129" s="124" t="s">
        <v>214</v>
      </c>
      <c r="K129" s="122" t="s">
        <v>326</v>
      </c>
      <c r="L129" s="128">
        <v>0.2</v>
      </c>
      <c r="M129" s="128">
        <v>0.2</v>
      </c>
      <c r="N129" s="122" t="s">
        <v>368</v>
      </c>
      <c r="O129" s="122" t="s">
        <v>369</v>
      </c>
      <c r="P129" s="123" t="s">
        <v>207</v>
      </c>
      <c r="Q129" s="178">
        <f>14/43</f>
        <v>0.32558139534883723</v>
      </c>
      <c r="R129" s="121" t="s">
        <v>251</v>
      </c>
      <c r="S129" s="143">
        <v>0.23529411764705882</v>
      </c>
      <c r="T129" s="147" t="s">
        <v>251</v>
      </c>
      <c r="U129" s="143">
        <v>0.2</v>
      </c>
      <c r="V129" s="121" t="s">
        <v>198</v>
      </c>
      <c r="W129" s="143">
        <f>10/54</f>
        <v>0.18518518518518517</v>
      </c>
      <c r="X129" s="121" t="s">
        <v>198</v>
      </c>
      <c r="Y129" s="143">
        <f>4/26</f>
        <v>0.15384615384615385</v>
      </c>
      <c r="Z129" s="121" t="s">
        <v>198</v>
      </c>
      <c r="AA129" s="143">
        <f>3/51</f>
        <v>5.8823529411764705E-2</v>
      </c>
      <c r="AB129" s="121" t="s">
        <v>198</v>
      </c>
      <c r="AC129" s="121" t="s">
        <v>256</v>
      </c>
      <c r="AD129" s="121" t="s">
        <v>61</v>
      </c>
      <c r="AE129" s="143">
        <f>7/39</f>
        <v>0.17948717948717949</v>
      </c>
      <c r="AF129" s="121" t="s">
        <v>198</v>
      </c>
      <c r="AG129" s="143">
        <v>0.26190476190476192</v>
      </c>
      <c r="AH129" s="121" t="s">
        <v>198</v>
      </c>
      <c r="AI129" s="143">
        <f>11/49</f>
        <v>0.22448979591836735</v>
      </c>
      <c r="AJ129" s="147" t="s">
        <v>251</v>
      </c>
      <c r="AK129" s="121" t="s">
        <v>61</v>
      </c>
      <c r="AL129" s="121" t="s">
        <v>61</v>
      </c>
      <c r="AM129" s="143">
        <v>0.19</v>
      </c>
      <c r="AN129" s="121" t="s">
        <v>198</v>
      </c>
      <c r="AO129" s="143">
        <v>0.14000000000000001</v>
      </c>
      <c r="AP129" s="121" t="s">
        <v>198</v>
      </c>
      <c r="AQ129" s="143">
        <f>6/31</f>
        <v>0.19354838709677419</v>
      </c>
      <c r="AR129" s="121" t="s">
        <v>198</v>
      </c>
      <c r="AS129" s="143">
        <f>18/104</f>
        <v>0.17307692307692307</v>
      </c>
      <c r="AT129" s="121" t="s">
        <v>198</v>
      </c>
      <c r="AU129" s="128">
        <f>3/17</f>
        <v>0.17647058823529413</v>
      </c>
      <c r="AV129" s="121" t="s">
        <v>198</v>
      </c>
      <c r="AW129" s="143">
        <f>3/19</f>
        <v>0.15789473684210525</v>
      </c>
      <c r="AX129" s="121" t="s">
        <v>198</v>
      </c>
      <c r="AY129" s="143">
        <f>5/27</f>
        <v>0.18518518518518517</v>
      </c>
      <c r="AZ129" s="121" t="s">
        <v>198</v>
      </c>
      <c r="BA129" s="143">
        <f>11/63</f>
        <v>0.17460317460317459</v>
      </c>
      <c r="BB129" s="121" t="s">
        <v>198</v>
      </c>
      <c r="BC129" s="143">
        <f>5/37</f>
        <v>0.13513513513513514</v>
      </c>
      <c r="BD129" s="121" t="s">
        <v>198</v>
      </c>
      <c r="BE129" s="143">
        <f>5/37</f>
        <v>0.13513513513513514</v>
      </c>
      <c r="BF129" s="121" t="s">
        <v>198</v>
      </c>
      <c r="BG129" s="195">
        <f>8/35</f>
        <v>0.22857142857142856</v>
      </c>
      <c r="BH129" s="121" t="s">
        <v>251</v>
      </c>
      <c r="BI129" s="195">
        <f>7/38</f>
        <v>0.18421052631578946</v>
      </c>
      <c r="BJ129" s="121" t="s">
        <v>198</v>
      </c>
      <c r="BK129" s="195">
        <f>7/38</f>
        <v>0.18421052631578946</v>
      </c>
      <c r="BL129" s="174" t="str">
        <f>IF(BK129="NA","NA",IF(BK129="Not Reported","Not Reported",IF(BK129&gt;$L$129,"Not Met","Met")))</f>
        <v>Met</v>
      </c>
      <c r="BM129" s="262">
        <v>0.17</v>
      </c>
      <c r="BN129" s="162" t="str">
        <f>IF(BM129="NA","NA",IF(BM129="Not Reported","Not Reported",IF(BM129&gt;$L$129,"Not Met","Met")))</f>
        <v>Met</v>
      </c>
      <c r="BO129" s="121" t="s">
        <v>61</v>
      </c>
      <c r="BP129" s="162" t="s">
        <v>61</v>
      </c>
      <c r="BQ129" s="121" t="s">
        <v>61</v>
      </c>
      <c r="BR129" s="162" t="s">
        <v>61</v>
      </c>
      <c r="BS129" s="315">
        <v>0.24</v>
      </c>
      <c r="BT129" s="162" t="str">
        <f>IF(BS129="NA","NA",IF(BS129="Not Reported","Not Reported",IF(BS129&gt;$L$129,"Not Met","Met")))</f>
        <v>Not Met</v>
      </c>
      <c r="BU129" s="345">
        <v>0.19</v>
      </c>
      <c r="BV129" s="162" t="str">
        <f>IF(BU129="NA","NA",IF(BU129="Not Reported","Not Reported",IF(BU129&gt;$L$129,"Not Met","Met")))</f>
        <v>Met</v>
      </c>
    </row>
    <row r="130" spans="1:74" x14ac:dyDescent="0.2">
      <c r="A130" s="121">
        <v>129</v>
      </c>
      <c r="B130" s="122" t="s">
        <v>9</v>
      </c>
      <c r="C130" s="122" t="s">
        <v>901</v>
      </c>
      <c r="D130" s="123" t="s">
        <v>102</v>
      </c>
      <c r="E130" s="123" t="s">
        <v>900</v>
      </c>
      <c r="F130" s="123" t="s">
        <v>190</v>
      </c>
      <c r="G130" s="122" t="s">
        <v>273</v>
      </c>
      <c r="H130" s="122" t="s">
        <v>192</v>
      </c>
      <c r="I130" s="124" t="s">
        <v>284</v>
      </c>
      <c r="J130" s="124" t="s">
        <v>285</v>
      </c>
      <c r="K130" s="145" t="s">
        <v>284</v>
      </c>
      <c r="L130" s="128">
        <v>0.7</v>
      </c>
      <c r="M130" s="128">
        <v>0.7</v>
      </c>
      <c r="N130" s="122" t="s">
        <v>287</v>
      </c>
      <c r="O130" s="122" t="s">
        <v>288</v>
      </c>
      <c r="P130" s="123" t="s">
        <v>207</v>
      </c>
      <c r="Q130" s="178">
        <f>64/115</f>
        <v>0.55652173913043479</v>
      </c>
      <c r="R130" s="121" t="s">
        <v>251</v>
      </c>
      <c r="S130" s="143">
        <v>0.4263157894736842</v>
      </c>
      <c r="T130" s="147" t="s">
        <v>251</v>
      </c>
      <c r="U130" s="177">
        <v>0.65671641791044777</v>
      </c>
      <c r="V130" s="147" t="s">
        <v>251</v>
      </c>
      <c r="W130" s="143">
        <f>81/145</f>
        <v>0.55862068965517242</v>
      </c>
      <c r="X130" s="147" t="s">
        <v>251</v>
      </c>
      <c r="Y130" s="143">
        <f>31/48</f>
        <v>0.64583333333333337</v>
      </c>
      <c r="Z130" s="121" t="s">
        <v>251</v>
      </c>
      <c r="AA130" s="143">
        <f>32/50</f>
        <v>0.64</v>
      </c>
      <c r="AB130" s="147" t="s">
        <v>251</v>
      </c>
      <c r="AC130" s="121" t="s">
        <v>256</v>
      </c>
      <c r="AD130" s="121" t="s">
        <v>61</v>
      </c>
      <c r="AE130" s="143">
        <v>0.68</v>
      </c>
      <c r="AF130" s="147" t="s">
        <v>251</v>
      </c>
      <c r="AG130" s="143">
        <v>0.75</v>
      </c>
      <c r="AH130" s="121" t="s">
        <v>198</v>
      </c>
      <c r="AI130" s="143">
        <f>35/41</f>
        <v>0.85365853658536583</v>
      </c>
      <c r="AJ130" s="121" t="s">
        <v>198</v>
      </c>
      <c r="AK130" s="121" t="s">
        <v>61</v>
      </c>
      <c r="AL130" s="121" t="s">
        <v>61</v>
      </c>
      <c r="AM130" s="143">
        <v>0.87</v>
      </c>
      <c r="AN130" s="121" t="s">
        <v>198</v>
      </c>
      <c r="AO130" s="143">
        <v>0.67</v>
      </c>
      <c r="AP130" s="121" t="s">
        <v>251</v>
      </c>
      <c r="AQ130" s="143">
        <f>38/67</f>
        <v>0.56716417910447758</v>
      </c>
      <c r="AR130" s="121" t="s">
        <v>251</v>
      </c>
      <c r="AS130" s="143">
        <f>219/311</f>
        <v>0.70418006430868163</v>
      </c>
      <c r="AT130" s="121" t="s">
        <v>198</v>
      </c>
      <c r="AU130" s="128">
        <f>27/62</f>
        <v>0.43548387096774194</v>
      </c>
      <c r="AV130" s="121" t="s">
        <v>251</v>
      </c>
      <c r="AW130" s="143">
        <f>36/64</f>
        <v>0.5625</v>
      </c>
      <c r="AX130" s="121" t="s">
        <v>251</v>
      </c>
      <c r="AY130" s="143">
        <f>56/72</f>
        <v>0.77777777777777779</v>
      </c>
      <c r="AZ130" s="121" t="s">
        <v>198</v>
      </c>
      <c r="BA130" s="143">
        <f>119/198</f>
        <v>0.60101010101010099</v>
      </c>
      <c r="BB130" s="121" t="s">
        <v>251</v>
      </c>
      <c r="BC130" s="143">
        <f>65/87</f>
        <v>0.74712643678160917</v>
      </c>
      <c r="BD130" s="121" t="s">
        <v>198</v>
      </c>
      <c r="BE130" s="143">
        <f>54/79</f>
        <v>0.68354430379746833</v>
      </c>
      <c r="BF130" s="121" t="s">
        <v>251</v>
      </c>
      <c r="BG130" s="195">
        <v>0.75</v>
      </c>
      <c r="BH130" s="121" t="s">
        <v>198</v>
      </c>
      <c r="BI130" s="195">
        <f>21/30</f>
        <v>0.7</v>
      </c>
      <c r="BJ130" s="121" t="s">
        <v>198</v>
      </c>
      <c r="BK130" s="195">
        <f>21/30</f>
        <v>0.7</v>
      </c>
      <c r="BL130" s="128" t="str">
        <f>IF(BK130="NA","NA",IF(BK130="Not Reported","Not Reported",IF(BK130&lt;$L$130,"Not Met","Met")))</f>
        <v>Met</v>
      </c>
      <c r="BM130" s="262">
        <v>0.83</v>
      </c>
      <c r="BN130" s="128" t="str">
        <f>IF(BM130="NA","NA",IF(BM130="Not Reported","Not Reported",IF(BM130&lt;$L$130,"Not Met","Met")))</f>
        <v>Met</v>
      </c>
      <c r="BO130" s="121" t="s">
        <v>61</v>
      </c>
      <c r="BP130" s="128" t="s">
        <v>61</v>
      </c>
      <c r="BQ130" s="121" t="s">
        <v>61</v>
      </c>
      <c r="BR130" s="128" t="s">
        <v>61</v>
      </c>
      <c r="BS130" s="315">
        <v>0.56000000000000005</v>
      </c>
      <c r="BT130" s="128" t="str">
        <f>IF(BS130="NA","NA",IF(BS130="Not Reported","Not Reported",IF(BS130&lt;$L$130,"Not Met","Met")))</f>
        <v>Not Met</v>
      </c>
      <c r="BU130" s="345">
        <v>0.68</v>
      </c>
      <c r="BV130" s="128" t="str">
        <f>IF(BU130="NA","NA",IF(BU130="Not Reported","Not Reported",IF(BU130&lt;$L$130,"Not Met","Met")))</f>
        <v>Not Met</v>
      </c>
    </row>
    <row r="131" spans="1:74" x14ac:dyDescent="0.2">
      <c r="A131" s="121">
        <v>130</v>
      </c>
      <c r="B131" s="122" t="s">
        <v>9</v>
      </c>
      <c r="C131" s="122" t="s">
        <v>901</v>
      </c>
      <c r="D131" s="123" t="s">
        <v>102</v>
      </c>
      <c r="E131" s="123" t="s">
        <v>900</v>
      </c>
      <c r="F131" s="123" t="s">
        <v>190</v>
      </c>
      <c r="G131" s="122" t="s">
        <v>273</v>
      </c>
      <c r="H131" s="122" t="s">
        <v>192</v>
      </c>
      <c r="I131" s="124" t="s">
        <v>289</v>
      </c>
      <c r="J131" s="124" t="s">
        <v>285</v>
      </c>
      <c r="K131" s="145" t="s">
        <v>289</v>
      </c>
      <c r="L131" s="128">
        <v>0.5</v>
      </c>
      <c r="M131" s="128">
        <v>0.5</v>
      </c>
      <c r="N131" s="122" t="s">
        <v>290</v>
      </c>
      <c r="O131" s="122" t="s">
        <v>291</v>
      </c>
      <c r="P131" s="123" t="s">
        <v>207</v>
      </c>
      <c r="Q131" s="178">
        <f>9/155</f>
        <v>5.8064516129032261E-2</v>
      </c>
      <c r="R131" s="121" t="s">
        <v>251</v>
      </c>
      <c r="S131" s="143">
        <v>8.4210526315789472E-2</v>
      </c>
      <c r="T131" s="147" t="s">
        <v>251</v>
      </c>
      <c r="U131" s="143">
        <v>5.2238805970149252E-2</v>
      </c>
      <c r="V131" s="147" t="s">
        <v>251</v>
      </c>
      <c r="W131" s="143">
        <f>13/149</f>
        <v>8.7248322147651006E-2</v>
      </c>
      <c r="X131" s="147" t="s">
        <v>251</v>
      </c>
      <c r="Y131" s="143">
        <f>9/48</f>
        <v>0.1875</v>
      </c>
      <c r="Z131" s="121" t="s">
        <v>251</v>
      </c>
      <c r="AA131" s="143">
        <f>9/50</f>
        <v>0.18</v>
      </c>
      <c r="AB131" s="147" t="s">
        <v>251</v>
      </c>
      <c r="AC131" s="121" t="s">
        <v>256</v>
      </c>
      <c r="AD131" s="121" t="s">
        <v>61</v>
      </c>
      <c r="AE131" s="143">
        <v>0.06</v>
      </c>
      <c r="AF131" s="147" t="s">
        <v>251</v>
      </c>
      <c r="AG131" s="143">
        <v>0.22222222222222221</v>
      </c>
      <c r="AH131" s="147" t="s">
        <v>251</v>
      </c>
      <c r="AI131" s="143">
        <f>34/41</f>
        <v>0.82926829268292679</v>
      </c>
      <c r="AJ131" s="121" t="s">
        <v>198</v>
      </c>
      <c r="AK131" s="121" t="s">
        <v>61</v>
      </c>
      <c r="AL131" s="121" t="s">
        <v>61</v>
      </c>
      <c r="AM131" s="143">
        <v>0.11</v>
      </c>
      <c r="AN131" s="121" t="s">
        <v>251</v>
      </c>
      <c r="AO131" s="143">
        <v>0.05</v>
      </c>
      <c r="AP131" s="121" t="s">
        <v>251</v>
      </c>
      <c r="AQ131" s="143">
        <f>14/67</f>
        <v>0.20895522388059701</v>
      </c>
      <c r="AR131" s="121" t="s">
        <v>251</v>
      </c>
      <c r="AS131" s="143">
        <v>9.9706744868035199E-2</v>
      </c>
      <c r="AT131" s="121" t="s">
        <v>251</v>
      </c>
      <c r="AU131" s="128">
        <f>4/62</f>
        <v>6.4516129032258063E-2</v>
      </c>
      <c r="AV131" s="121" t="s">
        <v>251</v>
      </c>
      <c r="AW131" s="143">
        <f>2/64</f>
        <v>3.125E-2</v>
      </c>
      <c r="AX131" s="121" t="s">
        <v>251</v>
      </c>
      <c r="AY131" s="143">
        <f>7/72</f>
        <v>9.7222222222222224E-2</v>
      </c>
      <c r="AZ131" s="121" t="s">
        <v>251</v>
      </c>
      <c r="BA131" s="143">
        <f>13/198</f>
        <v>6.5656565656565663E-2</v>
      </c>
      <c r="BB131" s="121" t="s">
        <v>251</v>
      </c>
      <c r="BC131" s="143">
        <f>12/87</f>
        <v>0.13793103448275862</v>
      </c>
      <c r="BD131" s="121" t="s">
        <v>251</v>
      </c>
      <c r="BE131" s="143">
        <f>9/79</f>
        <v>0.11392405063291139</v>
      </c>
      <c r="BF131" s="121" t="s">
        <v>251</v>
      </c>
      <c r="BG131" s="195">
        <v>0.35</v>
      </c>
      <c r="BH131" s="121" t="s">
        <v>251</v>
      </c>
      <c r="BI131" s="195">
        <f>7/21</f>
        <v>0.33333333333333331</v>
      </c>
      <c r="BJ131" s="121" t="s">
        <v>251</v>
      </c>
      <c r="BK131" s="195">
        <f>7/21</f>
        <v>0.33333333333333331</v>
      </c>
      <c r="BL131" s="128" t="str">
        <f>IF(BK131="NA","NA",IF(BK131="Not Reported","Not Reported",IF(BK131&lt;$L$131,"Not Met","Met")))</f>
        <v>Not Met</v>
      </c>
      <c r="BM131" s="262">
        <v>0.13</v>
      </c>
      <c r="BN131" s="128" t="str">
        <f>IF(BM131="NA","NA",IF(BM131="Not Reported","Not Reported",IF(BM131&lt;$L$131,"Not Met","Met")))</f>
        <v>Not Met</v>
      </c>
      <c r="BO131" s="121" t="s">
        <v>61</v>
      </c>
      <c r="BP131" s="128" t="s">
        <v>61</v>
      </c>
      <c r="BQ131" s="121" t="s">
        <v>61</v>
      </c>
      <c r="BR131" s="128" t="s">
        <v>61</v>
      </c>
      <c r="BS131" s="315">
        <v>0.08</v>
      </c>
      <c r="BT131" s="128" t="str">
        <f>IF(BS131="NA","NA",IF(BS131="Not Reported","Not Reported",IF(BS131&lt;$L$131,"Not Met","Met")))</f>
        <v>Not Met</v>
      </c>
      <c r="BU131" s="345">
        <v>0.15</v>
      </c>
      <c r="BV131" s="128" t="str">
        <f>IF(BU131="NA","NA",IF(BU131="Not Reported","Not Reported",IF(BU131&lt;$L$131,"Not Met","Met")))</f>
        <v>Not Met</v>
      </c>
    </row>
    <row r="132" spans="1:74" x14ac:dyDescent="0.2">
      <c r="A132" s="121">
        <v>131</v>
      </c>
      <c r="B132" s="122" t="s">
        <v>9</v>
      </c>
      <c r="C132" s="122" t="s">
        <v>901</v>
      </c>
      <c r="D132" s="123" t="s">
        <v>102</v>
      </c>
      <c r="E132" s="123" t="s">
        <v>900</v>
      </c>
      <c r="F132" s="123" t="s">
        <v>190</v>
      </c>
      <c r="G132" s="122" t="s">
        <v>273</v>
      </c>
      <c r="H132" s="122" t="s">
        <v>192</v>
      </c>
      <c r="I132" s="124" t="s">
        <v>292</v>
      </c>
      <c r="J132" s="124" t="s">
        <v>293</v>
      </c>
      <c r="K132" s="122" t="s">
        <v>292</v>
      </c>
      <c r="L132" s="128">
        <v>0.2</v>
      </c>
      <c r="M132" s="128">
        <v>0.2</v>
      </c>
      <c r="N132" s="122" t="s">
        <v>294</v>
      </c>
      <c r="O132" s="122" t="s">
        <v>575</v>
      </c>
      <c r="P132" s="123" t="s">
        <v>207</v>
      </c>
      <c r="Q132" s="178">
        <f>1/10</f>
        <v>0.1</v>
      </c>
      <c r="R132" s="121" t="s">
        <v>198</v>
      </c>
      <c r="S132" s="143">
        <v>0</v>
      </c>
      <c r="T132" s="121" t="s">
        <v>198</v>
      </c>
      <c r="U132" s="143">
        <v>0</v>
      </c>
      <c r="V132" s="121" t="s">
        <v>198</v>
      </c>
      <c r="W132" s="143">
        <f>1/6</f>
        <v>0.16666666666666666</v>
      </c>
      <c r="X132" s="121" t="s">
        <v>198</v>
      </c>
      <c r="Y132" s="143">
        <f>1/7</f>
        <v>0.14285714285714285</v>
      </c>
      <c r="Z132" s="121" t="s">
        <v>198</v>
      </c>
      <c r="AA132" s="143">
        <f>0/7</f>
        <v>0</v>
      </c>
      <c r="AB132" s="121" t="s">
        <v>198</v>
      </c>
      <c r="AC132" s="121" t="s">
        <v>256</v>
      </c>
      <c r="AD132" s="121" t="s">
        <v>61</v>
      </c>
      <c r="AE132" s="143">
        <f>0/7</f>
        <v>0</v>
      </c>
      <c r="AF132" s="121" t="s">
        <v>198</v>
      </c>
      <c r="AG132" s="143">
        <v>0.16666666666666666</v>
      </c>
      <c r="AH132" s="121" t="s">
        <v>198</v>
      </c>
      <c r="AI132" s="177">
        <f>1/4</f>
        <v>0.25</v>
      </c>
      <c r="AJ132" s="147" t="s">
        <v>251</v>
      </c>
      <c r="AK132" s="121" t="s">
        <v>61</v>
      </c>
      <c r="AL132" s="121" t="s">
        <v>61</v>
      </c>
      <c r="AM132" s="128">
        <v>0</v>
      </c>
      <c r="AN132" s="121" t="s">
        <v>198</v>
      </c>
      <c r="AO132" s="128">
        <v>0</v>
      </c>
      <c r="AP132" s="121" t="s">
        <v>198</v>
      </c>
      <c r="AQ132" s="143">
        <f>0/11</f>
        <v>0</v>
      </c>
      <c r="AR132" s="121" t="s">
        <v>198</v>
      </c>
      <c r="AS132" s="143">
        <f>0/11</f>
        <v>0</v>
      </c>
      <c r="AT132" s="121" t="s">
        <v>198</v>
      </c>
      <c r="AU132" s="128">
        <f>1/4</f>
        <v>0.25</v>
      </c>
      <c r="AV132" s="121" t="s">
        <v>251</v>
      </c>
      <c r="AW132" s="143">
        <f>0/3</f>
        <v>0</v>
      </c>
      <c r="AX132" s="121" t="s">
        <v>198</v>
      </c>
      <c r="AY132" s="143">
        <f>1/5</f>
        <v>0.2</v>
      </c>
      <c r="AZ132" s="121" t="s">
        <v>198</v>
      </c>
      <c r="BA132" s="143">
        <f>2/12</f>
        <v>0.16666666666666666</v>
      </c>
      <c r="BB132" s="121" t="s">
        <v>198</v>
      </c>
      <c r="BC132" s="143">
        <f>0/10</f>
        <v>0</v>
      </c>
      <c r="BD132" s="121" t="s">
        <v>198</v>
      </c>
      <c r="BE132" s="143">
        <f>2/10</f>
        <v>0.2</v>
      </c>
      <c r="BF132" s="121" t="s">
        <v>198</v>
      </c>
      <c r="BG132" s="195">
        <f>0/7</f>
        <v>0</v>
      </c>
      <c r="BH132" s="121" t="s">
        <v>198</v>
      </c>
      <c r="BI132" s="195">
        <f>0/14</f>
        <v>0</v>
      </c>
      <c r="BJ132" s="121" t="s">
        <v>198</v>
      </c>
      <c r="BK132" s="195">
        <f>0/14</f>
        <v>0</v>
      </c>
      <c r="BL132" s="128" t="str">
        <f>IF(BK132="NA","NA",IF(BK132="Not Reported","Not Reported",IF(BK132&gt;$L$132,"Not Met","Met")))</f>
        <v>Met</v>
      </c>
      <c r="BM132" s="262">
        <v>0</v>
      </c>
      <c r="BN132" s="128" t="str">
        <f>IF(BM132="NA","NA",IF(BM132="Not Reported","Not Reported",IF(BM132&gt;$L$132,"Not Met","Met")))</f>
        <v>Met</v>
      </c>
      <c r="BO132" s="121" t="s">
        <v>61</v>
      </c>
      <c r="BP132" s="128" t="s">
        <v>61</v>
      </c>
      <c r="BQ132" s="121" t="s">
        <v>61</v>
      </c>
      <c r="BR132" s="128" t="s">
        <v>61</v>
      </c>
      <c r="BS132" s="315">
        <v>0.33</v>
      </c>
      <c r="BT132" s="128" t="str">
        <f>IF(BS132="NA","NA",IF(BS132="Not Reported","Not Reported",IF(BS132&gt;$L$132,"Not Met","Met")))</f>
        <v>Not Met</v>
      </c>
      <c r="BU132" s="345">
        <v>0.12</v>
      </c>
      <c r="BV132" s="128" t="str">
        <f>IF(BU132="NA","NA",IF(BU132="Not Reported","Not Reported",IF(BU132&gt;$L$132,"Not Met","Met")))</f>
        <v>Met</v>
      </c>
    </row>
    <row r="133" spans="1:74" x14ac:dyDescent="0.2">
      <c r="A133" s="121">
        <v>132</v>
      </c>
      <c r="B133" s="122" t="s">
        <v>9</v>
      </c>
      <c r="C133" s="122" t="s">
        <v>901</v>
      </c>
      <c r="D133" s="123" t="s">
        <v>102</v>
      </c>
      <c r="E133" s="123" t="s">
        <v>900</v>
      </c>
      <c r="F133" s="123" t="s">
        <v>190</v>
      </c>
      <c r="G133" s="122" t="s">
        <v>273</v>
      </c>
      <c r="H133" s="122" t="s">
        <v>192</v>
      </c>
      <c r="I133" s="123" t="s">
        <v>296</v>
      </c>
      <c r="J133" s="123" t="s">
        <v>296</v>
      </c>
      <c r="K133" s="145" t="s">
        <v>296</v>
      </c>
      <c r="L133" s="128">
        <v>0.2</v>
      </c>
      <c r="M133" s="128">
        <v>0.2</v>
      </c>
      <c r="N133" s="122" t="s">
        <v>297</v>
      </c>
      <c r="O133" s="122" t="s">
        <v>298</v>
      </c>
      <c r="P133" s="123" t="s">
        <v>207</v>
      </c>
      <c r="Q133" s="178">
        <f>6/36</f>
        <v>0.16666666666666666</v>
      </c>
      <c r="R133" s="121" t="s">
        <v>251</v>
      </c>
      <c r="S133" s="143">
        <v>0.17647058823529413</v>
      </c>
      <c r="T133" s="147" t="s">
        <v>251</v>
      </c>
      <c r="U133" s="143">
        <v>0.18</v>
      </c>
      <c r="V133" s="147" t="s">
        <v>251</v>
      </c>
      <c r="W133" s="143">
        <f>15/54</f>
        <v>0.27777777777777779</v>
      </c>
      <c r="X133" s="121" t="s">
        <v>198</v>
      </c>
      <c r="Y133" s="143">
        <f>5/26</f>
        <v>0.19230769230769232</v>
      </c>
      <c r="Z133" s="121" t="s">
        <v>251</v>
      </c>
      <c r="AA133" s="143">
        <f>8/51</f>
        <v>0.15686274509803921</v>
      </c>
      <c r="AB133" s="147" t="s">
        <v>251</v>
      </c>
      <c r="AC133" s="121" t="s">
        <v>256</v>
      </c>
      <c r="AD133" s="121" t="s">
        <v>61</v>
      </c>
      <c r="AE133" s="143">
        <f>5/39</f>
        <v>0.12820512820512819</v>
      </c>
      <c r="AF133" s="147" t="s">
        <v>251</v>
      </c>
      <c r="AG133" s="143">
        <v>9.5238095238095233E-2</v>
      </c>
      <c r="AH133" s="121" t="s">
        <v>251</v>
      </c>
      <c r="AI133" s="143">
        <f>6/49</f>
        <v>0.12244897959183673</v>
      </c>
      <c r="AJ133" s="147" t="s">
        <v>251</v>
      </c>
      <c r="AK133" s="121" t="s">
        <v>61</v>
      </c>
      <c r="AL133" s="121" t="s">
        <v>61</v>
      </c>
      <c r="AM133" s="128">
        <v>0.28000000000000003</v>
      </c>
      <c r="AN133" s="121" t="s">
        <v>198</v>
      </c>
      <c r="AO133" s="128">
        <v>0.11</v>
      </c>
      <c r="AP133" s="121" t="s">
        <v>251</v>
      </c>
      <c r="AQ133" s="143">
        <f>2/31</f>
        <v>6.4516129032258063E-2</v>
      </c>
      <c r="AR133" s="121" t="s">
        <v>251</v>
      </c>
      <c r="AS133" s="143">
        <f>16/104</f>
        <v>0.15384615384615385</v>
      </c>
      <c r="AT133" s="121" t="s">
        <v>251</v>
      </c>
      <c r="AU133" s="128">
        <f>10/17</f>
        <v>0.58823529411764708</v>
      </c>
      <c r="AV133" s="121" t="s">
        <v>198</v>
      </c>
      <c r="AW133" s="143">
        <f>4/19</f>
        <v>0.21052631578947367</v>
      </c>
      <c r="AX133" s="121" t="s">
        <v>198</v>
      </c>
      <c r="AY133" s="143">
        <f>7/27</f>
        <v>0.25925925925925924</v>
      </c>
      <c r="AZ133" s="121" t="s">
        <v>198</v>
      </c>
      <c r="BA133" s="143">
        <f>21/63</f>
        <v>0.33333333333333331</v>
      </c>
      <c r="BB133" s="121" t="s">
        <v>198</v>
      </c>
      <c r="BC133" s="143">
        <f>2/37</f>
        <v>5.4054054054054057E-2</v>
      </c>
      <c r="BD133" s="121" t="s">
        <v>251</v>
      </c>
      <c r="BE133" s="143">
        <f>3/37</f>
        <v>8.1081081081081086E-2</v>
      </c>
      <c r="BF133" s="121" t="s">
        <v>251</v>
      </c>
      <c r="BG133" s="195">
        <f>5/25</f>
        <v>0.2</v>
      </c>
      <c r="BH133" s="121" t="s">
        <v>198</v>
      </c>
      <c r="BI133" s="195">
        <f>12/38</f>
        <v>0.31578947368421051</v>
      </c>
      <c r="BJ133" s="121" t="s">
        <v>198</v>
      </c>
      <c r="BK133" s="195">
        <f>12/38</f>
        <v>0.31578947368421051</v>
      </c>
      <c r="BL133" s="128" t="str">
        <f>IF(BK133="NA","NA",IF(BK133="Not Reported","Not Reported",IF(BK133&lt;$L$133,"Not Met","Met")))</f>
        <v>Met</v>
      </c>
      <c r="BM133" s="262">
        <v>0.14000000000000001</v>
      </c>
      <c r="BN133" s="128" t="str">
        <f>IF(BM133="NA","NA",IF(BM133="Not Reported","Not Reported",IF(BM133&lt;$L$133,"Not Met","Met")))</f>
        <v>Not Met</v>
      </c>
      <c r="BO133" s="121" t="s">
        <v>61</v>
      </c>
      <c r="BP133" s="128" t="s">
        <v>61</v>
      </c>
      <c r="BQ133" s="121" t="s">
        <v>61</v>
      </c>
      <c r="BR133" s="128" t="s">
        <v>61</v>
      </c>
      <c r="BS133" s="315">
        <v>0.32</v>
      </c>
      <c r="BT133" s="128" t="str">
        <f>IF(BS133="NA","NA",IF(BS133="Not Reported","Not Reported",IF(BS133&lt;$L$133,"Not Met","Met")))</f>
        <v>Met</v>
      </c>
      <c r="BU133" s="345">
        <v>0.23</v>
      </c>
      <c r="BV133" s="128" t="str">
        <f>IF(BU133="NA","NA",IF(BU133="Not Reported","Not Reported",IF(BU133&lt;$L$133,"Not Met","Met")))</f>
        <v>Met</v>
      </c>
    </row>
    <row r="134" spans="1:74" x14ac:dyDescent="0.2">
      <c r="A134" s="121">
        <v>133</v>
      </c>
      <c r="B134" s="122" t="s">
        <v>9</v>
      </c>
      <c r="C134" s="122" t="s">
        <v>901</v>
      </c>
      <c r="D134" s="123" t="s">
        <v>102</v>
      </c>
      <c r="E134" s="123" t="s">
        <v>900</v>
      </c>
      <c r="F134" s="123" t="s">
        <v>190</v>
      </c>
      <c r="G134" s="122" t="s">
        <v>273</v>
      </c>
      <c r="H134" s="122" t="s">
        <v>192</v>
      </c>
      <c r="I134" s="124" t="s">
        <v>257</v>
      </c>
      <c r="J134" s="124" t="s">
        <v>258</v>
      </c>
      <c r="K134" s="123" t="s">
        <v>259</v>
      </c>
      <c r="L134" s="128">
        <v>0.35</v>
      </c>
      <c r="M134" s="128">
        <v>0.35</v>
      </c>
      <c r="N134" s="122" t="s">
        <v>476</v>
      </c>
      <c r="O134" s="122" t="s">
        <v>477</v>
      </c>
      <c r="P134" s="123" t="s">
        <v>207</v>
      </c>
      <c r="Q134" s="178">
        <f>1/5</f>
        <v>0.2</v>
      </c>
      <c r="R134" s="121" t="s">
        <v>251</v>
      </c>
      <c r="S134" s="143">
        <v>0.33333333333333331</v>
      </c>
      <c r="T134" s="147" t="s">
        <v>251</v>
      </c>
      <c r="U134" s="143">
        <v>0.44444444444444442</v>
      </c>
      <c r="V134" s="121" t="s">
        <v>198</v>
      </c>
      <c r="W134" s="143">
        <f>2/4</f>
        <v>0.5</v>
      </c>
      <c r="X134" s="121" t="s">
        <v>198</v>
      </c>
      <c r="Y134" s="143">
        <f>3/5</f>
        <v>0.6</v>
      </c>
      <c r="Z134" s="121" t="s">
        <v>198</v>
      </c>
      <c r="AA134" s="143">
        <f>2/8</f>
        <v>0.25</v>
      </c>
      <c r="AB134" s="147" t="s">
        <v>251</v>
      </c>
      <c r="AC134" s="121" t="s">
        <v>256</v>
      </c>
      <c r="AD134" s="121" t="s">
        <v>61</v>
      </c>
      <c r="AE134" s="143">
        <v>0.58330000000000004</v>
      </c>
      <c r="AF134" s="121" t="s">
        <v>198</v>
      </c>
      <c r="AG134" s="143">
        <v>0</v>
      </c>
      <c r="AH134" s="147" t="s">
        <v>251</v>
      </c>
      <c r="AI134" s="177">
        <f>1/6</f>
        <v>0.16666666666666666</v>
      </c>
      <c r="AJ134" s="147" t="s">
        <v>251</v>
      </c>
      <c r="AK134" s="121" t="s">
        <v>61</v>
      </c>
      <c r="AL134" s="121" t="s">
        <v>61</v>
      </c>
      <c r="AM134" s="128">
        <v>0.1</v>
      </c>
      <c r="AN134" s="121" t="s">
        <v>251</v>
      </c>
      <c r="AO134" s="128">
        <v>0.25</v>
      </c>
      <c r="AP134" s="121" t="s">
        <v>251</v>
      </c>
      <c r="AQ134" s="143">
        <f>0/2</f>
        <v>0</v>
      </c>
      <c r="AR134" s="121" t="s">
        <v>251</v>
      </c>
      <c r="AS134" s="143">
        <f>2/16</f>
        <v>0.125</v>
      </c>
      <c r="AT134" s="121" t="s">
        <v>251</v>
      </c>
      <c r="AU134" s="128">
        <f>4/10</f>
        <v>0.4</v>
      </c>
      <c r="AV134" s="121" t="s">
        <v>198</v>
      </c>
      <c r="AW134" s="143">
        <f>0/4</f>
        <v>0</v>
      </c>
      <c r="AX134" s="121" t="s">
        <v>251</v>
      </c>
      <c r="AY134" s="143">
        <f>2/7</f>
        <v>0.2857142857142857</v>
      </c>
      <c r="AZ134" s="121" t="s">
        <v>251</v>
      </c>
      <c r="BA134" s="143">
        <f>6/21</f>
        <v>0.2857142857142857</v>
      </c>
      <c r="BB134" s="121" t="s">
        <v>251</v>
      </c>
      <c r="BC134" s="143">
        <f>1/2</f>
        <v>0.5</v>
      </c>
      <c r="BD134" s="121" t="s">
        <v>198</v>
      </c>
      <c r="BE134" s="143">
        <f>1/3</f>
        <v>0.33333333333333331</v>
      </c>
      <c r="BF134" s="121" t="s">
        <v>251</v>
      </c>
      <c r="BG134" s="195">
        <f>1/5</f>
        <v>0.2</v>
      </c>
      <c r="BH134" s="121" t="s">
        <v>251</v>
      </c>
      <c r="BI134" s="195">
        <f>3/12</f>
        <v>0.25</v>
      </c>
      <c r="BJ134" s="121" t="s">
        <v>251</v>
      </c>
      <c r="BK134" s="195">
        <f>3/12</f>
        <v>0.25</v>
      </c>
      <c r="BL134" s="121" t="str">
        <f>IF(BK134="NA","NA",IF(BK134="Not Reported","Not Reported",IF(BK134&lt;$L$134,"Not Met","Met")))</f>
        <v>Not Met</v>
      </c>
      <c r="BM134" s="262">
        <v>0.4</v>
      </c>
      <c r="BN134" s="121" t="str">
        <f>IF(BM134="NA","NA",IF(BM134="Not Reported","Not Reported",IF(BM134&lt;$L$134,"Not Met","Met")))</f>
        <v>Met</v>
      </c>
      <c r="BO134" s="121" t="s">
        <v>61</v>
      </c>
      <c r="BP134" s="121" t="s">
        <v>61</v>
      </c>
      <c r="BQ134" s="121" t="s">
        <v>61</v>
      </c>
      <c r="BR134" s="121" t="s">
        <v>61</v>
      </c>
      <c r="BS134" s="315">
        <v>0.08</v>
      </c>
      <c r="BT134" s="121" t="str">
        <f>IF(BS134="NA","NA",IF(BS134="Not Reported","Not Reported",IF(BS134&lt;$L$134,"Not Met","Met")))</f>
        <v>Not Met</v>
      </c>
      <c r="BU134" s="345">
        <v>0.25</v>
      </c>
      <c r="BV134" s="121" t="str">
        <f>IF(BU134="NA","NA",IF(BU134="Not Reported","Not Reported",IF(BU134&lt;$L$134,"Not Met","Met")))</f>
        <v>Not Met</v>
      </c>
    </row>
    <row r="135" spans="1:74" x14ac:dyDescent="0.25">
      <c r="A135" s="121">
        <v>134</v>
      </c>
      <c r="B135" s="122" t="s">
        <v>10</v>
      </c>
      <c r="C135" s="122" t="s">
        <v>901</v>
      </c>
      <c r="D135" s="123" t="s">
        <v>102</v>
      </c>
      <c r="E135" s="123" t="s">
        <v>900</v>
      </c>
      <c r="F135" s="123" t="s">
        <v>190</v>
      </c>
      <c r="G135" s="123" t="s">
        <v>191</v>
      </c>
      <c r="H135" s="122" t="s">
        <v>192</v>
      </c>
      <c r="I135" s="124" t="s">
        <v>213</v>
      </c>
      <c r="J135" s="124" t="s">
        <v>214</v>
      </c>
      <c r="K135" s="129" t="s">
        <v>213</v>
      </c>
      <c r="L135" s="147">
        <v>30</v>
      </c>
      <c r="M135" s="147" t="s">
        <v>356</v>
      </c>
      <c r="N135" s="123" t="s">
        <v>473</v>
      </c>
      <c r="O135" s="122" t="s">
        <v>590</v>
      </c>
      <c r="P135" s="123" t="s">
        <v>207</v>
      </c>
      <c r="Q135" s="131">
        <v>67</v>
      </c>
      <c r="R135" s="121" t="s">
        <v>251</v>
      </c>
      <c r="S135" s="131" t="s">
        <v>591</v>
      </c>
      <c r="T135" s="121" t="s">
        <v>198</v>
      </c>
      <c r="U135" s="131" t="s">
        <v>592</v>
      </c>
      <c r="V135" s="147" t="s">
        <v>251</v>
      </c>
      <c r="W135" s="131" t="s">
        <v>593</v>
      </c>
      <c r="X135" s="147" t="s">
        <v>251</v>
      </c>
      <c r="Y135" s="131" t="s">
        <v>11</v>
      </c>
      <c r="Z135" s="131" t="s">
        <v>11</v>
      </c>
      <c r="AA135" s="131" t="s">
        <v>11</v>
      </c>
      <c r="AB135" s="128" t="s">
        <v>11</v>
      </c>
      <c r="AC135" s="131" t="s">
        <v>11</v>
      </c>
      <c r="AD135" s="131" t="s">
        <v>11</v>
      </c>
      <c r="AE135" s="131" t="s">
        <v>11</v>
      </c>
      <c r="AF135" s="128" t="s">
        <v>11</v>
      </c>
      <c r="AG135" s="131" t="s">
        <v>11</v>
      </c>
      <c r="AH135" s="128" t="s">
        <v>11</v>
      </c>
      <c r="AI135" s="131" t="s">
        <v>11</v>
      </c>
      <c r="AJ135" s="128" t="s">
        <v>11</v>
      </c>
      <c r="AK135" s="131" t="s">
        <v>11</v>
      </c>
      <c r="AL135" s="128" t="s">
        <v>11</v>
      </c>
      <c r="AM135" s="131" t="s">
        <v>11</v>
      </c>
      <c r="AN135" s="128" t="s">
        <v>11</v>
      </c>
      <c r="AO135" s="131" t="s">
        <v>11</v>
      </c>
      <c r="AP135" s="128" t="s">
        <v>11</v>
      </c>
      <c r="AQ135" s="131" t="s">
        <v>11</v>
      </c>
      <c r="AR135" s="128" t="s">
        <v>11</v>
      </c>
      <c r="AS135" s="131" t="s">
        <v>11</v>
      </c>
      <c r="AT135" s="128" t="s">
        <v>11</v>
      </c>
      <c r="AU135" s="131" t="s">
        <v>11</v>
      </c>
      <c r="AV135" s="128" t="s">
        <v>11</v>
      </c>
      <c r="AW135" s="128" t="s">
        <v>323</v>
      </c>
      <c r="AX135" s="128" t="s">
        <v>11</v>
      </c>
      <c r="AY135" s="128" t="s">
        <v>323</v>
      </c>
      <c r="AZ135" s="128" t="s">
        <v>11</v>
      </c>
      <c r="BA135" s="128" t="s">
        <v>323</v>
      </c>
      <c r="BB135" s="128" t="s">
        <v>11</v>
      </c>
      <c r="BC135" s="127" t="s">
        <v>11</v>
      </c>
      <c r="BD135" s="128" t="s">
        <v>11</v>
      </c>
      <c r="BE135" s="127" t="s">
        <v>11</v>
      </c>
      <c r="BF135" s="128" t="s">
        <v>11</v>
      </c>
      <c r="BG135" s="127" t="s">
        <v>11</v>
      </c>
      <c r="BH135" s="128" t="s">
        <v>11</v>
      </c>
      <c r="BI135" s="127" t="s">
        <v>11</v>
      </c>
      <c r="BJ135" s="128" t="s">
        <v>11</v>
      </c>
      <c r="BK135" s="127" t="s">
        <v>11</v>
      </c>
      <c r="BL135" s="121" t="str">
        <f>IF(BK135="NA","NA",IF(BK135="Not Reported","Not Reported",IF(BK135&gt;$L$135,"Not Met","Met")))</f>
        <v>NA</v>
      </c>
      <c r="BM135" s="257" t="s">
        <v>11</v>
      </c>
      <c r="BN135" s="121" t="str">
        <f>IF(BM135="NA","NA",IF(BM135="Not Reported","Not Reported",IF(BM135&gt;$L$135,"Not Met","Met")))</f>
        <v>NA</v>
      </c>
      <c r="BO135" s="121" t="s">
        <v>11</v>
      </c>
      <c r="BP135" s="121" t="s">
        <v>11</v>
      </c>
      <c r="BQ135" s="128" t="s">
        <v>11</v>
      </c>
      <c r="BR135" s="121" t="s">
        <v>11</v>
      </c>
      <c r="BS135" s="338" t="s">
        <v>11</v>
      </c>
      <c r="BT135" s="121" t="str">
        <f>IF(BS135="NA","NA",IF(BS135="Not Reported","Not Reported",IF(BS135&gt;$L$135,"Not Met","Met")))</f>
        <v>NA</v>
      </c>
      <c r="BU135" s="338" t="s">
        <v>11</v>
      </c>
      <c r="BV135" s="121" t="str">
        <f>IF(BU135="NA","NA",IF(BU135="Not Reported","Not Reported",IF(BU135&gt;$L$135,"Not Met","Met")))</f>
        <v>NA</v>
      </c>
    </row>
    <row r="136" spans="1:74" x14ac:dyDescent="0.2">
      <c r="A136" s="121">
        <v>135</v>
      </c>
      <c r="B136" s="122" t="s">
        <v>10</v>
      </c>
      <c r="C136" s="122" t="s">
        <v>901</v>
      </c>
      <c r="D136" s="123" t="s">
        <v>102</v>
      </c>
      <c r="E136" s="123" t="s">
        <v>900</v>
      </c>
      <c r="F136" s="123" t="s">
        <v>190</v>
      </c>
      <c r="G136" s="123" t="s">
        <v>191</v>
      </c>
      <c r="H136" s="122" t="s">
        <v>192</v>
      </c>
      <c r="I136" s="124" t="s">
        <v>274</v>
      </c>
      <c r="J136" s="124" t="s">
        <v>214</v>
      </c>
      <c r="K136" s="145" t="s">
        <v>274</v>
      </c>
      <c r="L136" s="147">
        <v>120</v>
      </c>
      <c r="M136" s="147" t="s">
        <v>876</v>
      </c>
      <c r="N136" s="122" t="s">
        <v>528</v>
      </c>
      <c r="O136" s="122" t="s">
        <v>528</v>
      </c>
      <c r="P136" s="123" t="s">
        <v>207</v>
      </c>
      <c r="Q136" s="131">
        <v>99</v>
      </c>
      <c r="R136" s="121" t="s">
        <v>198</v>
      </c>
      <c r="S136" s="131" t="s">
        <v>594</v>
      </c>
      <c r="T136" s="121" t="s">
        <v>198</v>
      </c>
      <c r="U136" s="162" t="s">
        <v>238</v>
      </c>
      <c r="V136" s="121" t="s">
        <v>198</v>
      </c>
      <c r="W136" s="162" t="s">
        <v>595</v>
      </c>
      <c r="X136" s="147" t="s">
        <v>251</v>
      </c>
      <c r="Y136" s="162" t="s">
        <v>596</v>
      </c>
      <c r="Z136" s="121" t="s">
        <v>198</v>
      </c>
      <c r="AA136" s="131" t="s">
        <v>11</v>
      </c>
      <c r="AB136" s="128" t="s">
        <v>11</v>
      </c>
      <c r="AC136" s="131" t="s">
        <v>11</v>
      </c>
      <c r="AD136" s="131" t="s">
        <v>11</v>
      </c>
      <c r="AE136" s="131" t="s">
        <v>11</v>
      </c>
      <c r="AF136" s="128" t="s">
        <v>11</v>
      </c>
      <c r="AG136" s="131" t="s">
        <v>11</v>
      </c>
      <c r="AH136" s="128" t="s">
        <v>11</v>
      </c>
      <c r="AI136" s="131" t="s">
        <v>11</v>
      </c>
      <c r="AJ136" s="128" t="s">
        <v>11</v>
      </c>
      <c r="AK136" s="131" t="s">
        <v>11</v>
      </c>
      <c r="AL136" s="128" t="s">
        <v>11</v>
      </c>
      <c r="AM136" s="131" t="s">
        <v>11</v>
      </c>
      <c r="AN136" s="128" t="s">
        <v>11</v>
      </c>
      <c r="AO136" s="131" t="s">
        <v>11</v>
      </c>
      <c r="AP136" s="128" t="s">
        <v>11</v>
      </c>
      <c r="AQ136" s="131" t="s">
        <v>11</v>
      </c>
      <c r="AR136" s="128" t="s">
        <v>11</v>
      </c>
      <c r="AS136" s="131" t="s">
        <v>11</v>
      </c>
      <c r="AT136" s="128" t="s">
        <v>11</v>
      </c>
      <c r="AU136" s="131" t="s">
        <v>11</v>
      </c>
      <c r="AV136" s="128" t="s">
        <v>11</v>
      </c>
      <c r="AW136" s="128" t="s">
        <v>323</v>
      </c>
      <c r="AX136" s="128" t="s">
        <v>11</v>
      </c>
      <c r="AY136" s="128" t="s">
        <v>323</v>
      </c>
      <c r="AZ136" s="128" t="s">
        <v>11</v>
      </c>
      <c r="BA136" s="128" t="s">
        <v>323</v>
      </c>
      <c r="BB136" s="128" t="s">
        <v>11</v>
      </c>
      <c r="BC136" s="127" t="s">
        <v>11</v>
      </c>
      <c r="BD136" s="128" t="s">
        <v>11</v>
      </c>
      <c r="BE136" s="127" t="s">
        <v>11</v>
      </c>
      <c r="BF136" s="128" t="s">
        <v>11</v>
      </c>
      <c r="BG136" s="127" t="s">
        <v>11</v>
      </c>
      <c r="BH136" s="128" t="s">
        <v>11</v>
      </c>
      <c r="BI136" s="127" t="s">
        <v>11</v>
      </c>
      <c r="BJ136" s="128" t="s">
        <v>11</v>
      </c>
      <c r="BK136" s="127" t="s">
        <v>11</v>
      </c>
      <c r="BL136" s="121" t="str">
        <f>IF(BK136="NA","NA",IF(BK136="Not Reported","Not Reported",IF(BK136&gt;$L$136,"Not Met","Met")))</f>
        <v>NA</v>
      </c>
      <c r="BM136" s="257" t="s">
        <v>11</v>
      </c>
      <c r="BN136" s="121" t="str">
        <f>IF(BM136="NA","NA",IF(BM136="Not Reported","Not Reported",IF(BM136&gt;$L$136,"Not Met","Met")))</f>
        <v>NA</v>
      </c>
      <c r="BO136" s="121" t="s">
        <v>11</v>
      </c>
      <c r="BP136" s="121" t="s">
        <v>11</v>
      </c>
      <c r="BQ136" s="128" t="s">
        <v>11</v>
      </c>
      <c r="BR136" s="121" t="s">
        <v>11</v>
      </c>
      <c r="BS136" s="338" t="s">
        <v>11</v>
      </c>
      <c r="BT136" s="121" t="str">
        <f>IF(BS136="NA","NA",IF(BS136="Not Reported","Not Reported",IF(BS136&gt;$L$136,"Not Met","Met")))</f>
        <v>NA</v>
      </c>
      <c r="BU136" s="338" t="s">
        <v>11</v>
      </c>
      <c r="BV136" s="121" t="str">
        <f>IF(BU136="NA","NA",IF(BU136="Not Reported","Not Reported",IF(BU136&gt;$L$136,"Not Met","Met")))</f>
        <v>NA</v>
      </c>
    </row>
    <row r="137" spans="1:74" x14ac:dyDescent="0.2">
      <c r="A137" s="121">
        <v>136</v>
      </c>
      <c r="B137" s="122" t="s">
        <v>10</v>
      </c>
      <c r="C137" s="122" t="s">
        <v>901</v>
      </c>
      <c r="D137" s="123" t="s">
        <v>102</v>
      </c>
      <c r="E137" s="123" t="s">
        <v>900</v>
      </c>
      <c r="F137" s="123" t="s">
        <v>190</v>
      </c>
      <c r="G137" s="122" t="s">
        <v>273</v>
      </c>
      <c r="H137" s="122" t="s">
        <v>192</v>
      </c>
      <c r="I137" s="124" t="s">
        <v>246</v>
      </c>
      <c r="J137" s="124" t="s">
        <v>214</v>
      </c>
      <c r="K137" s="122" t="s">
        <v>326</v>
      </c>
      <c r="L137" s="128">
        <v>0.2</v>
      </c>
      <c r="M137" s="128">
        <v>0.2</v>
      </c>
      <c r="N137" s="122" t="s">
        <v>368</v>
      </c>
      <c r="O137" s="122" t="s">
        <v>369</v>
      </c>
      <c r="P137" s="123" t="s">
        <v>207</v>
      </c>
      <c r="Q137" s="143">
        <f>12/27</f>
        <v>0.44444444444444442</v>
      </c>
      <c r="R137" s="121" t="s">
        <v>251</v>
      </c>
      <c r="S137" s="146">
        <v>0.75</v>
      </c>
      <c r="T137" s="147" t="s">
        <v>251</v>
      </c>
      <c r="U137" s="146">
        <v>0</v>
      </c>
      <c r="V137" s="121" t="s">
        <v>198</v>
      </c>
      <c r="W137" s="178" t="s">
        <v>11</v>
      </c>
      <c r="X137" s="128" t="s">
        <v>11</v>
      </c>
      <c r="Y137" s="178" t="s">
        <v>11</v>
      </c>
      <c r="Z137" s="128" t="s">
        <v>11</v>
      </c>
      <c r="AA137" s="131" t="s">
        <v>11</v>
      </c>
      <c r="AB137" s="128" t="s">
        <v>11</v>
      </c>
      <c r="AC137" s="131" t="s">
        <v>11</v>
      </c>
      <c r="AD137" s="131" t="s">
        <v>11</v>
      </c>
      <c r="AE137" s="131" t="s">
        <v>11</v>
      </c>
      <c r="AF137" s="128" t="s">
        <v>11</v>
      </c>
      <c r="AG137" s="131" t="s">
        <v>11</v>
      </c>
      <c r="AH137" s="128" t="s">
        <v>11</v>
      </c>
      <c r="AI137" s="131" t="s">
        <v>11</v>
      </c>
      <c r="AJ137" s="128" t="s">
        <v>11</v>
      </c>
      <c r="AK137" s="131" t="s">
        <v>11</v>
      </c>
      <c r="AL137" s="128" t="s">
        <v>11</v>
      </c>
      <c r="AM137" s="131" t="s">
        <v>11</v>
      </c>
      <c r="AN137" s="128" t="s">
        <v>11</v>
      </c>
      <c r="AO137" s="131" t="s">
        <v>11</v>
      </c>
      <c r="AP137" s="128" t="s">
        <v>11</v>
      </c>
      <c r="AQ137" s="131" t="s">
        <v>11</v>
      </c>
      <c r="AR137" s="128" t="s">
        <v>11</v>
      </c>
      <c r="AS137" s="131" t="s">
        <v>11</v>
      </c>
      <c r="AT137" s="128" t="s">
        <v>11</v>
      </c>
      <c r="AU137" s="131" t="s">
        <v>11</v>
      </c>
      <c r="AV137" s="128" t="s">
        <v>11</v>
      </c>
      <c r="AW137" s="128" t="s">
        <v>323</v>
      </c>
      <c r="AX137" s="128" t="s">
        <v>11</v>
      </c>
      <c r="AY137" s="128" t="s">
        <v>323</v>
      </c>
      <c r="AZ137" s="128" t="s">
        <v>11</v>
      </c>
      <c r="BA137" s="128" t="s">
        <v>323</v>
      </c>
      <c r="BB137" s="128" t="s">
        <v>11</v>
      </c>
      <c r="BC137" s="127" t="s">
        <v>11</v>
      </c>
      <c r="BD137" s="128" t="s">
        <v>11</v>
      </c>
      <c r="BE137" s="127" t="s">
        <v>11</v>
      </c>
      <c r="BF137" s="128" t="s">
        <v>11</v>
      </c>
      <c r="BG137" s="127" t="s">
        <v>11</v>
      </c>
      <c r="BH137" s="128" t="s">
        <v>11</v>
      </c>
      <c r="BI137" s="127" t="s">
        <v>11</v>
      </c>
      <c r="BJ137" s="128" t="s">
        <v>11</v>
      </c>
      <c r="BK137" s="127" t="s">
        <v>11</v>
      </c>
      <c r="BL137" s="174" t="str">
        <f>IF(BK137="NA","NA",IF(BK137="Not Reported","Not Reported",IF(BK137&gt;$L$137,"Not Met","Met")))</f>
        <v>NA</v>
      </c>
      <c r="BM137" s="257" t="s">
        <v>11</v>
      </c>
      <c r="BN137" s="162" t="str">
        <f>IF(BM137="NA","NA",IF(BM137="Not Reported","Not Reported",IF(BM137&gt;$L$137,"Not Met","Met")))</f>
        <v>NA</v>
      </c>
      <c r="BO137" s="121" t="s">
        <v>11</v>
      </c>
      <c r="BP137" s="162" t="s">
        <v>11</v>
      </c>
      <c r="BQ137" s="128" t="s">
        <v>11</v>
      </c>
      <c r="BR137" s="162" t="s">
        <v>11</v>
      </c>
      <c r="BS137" s="338" t="s">
        <v>11</v>
      </c>
      <c r="BT137" s="162" t="str">
        <f>IF(BS137="NA","NA",IF(BS137="Not Reported","Not Reported",IF(BS137&gt;$L$137,"Not Met","Met")))</f>
        <v>NA</v>
      </c>
      <c r="BU137" s="338" t="s">
        <v>11</v>
      </c>
      <c r="BV137" s="162" t="str">
        <f>IF(BU137="NA","NA",IF(BU137="Not Reported","Not Reported",IF(BU137&gt;$L$137,"Not Met","Met")))</f>
        <v>NA</v>
      </c>
    </row>
    <row r="138" spans="1:74" x14ac:dyDescent="0.2">
      <c r="A138" s="121">
        <v>137</v>
      </c>
      <c r="B138" s="122" t="s">
        <v>10</v>
      </c>
      <c r="C138" s="122" t="s">
        <v>901</v>
      </c>
      <c r="D138" s="123" t="s">
        <v>102</v>
      </c>
      <c r="E138" s="123" t="s">
        <v>900</v>
      </c>
      <c r="F138" s="123" t="s">
        <v>190</v>
      </c>
      <c r="G138" s="122" t="s">
        <v>273</v>
      </c>
      <c r="H138" s="122" t="s">
        <v>192</v>
      </c>
      <c r="I138" s="124" t="s">
        <v>284</v>
      </c>
      <c r="J138" s="124" t="s">
        <v>285</v>
      </c>
      <c r="K138" s="145" t="s">
        <v>284</v>
      </c>
      <c r="L138" s="128">
        <v>0.7</v>
      </c>
      <c r="M138" s="128">
        <v>0.7</v>
      </c>
      <c r="N138" s="122" t="s">
        <v>287</v>
      </c>
      <c r="O138" s="122" t="s">
        <v>288</v>
      </c>
      <c r="P138" s="123" t="s">
        <v>207</v>
      </c>
      <c r="Q138" s="143">
        <v>0.55000000000000004</v>
      </c>
      <c r="R138" s="121" t="s">
        <v>251</v>
      </c>
      <c r="S138" s="146">
        <v>0.56999999999999995</v>
      </c>
      <c r="T138" s="147" t="s">
        <v>251</v>
      </c>
      <c r="U138" s="146">
        <v>0.35</v>
      </c>
      <c r="V138" s="147" t="s">
        <v>251</v>
      </c>
      <c r="W138" s="178" t="s">
        <v>11</v>
      </c>
      <c r="X138" s="128" t="s">
        <v>11</v>
      </c>
      <c r="Y138" s="178" t="s">
        <v>11</v>
      </c>
      <c r="Z138" s="128" t="s">
        <v>11</v>
      </c>
      <c r="AA138" s="131" t="s">
        <v>11</v>
      </c>
      <c r="AB138" s="128" t="s">
        <v>11</v>
      </c>
      <c r="AC138" s="131" t="s">
        <v>11</v>
      </c>
      <c r="AD138" s="131" t="s">
        <v>11</v>
      </c>
      <c r="AE138" s="131" t="s">
        <v>11</v>
      </c>
      <c r="AF138" s="128" t="s">
        <v>11</v>
      </c>
      <c r="AG138" s="131" t="s">
        <v>11</v>
      </c>
      <c r="AH138" s="128" t="s">
        <v>11</v>
      </c>
      <c r="AI138" s="131" t="s">
        <v>11</v>
      </c>
      <c r="AJ138" s="128" t="s">
        <v>11</v>
      </c>
      <c r="AK138" s="131" t="s">
        <v>11</v>
      </c>
      <c r="AL138" s="128" t="s">
        <v>11</v>
      </c>
      <c r="AM138" s="131" t="s">
        <v>11</v>
      </c>
      <c r="AN138" s="128" t="s">
        <v>11</v>
      </c>
      <c r="AO138" s="131" t="s">
        <v>11</v>
      </c>
      <c r="AP138" s="128" t="s">
        <v>11</v>
      </c>
      <c r="AQ138" s="131" t="s">
        <v>11</v>
      </c>
      <c r="AR138" s="128" t="s">
        <v>11</v>
      </c>
      <c r="AS138" s="131" t="s">
        <v>11</v>
      </c>
      <c r="AT138" s="128" t="s">
        <v>11</v>
      </c>
      <c r="AU138" s="131" t="s">
        <v>11</v>
      </c>
      <c r="AV138" s="128" t="s">
        <v>11</v>
      </c>
      <c r="AW138" s="128" t="s">
        <v>323</v>
      </c>
      <c r="AX138" s="128" t="s">
        <v>11</v>
      </c>
      <c r="AY138" s="128" t="s">
        <v>323</v>
      </c>
      <c r="AZ138" s="128" t="s">
        <v>11</v>
      </c>
      <c r="BA138" s="128" t="s">
        <v>323</v>
      </c>
      <c r="BB138" s="128" t="s">
        <v>11</v>
      </c>
      <c r="BC138" s="127" t="s">
        <v>11</v>
      </c>
      <c r="BD138" s="128" t="s">
        <v>11</v>
      </c>
      <c r="BE138" s="127" t="s">
        <v>11</v>
      </c>
      <c r="BF138" s="128" t="s">
        <v>11</v>
      </c>
      <c r="BG138" s="127" t="s">
        <v>11</v>
      </c>
      <c r="BH138" s="128" t="s">
        <v>11</v>
      </c>
      <c r="BI138" s="127" t="s">
        <v>11</v>
      </c>
      <c r="BJ138" s="128" t="s">
        <v>11</v>
      </c>
      <c r="BK138" s="127" t="s">
        <v>11</v>
      </c>
      <c r="BL138" s="128" t="str">
        <f>IF(BK138="NA","NA",IF(BK138="Not Reported","Not Reported",IF(BK138&lt;$L$138,"Not Met","Met")))</f>
        <v>NA</v>
      </c>
      <c r="BM138" s="257" t="s">
        <v>11</v>
      </c>
      <c r="BN138" s="128" t="str">
        <f>IF(BM138="NA","NA",IF(BM138="Not Reported","Not Reported",IF(BM138&lt;$L$138,"Not Met","Met")))</f>
        <v>NA</v>
      </c>
      <c r="BO138" s="121" t="s">
        <v>11</v>
      </c>
      <c r="BP138" s="128" t="s">
        <v>11</v>
      </c>
      <c r="BQ138" s="128" t="s">
        <v>11</v>
      </c>
      <c r="BR138" s="128" t="s">
        <v>11</v>
      </c>
      <c r="BS138" s="338" t="s">
        <v>11</v>
      </c>
      <c r="BT138" s="128" t="str">
        <f>IF(BS138="NA","NA",IF(BS138="Not Reported","Not Reported",IF(BS138&lt;$L$138,"Not Met","Met")))</f>
        <v>NA</v>
      </c>
      <c r="BU138" s="338" t="s">
        <v>11</v>
      </c>
      <c r="BV138" s="128" t="str">
        <f>IF(BU138="NA","NA",IF(BU138="Not Reported","Not Reported",IF(BU138&lt;$L$138,"Not Met","Met")))</f>
        <v>NA</v>
      </c>
    </row>
    <row r="139" spans="1:74" x14ac:dyDescent="0.2">
      <c r="A139" s="121">
        <v>138</v>
      </c>
      <c r="B139" s="122" t="s">
        <v>10</v>
      </c>
      <c r="C139" s="122" t="s">
        <v>901</v>
      </c>
      <c r="D139" s="123" t="s">
        <v>102</v>
      </c>
      <c r="E139" s="123" t="s">
        <v>900</v>
      </c>
      <c r="F139" s="123" t="s">
        <v>190</v>
      </c>
      <c r="G139" s="122" t="s">
        <v>273</v>
      </c>
      <c r="H139" s="122" t="s">
        <v>192</v>
      </c>
      <c r="I139" s="124" t="s">
        <v>289</v>
      </c>
      <c r="J139" s="124" t="s">
        <v>285</v>
      </c>
      <c r="K139" s="145" t="s">
        <v>289</v>
      </c>
      <c r="L139" s="128">
        <v>0.5</v>
      </c>
      <c r="M139" s="128">
        <v>0.5</v>
      </c>
      <c r="N139" s="122" t="s">
        <v>290</v>
      </c>
      <c r="O139" s="122" t="s">
        <v>291</v>
      </c>
      <c r="P139" s="123" t="s">
        <v>207</v>
      </c>
      <c r="Q139" s="143">
        <v>0.04</v>
      </c>
      <c r="R139" s="121" t="s">
        <v>251</v>
      </c>
      <c r="S139" s="146">
        <v>0.67</v>
      </c>
      <c r="T139" s="121" t="s">
        <v>198</v>
      </c>
      <c r="U139" s="146">
        <v>0.11</v>
      </c>
      <c r="V139" s="147" t="s">
        <v>251</v>
      </c>
      <c r="W139" s="178" t="s">
        <v>11</v>
      </c>
      <c r="X139" s="128" t="s">
        <v>11</v>
      </c>
      <c r="Y139" s="178" t="s">
        <v>11</v>
      </c>
      <c r="Z139" s="128" t="s">
        <v>11</v>
      </c>
      <c r="AA139" s="131" t="s">
        <v>11</v>
      </c>
      <c r="AB139" s="128" t="s">
        <v>11</v>
      </c>
      <c r="AC139" s="131" t="s">
        <v>11</v>
      </c>
      <c r="AD139" s="131" t="s">
        <v>11</v>
      </c>
      <c r="AE139" s="131" t="s">
        <v>11</v>
      </c>
      <c r="AF139" s="128" t="s">
        <v>11</v>
      </c>
      <c r="AG139" s="131" t="s">
        <v>11</v>
      </c>
      <c r="AH139" s="128" t="s">
        <v>11</v>
      </c>
      <c r="AI139" s="131" t="s">
        <v>11</v>
      </c>
      <c r="AJ139" s="128" t="s">
        <v>11</v>
      </c>
      <c r="AK139" s="131" t="s">
        <v>11</v>
      </c>
      <c r="AL139" s="128" t="s">
        <v>11</v>
      </c>
      <c r="AM139" s="131" t="s">
        <v>11</v>
      </c>
      <c r="AN139" s="128" t="s">
        <v>11</v>
      </c>
      <c r="AO139" s="131" t="s">
        <v>11</v>
      </c>
      <c r="AP139" s="128" t="s">
        <v>11</v>
      </c>
      <c r="AQ139" s="131" t="s">
        <v>11</v>
      </c>
      <c r="AR139" s="128" t="s">
        <v>11</v>
      </c>
      <c r="AS139" s="131" t="s">
        <v>11</v>
      </c>
      <c r="AT139" s="128" t="s">
        <v>11</v>
      </c>
      <c r="AU139" s="131" t="s">
        <v>11</v>
      </c>
      <c r="AV139" s="128" t="s">
        <v>11</v>
      </c>
      <c r="AW139" s="128" t="s">
        <v>323</v>
      </c>
      <c r="AX139" s="128" t="s">
        <v>11</v>
      </c>
      <c r="AY139" s="128" t="s">
        <v>323</v>
      </c>
      <c r="AZ139" s="128" t="s">
        <v>11</v>
      </c>
      <c r="BA139" s="128" t="s">
        <v>323</v>
      </c>
      <c r="BB139" s="128" t="s">
        <v>11</v>
      </c>
      <c r="BC139" s="127" t="s">
        <v>11</v>
      </c>
      <c r="BD139" s="128" t="s">
        <v>11</v>
      </c>
      <c r="BE139" s="127" t="s">
        <v>11</v>
      </c>
      <c r="BF139" s="128" t="s">
        <v>11</v>
      </c>
      <c r="BG139" s="127" t="s">
        <v>11</v>
      </c>
      <c r="BH139" s="128" t="s">
        <v>11</v>
      </c>
      <c r="BI139" s="127" t="s">
        <v>11</v>
      </c>
      <c r="BJ139" s="128" t="s">
        <v>11</v>
      </c>
      <c r="BK139" s="127" t="s">
        <v>11</v>
      </c>
      <c r="BL139" s="128" t="str">
        <f>IF(BK139="NA","NA",IF(BK139="Not Reported","Not Reported",IF(BK139&lt;$L$139,"Not Met","Met")))</f>
        <v>NA</v>
      </c>
      <c r="BM139" s="257" t="s">
        <v>11</v>
      </c>
      <c r="BN139" s="128" t="str">
        <f>IF(BM139="NA","NA",IF(BM139="Not Reported","Not Reported",IF(BM139&lt;$L$139,"Not Met","Met")))</f>
        <v>NA</v>
      </c>
      <c r="BO139" s="121" t="s">
        <v>11</v>
      </c>
      <c r="BP139" s="128" t="s">
        <v>11</v>
      </c>
      <c r="BQ139" s="128" t="s">
        <v>11</v>
      </c>
      <c r="BR139" s="128" t="s">
        <v>11</v>
      </c>
      <c r="BS139" s="338" t="s">
        <v>11</v>
      </c>
      <c r="BT139" s="128" t="str">
        <f>IF(BS139="NA","NA",IF(BS139="Not Reported","Not Reported",IF(BS139&lt;$L$139,"Not Met","Met")))</f>
        <v>NA</v>
      </c>
      <c r="BU139" s="338" t="s">
        <v>11</v>
      </c>
      <c r="BV139" s="128" t="str">
        <f>IF(BU139="NA","NA",IF(BU139="Not Reported","Not Reported",IF(BU139&lt;$L$139,"Not Met","Met")))</f>
        <v>NA</v>
      </c>
    </row>
    <row r="140" spans="1:74" x14ac:dyDescent="0.2">
      <c r="A140" s="121">
        <v>139</v>
      </c>
      <c r="B140" s="122" t="s">
        <v>10</v>
      </c>
      <c r="C140" s="122" t="s">
        <v>901</v>
      </c>
      <c r="D140" s="123" t="s">
        <v>102</v>
      </c>
      <c r="E140" s="123" t="s">
        <v>900</v>
      </c>
      <c r="F140" s="123" t="s">
        <v>190</v>
      </c>
      <c r="G140" s="122" t="s">
        <v>273</v>
      </c>
      <c r="H140" s="122" t="s">
        <v>192</v>
      </c>
      <c r="I140" s="124" t="s">
        <v>292</v>
      </c>
      <c r="J140" s="124" t="s">
        <v>293</v>
      </c>
      <c r="K140" s="122" t="s">
        <v>292</v>
      </c>
      <c r="L140" s="128">
        <v>0.2</v>
      </c>
      <c r="M140" s="128">
        <v>0.2</v>
      </c>
      <c r="N140" s="122" t="s">
        <v>294</v>
      </c>
      <c r="O140" s="122" t="s">
        <v>575</v>
      </c>
      <c r="P140" s="123" t="s">
        <v>207</v>
      </c>
      <c r="Q140" s="143">
        <v>0</v>
      </c>
      <c r="R140" s="121" t="s">
        <v>198</v>
      </c>
      <c r="S140" s="146">
        <v>0</v>
      </c>
      <c r="T140" s="121" t="s">
        <v>198</v>
      </c>
      <c r="U140" s="146">
        <v>0</v>
      </c>
      <c r="V140" s="121" t="s">
        <v>198</v>
      </c>
      <c r="W140" s="178">
        <v>0</v>
      </c>
      <c r="X140" s="121" t="s">
        <v>198</v>
      </c>
      <c r="Y140" s="178" t="s">
        <v>11</v>
      </c>
      <c r="Z140" s="178" t="s">
        <v>11</v>
      </c>
      <c r="AA140" s="131" t="s">
        <v>11</v>
      </c>
      <c r="AB140" s="128" t="s">
        <v>11</v>
      </c>
      <c r="AC140" s="131" t="s">
        <v>11</v>
      </c>
      <c r="AD140" s="131" t="s">
        <v>11</v>
      </c>
      <c r="AE140" s="131" t="s">
        <v>11</v>
      </c>
      <c r="AF140" s="128" t="s">
        <v>11</v>
      </c>
      <c r="AG140" s="131" t="s">
        <v>11</v>
      </c>
      <c r="AH140" s="128" t="s">
        <v>11</v>
      </c>
      <c r="AI140" s="131" t="s">
        <v>11</v>
      </c>
      <c r="AJ140" s="128" t="s">
        <v>11</v>
      </c>
      <c r="AK140" s="131" t="s">
        <v>11</v>
      </c>
      <c r="AL140" s="128" t="s">
        <v>11</v>
      </c>
      <c r="AM140" s="131" t="s">
        <v>11</v>
      </c>
      <c r="AN140" s="128" t="s">
        <v>11</v>
      </c>
      <c r="AO140" s="131" t="s">
        <v>11</v>
      </c>
      <c r="AP140" s="128" t="s">
        <v>11</v>
      </c>
      <c r="AQ140" s="131" t="s">
        <v>11</v>
      </c>
      <c r="AR140" s="128" t="s">
        <v>11</v>
      </c>
      <c r="AS140" s="131" t="s">
        <v>11</v>
      </c>
      <c r="AT140" s="128" t="s">
        <v>11</v>
      </c>
      <c r="AU140" s="131" t="s">
        <v>11</v>
      </c>
      <c r="AV140" s="128" t="s">
        <v>11</v>
      </c>
      <c r="AW140" s="128" t="s">
        <v>323</v>
      </c>
      <c r="AX140" s="128" t="s">
        <v>11</v>
      </c>
      <c r="AY140" s="128" t="s">
        <v>323</v>
      </c>
      <c r="AZ140" s="128" t="s">
        <v>11</v>
      </c>
      <c r="BA140" s="128" t="s">
        <v>323</v>
      </c>
      <c r="BB140" s="128" t="s">
        <v>11</v>
      </c>
      <c r="BC140" s="127" t="s">
        <v>11</v>
      </c>
      <c r="BD140" s="128" t="s">
        <v>11</v>
      </c>
      <c r="BE140" s="127" t="s">
        <v>11</v>
      </c>
      <c r="BF140" s="128" t="s">
        <v>11</v>
      </c>
      <c r="BG140" s="127" t="s">
        <v>11</v>
      </c>
      <c r="BH140" s="128" t="s">
        <v>11</v>
      </c>
      <c r="BI140" s="127" t="s">
        <v>11</v>
      </c>
      <c r="BJ140" s="128" t="s">
        <v>11</v>
      </c>
      <c r="BK140" s="127" t="s">
        <v>11</v>
      </c>
      <c r="BL140" s="128" t="str">
        <f>IF(BK140="NA","NA",IF(BK140="Not Reported","Not Reported",IF(BK140&gt;$L$140,"Not Met","Met")))</f>
        <v>NA</v>
      </c>
      <c r="BM140" s="257" t="s">
        <v>11</v>
      </c>
      <c r="BN140" s="128" t="str">
        <f>IF(BM140="NA","NA",IF(BM140="Not Reported","Not Reported",IF(BM140&gt;$L$140,"Not Met","Met")))</f>
        <v>NA</v>
      </c>
      <c r="BO140" s="121" t="s">
        <v>11</v>
      </c>
      <c r="BP140" s="128" t="s">
        <v>11</v>
      </c>
      <c r="BQ140" s="128" t="s">
        <v>11</v>
      </c>
      <c r="BR140" s="128" t="s">
        <v>11</v>
      </c>
      <c r="BS140" s="338" t="s">
        <v>11</v>
      </c>
      <c r="BT140" s="128" t="str">
        <f>IF(BS140="NA","NA",IF(BS140="Not Reported","Not Reported",IF(BS140&gt;$L$140,"Not Met","Met")))</f>
        <v>NA</v>
      </c>
      <c r="BU140" s="338" t="s">
        <v>11</v>
      </c>
      <c r="BV140" s="128" t="str">
        <f>IF(BU140="NA","NA",IF(BU140="Not Reported","Not Reported",IF(BU140&gt;$L$140,"Not Met","Met")))</f>
        <v>NA</v>
      </c>
    </row>
    <row r="141" spans="1:74" x14ac:dyDescent="0.2">
      <c r="A141" s="121">
        <v>140</v>
      </c>
      <c r="B141" s="122" t="s">
        <v>10</v>
      </c>
      <c r="C141" s="122" t="s">
        <v>901</v>
      </c>
      <c r="D141" s="123" t="s">
        <v>102</v>
      </c>
      <c r="E141" s="123" t="s">
        <v>900</v>
      </c>
      <c r="F141" s="123" t="s">
        <v>190</v>
      </c>
      <c r="G141" s="122" t="s">
        <v>273</v>
      </c>
      <c r="H141" s="122" t="s">
        <v>192</v>
      </c>
      <c r="I141" s="123" t="s">
        <v>296</v>
      </c>
      <c r="J141" s="123" t="s">
        <v>296</v>
      </c>
      <c r="K141" s="145" t="s">
        <v>296</v>
      </c>
      <c r="L141" s="128">
        <v>0.2</v>
      </c>
      <c r="M141" s="128">
        <v>0.2</v>
      </c>
      <c r="N141" s="122" t="s">
        <v>297</v>
      </c>
      <c r="O141" s="122" t="s">
        <v>298</v>
      </c>
      <c r="P141" s="123" t="s">
        <v>207</v>
      </c>
      <c r="Q141" s="143">
        <f>7/35</f>
        <v>0.2</v>
      </c>
      <c r="R141" s="121" t="s">
        <v>198</v>
      </c>
      <c r="S141" s="146">
        <v>0.4</v>
      </c>
      <c r="T141" s="121" t="s">
        <v>198</v>
      </c>
      <c r="U141" s="146">
        <v>0.6</v>
      </c>
      <c r="V141" s="121" t="s">
        <v>198</v>
      </c>
      <c r="W141" s="178" t="s">
        <v>11</v>
      </c>
      <c r="X141" s="128" t="s">
        <v>11</v>
      </c>
      <c r="Y141" s="178" t="s">
        <v>11</v>
      </c>
      <c r="Z141" s="128" t="s">
        <v>11</v>
      </c>
      <c r="AA141" s="131" t="s">
        <v>11</v>
      </c>
      <c r="AB141" s="128" t="s">
        <v>11</v>
      </c>
      <c r="AC141" s="131" t="s">
        <v>11</v>
      </c>
      <c r="AD141" s="131" t="s">
        <v>11</v>
      </c>
      <c r="AE141" s="131" t="s">
        <v>11</v>
      </c>
      <c r="AF141" s="128" t="s">
        <v>11</v>
      </c>
      <c r="AG141" s="131" t="s">
        <v>11</v>
      </c>
      <c r="AH141" s="128" t="s">
        <v>11</v>
      </c>
      <c r="AI141" s="131" t="s">
        <v>11</v>
      </c>
      <c r="AJ141" s="128" t="s">
        <v>11</v>
      </c>
      <c r="AK141" s="131" t="s">
        <v>11</v>
      </c>
      <c r="AL141" s="128" t="s">
        <v>11</v>
      </c>
      <c r="AM141" s="131" t="s">
        <v>11</v>
      </c>
      <c r="AN141" s="128" t="s">
        <v>11</v>
      </c>
      <c r="AO141" s="131" t="s">
        <v>11</v>
      </c>
      <c r="AP141" s="128" t="s">
        <v>11</v>
      </c>
      <c r="AQ141" s="131" t="s">
        <v>11</v>
      </c>
      <c r="AR141" s="128" t="s">
        <v>11</v>
      </c>
      <c r="AS141" s="131" t="s">
        <v>11</v>
      </c>
      <c r="AT141" s="128" t="s">
        <v>11</v>
      </c>
      <c r="AU141" s="131" t="s">
        <v>11</v>
      </c>
      <c r="AV141" s="128" t="s">
        <v>11</v>
      </c>
      <c r="AW141" s="128" t="s">
        <v>323</v>
      </c>
      <c r="AX141" s="128" t="s">
        <v>11</v>
      </c>
      <c r="AY141" s="128" t="s">
        <v>323</v>
      </c>
      <c r="AZ141" s="128" t="s">
        <v>11</v>
      </c>
      <c r="BA141" s="128" t="s">
        <v>323</v>
      </c>
      <c r="BB141" s="128" t="s">
        <v>11</v>
      </c>
      <c r="BC141" s="127" t="s">
        <v>11</v>
      </c>
      <c r="BD141" s="128" t="s">
        <v>11</v>
      </c>
      <c r="BE141" s="127" t="s">
        <v>11</v>
      </c>
      <c r="BF141" s="128" t="s">
        <v>11</v>
      </c>
      <c r="BG141" s="127" t="s">
        <v>11</v>
      </c>
      <c r="BH141" s="128" t="s">
        <v>11</v>
      </c>
      <c r="BI141" s="127" t="s">
        <v>11</v>
      </c>
      <c r="BJ141" s="128" t="s">
        <v>11</v>
      </c>
      <c r="BK141" s="127" t="s">
        <v>11</v>
      </c>
      <c r="BL141" s="128" t="str">
        <f>IF(BK141="NA","NA",IF(BK141="Not Reported","Not Reported",IF(BK141&lt;$L$141,"Not Met","Met")))</f>
        <v>NA</v>
      </c>
      <c r="BM141" s="257" t="s">
        <v>11</v>
      </c>
      <c r="BN141" s="128" t="str">
        <f>IF(BM141="NA","NA",IF(BM141="Not Reported","Not Reported",IF(BM141&lt;$L$141,"Not Met","Met")))</f>
        <v>NA</v>
      </c>
      <c r="BO141" s="121" t="s">
        <v>11</v>
      </c>
      <c r="BP141" s="128" t="s">
        <v>11</v>
      </c>
      <c r="BQ141" s="128" t="s">
        <v>11</v>
      </c>
      <c r="BR141" s="128" t="s">
        <v>11</v>
      </c>
      <c r="BS141" s="338" t="s">
        <v>11</v>
      </c>
      <c r="BT141" s="128" t="str">
        <f>IF(BS141="NA","NA",IF(BS141="Not Reported","Not Reported",IF(BS141&lt;$L$141,"Not Met","Met")))</f>
        <v>NA</v>
      </c>
      <c r="BU141" s="338" t="s">
        <v>11</v>
      </c>
      <c r="BV141" s="128" t="str">
        <f>IF(BU141="NA","NA",IF(BU141="Not Reported","Not Reported",IF(BU141&lt;$L$141,"Not Met","Met")))</f>
        <v>NA</v>
      </c>
    </row>
    <row r="142" spans="1:74" x14ac:dyDescent="0.25">
      <c r="A142" s="121">
        <v>141</v>
      </c>
      <c r="B142" s="122" t="s">
        <v>597</v>
      </c>
      <c r="C142" s="122" t="s">
        <v>903</v>
      </c>
      <c r="D142" s="123" t="s">
        <v>598</v>
      </c>
      <c r="E142" s="123" t="s">
        <v>899</v>
      </c>
      <c r="F142" s="123" t="s">
        <v>300</v>
      </c>
      <c r="G142" s="122" t="s">
        <v>273</v>
      </c>
      <c r="H142" s="122" t="s">
        <v>192</v>
      </c>
      <c r="I142" s="124" t="s">
        <v>213</v>
      </c>
      <c r="J142" s="124" t="s">
        <v>214</v>
      </c>
      <c r="K142" s="129" t="s">
        <v>213</v>
      </c>
      <c r="L142" s="130" t="s">
        <v>286</v>
      </c>
      <c r="M142" s="128" t="s">
        <v>286</v>
      </c>
      <c r="N142" s="122" t="s">
        <v>567</v>
      </c>
      <c r="O142" s="122" t="s">
        <v>567</v>
      </c>
      <c r="P142" s="122" t="s">
        <v>207</v>
      </c>
      <c r="Q142" s="127" t="s">
        <v>11</v>
      </c>
      <c r="R142" s="128" t="s">
        <v>11</v>
      </c>
      <c r="S142" s="127" t="s">
        <v>11</v>
      </c>
      <c r="T142" s="128" t="s">
        <v>11</v>
      </c>
      <c r="U142" s="127" t="s">
        <v>11</v>
      </c>
      <c r="V142" s="128" t="s">
        <v>11</v>
      </c>
      <c r="W142" s="127" t="s">
        <v>11</v>
      </c>
      <c r="X142" s="128" t="s">
        <v>11</v>
      </c>
      <c r="Y142" s="127" t="s">
        <v>11</v>
      </c>
      <c r="Z142" s="128" t="s">
        <v>11</v>
      </c>
      <c r="AA142" s="127" t="s">
        <v>11</v>
      </c>
      <c r="AB142" s="128" t="s">
        <v>11</v>
      </c>
      <c r="AC142" s="127" t="s">
        <v>11</v>
      </c>
      <c r="AD142" s="128" t="s">
        <v>11</v>
      </c>
      <c r="AE142" s="127" t="s">
        <v>11</v>
      </c>
      <c r="AF142" s="128" t="s">
        <v>11</v>
      </c>
      <c r="AG142" s="127" t="s">
        <v>11</v>
      </c>
      <c r="AH142" s="128" t="s">
        <v>11</v>
      </c>
      <c r="AI142" s="127" t="s">
        <v>11</v>
      </c>
      <c r="AJ142" s="128" t="s">
        <v>11</v>
      </c>
      <c r="AK142" s="127" t="s">
        <v>11</v>
      </c>
      <c r="AL142" s="128" t="s">
        <v>11</v>
      </c>
      <c r="AM142" s="127" t="s">
        <v>11</v>
      </c>
      <c r="AN142" s="128" t="s">
        <v>11</v>
      </c>
      <c r="AO142" s="127" t="s">
        <v>11</v>
      </c>
      <c r="AP142" s="128" t="s">
        <v>11</v>
      </c>
      <c r="AQ142" s="128" t="s">
        <v>323</v>
      </c>
      <c r="AR142" s="128" t="s">
        <v>11</v>
      </c>
      <c r="AS142" s="128" t="s">
        <v>323</v>
      </c>
      <c r="AT142" s="128" t="s">
        <v>11</v>
      </c>
      <c r="AU142" s="128" t="s">
        <v>323</v>
      </c>
      <c r="AV142" s="128" t="s">
        <v>11</v>
      </c>
      <c r="AW142" s="128" t="s">
        <v>323</v>
      </c>
      <c r="AX142" s="128" t="s">
        <v>11</v>
      </c>
      <c r="AY142" s="128" t="s">
        <v>323</v>
      </c>
      <c r="AZ142" s="128" t="s">
        <v>11</v>
      </c>
      <c r="BA142" s="128" t="s">
        <v>323</v>
      </c>
      <c r="BB142" s="128" t="s">
        <v>11</v>
      </c>
      <c r="BC142" s="127" t="s">
        <v>11</v>
      </c>
      <c r="BD142" s="128" t="s">
        <v>11</v>
      </c>
      <c r="BE142" s="127" t="s">
        <v>11</v>
      </c>
      <c r="BF142" s="128" t="s">
        <v>11</v>
      </c>
      <c r="BG142" s="127" t="s">
        <v>11</v>
      </c>
      <c r="BH142" s="128" t="s">
        <v>11</v>
      </c>
      <c r="BI142" s="127" t="s">
        <v>11</v>
      </c>
      <c r="BJ142" s="128" t="s">
        <v>11</v>
      </c>
      <c r="BK142" s="127" t="s">
        <v>11</v>
      </c>
      <c r="BL142" s="121" t="str">
        <f>IF(BK142="NA","NA",IF(BK142="Not Reported","Not Reported",IF(BK142&gt;$L$15,"Not Met","Met")))</f>
        <v>NA</v>
      </c>
      <c r="BM142" s="257" t="s">
        <v>11</v>
      </c>
      <c r="BN142" s="128" t="str">
        <f>IF(BM142="NA","NA",IF(BM142="Not Reported","Not Reported",IF(BM142&gt;L$142,"Not Met","Met")))</f>
        <v>NA</v>
      </c>
      <c r="BO142" s="128" t="s">
        <v>11</v>
      </c>
      <c r="BP142" s="128" t="s">
        <v>11</v>
      </c>
      <c r="BQ142" s="128" t="s">
        <v>11</v>
      </c>
      <c r="BR142" s="128" t="s">
        <v>11</v>
      </c>
      <c r="BS142" s="338" t="s">
        <v>11</v>
      </c>
      <c r="BT142" s="128" t="str">
        <f>IF(BS142="NA","NA",IF(BS142="Not Reported","Not Reported",IF(BS142&gt;R$142,"Not Met","Met")))</f>
        <v>NA</v>
      </c>
      <c r="BU142" s="338" t="s">
        <v>11</v>
      </c>
      <c r="BV142" s="128" t="str">
        <f>IF(BU142="NA","NA",IF(BU142="Not Reported","Not Reported",IF(BU142&gt;T$142,"Not Met","Met")))</f>
        <v>NA</v>
      </c>
    </row>
    <row r="143" spans="1:74" x14ac:dyDescent="0.25">
      <c r="A143" s="121">
        <v>142</v>
      </c>
      <c r="B143" s="122" t="s">
        <v>597</v>
      </c>
      <c r="C143" s="122" t="s">
        <v>903</v>
      </c>
      <c r="D143" s="123" t="s">
        <v>598</v>
      </c>
      <c r="E143" s="123" t="s">
        <v>899</v>
      </c>
      <c r="F143" s="123" t="s">
        <v>300</v>
      </c>
      <c r="G143" s="122" t="s">
        <v>273</v>
      </c>
      <c r="H143" s="122" t="s">
        <v>192</v>
      </c>
      <c r="I143" s="124" t="s">
        <v>274</v>
      </c>
      <c r="J143" s="124" t="s">
        <v>214</v>
      </c>
      <c r="K143" s="145" t="s">
        <v>274</v>
      </c>
      <c r="L143" s="130" t="s">
        <v>286</v>
      </c>
      <c r="M143" s="128" t="s">
        <v>286</v>
      </c>
      <c r="N143" s="122" t="s">
        <v>528</v>
      </c>
      <c r="O143" s="122" t="s">
        <v>528</v>
      </c>
      <c r="P143" s="122" t="s">
        <v>207</v>
      </c>
      <c r="Q143" s="127" t="s">
        <v>11</v>
      </c>
      <c r="R143" s="128" t="s">
        <v>11</v>
      </c>
      <c r="S143" s="127" t="s">
        <v>11</v>
      </c>
      <c r="T143" s="128" t="s">
        <v>11</v>
      </c>
      <c r="U143" s="127" t="s">
        <v>11</v>
      </c>
      <c r="V143" s="128" t="s">
        <v>11</v>
      </c>
      <c r="W143" s="127" t="s">
        <v>11</v>
      </c>
      <c r="X143" s="128" t="s">
        <v>11</v>
      </c>
      <c r="Y143" s="127" t="s">
        <v>11</v>
      </c>
      <c r="Z143" s="128" t="s">
        <v>11</v>
      </c>
      <c r="AA143" s="127" t="s">
        <v>11</v>
      </c>
      <c r="AB143" s="128" t="s">
        <v>11</v>
      </c>
      <c r="AC143" s="127" t="s">
        <v>11</v>
      </c>
      <c r="AD143" s="128" t="s">
        <v>11</v>
      </c>
      <c r="AE143" s="127" t="s">
        <v>11</v>
      </c>
      <c r="AF143" s="128" t="s">
        <v>11</v>
      </c>
      <c r="AG143" s="127" t="s">
        <v>11</v>
      </c>
      <c r="AH143" s="128" t="s">
        <v>11</v>
      </c>
      <c r="AI143" s="127" t="s">
        <v>11</v>
      </c>
      <c r="AJ143" s="128" t="s">
        <v>11</v>
      </c>
      <c r="AK143" s="127" t="s">
        <v>11</v>
      </c>
      <c r="AL143" s="128" t="s">
        <v>11</v>
      </c>
      <c r="AM143" s="127" t="s">
        <v>11</v>
      </c>
      <c r="AN143" s="128" t="s">
        <v>11</v>
      </c>
      <c r="AO143" s="127" t="s">
        <v>11</v>
      </c>
      <c r="AP143" s="128" t="s">
        <v>11</v>
      </c>
      <c r="AQ143" s="128" t="s">
        <v>323</v>
      </c>
      <c r="AR143" s="128" t="s">
        <v>11</v>
      </c>
      <c r="AS143" s="128" t="s">
        <v>323</v>
      </c>
      <c r="AT143" s="128" t="s">
        <v>11</v>
      </c>
      <c r="AU143" s="128" t="s">
        <v>323</v>
      </c>
      <c r="AV143" s="128" t="s">
        <v>11</v>
      </c>
      <c r="AW143" s="128" t="s">
        <v>323</v>
      </c>
      <c r="AX143" s="128" t="s">
        <v>11</v>
      </c>
      <c r="AY143" s="128" t="s">
        <v>323</v>
      </c>
      <c r="AZ143" s="128" t="s">
        <v>11</v>
      </c>
      <c r="BA143" s="128" t="s">
        <v>323</v>
      </c>
      <c r="BB143" s="128" t="s">
        <v>11</v>
      </c>
      <c r="BC143" s="127" t="s">
        <v>11</v>
      </c>
      <c r="BD143" s="128" t="s">
        <v>11</v>
      </c>
      <c r="BE143" s="127" t="s">
        <v>11</v>
      </c>
      <c r="BF143" s="128" t="s">
        <v>11</v>
      </c>
      <c r="BG143" s="127" t="s">
        <v>11</v>
      </c>
      <c r="BH143" s="128" t="s">
        <v>11</v>
      </c>
      <c r="BI143" s="127" t="s">
        <v>11</v>
      </c>
      <c r="BJ143" s="128" t="s">
        <v>11</v>
      </c>
      <c r="BK143" s="127" t="s">
        <v>11</v>
      </c>
      <c r="BL143" s="121" t="str">
        <f>IF(BK143="NA","NA",IF(BK143="Not Reported","Not Reported",IF(BK143&gt;$L$143,"Not Met","Met")))</f>
        <v>NA</v>
      </c>
      <c r="BM143" s="257" t="s">
        <v>11</v>
      </c>
      <c r="BN143" s="121" t="str">
        <f>IF(BM143="NA","NA",IF(BM143="Not Reported","Not Reported",IF(BM143&gt;$L$143,"Not Met","Met")))</f>
        <v>NA</v>
      </c>
      <c r="BO143" s="128" t="s">
        <v>11</v>
      </c>
      <c r="BP143" s="121" t="s">
        <v>11</v>
      </c>
      <c r="BQ143" s="128" t="s">
        <v>11</v>
      </c>
      <c r="BR143" s="121" t="s">
        <v>11</v>
      </c>
      <c r="BS143" s="338" t="s">
        <v>11</v>
      </c>
      <c r="BT143" s="121" t="str">
        <f>IF(BS143="NA","NA",IF(BS143="Not Reported","Not Reported",IF(BS143&gt;$L$143,"Not Met","Met")))</f>
        <v>NA</v>
      </c>
      <c r="BU143" s="338" t="s">
        <v>11</v>
      </c>
      <c r="BV143" s="121" t="str">
        <f>IF(BU143="NA","NA",IF(BU143="Not Reported","Not Reported",IF(BU143&gt;$L$143,"Not Met","Met")))</f>
        <v>NA</v>
      </c>
    </row>
    <row r="144" spans="1:74" x14ac:dyDescent="0.25">
      <c r="A144" s="121">
        <v>143</v>
      </c>
      <c r="B144" s="122" t="s">
        <v>597</v>
      </c>
      <c r="C144" s="122" t="s">
        <v>903</v>
      </c>
      <c r="D144" s="123" t="s">
        <v>598</v>
      </c>
      <c r="E144" s="123" t="s">
        <v>899</v>
      </c>
      <c r="F144" s="123" t="s">
        <v>300</v>
      </c>
      <c r="G144" s="122" t="s">
        <v>273</v>
      </c>
      <c r="H144" s="122" t="s">
        <v>192</v>
      </c>
      <c r="I144" s="124" t="s">
        <v>289</v>
      </c>
      <c r="J144" s="124" t="s">
        <v>285</v>
      </c>
      <c r="K144" s="145" t="s">
        <v>289</v>
      </c>
      <c r="L144" s="128" t="s">
        <v>286</v>
      </c>
      <c r="M144" s="128" t="s">
        <v>286</v>
      </c>
      <c r="N144" s="122" t="s">
        <v>529</v>
      </c>
      <c r="O144" s="122" t="s">
        <v>529</v>
      </c>
      <c r="P144" s="122" t="s">
        <v>207</v>
      </c>
      <c r="Q144" s="127" t="s">
        <v>11</v>
      </c>
      <c r="R144" s="128" t="s">
        <v>11</v>
      </c>
      <c r="S144" s="127" t="s">
        <v>11</v>
      </c>
      <c r="T144" s="128" t="s">
        <v>11</v>
      </c>
      <c r="U144" s="127" t="s">
        <v>11</v>
      </c>
      <c r="V144" s="128" t="s">
        <v>11</v>
      </c>
      <c r="W144" s="127" t="s">
        <v>11</v>
      </c>
      <c r="X144" s="128" t="s">
        <v>11</v>
      </c>
      <c r="Y144" s="127" t="s">
        <v>11</v>
      </c>
      <c r="Z144" s="128" t="s">
        <v>11</v>
      </c>
      <c r="AA144" s="127" t="s">
        <v>11</v>
      </c>
      <c r="AB144" s="128" t="s">
        <v>11</v>
      </c>
      <c r="AC144" s="127" t="s">
        <v>11</v>
      </c>
      <c r="AD144" s="128" t="s">
        <v>11</v>
      </c>
      <c r="AE144" s="127" t="s">
        <v>11</v>
      </c>
      <c r="AF144" s="128" t="s">
        <v>11</v>
      </c>
      <c r="AG144" s="127" t="s">
        <v>11</v>
      </c>
      <c r="AH144" s="128" t="s">
        <v>11</v>
      </c>
      <c r="AI144" s="127" t="s">
        <v>11</v>
      </c>
      <c r="AJ144" s="128" t="s">
        <v>11</v>
      </c>
      <c r="AK144" s="127" t="s">
        <v>11</v>
      </c>
      <c r="AL144" s="128" t="s">
        <v>11</v>
      </c>
      <c r="AM144" s="127" t="s">
        <v>11</v>
      </c>
      <c r="AN144" s="128" t="s">
        <v>11</v>
      </c>
      <c r="AO144" s="127" t="s">
        <v>11</v>
      </c>
      <c r="AP144" s="128" t="s">
        <v>11</v>
      </c>
      <c r="AQ144" s="128" t="s">
        <v>323</v>
      </c>
      <c r="AR144" s="128" t="s">
        <v>11</v>
      </c>
      <c r="AS144" s="128" t="s">
        <v>323</v>
      </c>
      <c r="AT144" s="128" t="s">
        <v>11</v>
      </c>
      <c r="AU144" s="128" t="s">
        <v>323</v>
      </c>
      <c r="AV144" s="128" t="s">
        <v>11</v>
      </c>
      <c r="AW144" s="128" t="s">
        <v>323</v>
      </c>
      <c r="AX144" s="128" t="s">
        <v>11</v>
      </c>
      <c r="AY144" s="128" t="s">
        <v>323</v>
      </c>
      <c r="AZ144" s="128" t="s">
        <v>11</v>
      </c>
      <c r="BA144" s="128" t="s">
        <v>323</v>
      </c>
      <c r="BB144" s="128" t="s">
        <v>11</v>
      </c>
      <c r="BC144" s="127" t="s">
        <v>11</v>
      </c>
      <c r="BD144" s="128" t="s">
        <v>11</v>
      </c>
      <c r="BE144" s="127" t="s">
        <v>11</v>
      </c>
      <c r="BF144" s="128" t="s">
        <v>11</v>
      </c>
      <c r="BG144" s="127" t="s">
        <v>11</v>
      </c>
      <c r="BH144" s="128" t="s">
        <v>11</v>
      </c>
      <c r="BI144" s="127" t="s">
        <v>11</v>
      </c>
      <c r="BJ144" s="128" t="s">
        <v>11</v>
      </c>
      <c r="BK144" s="127" t="s">
        <v>11</v>
      </c>
      <c r="BL144" s="128" t="str">
        <f>IF(BK144="NA","NA",IF(BK144="Not Reported","Not Reported",IF(BK144&lt;$L$144,"Not Met","Met")))</f>
        <v>NA</v>
      </c>
      <c r="BM144" s="257" t="s">
        <v>11</v>
      </c>
      <c r="BN144" s="128" t="str">
        <f>IF(BM144="NA","NA",IF(BM144="Not Reported","Not Reported",IF(BM144&lt;$L$144,"Not Met","Met")))</f>
        <v>NA</v>
      </c>
      <c r="BO144" s="128" t="s">
        <v>11</v>
      </c>
      <c r="BP144" s="128" t="s">
        <v>11</v>
      </c>
      <c r="BQ144" s="128" t="s">
        <v>11</v>
      </c>
      <c r="BR144" s="128" t="s">
        <v>11</v>
      </c>
      <c r="BS144" s="338" t="s">
        <v>11</v>
      </c>
      <c r="BT144" s="128" t="str">
        <f>IF(BS144="NA","NA",IF(BS144="Not Reported","Not Reported",IF(BS144&lt;$L$144,"Not Met","Met")))</f>
        <v>NA</v>
      </c>
      <c r="BU144" s="338" t="s">
        <v>11</v>
      </c>
      <c r="BV144" s="128" t="str">
        <f>IF(BU144="NA","NA",IF(BU144="Not Reported","Not Reported",IF(BU144&lt;$L$144,"Not Met","Met")))</f>
        <v>NA</v>
      </c>
    </row>
    <row r="145" spans="1:74" x14ac:dyDescent="0.25">
      <c r="A145" s="121">
        <v>144</v>
      </c>
      <c r="B145" s="122" t="s">
        <v>597</v>
      </c>
      <c r="C145" s="122" t="s">
        <v>903</v>
      </c>
      <c r="D145" s="123" t="s">
        <v>598</v>
      </c>
      <c r="E145" s="123" t="s">
        <v>899</v>
      </c>
      <c r="F145" s="123" t="s">
        <v>300</v>
      </c>
      <c r="G145" s="122" t="s">
        <v>273</v>
      </c>
      <c r="H145" s="122" t="s">
        <v>192</v>
      </c>
      <c r="I145" s="124"/>
      <c r="J145" s="124"/>
      <c r="K145" s="122" t="s">
        <v>599</v>
      </c>
      <c r="L145" s="128" t="s">
        <v>286</v>
      </c>
      <c r="M145" s="128" t="s">
        <v>286</v>
      </c>
      <c r="N145" s="122" t="s">
        <v>600</v>
      </c>
      <c r="O145" s="122" t="s">
        <v>600</v>
      </c>
      <c r="P145" s="122" t="s">
        <v>207</v>
      </c>
      <c r="Q145" s="127" t="s">
        <v>11</v>
      </c>
      <c r="R145" s="128" t="s">
        <v>11</v>
      </c>
      <c r="S145" s="127" t="s">
        <v>11</v>
      </c>
      <c r="T145" s="128" t="s">
        <v>11</v>
      </c>
      <c r="U145" s="127" t="s">
        <v>11</v>
      </c>
      <c r="V145" s="128" t="s">
        <v>11</v>
      </c>
      <c r="W145" s="127" t="s">
        <v>11</v>
      </c>
      <c r="X145" s="128" t="s">
        <v>11</v>
      </c>
      <c r="Y145" s="127" t="s">
        <v>11</v>
      </c>
      <c r="Z145" s="128" t="s">
        <v>11</v>
      </c>
      <c r="AA145" s="127" t="s">
        <v>11</v>
      </c>
      <c r="AB145" s="128" t="s">
        <v>11</v>
      </c>
      <c r="AC145" s="127" t="s">
        <v>11</v>
      </c>
      <c r="AD145" s="128" t="s">
        <v>11</v>
      </c>
      <c r="AE145" s="127" t="s">
        <v>11</v>
      </c>
      <c r="AF145" s="128" t="s">
        <v>11</v>
      </c>
      <c r="AG145" s="127" t="s">
        <v>11</v>
      </c>
      <c r="AH145" s="128" t="s">
        <v>11</v>
      </c>
      <c r="AI145" s="127" t="s">
        <v>11</v>
      </c>
      <c r="AJ145" s="128" t="s">
        <v>11</v>
      </c>
      <c r="AK145" s="127" t="s">
        <v>11</v>
      </c>
      <c r="AL145" s="128" t="s">
        <v>11</v>
      </c>
      <c r="AM145" s="127" t="s">
        <v>11</v>
      </c>
      <c r="AN145" s="128" t="s">
        <v>11</v>
      </c>
      <c r="AO145" s="127" t="s">
        <v>11</v>
      </c>
      <c r="AP145" s="128" t="s">
        <v>11</v>
      </c>
      <c r="AQ145" s="128" t="s">
        <v>323</v>
      </c>
      <c r="AR145" s="128" t="s">
        <v>11</v>
      </c>
      <c r="AS145" s="128" t="s">
        <v>323</v>
      </c>
      <c r="AT145" s="128" t="s">
        <v>11</v>
      </c>
      <c r="AU145" s="128" t="s">
        <v>323</v>
      </c>
      <c r="AV145" s="128" t="s">
        <v>11</v>
      </c>
      <c r="AW145" s="128" t="s">
        <v>323</v>
      </c>
      <c r="AX145" s="128" t="s">
        <v>11</v>
      </c>
      <c r="AY145" s="128" t="s">
        <v>323</v>
      </c>
      <c r="AZ145" s="128" t="s">
        <v>11</v>
      </c>
      <c r="BA145" s="128" t="s">
        <v>323</v>
      </c>
      <c r="BB145" s="128" t="s">
        <v>11</v>
      </c>
      <c r="BC145" s="127" t="s">
        <v>11</v>
      </c>
      <c r="BD145" s="128" t="s">
        <v>11</v>
      </c>
      <c r="BE145" s="127" t="s">
        <v>11</v>
      </c>
      <c r="BF145" s="128" t="s">
        <v>11</v>
      </c>
      <c r="BG145" s="127" t="s">
        <v>11</v>
      </c>
      <c r="BH145" s="128" t="s">
        <v>11</v>
      </c>
      <c r="BI145" s="127" t="s">
        <v>11</v>
      </c>
      <c r="BJ145" s="128" t="s">
        <v>11</v>
      </c>
      <c r="BK145" s="127" t="s">
        <v>11</v>
      </c>
      <c r="BL145" s="121" t="str">
        <f>IF(BK145="NA","NA",IF(BK145="Not Reported","Not Reported",IF(BK145&lt;$L$145,"Not Met","Met")))</f>
        <v>NA</v>
      </c>
      <c r="BM145" s="257" t="s">
        <v>11</v>
      </c>
      <c r="BN145" s="121" t="str">
        <f>IF(BM145="NA","NA",IF(BM145="Not Reported","Not Reported",IF(BM145&lt;$L$145,"Not Met","Met")))</f>
        <v>NA</v>
      </c>
      <c r="BO145" s="128" t="s">
        <v>11</v>
      </c>
      <c r="BP145" s="121" t="s">
        <v>11</v>
      </c>
      <c r="BQ145" s="128" t="s">
        <v>11</v>
      </c>
      <c r="BR145" s="121" t="s">
        <v>11</v>
      </c>
      <c r="BS145" s="338" t="s">
        <v>11</v>
      </c>
      <c r="BT145" s="121" t="str">
        <f>IF(BS145="NA","NA",IF(BS145="Not Reported","Not Reported",IF(BS145&lt;$L$145,"Not Met","Met")))</f>
        <v>NA</v>
      </c>
      <c r="BU145" s="338" t="s">
        <v>11</v>
      </c>
      <c r="BV145" s="121" t="str">
        <f>IF(BU145="NA","NA",IF(BU145="Not Reported","Not Reported",IF(BU145&lt;$L$145,"Not Met","Met")))</f>
        <v>NA</v>
      </c>
    </row>
    <row r="146" spans="1:74" x14ac:dyDescent="0.25">
      <c r="A146" s="121">
        <v>145</v>
      </c>
      <c r="B146" s="122" t="s">
        <v>597</v>
      </c>
      <c r="C146" s="122" t="s">
        <v>903</v>
      </c>
      <c r="D146" s="123" t="s">
        <v>598</v>
      </c>
      <c r="E146" s="123" t="s">
        <v>899</v>
      </c>
      <c r="F146" s="123" t="s">
        <v>300</v>
      </c>
      <c r="G146" s="122" t="s">
        <v>273</v>
      </c>
      <c r="H146" s="122" t="s">
        <v>192</v>
      </c>
      <c r="I146" s="124" t="s">
        <v>292</v>
      </c>
      <c r="J146" s="124" t="s">
        <v>293</v>
      </c>
      <c r="K146" s="122" t="s">
        <v>292</v>
      </c>
      <c r="L146" s="128" t="s">
        <v>286</v>
      </c>
      <c r="M146" s="128" t="s">
        <v>286</v>
      </c>
      <c r="N146" s="122" t="s">
        <v>294</v>
      </c>
      <c r="O146" s="122" t="s">
        <v>295</v>
      </c>
      <c r="P146" s="122" t="s">
        <v>207</v>
      </c>
      <c r="Q146" s="127" t="s">
        <v>11</v>
      </c>
      <c r="R146" s="128" t="s">
        <v>11</v>
      </c>
      <c r="S146" s="127" t="s">
        <v>11</v>
      </c>
      <c r="T146" s="128" t="s">
        <v>11</v>
      </c>
      <c r="U146" s="127" t="s">
        <v>11</v>
      </c>
      <c r="V146" s="128" t="s">
        <v>11</v>
      </c>
      <c r="W146" s="127" t="s">
        <v>11</v>
      </c>
      <c r="X146" s="128" t="s">
        <v>11</v>
      </c>
      <c r="Y146" s="127" t="s">
        <v>11</v>
      </c>
      <c r="Z146" s="128" t="s">
        <v>11</v>
      </c>
      <c r="AA146" s="127" t="s">
        <v>11</v>
      </c>
      <c r="AB146" s="128" t="s">
        <v>11</v>
      </c>
      <c r="AC146" s="127" t="s">
        <v>11</v>
      </c>
      <c r="AD146" s="128" t="s">
        <v>11</v>
      </c>
      <c r="AE146" s="127" t="s">
        <v>11</v>
      </c>
      <c r="AF146" s="128" t="s">
        <v>11</v>
      </c>
      <c r="AG146" s="127" t="s">
        <v>11</v>
      </c>
      <c r="AH146" s="128" t="s">
        <v>11</v>
      </c>
      <c r="AI146" s="127" t="s">
        <v>11</v>
      </c>
      <c r="AJ146" s="128" t="s">
        <v>11</v>
      </c>
      <c r="AK146" s="127" t="s">
        <v>11</v>
      </c>
      <c r="AL146" s="128" t="s">
        <v>11</v>
      </c>
      <c r="AM146" s="127" t="s">
        <v>11</v>
      </c>
      <c r="AN146" s="128" t="s">
        <v>11</v>
      </c>
      <c r="AO146" s="127" t="s">
        <v>11</v>
      </c>
      <c r="AP146" s="128" t="s">
        <v>11</v>
      </c>
      <c r="AQ146" s="128" t="s">
        <v>323</v>
      </c>
      <c r="AR146" s="128" t="s">
        <v>11</v>
      </c>
      <c r="AS146" s="128" t="s">
        <v>323</v>
      </c>
      <c r="AT146" s="128" t="s">
        <v>11</v>
      </c>
      <c r="AU146" s="128" t="s">
        <v>323</v>
      </c>
      <c r="AV146" s="128" t="s">
        <v>11</v>
      </c>
      <c r="AW146" s="128" t="s">
        <v>323</v>
      </c>
      <c r="AX146" s="128" t="s">
        <v>11</v>
      </c>
      <c r="AY146" s="128" t="s">
        <v>323</v>
      </c>
      <c r="AZ146" s="128" t="s">
        <v>11</v>
      </c>
      <c r="BA146" s="128" t="s">
        <v>323</v>
      </c>
      <c r="BB146" s="128" t="s">
        <v>11</v>
      </c>
      <c r="BC146" s="127" t="s">
        <v>11</v>
      </c>
      <c r="BD146" s="128" t="s">
        <v>11</v>
      </c>
      <c r="BE146" s="127" t="s">
        <v>11</v>
      </c>
      <c r="BF146" s="128" t="s">
        <v>11</v>
      </c>
      <c r="BG146" s="127" t="s">
        <v>11</v>
      </c>
      <c r="BH146" s="128" t="s">
        <v>11</v>
      </c>
      <c r="BI146" s="127" t="s">
        <v>11</v>
      </c>
      <c r="BJ146" s="128" t="s">
        <v>11</v>
      </c>
      <c r="BK146" s="127" t="s">
        <v>11</v>
      </c>
      <c r="BL146" s="128" t="str">
        <f>IF(BK146="NA","NA",IF(BK146="Not Reported","Not Reported",IF(BK146&gt;$L$146,"Not Met","Met")))</f>
        <v>NA</v>
      </c>
      <c r="BM146" s="257" t="str">
        <f>BK146</f>
        <v>NA</v>
      </c>
      <c r="BN146" s="128" t="str">
        <f>IF(BM146="NA","NA",IF(BM146="Not Reported","Not Reported",IF(BM146&gt;$L$146,"Not Met","Met")))</f>
        <v>NA</v>
      </c>
      <c r="BO146" s="128" t="s">
        <v>11</v>
      </c>
      <c r="BP146" s="128" t="s">
        <v>11</v>
      </c>
      <c r="BQ146" s="128" t="s">
        <v>11</v>
      </c>
      <c r="BR146" s="128" t="s">
        <v>11</v>
      </c>
      <c r="BS146" s="338" t="s">
        <v>11</v>
      </c>
      <c r="BT146" s="128" t="str">
        <f>IF(BS146="NA","NA",IF(BS146="Not Reported","Not Reported",IF(BS146&gt;$L$146,"Not Met","Met")))</f>
        <v>NA</v>
      </c>
      <c r="BU146" s="338" t="s">
        <v>11</v>
      </c>
      <c r="BV146" s="128" t="str">
        <f>IF(BU146="NA","NA",IF(BU146="Not Reported","Not Reported",IF(BU146&gt;$L$146,"Not Met","Met")))</f>
        <v>NA</v>
      </c>
    </row>
    <row r="147" spans="1:74" x14ac:dyDescent="0.2">
      <c r="A147" s="121">
        <v>146</v>
      </c>
      <c r="B147" s="122" t="s">
        <v>39</v>
      </c>
      <c r="C147" s="122" t="s">
        <v>903</v>
      </c>
      <c r="D147" s="123" t="s">
        <v>133</v>
      </c>
      <c r="E147" s="123" t="s">
        <v>899</v>
      </c>
      <c r="F147" s="123" t="s">
        <v>300</v>
      </c>
      <c r="G147" s="123" t="s">
        <v>191</v>
      </c>
      <c r="H147" s="122" t="s">
        <v>192</v>
      </c>
      <c r="I147" s="124" t="s">
        <v>296</v>
      </c>
      <c r="J147" s="124" t="s">
        <v>296</v>
      </c>
      <c r="K147" s="122" t="s">
        <v>350</v>
      </c>
      <c r="L147" s="146">
        <v>0.9</v>
      </c>
      <c r="M147" s="146">
        <v>0.9</v>
      </c>
      <c r="N147" s="122" t="s">
        <v>351</v>
      </c>
      <c r="O147" s="122" t="s">
        <v>352</v>
      </c>
      <c r="P147" s="122" t="s">
        <v>207</v>
      </c>
      <c r="Q147" s="146">
        <v>0.2</v>
      </c>
      <c r="R147" s="147" t="s">
        <v>251</v>
      </c>
      <c r="S147" s="146">
        <v>0.17</v>
      </c>
      <c r="T147" s="147" t="s">
        <v>251</v>
      </c>
      <c r="U147" s="146">
        <v>0.27</v>
      </c>
      <c r="V147" s="147" t="s">
        <v>251</v>
      </c>
      <c r="W147" s="146">
        <v>0.36</v>
      </c>
      <c r="X147" s="147" t="s">
        <v>251</v>
      </c>
      <c r="Y147" s="146">
        <v>0.22</v>
      </c>
      <c r="Z147" s="121" t="s">
        <v>251</v>
      </c>
      <c r="AA147" s="146">
        <f>61/215</f>
        <v>0.28372093023255812</v>
      </c>
      <c r="AB147" s="147" t="s">
        <v>251</v>
      </c>
      <c r="AC147" s="146">
        <f>214/706</f>
        <v>0.30311614730878189</v>
      </c>
      <c r="AD147" s="121" t="s">
        <v>251</v>
      </c>
      <c r="AE147" s="126">
        <v>0.28000000000000003</v>
      </c>
      <c r="AF147" s="147" t="s">
        <v>251</v>
      </c>
      <c r="AG147" s="146">
        <v>0.28999999999999998</v>
      </c>
      <c r="AH147" s="147" t="s">
        <v>251</v>
      </c>
      <c r="AI147" s="128">
        <v>1.2647058823529411</v>
      </c>
      <c r="AJ147" s="121" t="s">
        <v>198</v>
      </c>
      <c r="AK147" s="177">
        <f>128/34</f>
        <v>3.7647058823529411</v>
      </c>
      <c r="AL147" s="121" t="s">
        <v>198</v>
      </c>
      <c r="AM147" s="177">
        <v>0.45</v>
      </c>
      <c r="AN147" s="121" t="s">
        <v>251</v>
      </c>
      <c r="AO147" s="178">
        <f>42/65</f>
        <v>0.64615384615384619</v>
      </c>
      <c r="AP147" s="121" t="s">
        <v>251</v>
      </c>
      <c r="AQ147" s="178">
        <v>0.57999999999999996</v>
      </c>
      <c r="AR147" s="121" t="s">
        <v>251</v>
      </c>
      <c r="AS147" s="178">
        <v>0.54</v>
      </c>
      <c r="AT147" s="121" t="s">
        <v>251</v>
      </c>
      <c r="AU147" s="121" t="s">
        <v>61</v>
      </c>
      <c r="AV147" s="121" t="s">
        <v>61</v>
      </c>
      <c r="AW147" s="121" t="s">
        <v>61</v>
      </c>
      <c r="AX147" s="121" t="s">
        <v>61</v>
      </c>
      <c r="AY147" s="121" t="s">
        <v>61</v>
      </c>
      <c r="AZ147" s="121" t="s">
        <v>61</v>
      </c>
      <c r="BA147" s="121" t="s">
        <v>61</v>
      </c>
      <c r="BB147" s="121" t="s">
        <v>61</v>
      </c>
      <c r="BC147" s="121" t="s">
        <v>61</v>
      </c>
      <c r="BD147" s="121" t="s">
        <v>6</v>
      </c>
      <c r="BE147" s="121" t="s">
        <v>61</v>
      </c>
      <c r="BF147" s="121" t="s">
        <v>61</v>
      </c>
      <c r="BG147" s="121" t="s">
        <v>61</v>
      </c>
      <c r="BH147" s="121" t="s">
        <v>61</v>
      </c>
      <c r="BI147" s="121" t="s">
        <v>61</v>
      </c>
      <c r="BJ147" s="121" t="s">
        <v>61</v>
      </c>
      <c r="BK147" s="121" t="s">
        <v>61</v>
      </c>
      <c r="BL147" s="128" t="str">
        <f>IF(BK147="NA","NA",IF(BK147="Not Reported","Not Reported",IF(BK147&lt;$L$147,"Not Met","Met")))</f>
        <v>Not Reported</v>
      </c>
      <c r="BM147" s="128">
        <v>0.35</v>
      </c>
      <c r="BN147" s="128" t="str">
        <f>IF(BM147="NA","NA",IF(BM147="Not Reported","Not Reported",IF(BM147&lt;$L$147,"Not Met","Met")))</f>
        <v>Not Met</v>
      </c>
      <c r="BO147" s="128">
        <v>0.43</v>
      </c>
      <c r="BP147" s="128" t="s">
        <v>251</v>
      </c>
      <c r="BQ147" s="128">
        <v>0.45</v>
      </c>
      <c r="BR147" s="128" t="s">
        <v>251</v>
      </c>
      <c r="BS147" s="315">
        <v>0.34</v>
      </c>
      <c r="BT147" s="128" t="str">
        <f>IF(BS147="NA","NA",IF(BS147="Not Reported","Not Reported",IF(BS147&lt;$L$147,"Not Met","Met")))</f>
        <v>Not Met</v>
      </c>
      <c r="BU147" s="315">
        <v>0.54</v>
      </c>
      <c r="BV147" s="128" t="str">
        <f>IF(BU147="NA","NA",IF(BU147="Not Reported","Not Reported",IF(BU147&lt;$L$147,"Not Met","Met")))</f>
        <v>Not Met</v>
      </c>
    </row>
    <row r="148" spans="1:74" x14ac:dyDescent="0.2">
      <c r="A148" s="121">
        <v>147</v>
      </c>
      <c r="B148" s="122" t="s">
        <v>39</v>
      </c>
      <c r="C148" s="122" t="s">
        <v>903</v>
      </c>
      <c r="D148" s="123" t="s">
        <v>133</v>
      </c>
      <c r="E148" s="123" t="s">
        <v>899</v>
      </c>
      <c r="F148" s="123" t="s">
        <v>300</v>
      </c>
      <c r="G148" s="123" t="s">
        <v>191</v>
      </c>
      <c r="H148" s="122" t="s">
        <v>192</v>
      </c>
      <c r="I148" s="124" t="s">
        <v>313</v>
      </c>
      <c r="J148" s="124" t="s">
        <v>313</v>
      </c>
      <c r="K148" s="122" t="s">
        <v>354</v>
      </c>
      <c r="L148" s="146">
        <v>0.9</v>
      </c>
      <c r="M148" s="146">
        <v>0.9</v>
      </c>
      <c r="N148" s="122" t="s">
        <v>504</v>
      </c>
      <c r="O148" s="122" t="s">
        <v>355</v>
      </c>
      <c r="P148" s="122" t="s">
        <v>207</v>
      </c>
      <c r="Q148" s="146">
        <v>0.84</v>
      </c>
      <c r="R148" s="147" t="s">
        <v>251</v>
      </c>
      <c r="S148" s="146">
        <v>0.88</v>
      </c>
      <c r="T148" s="147" t="s">
        <v>251</v>
      </c>
      <c r="U148" s="146">
        <v>0.96</v>
      </c>
      <c r="V148" s="121" t="s">
        <v>198</v>
      </c>
      <c r="W148" s="146">
        <v>0.95</v>
      </c>
      <c r="X148" s="121" t="s">
        <v>198</v>
      </c>
      <c r="Y148" s="126">
        <v>0.75</v>
      </c>
      <c r="Z148" s="121" t="s">
        <v>251</v>
      </c>
      <c r="AA148" s="146">
        <f>46/61</f>
        <v>0.75409836065573765</v>
      </c>
      <c r="AB148" s="147" t="s">
        <v>251</v>
      </c>
      <c r="AC148" s="146">
        <f>185/224</f>
        <v>0.8258928571428571</v>
      </c>
      <c r="AD148" s="121" t="s">
        <v>251</v>
      </c>
      <c r="AE148" s="126">
        <v>0.84</v>
      </c>
      <c r="AF148" s="147" t="s">
        <v>251</v>
      </c>
      <c r="AG148" s="146">
        <v>0.59</v>
      </c>
      <c r="AH148" s="147" t="s">
        <v>251</v>
      </c>
      <c r="AI148" s="178">
        <f>30/43</f>
        <v>0.69767441860465118</v>
      </c>
      <c r="AJ148" s="147" t="s">
        <v>251</v>
      </c>
      <c r="AK148" s="146">
        <f>47/128</f>
        <v>0.3671875</v>
      </c>
      <c r="AL148" s="147" t="s">
        <v>251</v>
      </c>
      <c r="AM148" s="146">
        <v>0.89</v>
      </c>
      <c r="AN148" s="121" t="s">
        <v>251</v>
      </c>
      <c r="AO148" s="178">
        <f>40/42</f>
        <v>0.95238095238095233</v>
      </c>
      <c r="AP148" s="121" t="s">
        <v>198</v>
      </c>
      <c r="AQ148" s="178">
        <v>0.92</v>
      </c>
      <c r="AR148" s="121" t="s">
        <v>198</v>
      </c>
      <c r="AS148" s="178">
        <v>0.93</v>
      </c>
      <c r="AT148" s="121" t="s">
        <v>198</v>
      </c>
      <c r="AU148" s="121" t="s">
        <v>61</v>
      </c>
      <c r="AV148" s="121" t="s">
        <v>61</v>
      </c>
      <c r="AW148" s="121" t="s">
        <v>61</v>
      </c>
      <c r="AX148" s="121" t="s">
        <v>61</v>
      </c>
      <c r="AY148" s="121" t="s">
        <v>61</v>
      </c>
      <c r="AZ148" s="121" t="s">
        <v>61</v>
      </c>
      <c r="BA148" s="121" t="s">
        <v>61</v>
      </c>
      <c r="BB148" s="121" t="s">
        <v>61</v>
      </c>
      <c r="BC148" s="121" t="s">
        <v>61</v>
      </c>
      <c r="BD148" s="121" t="s">
        <v>6</v>
      </c>
      <c r="BE148" s="121" t="s">
        <v>61</v>
      </c>
      <c r="BF148" s="121" t="s">
        <v>61</v>
      </c>
      <c r="BG148" s="121" t="s">
        <v>61</v>
      </c>
      <c r="BH148" s="121" t="s">
        <v>61</v>
      </c>
      <c r="BI148" s="121" t="s">
        <v>61</v>
      </c>
      <c r="BJ148" s="121" t="s">
        <v>61</v>
      </c>
      <c r="BK148" s="121" t="s">
        <v>61</v>
      </c>
      <c r="BL148" s="121" t="str">
        <f t="shared" ref="BL148" si="1">IF(BK148="NA","NA",IF(BK148="Not Reported","Not Reported",IF(BK148&gt;$L$15,"Not Met","Met")))</f>
        <v>Not Reported</v>
      </c>
      <c r="BM148" s="126">
        <v>1.33</v>
      </c>
      <c r="BN148" s="128" t="str">
        <f>IF(BM148="NA","NA",IF(BM148="Not Reported","Not Reported",IF(BM148&lt;$L$148,"Not Met","Met")))</f>
        <v>Met</v>
      </c>
      <c r="BO148" s="128">
        <v>0.96</v>
      </c>
      <c r="BP148" s="128" t="s">
        <v>198</v>
      </c>
      <c r="BQ148" s="128">
        <v>1.07</v>
      </c>
      <c r="BR148" s="128" t="s">
        <v>198</v>
      </c>
      <c r="BS148" s="315">
        <v>0.84</v>
      </c>
      <c r="BT148" s="128" t="str">
        <f>IF(BS148="NA","NA",IF(BS148="Not Reported","Not Reported",IF(BS148&lt;$L$148,"Not Met","Met")))</f>
        <v>Not Met</v>
      </c>
      <c r="BU148" s="315">
        <v>0.86</v>
      </c>
      <c r="BV148" s="128" t="str">
        <f>IF(BU148="NA","NA",IF(BU148="Not Reported","Not Reported",IF(BU148&lt;$L$148,"Not Met","Met")))</f>
        <v>Not Met</v>
      </c>
    </row>
    <row r="149" spans="1:74" customFormat="1" ht="36" x14ac:dyDescent="0.25">
      <c r="A149" s="121">
        <v>148</v>
      </c>
      <c r="B149" s="122" t="s">
        <v>39</v>
      </c>
      <c r="C149" s="122" t="s">
        <v>903</v>
      </c>
      <c r="D149" s="123" t="s">
        <v>133</v>
      </c>
      <c r="E149" s="123" t="s">
        <v>899</v>
      </c>
      <c r="F149" s="123" t="s">
        <v>300</v>
      </c>
      <c r="G149" s="174" t="s">
        <v>273</v>
      </c>
      <c r="H149" s="174" t="s">
        <v>192</v>
      </c>
      <c r="I149" s="124" t="s">
        <v>213</v>
      </c>
      <c r="J149" s="124" t="s">
        <v>214</v>
      </c>
      <c r="K149" s="129" t="s">
        <v>213</v>
      </c>
      <c r="L149" s="147">
        <v>45</v>
      </c>
      <c r="M149" s="147" t="s">
        <v>361</v>
      </c>
      <c r="N149" s="149" t="s">
        <v>341</v>
      </c>
      <c r="O149" s="149" t="s">
        <v>342</v>
      </c>
      <c r="P149" s="122" t="s">
        <v>207</v>
      </c>
      <c r="Q149" s="121">
        <v>44</v>
      </c>
      <c r="R149" s="121" t="s">
        <v>198</v>
      </c>
      <c r="S149" s="121" t="s">
        <v>601</v>
      </c>
      <c r="T149" s="121" t="s">
        <v>198</v>
      </c>
      <c r="U149" s="121">
        <v>34</v>
      </c>
      <c r="V149" s="121" t="s">
        <v>198</v>
      </c>
      <c r="W149" s="147" t="s">
        <v>492</v>
      </c>
      <c r="X149" s="121" t="s">
        <v>198</v>
      </c>
      <c r="Y149" s="121" t="s">
        <v>602</v>
      </c>
      <c r="Z149" s="121" t="s">
        <v>198</v>
      </c>
      <c r="AA149" s="121" t="s">
        <v>603</v>
      </c>
      <c r="AB149" s="121" t="s">
        <v>198</v>
      </c>
      <c r="AC149" s="121" t="s">
        <v>555</v>
      </c>
      <c r="AD149" s="121" t="s">
        <v>198</v>
      </c>
      <c r="AE149" s="121" t="s">
        <v>604</v>
      </c>
      <c r="AF149" s="121" t="s">
        <v>198</v>
      </c>
      <c r="AG149" s="121" t="s">
        <v>605</v>
      </c>
      <c r="AH149" s="121" t="s">
        <v>198</v>
      </c>
      <c r="AI149" s="199" t="s">
        <v>478</v>
      </c>
      <c r="AJ149" s="121" t="s">
        <v>198</v>
      </c>
      <c r="AK149" s="199" t="s">
        <v>501</v>
      </c>
      <c r="AL149" s="121" t="s">
        <v>198</v>
      </c>
      <c r="AM149" s="199" t="s">
        <v>606</v>
      </c>
      <c r="AN149" s="121" t="s">
        <v>251</v>
      </c>
      <c r="AO149" s="199" t="s">
        <v>607</v>
      </c>
      <c r="AP149" s="121" t="s">
        <v>198</v>
      </c>
      <c r="AQ149" s="199" t="s">
        <v>608</v>
      </c>
      <c r="AR149" s="121" t="s">
        <v>198</v>
      </c>
      <c r="AS149" s="199" t="s">
        <v>607</v>
      </c>
      <c r="AT149" s="121" t="s">
        <v>198</v>
      </c>
      <c r="AU149" s="121" t="s">
        <v>61</v>
      </c>
      <c r="AV149" s="121" t="s">
        <v>61</v>
      </c>
      <c r="AW149" s="121" t="s">
        <v>61</v>
      </c>
      <c r="AX149" s="121" t="s">
        <v>61</v>
      </c>
      <c r="AY149" s="121" t="s">
        <v>61</v>
      </c>
      <c r="AZ149" s="121" t="s">
        <v>61</v>
      </c>
      <c r="BA149" s="121" t="s">
        <v>61</v>
      </c>
      <c r="BB149" s="121" t="s">
        <v>61</v>
      </c>
      <c r="BC149" s="121" t="s">
        <v>61</v>
      </c>
      <c r="BD149" s="121" t="s">
        <v>6</v>
      </c>
      <c r="BE149" s="121" t="s">
        <v>61</v>
      </c>
      <c r="BF149" s="121" t="s">
        <v>61</v>
      </c>
      <c r="BG149" s="121" t="s">
        <v>61</v>
      </c>
      <c r="BH149" s="121" t="s">
        <v>61</v>
      </c>
      <c r="BI149" s="121" t="s">
        <v>61</v>
      </c>
      <c r="BJ149" s="121" t="s">
        <v>61</v>
      </c>
      <c r="BK149" s="147" t="s">
        <v>478</v>
      </c>
      <c r="BL149" s="121" t="str">
        <f>IF(BK149="NA","NA",IF(BK149="Not Reported","Not Reported",IF(BK149&gt;$L$149,"Not Met","Met")))</f>
        <v>Not Met</v>
      </c>
      <c r="BM149" s="121">
        <v>42</v>
      </c>
      <c r="BN149" s="121" t="str">
        <f>IF(BM149="NA","NA",IF(BM149="Not Reported","Not Reported",IF(BM149&gt;$L$149,"Not Met","Met")))</f>
        <v>Met</v>
      </c>
      <c r="BO149" s="121">
        <v>43</v>
      </c>
      <c r="BP149" s="121" t="s">
        <v>198</v>
      </c>
      <c r="BQ149" s="121">
        <v>42</v>
      </c>
      <c r="BR149" s="121" t="s">
        <v>198</v>
      </c>
      <c r="BS149" s="26">
        <v>42</v>
      </c>
      <c r="BT149" s="121" t="str">
        <f>IF(BS149="NA","NA",IF(BS149="Not Reported","Not Reported",IF(BS149&gt;$L$149,"Not Met","Met")))</f>
        <v>Met</v>
      </c>
      <c r="BU149" s="31">
        <v>40</v>
      </c>
      <c r="BV149" s="121" t="str">
        <f>IF(BU149="NA","NA",IF(BU149="Not Reported","Not Reported",IF(BU149&gt;$L$149,"Not Met","Met")))</f>
        <v>Met</v>
      </c>
    </row>
    <row r="150" spans="1:74" ht="36" x14ac:dyDescent="0.25">
      <c r="A150" s="121">
        <v>149</v>
      </c>
      <c r="B150" s="122" t="s">
        <v>39</v>
      </c>
      <c r="C150" s="122" t="s">
        <v>903</v>
      </c>
      <c r="D150" s="123" t="s">
        <v>133</v>
      </c>
      <c r="E150" s="123" t="s">
        <v>899</v>
      </c>
      <c r="F150" s="123" t="s">
        <v>300</v>
      </c>
      <c r="G150" s="122" t="s">
        <v>273</v>
      </c>
      <c r="H150" s="122" t="s">
        <v>192</v>
      </c>
      <c r="I150" s="124" t="s">
        <v>274</v>
      </c>
      <c r="J150" s="124" t="s">
        <v>214</v>
      </c>
      <c r="K150" s="145" t="s">
        <v>274</v>
      </c>
      <c r="L150" s="147">
        <v>90</v>
      </c>
      <c r="M150" s="147" t="s">
        <v>370</v>
      </c>
      <c r="N150" s="149" t="s">
        <v>276</v>
      </c>
      <c r="O150" s="149" t="s">
        <v>277</v>
      </c>
      <c r="P150" s="122" t="s">
        <v>207</v>
      </c>
      <c r="Q150" s="121">
        <v>69</v>
      </c>
      <c r="R150" s="121" t="s">
        <v>198</v>
      </c>
      <c r="S150" s="121" t="s">
        <v>333</v>
      </c>
      <c r="T150" s="121" t="s">
        <v>198</v>
      </c>
      <c r="U150" s="121">
        <v>59</v>
      </c>
      <c r="V150" s="121" t="s">
        <v>198</v>
      </c>
      <c r="W150" s="147" t="s">
        <v>510</v>
      </c>
      <c r="X150" s="121" t="s">
        <v>198</v>
      </c>
      <c r="Y150" s="121" t="s">
        <v>609</v>
      </c>
      <c r="Z150" s="121" t="s">
        <v>198</v>
      </c>
      <c r="AA150" s="121" t="s">
        <v>333</v>
      </c>
      <c r="AB150" s="121" t="s">
        <v>198</v>
      </c>
      <c r="AC150" s="121" t="s">
        <v>507</v>
      </c>
      <c r="AD150" s="121" t="s">
        <v>198</v>
      </c>
      <c r="AE150" s="121" t="s">
        <v>610</v>
      </c>
      <c r="AF150" s="121" t="s">
        <v>198</v>
      </c>
      <c r="AG150" s="121" t="s">
        <v>609</v>
      </c>
      <c r="AH150" s="121" t="s">
        <v>198</v>
      </c>
      <c r="AI150" s="199" t="s">
        <v>335</v>
      </c>
      <c r="AJ150" s="121" t="s">
        <v>198</v>
      </c>
      <c r="AK150" s="199" t="s">
        <v>335</v>
      </c>
      <c r="AL150" s="121" t="s">
        <v>198</v>
      </c>
      <c r="AM150" s="199" t="s">
        <v>478</v>
      </c>
      <c r="AN150" s="121" t="s">
        <v>198</v>
      </c>
      <c r="AO150" s="199" t="s">
        <v>483</v>
      </c>
      <c r="AP150" s="121" t="s">
        <v>198</v>
      </c>
      <c r="AQ150" s="199" t="s">
        <v>483</v>
      </c>
      <c r="AR150" s="121" t="s">
        <v>198</v>
      </c>
      <c r="AS150" s="199" t="s">
        <v>551</v>
      </c>
      <c r="AT150" s="121" t="s">
        <v>198</v>
      </c>
      <c r="AU150" s="121" t="s">
        <v>61</v>
      </c>
      <c r="AV150" s="121" t="s">
        <v>61</v>
      </c>
      <c r="AW150" s="121" t="s">
        <v>61</v>
      </c>
      <c r="AX150" s="121" t="s">
        <v>61</v>
      </c>
      <c r="AY150" s="121" t="s">
        <v>61</v>
      </c>
      <c r="AZ150" s="121" t="s">
        <v>61</v>
      </c>
      <c r="BA150" s="121" t="s">
        <v>61</v>
      </c>
      <c r="BB150" s="121" t="s">
        <v>61</v>
      </c>
      <c r="BC150" s="121" t="s">
        <v>61</v>
      </c>
      <c r="BD150" s="121" t="s">
        <v>6</v>
      </c>
      <c r="BE150" s="121" t="s">
        <v>61</v>
      </c>
      <c r="BF150" s="121" t="s">
        <v>61</v>
      </c>
      <c r="BG150" s="121" t="s">
        <v>61</v>
      </c>
      <c r="BH150" s="121" t="s">
        <v>61</v>
      </c>
      <c r="BI150" s="121" t="s">
        <v>61</v>
      </c>
      <c r="BJ150" s="121" t="s">
        <v>61</v>
      </c>
      <c r="BK150" s="147">
        <v>70</v>
      </c>
      <c r="BL150" s="121" t="str">
        <f>IF(BK150="NA","NA",IF(BK150="Not Reported","Not Reported",IF(BK150&gt;$L$150,"Not Met","Met")))</f>
        <v>Met</v>
      </c>
      <c r="BM150" s="121">
        <v>60</v>
      </c>
      <c r="BN150" s="121" t="str">
        <f>IF(BM150="NA","NA",IF(BM150="Not Reported","Not Reported",IF(BM150&gt;$L$150,"Not Met","Met")))</f>
        <v>Met</v>
      </c>
      <c r="BO150" s="121">
        <v>60</v>
      </c>
      <c r="BP150" s="121" t="s">
        <v>198</v>
      </c>
      <c r="BQ150" s="121">
        <v>78</v>
      </c>
      <c r="BR150" s="121" t="s">
        <v>198</v>
      </c>
      <c r="BS150" s="26">
        <v>75</v>
      </c>
      <c r="BT150" s="121" t="str">
        <f>IF(BS150="NA","NA",IF(BS150="Not Reported","Not Reported",IF(BS150&gt;$L$150,"Not Met","Met")))</f>
        <v>Met</v>
      </c>
      <c r="BU150" s="31">
        <v>69</v>
      </c>
      <c r="BV150" s="121" t="str">
        <f>IF(BU150="NA","NA",IF(BU150="Not Reported","Not Reported",IF(BU150&gt;$L$150,"Not Met","Met")))</f>
        <v>Met</v>
      </c>
    </row>
    <row r="151" spans="1:74" ht="24" x14ac:dyDescent="0.25">
      <c r="A151" s="121">
        <v>150</v>
      </c>
      <c r="B151" s="122" t="s">
        <v>39</v>
      </c>
      <c r="C151" s="122" t="s">
        <v>903</v>
      </c>
      <c r="D151" s="123" t="s">
        <v>133</v>
      </c>
      <c r="E151" s="123" t="s">
        <v>899</v>
      </c>
      <c r="F151" s="123" t="s">
        <v>300</v>
      </c>
      <c r="G151" s="122" t="s">
        <v>273</v>
      </c>
      <c r="H151" s="122" t="s">
        <v>192</v>
      </c>
      <c r="I151" s="124" t="s">
        <v>289</v>
      </c>
      <c r="J151" s="124" t="s">
        <v>285</v>
      </c>
      <c r="K151" s="145" t="s">
        <v>289</v>
      </c>
      <c r="L151" s="146">
        <v>0.35</v>
      </c>
      <c r="M151" s="146">
        <v>0.35</v>
      </c>
      <c r="N151" s="149" t="s">
        <v>290</v>
      </c>
      <c r="O151" s="149" t="s">
        <v>291</v>
      </c>
      <c r="P151" s="122" t="s">
        <v>207</v>
      </c>
      <c r="Q151" s="126">
        <v>0.3</v>
      </c>
      <c r="R151" s="147" t="s">
        <v>251</v>
      </c>
      <c r="S151" s="146">
        <v>0.35</v>
      </c>
      <c r="T151" s="121" t="s">
        <v>198</v>
      </c>
      <c r="U151" s="126">
        <v>0.41</v>
      </c>
      <c r="V151" s="121" t="s">
        <v>198</v>
      </c>
      <c r="W151" s="126">
        <v>0.4</v>
      </c>
      <c r="X151" s="121" t="s">
        <v>198</v>
      </c>
      <c r="Y151" s="126">
        <v>0.21</v>
      </c>
      <c r="Z151" s="121" t="s">
        <v>251</v>
      </c>
      <c r="AA151" s="126">
        <v>0.25</v>
      </c>
      <c r="AB151" s="147" t="s">
        <v>251</v>
      </c>
      <c r="AC151" s="126">
        <v>0.28000000000000003</v>
      </c>
      <c r="AD151" s="121" t="s">
        <v>251</v>
      </c>
      <c r="AE151" s="126">
        <v>0.26</v>
      </c>
      <c r="AF151" s="147" t="s">
        <v>251</v>
      </c>
      <c r="AG151" s="146">
        <v>0.21</v>
      </c>
      <c r="AH151" s="147" t="s">
        <v>251</v>
      </c>
      <c r="AI151" s="200">
        <f>37/217</f>
        <v>0.17050691244239632</v>
      </c>
      <c r="AJ151" s="147" t="s">
        <v>251</v>
      </c>
      <c r="AK151" s="200">
        <v>0.22</v>
      </c>
      <c r="AL151" s="147" t="s">
        <v>251</v>
      </c>
      <c r="AM151" s="200">
        <v>0.35</v>
      </c>
      <c r="AN151" s="121" t="s">
        <v>198</v>
      </c>
      <c r="AO151" s="200">
        <f>36/167</f>
        <v>0.21556886227544911</v>
      </c>
      <c r="AP151" s="121" t="s">
        <v>251</v>
      </c>
      <c r="AQ151" s="200">
        <v>0.35</v>
      </c>
      <c r="AR151" s="121" t="s">
        <v>251</v>
      </c>
      <c r="AS151" s="200">
        <v>0.3</v>
      </c>
      <c r="AT151" s="121" t="s">
        <v>251</v>
      </c>
      <c r="AU151" s="121" t="s">
        <v>61</v>
      </c>
      <c r="AV151" s="121" t="s">
        <v>61</v>
      </c>
      <c r="AW151" s="121" t="s">
        <v>61</v>
      </c>
      <c r="AX151" s="121" t="s">
        <v>61</v>
      </c>
      <c r="AY151" s="121" t="s">
        <v>61</v>
      </c>
      <c r="AZ151" s="121" t="s">
        <v>61</v>
      </c>
      <c r="BA151" s="121" t="s">
        <v>61</v>
      </c>
      <c r="BB151" s="121" t="s">
        <v>61</v>
      </c>
      <c r="BC151" s="121" t="s">
        <v>61</v>
      </c>
      <c r="BD151" s="121" t="s">
        <v>6</v>
      </c>
      <c r="BE151" s="121" t="s">
        <v>61</v>
      </c>
      <c r="BF151" s="121" t="s">
        <v>61</v>
      </c>
      <c r="BG151" s="121" t="s">
        <v>61</v>
      </c>
      <c r="BH151" s="121" t="s">
        <v>61</v>
      </c>
      <c r="BI151" s="121" t="s">
        <v>61</v>
      </c>
      <c r="BJ151" s="121" t="s">
        <v>61</v>
      </c>
      <c r="BK151" s="146">
        <v>0.23</v>
      </c>
      <c r="BL151" s="128" t="str">
        <f>IF(BK151="NA","NA",IF(BK151="Not Reported","Not Reported",IF(BK151&lt;$L$151,"Not Met","Met")))</f>
        <v>Not Met</v>
      </c>
      <c r="BM151" s="128">
        <v>0.22</v>
      </c>
      <c r="BN151" s="128" t="str">
        <f>IF(BM151="NA","NA",IF(BM151="Not Reported","Not Reported",IF(BM151&lt;$L$151,"Not Met","Met")))</f>
        <v>Not Met</v>
      </c>
      <c r="BO151" s="128">
        <v>0.22</v>
      </c>
      <c r="BP151" s="128" t="s">
        <v>251</v>
      </c>
      <c r="BQ151" s="128">
        <v>0.22</v>
      </c>
      <c r="BR151" s="128" t="s">
        <v>251</v>
      </c>
      <c r="BS151" s="315">
        <v>0.2</v>
      </c>
      <c r="BT151" s="128" t="str">
        <f>IF(BS151="NA","NA",IF(BS151="Not Reported","Not Reported",IF(BS151&lt;$L$151,"Not Met","Met")))</f>
        <v>Not Met</v>
      </c>
      <c r="BU151" s="310">
        <v>0.28999999999999998</v>
      </c>
      <c r="BV151" s="128" t="str">
        <f>IF(BU151="NA","NA",IF(BU151="Not Reported","Not Reported",IF(BU151&lt;$L$151,"Not Met","Met")))</f>
        <v>Not Met</v>
      </c>
    </row>
    <row r="152" spans="1:74" ht="24" x14ac:dyDescent="0.25">
      <c r="A152" s="121">
        <v>151</v>
      </c>
      <c r="B152" s="122" t="s">
        <v>39</v>
      </c>
      <c r="C152" s="122" t="s">
        <v>903</v>
      </c>
      <c r="D152" s="123" t="s">
        <v>133</v>
      </c>
      <c r="E152" s="123" t="s">
        <v>899</v>
      </c>
      <c r="F152" s="123" t="s">
        <v>300</v>
      </c>
      <c r="G152" s="122" t="s">
        <v>273</v>
      </c>
      <c r="H152" s="122" t="s">
        <v>192</v>
      </c>
      <c r="I152" s="124" t="s">
        <v>292</v>
      </c>
      <c r="J152" s="124" t="s">
        <v>293</v>
      </c>
      <c r="K152" s="122" t="s">
        <v>292</v>
      </c>
      <c r="L152" s="146">
        <v>0.1</v>
      </c>
      <c r="M152" s="146">
        <v>0.1</v>
      </c>
      <c r="N152" s="201" t="s">
        <v>294</v>
      </c>
      <c r="O152" s="145" t="s">
        <v>611</v>
      </c>
      <c r="P152" s="122" t="s">
        <v>207</v>
      </c>
      <c r="Q152" s="126">
        <v>0.01</v>
      </c>
      <c r="R152" s="121" t="s">
        <v>198</v>
      </c>
      <c r="S152" s="126">
        <v>0</v>
      </c>
      <c r="T152" s="121" t="s">
        <v>198</v>
      </c>
      <c r="U152" s="126">
        <v>0</v>
      </c>
      <c r="V152" s="121" t="s">
        <v>198</v>
      </c>
      <c r="W152" s="126">
        <v>0.01</v>
      </c>
      <c r="X152" s="121" t="s">
        <v>198</v>
      </c>
      <c r="Y152" s="126">
        <v>0</v>
      </c>
      <c r="Z152" s="121" t="s">
        <v>198</v>
      </c>
      <c r="AA152" s="126">
        <v>0</v>
      </c>
      <c r="AB152" s="121" t="s">
        <v>198</v>
      </c>
      <c r="AC152" s="126">
        <v>0</v>
      </c>
      <c r="AD152" s="121" t="s">
        <v>198</v>
      </c>
      <c r="AE152" s="126">
        <v>0</v>
      </c>
      <c r="AF152" s="121" t="s">
        <v>198</v>
      </c>
      <c r="AG152" s="121" t="s">
        <v>61</v>
      </c>
      <c r="AH152" s="121" t="s">
        <v>61</v>
      </c>
      <c r="AI152" s="200">
        <f>2/36</f>
        <v>5.5555555555555552E-2</v>
      </c>
      <c r="AJ152" s="121" t="s">
        <v>198</v>
      </c>
      <c r="AK152" s="200">
        <f>2/104</f>
        <v>1.9230769230769232E-2</v>
      </c>
      <c r="AL152" s="121" t="s">
        <v>198</v>
      </c>
      <c r="AM152" s="200">
        <v>0.09</v>
      </c>
      <c r="AN152" s="121" t="s">
        <v>198</v>
      </c>
      <c r="AO152" s="202">
        <f>3/33</f>
        <v>9.0909090909090912E-2</v>
      </c>
      <c r="AP152" s="121" t="s">
        <v>198</v>
      </c>
      <c r="AQ152" s="202">
        <v>0.06</v>
      </c>
      <c r="AR152" s="121" t="s">
        <v>198</v>
      </c>
      <c r="AS152" s="202">
        <v>0.08</v>
      </c>
      <c r="AT152" s="121" t="s">
        <v>198</v>
      </c>
      <c r="AU152" s="121" t="s">
        <v>61</v>
      </c>
      <c r="AV152" s="121" t="s">
        <v>61</v>
      </c>
      <c r="AW152" s="121" t="s">
        <v>61</v>
      </c>
      <c r="AX152" s="121" t="s">
        <v>61</v>
      </c>
      <c r="AY152" s="121" t="s">
        <v>61</v>
      </c>
      <c r="AZ152" s="121" t="s">
        <v>61</v>
      </c>
      <c r="BA152" s="121" t="s">
        <v>61</v>
      </c>
      <c r="BB152" s="121" t="s">
        <v>61</v>
      </c>
      <c r="BC152" s="121" t="s">
        <v>61</v>
      </c>
      <c r="BD152" s="121" t="s">
        <v>6</v>
      </c>
      <c r="BE152" s="121" t="s">
        <v>61</v>
      </c>
      <c r="BF152" s="121" t="s">
        <v>61</v>
      </c>
      <c r="BG152" s="121" t="s">
        <v>61</v>
      </c>
      <c r="BH152" s="121" t="s">
        <v>61</v>
      </c>
      <c r="BI152" s="121" t="s">
        <v>61</v>
      </c>
      <c r="BJ152" s="121" t="s">
        <v>61</v>
      </c>
      <c r="BK152" s="146">
        <v>0.05</v>
      </c>
      <c r="BL152" s="128" t="str">
        <f>IF(BK152="NA","NA",IF(BK152="Not Reported","Not Reported",IF(BK152&gt;$L$152,"Not Met","Met")))</f>
        <v>Met</v>
      </c>
      <c r="BM152" s="128">
        <v>0.18</v>
      </c>
      <c r="BN152" s="128" t="str">
        <f>IF(BM152="NA","NA",IF(BM152="Not Reported","Not Reported",IF(BM152&gt;$L$152,"Not Met","Met")))</f>
        <v>Not Met</v>
      </c>
      <c r="BO152" s="128">
        <v>0.14000000000000001</v>
      </c>
      <c r="BP152" s="128" t="s">
        <v>251</v>
      </c>
      <c r="BQ152" s="128">
        <v>0.12</v>
      </c>
      <c r="BR152" s="128" t="s">
        <v>251</v>
      </c>
      <c r="BS152" s="315">
        <v>0.19</v>
      </c>
      <c r="BT152" s="128" t="str">
        <f>IF(BS152="NA","NA",IF(BS152="Not Reported","Not Reported",IF(BS152&gt;$L$152,"Not Met","Met")))</f>
        <v>Not Met</v>
      </c>
      <c r="BU152" s="315">
        <v>0.02</v>
      </c>
      <c r="BV152" s="128" t="str">
        <f>IF(BU152="NA","NA",IF(BU152="Not Reported","Not Reported",IF(BU152&gt;$L$152,"Not Met","Met")))</f>
        <v>Met</v>
      </c>
    </row>
    <row r="153" spans="1:74" x14ac:dyDescent="0.25">
      <c r="A153" s="121">
        <v>152</v>
      </c>
      <c r="B153" s="122" t="s">
        <v>39</v>
      </c>
      <c r="C153" s="122" t="s">
        <v>903</v>
      </c>
      <c r="D153" s="123" t="s">
        <v>133</v>
      </c>
      <c r="E153" s="123" t="s">
        <v>899</v>
      </c>
      <c r="F153" s="123" t="s">
        <v>300</v>
      </c>
      <c r="G153" s="122" t="s">
        <v>273</v>
      </c>
      <c r="H153" s="122" t="s">
        <v>192</v>
      </c>
      <c r="I153" s="124" t="s">
        <v>284</v>
      </c>
      <c r="J153" s="124" t="s">
        <v>285</v>
      </c>
      <c r="K153" s="145" t="s">
        <v>284</v>
      </c>
      <c r="L153" s="128">
        <v>0.6</v>
      </c>
      <c r="M153" s="128" t="s">
        <v>877</v>
      </c>
      <c r="N153" s="145" t="s">
        <v>287</v>
      </c>
      <c r="O153" s="145" t="s">
        <v>288</v>
      </c>
      <c r="P153" s="123" t="s">
        <v>207</v>
      </c>
      <c r="Q153" s="146">
        <v>0.7</v>
      </c>
      <c r="R153" s="121" t="s">
        <v>198</v>
      </c>
      <c r="S153" s="126">
        <v>0.75</v>
      </c>
      <c r="T153" s="121" t="s">
        <v>198</v>
      </c>
      <c r="U153" s="126">
        <v>0.72</v>
      </c>
      <c r="V153" s="121" t="s">
        <v>198</v>
      </c>
      <c r="W153" s="126">
        <v>0.74</v>
      </c>
      <c r="X153" s="121" t="s">
        <v>198</v>
      </c>
      <c r="Y153" s="126">
        <v>0.68</v>
      </c>
      <c r="Z153" s="121" t="s">
        <v>198</v>
      </c>
      <c r="AA153" s="126">
        <v>0.7</v>
      </c>
      <c r="AB153" s="121" t="s">
        <v>198</v>
      </c>
      <c r="AC153" s="126">
        <v>0.71</v>
      </c>
      <c r="AD153" s="121" t="s">
        <v>198</v>
      </c>
      <c r="AE153" s="126">
        <v>0.61</v>
      </c>
      <c r="AF153" s="121" t="s">
        <v>198</v>
      </c>
      <c r="AG153" s="126">
        <v>0.64</v>
      </c>
      <c r="AH153" s="121" t="s">
        <v>198</v>
      </c>
      <c r="AI153" s="203">
        <v>0.66</v>
      </c>
      <c r="AJ153" s="121" t="s">
        <v>198</v>
      </c>
      <c r="AK153" s="203">
        <v>0.63</v>
      </c>
      <c r="AL153" s="121" t="s">
        <v>198</v>
      </c>
      <c r="AM153" s="203">
        <v>0.72</v>
      </c>
      <c r="AN153" s="121" t="s">
        <v>198</v>
      </c>
      <c r="AO153" s="202">
        <f>112/167</f>
        <v>0.6706586826347305</v>
      </c>
      <c r="AP153" s="121" t="s">
        <v>198</v>
      </c>
      <c r="AQ153" s="202">
        <v>0.72</v>
      </c>
      <c r="AR153" s="121" t="s">
        <v>198</v>
      </c>
      <c r="AS153" s="202">
        <v>0.7</v>
      </c>
      <c r="AT153" s="121" t="s">
        <v>198</v>
      </c>
      <c r="AU153" s="121" t="s">
        <v>61</v>
      </c>
      <c r="AV153" s="121" t="s">
        <v>61</v>
      </c>
      <c r="AW153" s="121" t="s">
        <v>61</v>
      </c>
      <c r="AX153" s="121" t="s">
        <v>61</v>
      </c>
      <c r="AY153" s="121" t="s">
        <v>61</v>
      </c>
      <c r="AZ153" s="121" t="s">
        <v>61</v>
      </c>
      <c r="BA153" s="121" t="s">
        <v>61</v>
      </c>
      <c r="BB153" s="121" t="s">
        <v>61</v>
      </c>
      <c r="BC153" s="121" t="s">
        <v>61</v>
      </c>
      <c r="BD153" s="121" t="s">
        <v>6</v>
      </c>
      <c r="BE153" s="121" t="s">
        <v>61</v>
      </c>
      <c r="BF153" s="121" t="s">
        <v>61</v>
      </c>
      <c r="BG153" s="121" t="s">
        <v>61</v>
      </c>
      <c r="BH153" s="121" t="s">
        <v>61</v>
      </c>
      <c r="BI153" s="121" t="s">
        <v>61</v>
      </c>
      <c r="BJ153" s="121" t="s">
        <v>61</v>
      </c>
      <c r="BK153" s="128">
        <v>0.88</v>
      </c>
      <c r="BL153" s="128" t="str">
        <f>IF(BK153="NA","NA",IF(BK153="Not Reported","Not Reported",IF(BK153&lt;$L$153,"Not Met","Met")))</f>
        <v>Met</v>
      </c>
      <c r="BM153" s="128">
        <v>0.92</v>
      </c>
      <c r="BN153" s="128" t="str">
        <f>IF(BM153="NA","NA",IF(BM153="Not Reported","Not Reported",IF(BM153&lt;$L$153,"Not Met","Met")))</f>
        <v>Met</v>
      </c>
      <c r="BO153" s="128">
        <v>0.92</v>
      </c>
      <c r="BP153" s="128" t="s">
        <v>198</v>
      </c>
      <c r="BQ153" s="128">
        <v>0.91</v>
      </c>
      <c r="BR153" s="128" t="s">
        <v>198</v>
      </c>
      <c r="BS153" s="315">
        <v>0.88</v>
      </c>
      <c r="BT153" s="128" t="str">
        <f>IF(BS153="NA","NA",IF(BS153="Not Reported","Not Reported",IF(BS153&lt;$L$153,"Not Met","Met")))</f>
        <v>Met</v>
      </c>
      <c r="BU153" s="13">
        <v>0.7</v>
      </c>
      <c r="BV153" s="128" t="str">
        <f>IF(BU153="NA","NA",IF(BU153="Not Reported","Not Reported",IF(BU153&lt;$L$153,"Not Met","Met")))</f>
        <v>Met</v>
      </c>
    </row>
    <row r="154" spans="1:74" x14ac:dyDescent="0.2">
      <c r="A154" s="121">
        <v>153</v>
      </c>
      <c r="B154" s="122" t="s">
        <v>39</v>
      </c>
      <c r="C154" s="122" t="s">
        <v>903</v>
      </c>
      <c r="D154" s="123" t="s">
        <v>133</v>
      </c>
      <c r="E154" s="123" t="s">
        <v>899</v>
      </c>
      <c r="F154" s="123" t="s">
        <v>300</v>
      </c>
      <c r="G154" s="122" t="s">
        <v>273</v>
      </c>
      <c r="H154" s="122" t="s">
        <v>192</v>
      </c>
      <c r="I154" s="124" t="s">
        <v>246</v>
      </c>
      <c r="J154" s="124" t="s">
        <v>214</v>
      </c>
      <c r="K154" s="122" t="s">
        <v>326</v>
      </c>
      <c r="L154" s="128">
        <v>0.1</v>
      </c>
      <c r="M154" s="128">
        <v>0.1</v>
      </c>
      <c r="N154" s="145" t="s">
        <v>290</v>
      </c>
      <c r="O154" s="145" t="s">
        <v>291</v>
      </c>
      <c r="P154" s="123" t="s">
        <v>207</v>
      </c>
      <c r="Q154" s="146">
        <v>0.04</v>
      </c>
      <c r="R154" s="121" t="s">
        <v>198</v>
      </c>
      <c r="S154" s="126">
        <v>0.02</v>
      </c>
      <c r="T154" s="121" t="s">
        <v>198</v>
      </c>
      <c r="U154" s="126">
        <v>0.02</v>
      </c>
      <c r="V154" s="121" t="s">
        <v>198</v>
      </c>
      <c r="W154" s="146">
        <v>0.1</v>
      </c>
      <c r="X154" s="121" t="s">
        <v>198</v>
      </c>
      <c r="Y154" s="146">
        <v>0.02</v>
      </c>
      <c r="Z154" s="121" t="s">
        <v>198</v>
      </c>
      <c r="AA154" s="126">
        <v>0.1</v>
      </c>
      <c r="AB154" s="121" t="s">
        <v>198</v>
      </c>
      <c r="AC154" s="126">
        <v>0.1</v>
      </c>
      <c r="AD154" s="121" t="s">
        <v>198</v>
      </c>
      <c r="AE154" s="126">
        <v>0.1</v>
      </c>
      <c r="AF154" s="121" t="s">
        <v>198</v>
      </c>
      <c r="AG154" s="126">
        <v>0.09</v>
      </c>
      <c r="AH154" s="121" t="s">
        <v>198</v>
      </c>
      <c r="AI154" s="203">
        <v>1</v>
      </c>
      <c r="AJ154" s="147" t="s">
        <v>251</v>
      </c>
      <c r="AK154" s="126">
        <v>1</v>
      </c>
      <c r="AL154" s="147" t="s">
        <v>251</v>
      </c>
      <c r="AM154" s="126">
        <v>0.2</v>
      </c>
      <c r="AN154" s="121" t="s">
        <v>251</v>
      </c>
      <c r="AO154" s="204">
        <f>29/156</f>
        <v>0.1858974358974359</v>
      </c>
      <c r="AP154" s="121" t="s">
        <v>251</v>
      </c>
      <c r="AQ154" s="204">
        <v>0.13</v>
      </c>
      <c r="AR154" s="121" t="s">
        <v>251</v>
      </c>
      <c r="AS154" s="204">
        <v>0.17</v>
      </c>
      <c r="AT154" s="121" t="s">
        <v>251</v>
      </c>
      <c r="AU154" s="121" t="s">
        <v>61</v>
      </c>
      <c r="AV154" s="121" t="s">
        <v>61</v>
      </c>
      <c r="AW154" s="121" t="s">
        <v>61</v>
      </c>
      <c r="AX154" s="121" t="s">
        <v>61</v>
      </c>
      <c r="AY154" s="121" t="s">
        <v>61</v>
      </c>
      <c r="AZ154" s="121" t="s">
        <v>61</v>
      </c>
      <c r="BA154" s="121" t="s">
        <v>61</v>
      </c>
      <c r="BB154" s="121" t="s">
        <v>61</v>
      </c>
      <c r="BC154" s="121" t="s">
        <v>61</v>
      </c>
      <c r="BD154" s="121" t="s">
        <v>6</v>
      </c>
      <c r="BE154" s="121" t="s">
        <v>61</v>
      </c>
      <c r="BF154" s="121" t="s">
        <v>61</v>
      </c>
      <c r="BG154" s="121" t="s">
        <v>61</v>
      </c>
      <c r="BH154" s="121" t="s">
        <v>61</v>
      </c>
      <c r="BI154" s="121" t="s">
        <v>61</v>
      </c>
      <c r="BJ154" s="121" t="s">
        <v>61</v>
      </c>
      <c r="BK154" s="128">
        <v>0.25</v>
      </c>
      <c r="BL154" s="174" t="str">
        <f>IF(BK154="NA","NA",IF(BK154="Not Reported","Not Reported",IF(BK154&gt;$L$154,"Not Met","Met")))</f>
        <v>Not Met</v>
      </c>
      <c r="BM154" s="146">
        <v>0.31</v>
      </c>
      <c r="BN154" s="147" t="str">
        <f>IF(BM154="NA","NA",IF(BM154="Not Reported","Not Reported",IF(BM154&gt;$L$154,"Not Met","Met")))</f>
        <v>Not Met</v>
      </c>
      <c r="BO154" s="146">
        <v>0.22</v>
      </c>
      <c r="BP154" s="147" t="s">
        <v>251</v>
      </c>
      <c r="BQ154" s="146">
        <v>0.26</v>
      </c>
      <c r="BR154" s="147" t="s">
        <v>251</v>
      </c>
      <c r="BS154" s="315">
        <v>0.25</v>
      </c>
      <c r="BT154" s="147" t="str">
        <f>IF(BS154="NA","NA",IF(BS154="Not Reported","Not Reported",IF(BS154&gt;$L$154,"Not Met","Met")))</f>
        <v>Not Met</v>
      </c>
      <c r="BU154" s="13">
        <v>0.12</v>
      </c>
      <c r="BV154" s="147" t="str">
        <f>IF(BU154="NA","NA",IF(BU154="Not Reported","Not Reported",IF(BU154&gt;$L$154,"Not Met","Met")))</f>
        <v>Not Met</v>
      </c>
    </row>
    <row r="155" spans="1:74" x14ac:dyDescent="0.2">
      <c r="A155" s="121">
        <v>154</v>
      </c>
      <c r="B155" s="122" t="s">
        <v>21</v>
      </c>
      <c r="C155" s="122" t="s">
        <v>903</v>
      </c>
      <c r="D155" s="123" t="s">
        <v>113</v>
      </c>
      <c r="E155" s="123" t="s">
        <v>899</v>
      </c>
      <c r="F155" s="123" t="s">
        <v>190</v>
      </c>
      <c r="G155" s="123" t="s">
        <v>191</v>
      </c>
      <c r="H155" s="122" t="s">
        <v>192</v>
      </c>
      <c r="I155" s="123" t="s">
        <v>274</v>
      </c>
      <c r="J155" s="123" t="s">
        <v>214</v>
      </c>
      <c r="K155" s="122" t="s">
        <v>612</v>
      </c>
      <c r="L155" s="146" t="s">
        <v>890</v>
      </c>
      <c r="M155" s="146" t="s">
        <v>613</v>
      </c>
      <c r="N155" s="122" t="s">
        <v>614</v>
      </c>
      <c r="O155" s="122" t="s">
        <v>614</v>
      </c>
      <c r="P155" s="122" t="s">
        <v>207</v>
      </c>
      <c r="Q155" s="131" t="s">
        <v>552</v>
      </c>
      <c r="R155" s="131" t="s">
        <v>198</v>
      </c>
      <c r="S155" s="131" t="s">
        <v>615</v>
      </c>
      <c r="T155" s="121" t="s">
        <v>198</v>
      </c>
      <c r="U155" s="131" t="s">
        <v>470</v>
      </c>
      <c r="V155" s="131" t="s">
        <v>198</v>
      </c>
      <c r="W155" s="131" t="s">
        <v>222</v>
      </c>
      <c r="X155" s="121" t="s">
        <v>198</v>
      </c>
      <c r="Y155" s="127">
        <v>29</v>
      </c>
      <c r="Z155" s="121" t="s">
        <v>198</v>
      </c>
      <c r="AA155" s="121" t="s">
        <v>616</v>
      </c>
      <c r="AB155" s="121" t="s">
        <v>198</v>
      </c>
      <c r="AC155" s="121" t="s">
        <v>222</v>
      </c>
      <c r="AD155" s="121" t="s">
        <v>198</v>
      </c>
      <c r="AE155" s="121" t="s">
        <v>447</v>
      </c>
      <c r="AF155" s="121" t="s">
        <v>198</v>
      </c>
      <c r="AG155" s="121" t="s">
        <v>499</v>
      </c>
      <c r="AH155" s="121" t="s">
        <v>198</v>
      </c>
      <c r="AI155" s="121" t="s">
        <v>499</v>
      </c>
      <c r="AJ155" s="121" t="s">
        <v>198</v>
      </c>
      <c r="AK155" s="121" t="s">
        <v>347</v>
      </c>
      <c r="AL155" s="121" t="s">
        <v>198</v>
      </c>
      <c r="AM155" s="121" t="s">
        <v>222</v>
      </c>
      <c r="AN155" s="121" t="s">
        <v>198</v>
      </c>
      <c r="AO155" s="127">
        <v>23</v>
      </c>
      <c r="AP155" s="121" t="s">
        <v>198</v>
      </c>
      <c r="AQ155" s="127" t="s">
        <v>11</v>
      </c>
      <c r="AR155" s="121" t="s">
        <v>11</v>
      </c>
      <c r="AS155" s="127" t="s">
        <v>617</v>
      </c>
      <c r="AT155" s="121" t="s">
        <v>198</v>
      </c>
      <c r="AU155" s="121">
        <v>5</v>
      </c>
      <c r="AV155" s="121" t="s">
        <v>198</v>
      </c>
      <c r="AW155" s="127" t="s">
        <v>441</v>
      </c>
      <c r="AX155" s="121" t="s">
        <v>198</v>
      </c>
      <c r="AY155" s="121">
        <v>16</v>
      </c>
      <c r="AZ155" s="121" t="s">
        <v>198</v>
      </c>
      <c r="BA155" s="162">
        <v>17</v>
      </c>
      <c r="BB155" s="121" t="s">
        <v>198</v>
      </c>
      <c r="BC155" s="127">
        <v>24</v>
      </c>
      <c r="BD155" s="121" t="s">
        <v>198</v>
      </c>
      <c r="BE155" s="127">
        <v>58</v>
      </c>
      <c r="BF155" s="121" t="s">
        <v>198</v>
      </c>
      <c r="BG155" s="205">
        <v>47</v>
      </c>
      <c r="BH155" s="121" t="s">
        <v>198</v>
      </c>
      <c r="BI155" s="205">
        <v>41</v>
      </c>
      <c r="BJ155" s="121" t="s">
        <v>198</v>
      </c>
      <c r="BK155" s="121" t="s">
        <v>61</v>
      </c>
      <c r="BL155" s="128" t="str">
        <f>IF(BK155="NA","NA",IF(BK155="Not Reported","Not Reported",IF(BK155&gt;$L$155,"Not Met","Met")))</f>
        <v>Not Reported</v>
      </c>
      <c r="BM155" s="258" t="s">
        <v>11</v>
      </c>
      <c r="BN155" s="128" t="str">
        <f>IF(BM155="NA","NA",IF(BM155="Not Reported","Not Reported",IF(BM155&gt;$L$155,"Not Met","Met")))</f>
        <v>NA</v>
      </c>
      <c r="BO155" s="128" t="s">
        <v>61</v>
      </c>
      <c r="BP155" s="128" t="s">
        <v>61</v>
      </c>
      <c r="BQ155" s="128" t="s">
        <v>61</v>
      </c>
      <c r="BR155" s="128" t="s">
        <v>61</v>
      </c>
      <c r="BS155" s="26" t="s">
        <v>61</v>
      </c>
      <c r="BT155" s="128" t="str">
        <f>IF(BS155="NA","NA",IF(BS155="Not Reported","Not Reported",IF(BS155&gt;$L$155,"Not Met","Met")))</f>
        <v>Not Reported</v>
      </c>
      <c r="BU155" s="411">
        <v>33</v>
      </c>
      <c r="BV155" s="128" t="str">
        <f>IF(BU155="NA","NA",IF(BU155="Not Reported","Not Reported",IF(BU155&gt;$L$155,"Not Met","Met")))</f>
        <v>Met</v>
      </c>
    </row>
    <row r="156" spans="1:74" x14ac:dyDescent="0.25">
      <c r="A156" s="121">
        <v>155</v>
      </c>
      <c r="B156" s="122" t="s">
        <v>21</v>
      </c>
      <c r="C156" s="122" t="s">
        <v>903</v>
      </c>
      <c r="D156" s="123" t="s">
        <v>113</v>
      </c>
      <c r="E156" s="123" t="s">
        <v>899</v>
      </c>
      <c r="F156" s="123" t="s">
        <v>190</v>
      </c>
      <c r="G156" s="123" t="s">
        <v>191</v>
      </c>
      <c r="H156" s="122" t="s">
        <v>192</v>
      </c>
      <c r="I156" s="123" t="s">
        <v>296</v>
      </c>
      <c r="J156" s="123" t="s">
        <v>296</v>
      </c>
      <c r="K156" s="122" t="s">
        <v>618</v>
      </c>
      <c r="L156" s="146">
        <v>0.85</v>
      </c>
      <c r="M156" s="146">
        <v>0.85</v>
      </c>
      <c r="N156" s="122" t="s">
        <v>351</v>
      </c>
      <c r="O156" s="122" t="s">
        <v>352</v>
      </c>
      <c r="P156" s="122" t="s">
        <v>207</v>
      </c>
      <c r="Q156" s="141">
        <v>0.86</v>
      </c>
      <c r="R156" s="131" t="s">
        <v>198</v>
      </c>
      <c r="S156" s="141">
        <v>0.13</v>
      </c>
      <c r="T156" s="121" t="s">
        <v>251</v>
      </c>
      <c r="U156" s="142">
        <v>0.36</v>
      </c>
      <c r="V156" s="131" t="s">
        <v>251</v>
      </c>
      <c r="W156" s="142">
        <v>0.32</v>
      </c>
      <c r="X156" s="147" t="s">
        <v>251</v>
      </c>
      <c r="Y156" s="142">
        <v>0.5</v>
      </c>
      <c r="Z156" s="121" t="s">
        <v>251</v>
      </c>
      <c r="AA156" s="142">
        <v>1</v>
      </c>
      <c r="AB156" s="121" t="s">
        <v>198</v>
      </c>
      <c r="AC156" s="142">
        <v>1</v>
      </c>
      <c r="AD156" s="121" t="s">
        <v>198</v>
      </c>
      <c r="AE156" s="142">
        <v>1</v>
      </c>
      <c r="AF156" s="121" t="s">
        <v>198</v>
      </c>
      <c r="AG156" s="142">
        <v>1</v>
      </c>
      <c r="AH156" s="121" t="s">
        <v>198</v>
      </c>
      <c r="AI156" s="126">
        <v>1</v>
      </c>
      <c r="AJ156" s="121" t="s">
        <v>198</v>
      </c>
      <c r="AK156" s="126">
        <v>1</v>
      </c>
      <c r="AL156" s="121" t="s">
        <v>198</v>
      </c>
      <c r="AM156" s="126">
        <v>1</v>
      </c>
      <c r="AN156" s="121" t="s">
        <v>198</v>
      </c>
      <c r="AO156" s="142">
        <v>1</v>
      </c>
      <c r="AP156" s="121" t="s">
        <v>198</v>
      </c>
      <c r="AQ156" s="142">
        <v>1</v>
      </c>
      <c r="AR156" s="121" t="s">
        <v>198</v>
      </c>
      <c r="AS156" s="142">
        <v>1</v>
      </c>
      <c r="AT156" s="121" t="s">
        <v>198</v>
      </c>
      <c r="AU156" s="126">
        <v>1</v>
      </c>
      <c r="AV156" s="121" t="s">
        <v>198</v>
      </c>
      <c r="AW156" s="126">
        <v>1</v>
      </c>
      <c r="AX156" s="121" t="s">
        <v>198</v>
      </c>
      <c r="AY156" s="142">
        <v>1</v>
      </c>
      <c r="AZ156" s="121" t="s">
        <v>198</v>
      </c>
      <c r="BA156" s="142">
        <v>1</v>
      </c>
      <c r="BB156" s="121" t="s">
        <v>198</v>
      </c>
      <c r="BC156" s="142">
        <v>1</v>
      </c>
      <c r="BD156" s="121" t="s">
        <v>198</v>
      </c>
      <c r="BE156" s="142">
        <v>1</v>
      </c>
      <c r="BF156" s="121" t="s">
        <v>198</v>
      </c>
      <c r="BG156" s="206">
        <v>1</v>
      </c>
      <c r="BH156" s="121" t="s">
        <v>198</v>
      </c>
      <c r="BI156" s="206">
        <v>1</v>
      </c>
      <c r="BJ156" s="121" t="s">
        <v>198</v>
      </c>
      <c r="BK156" s="121" t="s">
        <v>61</v>
      </c>
      <c r="BL156" s="128" t="str">
        <f>IF(BK156="NA","NA",IF(BK156="Not Reported","Not Reported",IF(BK156&lt;$L$156,"Not Met","Met")))</f>
        <v>Not Reported</v>
      </c>
      <c r="BM156" s="258" t="s">
        <v>11</v>
      </c>
      <c r="BN156" s="128" t="str">
        <f>IF(BM156="NA","NA",IF(BM156="Not Reported","Not Reported",IF(BM156&lt;$L$156,"Not Met","Met")))</f>
        <v>NA</v>
      </c>
      <c r="BO156" s="128" t="s">
        <v>61</v>
      </c>
      <c r="BP156" s="128" t="s">
        <v>61</v>
      </c>
      <c r="BQ156" s="128" t="s">
        <v>61</v>
      </c>
      <c r="BR156" s="128" t="s">
        <v>61</v>
      </c>
      <c r="BS156" s="26" t="s">
        <v>61</v>
      </c>
      <c r="BT156" s="128" t="str">
        <f>IF(BS156="NA","NA",IF(BS156="Not Reported","Not Reported",IF(BS156&lt;$L$156,"Not Met","Met")))</f>
        <v>Not Reported</v>
      </c>
      <c r="BU156" s="412">
        <v>1</v>
      </c>
      <c r="BV156" s="128" t="str">
        <f>IF(BU156="NA","NA",IF(BU156="Not Reported","Not Reported",IF(BU156&lt;$L$156,"Not Met","Met")))</f>
        <v>Met</v>
      </c>
    </row>
    <row r="157" spans="1:74" x14ac:dyDescent="0.25">
      <c r="A157" s="121">
        <v>156</v>
      </c>
      <c r="B157" s="122" t="s">
        <v>21</v>
      </c>
      <c r="C157" s="122" t="s">
        <v>903</v>
      </c>
      <c r="D157" s="123" t="s">
        <v>113</v>
      </c>
      <c r="E157" s="123" t="s">
        <v>899</v>
      </c>
      <c r="F157" s="123" t="s">
        <v>190</v>
      </c>
      <c r="G157" s="123" t="s">
        <v>191</v>
      </c>
      <c r="H157" s="122" t="s">
        <v>192</v>
      </c>
      <c r="I157" s="124"/>
      <c r="J157" s="124"/>
      <c r="K157" s="122" t="s">
        <v>619</v>
      </c>
      <c r="L157" s="146">
        <v>0.9</v>
      </c>
      <c r="M157" s="146">
        <v>0.9</v>
      </c>
      <c r="N157" s="122" t="s">
        <v>620</v>
      </c>
      <c r="O157" s="122" t="s">
        <v>620</v>
      </c>
      <c r="P157" s="122" t="s">
        <v>207</v>
      </c>
      <c r="Q157" s="141">
        <v>0.95</v>
      </c>
      <c r="R157" s="131" t="s">
        <v>198</v>
      </c>
      <c r="S157" s="141">
        <v>1</v>
      </c>
      <c r="T157" s="121" t="s">
        <v>198</v>
      </c>
      <c r="U157" s="142">
        <v>1</v>
      </c>
      <c r="V157" s="131" t="s">
        <v>198</v>
      </c>
      <c r="W157" s="142">
        <v>1</v>
      </c>
      <c r="X157" s="121" t="s">
        <v>198</v>
      </c>
      <c r="Y157" s="142">
        <v>1</v>
      </c>
      <c r="Z157" s="121" t="s">
        <v>198</v>
      </c>
      <c r="AA157" s="142">
        <v>1</v>
      </c>
      <c r="AB157" s="121" t="s">
        <v>198</v>
      </c>
      <c r="AC157" s="142">
        <v>1</v>
      </c>
      <c r="AD157" s="121" t="s">
        <v>198</v>
      </c>
      <c r="AE157" s="142">
        <v>1</v>
      </c>
      <c r="AF157" s="121" t="s">
        <v>198</v>
      </c>
      <c r="AG157" s="142">
        <v>1</v>
      </c>
      <c r="AH157" s="121" t="s">
        <v>198</v>
      </c>
      <c r="AI157" s="126">
        <v>1</v>
      </c>
      <c r="AJ157" s="121" t="s">
        <v>198</v>
      </c>
      <c r="AK157" s="126">
        <v>1</v>
      </c>
      <c r="AL157" s="121" t="s">
        <v>198</v>
      </c>
      <c r="AM157" s="126">
        <v>1</v>
      </c>
      <c r="AN157" s="121" t="s">
        <v>198</v>
      </c>
      <c r="AO157" s="142">
        <v>1</v>
      </c>
      <c r="AP157" s="121" t="s">
        <v>198</v>
      </c>
      <c r="AQ157" s="142">
        <v>1</v>
      </c>
      <c r="AR157" s="121" t="s">
        <v>198</v>
      </c>
      <c r="AS157" s="142">
        <v>1</v>
      </c>
      <c r="AT157" s="121" t="s">
        <v>198</v>
      </c>
      <c r="AU157" s="126">
        <v>1</v>
      </c>
      <c r="AV157" s="121" t="s">
        <v>198</v>
      </c>
      <c r="AW157" s="126">
        <v>1</v>
      </c>
      <c r="AX157" s="121" t="s">
        <v>198</v>
      </c>
      <c r="AY157" s="142">
        <v>1</v>
      </c>
      <c r="AZ157" s="121" t="s">
        <v>198</v>
      </c>
      <c r="BA157" s="142">
        <v>1</v>
      </c>
      <c r="BB157" s="121" t="s">
        <v>198</v>
      </c>
      <c r="BC157" s="142">
        <v>1</v>
      </c>
      <c r="BD157" s="121" t="s">
        <v>198</v>
      </c>
      <c r="BE157" s="142">
        <v>1</v>
      </c>
      <c r="BF157" s="121" t="s">
        <v>198</v>
      </c>
      <c r="BG157" s="206">
        <v>1</v>
      </c>
      <c r="BH157" s="121" t="s">
        <v>198</v>
      </c>
      <c r="BI157" s="206">
        <v>1</v>
      </c>
      <c r="BJ157" s="121" t="s">
        <v>198</v>
      </c>
      <c r="BK157" s="121" t="s">
        <v>61</v>
      </c>
      <c r="BL157" s="128" t="str">
        <f>IF(BK157="NA","NA",IF(BK157="Not Reported","Not Reported",IF(BK157&lt;$L$157,"Not Met","Met")))</f>
        <v>Not Reported</v>
      </c>
      <c r="BM157" s="258" t="s">
        <v>11</v>
      </c>
      <c r="BN157" s="128" t="str">
        <f>IF(BM157="NA","NA",IF(BM157="Not Reported","Not Reported",IF(BM157&lt;$L$157,"Not Met","Met")))</f>
        <v>NA</v>
      </c>
      <c r="BO157" s="128" t="s">
        <v>61</v>
      </c>
      <c r="BP157" s="128" t="s">
        <v>61</v>
      </c>
      <c r="BQ157" s="128" t="s">
        <v>61</v>
      </c>
      <c r="BR157" s="128" t="s">
        <v>61</v>
      </c>
      <c r="BS157" s="26" t="s">
        <v>61</v>
      </c>
      <c r="BT157" s="128" t="str">
        <f>IF(BS157="NA","NA",IF(BS157="Not Reported","Not Reported",IF(BS157&lt;$L$157,"Not Met","Met")))</f>
        <v>Not Reported</v>
      </c>
      <c r="BU157" s="412">
        <v>1</v>
      </c>
      <c r="BV157" s="128" t="str">
        <f>IF(BU157="NA","NA",IF(BU157="Not Reported","Not Reported",IF(BU157&lt;$L$157,"Not Met","Met")))</f>
        <v>Met</v>
      </c>
    </row>
    <row r="158" spans="1:74" x14ac:dyDescent="0.2">
      <c r="A158" s="121">
        <v>157</v>
      </c>
      <c r="B158" s="122" t="s">
        <v>21</v>
      </c>
      <c r="C158" s="122" t="s">
        <v>903</v>
      </c>
      <c r="D158" s="123" t="s">
        <v>113</v>
      </c>
      <c r="E158" s="123" t="s">
        <v>899</v>
      </c>
      <c r="F158" s="123" t="s">
        <v>190</v>
      </c>
      <c r="G158" s="123" t="s">
        <v>191</v>
      </c>
      <c r="H158" s="122" t="s">
        <v>192</v>
      </c>
      <c r="I158" s="123" t="s">
        <v>284</v>
      </c>
      <c r="J158" s="123" t="s">
        <v>285</v>
      </c>
      <c r="K158" s="122" t="s">
        <v>621</v>
      </c>
      <c r="L158" s="146">
        <v>0.8</v>
      </c>
      <c r="M158" s="146">
        <v>0.8</v>
      </c>
      <c r="N158" s="122" t="s">
        <v>622</v>
      </c>
      <c r="O158" s="122" t="s">
        <v>622</v>
      </c>
      <c r="P158" s="122" t="s">
        <v>207</v>
      </c>
      <c r="Q158" s="141">
        <v>0.67</v>
      </c>
      <c r="R158" s="131" t="s">
        <v>251</v>
      </c>
      <c r="S158" s="141">
        <v>0.81</v>
      </c>
      <c r="T158" s="147" t="s">
        <v>198</v>
      </c>
      <c r="U158" s="142">
        <v>0.83</v>
      </c>
      <c r="V158" s="131" t="s">
        <v>198</v>
      </c>
      <c r="W158" s="142">
        <v>0.8</v>
      </c>
      <c r="X158" s="121" t="s">
        <v>198</v>
      </c>
      <c r="Y158" s="142">
        <v>0.82</v>
      </c>
      <c r="Z158" s="121" t="s">
        <v>198</v>
      </c>
      <c r="AA158" s="142">
        <v>0.83</v>
      </c>
      <c r="AB158" s="121" t="s">
        <v>198</v>
      </c>
      <c r="AC158" s="142">
        <v>0.84</v>
      </c>
      <c r="AD158" s="121" t="s">
        <v>198</v>
      </c>
      <c r="AE158" s="126">
        <v>0.84</v>
      </c>
      <c r="AF158" s="121" t="s">
        <v>198</v>
      </c>
      <c r="AG158" s="126">
        <v>0.82</v>
      </c>
      <c r="AH158" s="121" t="s">
        <v>198</v>
      </c>
      <c r="AI158" s="126">
        <v>0.81</v>
      </c>
      <c r="AJ158" s="121" t="s">
        <v>198</v>
      </c>
      <c r="AK158" s="126">
        <v>0.83</v>
      </c>
      <c r="AL158" s="121" t="s">
        <v>198</v>
      </c>
      <c r="AM158" s="126">
        <v>0.83</v>
      </c>
      <c r="AN158" s="121" t="s">
        <v>198</v>
      </c>
      <c r="AO158" s="141">
        <f>19/21</f>
        <v>0.90476190476190477</v>
      </c>
      <c r="AP158" s="121" t="s">
        <v>198</v>
      </c>
      <c r="AQ158" s="141">
        <v>0.73</v>
      </c>
      <c r="AR158" s="121" t="s">
        <v>251</v>
      </c>
      <c r="AS158" s="141">
        <v>0.81</v>
      </c>
      <c r="AT158" s="121" t="s">
        <v>198</v>
      </c>
      <c r="AU158" s="126">
        <v>0.66</v>
      </c>
      <c r="AV158" s="121" t="s">
        <v>251</v>
      </c>
      <c r="AW158" s="126">
        <v>0.75</v>
      </c>
      <c r="AX158" s="121" t="s">
        <v>251</v>
      </c>
      <c r="AY158" s="177">
        <f>32/43</f>
        <v>0.7441860465116279</v>
      </c>
      <c r="AZ158" s="121" t="s">
        <v>251</v>
      </c>
      <c r="BA158" s="177">
        <f>173/241</f>
        <v>0.71784232365145229</v>
      </c>
      <c r="BB158" s="121" t="s">
        <v>251</v>
      </c>
      <c r="BC158" s="141">
        <f>15/20</f>
        <v>0.75</v>
      </c>
      <c r="BD158" s="121" t="s">
        <v>251</v>
      </c>
      <c r="BE158" s="141">
        <f>24/29</f>
        <v>0.82758620689655171</v>
      </c>
      <c r="BF158" s="121" t="s">
        <v>198</v>
      </c>
      <c r="BG158" s="207">
        <f>21/24</f>
        <v>0.875</v>
      </c>
      <c r="BH158" s="121" t="s">
        <v>198</v>
      </c>
      <c r="BI158" s="207">
        <f>60/73</f>
        <v>0.82191780821917804</v>
      </c>
      <c r="BJ158" s="121" t="s">
        <v>198</v>
      </c>
      <c r="BK158" s="121" t="s">
        <v>61</v>
      </c>
      <c r="BL158" s="128" t="str">
        <f>IF(BK158="NA","NA",IF(BK158="Not Reported","Not Reported",IF(BK158&lt;$L$158,"Not Met","Met")))</f>
        <v>Not Reported</v>
      </c>
      <c r="BM158" s="258" t="s">
        <v>11</v>
      </c>
      <c r="BN158" s="128" t="str">
        <f>IF(BM158="NA","NA",IF(BM158="Not Reported","Not Reported",IF(BM158&lt;$L$158,"Not Met","Met")))</f>
        <v>NA</v>
      </c>
      <c r="BO158" s="128" t="s">
        <v>61</v>
      </c>
      <c r="BP158" s="128" t="s">
        <v>61</v>
      </c>
      <c r="BQ158" s="128" t="s">
        <v>61</v>
      </c>
      <c r="BR158" s="128" t="s">
        <v>61</v>
      </c>
      <c r="BS158" s="26" t="s">
        <v>61</v>
      </c>
      <c r="BT158" s="128" t="str">
        <f>IF(BS158="NA","NA",IF(BS158="Not Reported","Not Reported",IF(BS158&lt;$L$158,"Not Met","Met")))</f>
        <v>Not Reported</v>
      </c>
      <c r="BU158" s="413">
        <f>233/314</f>
        <v>0.7420382165605095</v>
      </c>
      <c r="BV158" s="128" t="str">
        <f>IF(BU158="NA","NA",IF(BU158="Not Reported","Not Reported",IF(BU158&lt;$L$158,"Not Met","Met")))</f>
        <v>Not Met</v>
      </c>
    </row>
    <row r="159" spans="1:74" x14ac:dyDescent="0.25">
      <c r="A159" s="121">
        <v>158</v>
      </c>
      <c r="B159" s="122" t="s">
        <v>21</v>
      </c>
      <c r="C159" s="122" t="s">
        <v>903</v>
      </c>
      <c r="D159" s="123" t="s">
        <v>113</v>
      </c>
      <c r="E159" s="123" t="s">
        <v>899</v>
      </c>
      <c r="F159" s="123" t="s">
        <v>190</v>
      </c>
      <c r="G159" s="122" t="s">
        <v>273</v>
      </c>
      <c r="H159" s="122" t="s">
        <v>192</v>
      </c>
      <c r="I159" s="124" t="s">
        <v>274</v>
      </c>
      <c r="J159" s="124" t="s">
        <v>214</v>
      </c>
      <c r="K159" s="145" t="s">
        <v>274</v>
      </c>
      <c r="L159" s="147">
        <v>120</v>
      </c>
      <c r="M159" s="146" t="s">
        <v>876</v>
      </c>
      <c r="N159" s="122" t="s">
        <v>528</v>
      </c>
      <c r="O159" s="122" t="s">
        <v>528</v>
      </c>
      <c r="P159" s="122" t="s">
        <v>207</v>
      </c>
      <c r="Q159" s="141" t="s">
        <v>545</v>
      </c>
      <c r="R159" s="131" t="s">
        <v>198</v>
      </c>
      <c r="S159" s="141" t="s">
        <v>370</v>
      </c>
      <c r="T159" s="121" t="s">
        <v>198</v>
      </c>
      <c r="U159" s="131" t="s">
        <v>523</v>
      </c>
      <c r="V159" s="131" t="s">
        <v>198</v>
      </c>
      <c r="W159" s="131" t="s">
        <v>537</v>
      </c>
      <c r="X159" s="121" t="s">
        <v>198</v>
      </c>
      <c r="Y159" s="131" t="s">
        <v>503</v>
      </c>
      <c r="Z159" s="121" t="s">
        <v>198</v>
      </c>
      <c r="AA159" s="121" t="s">
        <v>623</v>
      </c>
      <c r="AB159" s="121" t="s">
        <v>198</v>
      </c>
      <c r="AC159" s="121" t="s">
        <v>606</v>
      </c>
      <c r="AD159" s="121" t="s">
        <v>198</v>
      </c>
      <c r="AE159" s="121" t="s">
        <v>624</v>
      </c>
      <c r="AF159" s="121" t="s">
        <v>198</v>
      </c>
      <c r="AG159" s="121" t="s">
        <v>491</v>
      </c>
      <c r="AH159" s="121" t="s">
        <v>198</v>
      </c>
      <c r="AI159" s="121" t="s">
        <v>625</v>
      </c>
      <c r="AJ159" s="121" t="s">
        <v>198</v>
      </c>
      <c r="AK159" s="121" t="s">
        <v>484</v>
      </c>
      <c r="AL159" s="121" t="s">
        <v>198</v>
      </c>
      <c r="AM159" s="121" t="s">
        <v>626</v>
      </c>
      <c r="AN159" s="121" t="s">
        <v>198</v>
      </c>
      <c r="AO159" s="127">
        <v>93</v>
      </c>
      <c r="AP159" s="121" t="s">
        <v>198</v>
      </c>
      <c r="AQ159" s="127" t="s">
        <v>11</v>
      </c>
      <c r="AR159" s="121" t="s">
        <v>11</v>
      </c>
      <c r="AS159" s="127" t="s">
        <v>542</v>
      </c>
      <c r="AT159" s="121" t="s">
        <v>198</v>
      </c>
      <c r="AU159" s="121">
        <v>28</v>
      </c>
      <c r="AV159" s="121" t="s">
        <v>198</v>
      </c>
      <c r="AW159" s="121">
        <v>49</v>
      </c>
      <c r="AX159" s="121" t="s">
        <v>198</v>
      </c>
      <c r="AY159" s="127">
        <v>57</v>
      </c>
      <c r="AZ159" s="121" t="s">
        <v>198</v>
      </c>
      <c r="BA159" s="127">
        <v>49</v>
      </c>
      <c r="BB159" s="121" t="s">
        <v>198</v>
      </c>
      <c r="BC159" s="127">
        <v>42</v>
      </c>
      <c r="BD159" s="121" t="s">
        <v>198</v>
      </c>
      <c r="BE159" s="127">
        <v>67</v>
      </c>
      <c r="BF159" s="121" t="s">
        <v>198</v>
      </c>
      <c r="BG159" s="205">
        <v>68</v>
      </c>
      <c r="BH159" s="121" t="s">
        <v>198</v>
      </c>
      <c r="BI159" s="205">
        <v>58</v>
      </c>
      <c r="BJ159" s="121" t="s">
        <v>198</v>
      </c>
      <c r="BK159" s="121" t="s">
        <v>61</v>
      </c>
      <c r="BL159" s="121" t="str">
        <f>IF(BK159="NA","NA",IF(BK159="Not Reported","Not Reported",IF(BK159&gt;$L$159,"Not Met","Met")))</f>
        <v>Not Reported</v>
      </c>
      <c r="BM159" s="258" t="s">
        <v>11</v>
      </c>
      <c r="BN159" s="121" t="str">
        <f>IF(BM159="NA","NA",IF(BM159="Not Reported","Not Reported",IF(BM159&gt;$L$159,"Not Met","Met")))</f>
        <v>NA</v>
      </c>
      <c r="BO159" s="128" t="s">
        <v>61</v>
      </c>
      <c r="BP159" s="121" t="s">
        <v>61</v>
      </c>
      <c r="BQ159" s="128" t="s">
        <v>61</v>
      </c>
      <c r="BR159" s="121" t="s">
        <v>61</v>
      </c>
      <c r="BS159" s="26" t="s">
        <v>61</v>
      </c>
      <c r="BT159" s="121" t="str">
        <f>IF(BS159="NA","NA",IF(BS159="Not Reported","Not Reported",IF(BS159&gt;$L$159,"Not Met","Met")))</f>
        <v>Not Reported</v>
      </c>
      <c r="BU159" s="411">
        <v>55</v>
      </c>
      <c r="BV159" s="121" t="str">
        <f>IF(BU159="NA","NA",IF(BU159="Not Reported","Not Reported",IF(BU159&gt;$L$159,"Not Met","Met")))</f>
        <v>Met</v>
      </c>
    </row>
    <row r="160" spans="1:74" x14ac:dyDescent="0.25">
      <c r="A160" s="121">
        <v>159</v>
      </c>
      <c r="B160" s="122" t="s">
        <v>21</v>
      </c>
      <c r="C160" s="122" t="s">
        <v>903</v>
      </c>
      <c r="D160" s="123" t="s">
        <v>113</v>
      </c>
      <c r="E160" s="123" t="s">
        <v>899</v>
      </c>
      <c r="F160" s="123" t="s">
        <v>190</v>
      </c>
      <c r="G160" s="122" t="s">
        <v>273</v>
      </c>
      <c r="H160" s="122" t="s">
        <v>192</v>
      </c>
      <c r="I160" s="124" t="s">
        <v>289</v>
      </c>
      <c r="J160" s="124" t="s">
        <v>285</v>
      </c>
      <c r="K160" s="145" t="s">
        <v>289</v>
      </c>
      <c r="L160" s="146">
        <v>0.8</v>
      </c>
      <c r="M160" s="146">
        <v>0.8</v>
      </c>
      <c r="N160" s="122" t="s">
        <v>529</v>
      </c>
      <c r="O160" s="122" t="s">
        <v>529</v>
      </c>
      <c r="P160" s="122" t="s">
        <v>207</v>
      </c>
      <c r="Q160" s="141">
        <v>0.84</v>
      </c>
      <c r="R160" s="131" t="s">
        <v>198</v>
      </c>
      <c r="S160" s="141">
        <v>0.71</v>
      </c>
      <c r="T160" s="147" t="s">
        <v>251</v>
      </c>
      <c r="U160" s="142">
        <v>0.66</v>
      </c>
      <c r="V160" s="131" t="s">
        <v>251</v>
      </c>
      <c r="W160" s="142" t="s">
        <v>11</v>
      </c>
      <c r="X160" s="128" t="s">
        <v>11</v>
      </c>
      <c r="Y160" s="142" t="s">
        <v>11</v>
      </c>
      <c r="Z160" s="128" t="s">
        <v>11</v>
      </c>
      <c r="AA160" s="128" t="s">
        <v>11</v>
      </c>
      <c r="AB160" s="128" t="s">
        <v>11</v>
      </c>
      <c r="AC160" s="128" t="s">
        <v>11</v>
      </c>
      <c r="AD160" s="128" t="s">
        <v>11</v>
      </c>
      <c r="AE160" s="128" t="s">
        <v>11</v>
      </c>
      <c r="AF160" s="128" t="s">
        <v>11</v>
      </c>
      <c r="AG160" s="128" t="s">
        <v>11</v>
      </c>
      <c r="AH160" s="128" t="s">
        <v>11</v>
      </c>
      <c r="AI160" s="128" t="s">
        <v>11</v>
      </c>
      <c r="AJ160" s="128" t="s">
        <v>11</v>
      </c>
      <c r="AK160" s="128" t="s">
        <v>11</v>
      </c>
      <c r="AL160" s="128" t="s">
        <v>11</v>
      </c>
      <c r="AM160" s="128" t="s">
        <v>11</v>
      </c>
      <c r="AN160" s="128" t="s">
        <v>11</v>
      </c>
      <c r="AO160" s="128" t="s">
        <v>61</v>
      </c>
      <c r="AP160" s="128" t="s">
        <v>61</v>
      </c>
      <c r="AQ160" s="128" t="s">
        <v>61</v>
      </c>
      <c r="AR160" s="121" t="s">
        <v>61</v>
      </c>
      <c r="AS160" s="128" t="s">
        <v>61</v>
      </c>
      <c r="AT160" s="128" t="s">
        <v>61</v>
      </c>
      <c r="AU160" s="128" t="s">
        <v>61</v>
      </c>
      <c r="AV160" s="128" t="s">
        <v>61</v>
      </c>
      <c r="AW160" s="128">
        <v>0.08</v>
      </c>
      <c r="AX160" s="121" t="s">
        <v>251</v>
      </c>
      <c r="AY160" s="142">
        <f>11/43</f>
        <v>0.2558139534883721</v>
      </c>
      <c r="AZ160" s="121" t="s">
        <v>251</v>
      </c>
      <c r="BA160" s="142">
        <f>28/241</f>
        <v>0.11618257261410789</v>
      </c>
      <c r="BB160" s="121" t="s">
        <v>251</v>
      </c>
      <c r="BC160" s="142">
        <f>2/20</f>
        <v>0.1</v>
      </c>
      <c r="BD160" s="121" t="s">
        <v>251</v>
      </c>
      <c r="BE160" s="142">
        <f>2/29</f>
        <v>6.8965517241379309E-2</v>
      </c>
      <c r="BF160" s="121" t="s">
        <v>251</v>
      </c>
      <c r="BG160" s="206">
        <f>2/24</f>
        <v>8.3333333333333329E-2</v>
      </c>
      <c r="BH160" s="121" t="s">
        <v>251</v>
      </c>
      <c r="BI160" s="206">
        <f>7/73</f>
        <v>9.5890410958904104E-2</v>
      </c>
      <c r="BJ160" s="121" t="s">
        <v>251</v>
      </c>
      <c r="BK160" s="121" t="s">
        <v>61</v>
      </c>
      <c r="BL160" s="128" t="str">
        <f>IF(BK160="NA","NA",IF(BK160="Not Reported","Not Reported",IF(BK160&lt;$L$160,"Not Met","Met")))</f>
        <v>Not Reported</v>
      </c>
      <c r="BM160" s="258" t="s">
        <v>11</v>
      </c>
      <c r="BN160" s="128" t="str">
        <f>IF(BM160="NA","NA",IF(BM160="Not Reported","Not Reported",IF(BM160&lt;$L$160,"Not Met","Met")))</f>
        <v>NA</v>
      </c>
      <c r="BO160" s="128" t="s">
        <v>61</v>
      </c>
      <c r="BP160" s="128" t="s">
        <v>61</v>
      </c>
      <c r="BQ160" s="128" t="s">
        <v>61</v>
      </c>
      <c r="BR160" s="128" t="s">
        <v>61</v>
      </c>
      <c r="BS160" s="26" t="s">
        <v>61</v>
      </c>
      <c r="BT160" s="128" t="str">
        <f>IF(BS160="NA","NA",IF(BS160="Not Reported","Not Reported",IF(BS160&lt;$L$160,"Not Met","Met")))</f>
        <v>Not Reported</v>
      </c>
      <c r="BU160" s="412">
        <f>34/314</f>
        <v>0.10828025477707007</v>
      </c>
      <c r="BV160" s="128" t="str">
        <f>IF(BU160="NA","NA",IF(BU160="Not Reported","Not Reported",IF(BU160&lt;$L$160,"Not Met","Met")))</f>
        <v>Not Met</v>
      </c>
    </row>
    <row r="161" spans="1:74" x14ac:dyDescent="0.25">
      <c r="A161" s="121">
        <v>160</v>
      </c>
      <c r="B161" s="122" t="s">
        <v>21</v>
      </c>
      <c r="C161" s="122" t="s">
        <v>903</v>
      </c>
      <c r="D161" s="123" t="s">
        <v>113</v>
      </c>
      <c r="E161" s="123" t="s">
        <v>899</v>
      </c>
      <c r="F161" s="123" t="s">
        <v>190</v>
      </c>
      <c r="G161" s="122" t="s">
        <v>273</v>
      </c>
      <c r="H161" s="122" t="s">
        <v>192</v>
      </c>
      <c r="I161" s="124" t="s">
        <v>292</v>
      </c>
      <c r="J161" s="124" t="s">
        <v>293</v>
      </c>
      <c r="K161" s="122" t="s">
        <v>292</v>
      </c>
      <c r="L161" s="146">
        <v>0.5</v>
      </c>
      <c r="M161" s="146">
        <v>0.5</v>
      </c>
      <c r="N161" s="122" t="s">
        <v>294</v>
      </c>
      <c r="O161" s="122" t="s">
        <v>295</v>
      </c>
      <c r="P161" s="122" t="s">
        <v>207</v>
      </c>
      <c r="Q161" s="141">
        <v>0.33</v>
      </c>
      <c r="R161" s="131" t="s">
        <v>198</v>
      </c>
      <c r="S161" s="141">
        <v>0.5</v>
      </c>
      <c r="T161" s="121" t="s">
        <v>198</v>
      </c>
      <c r="U161" s="142">
        <v>0.25</v>
      </c>
      <c r="V161" s="131" t="s">
        <v>198</v>
      </c>
      <c r="W161" s="142">
        <v>0.31</v>
      </c>
      <c r="X161" s="121" t="s">
        <v>198</v>
      </c>
      <c r="Y161" s="141">
        <v>0.43</v>
      </c>
      <c r="Z161" s="121" t="s">
        <v>198</v>
      </c>
      <c r="AA161" s="142">
        <v>0.57999999999999996</v>
      </c>
      <c r="AB161" s="147" t="s">
        <v>251</v>
      </c>
      <c r="AC161" s="142">
        <v>0.42</v>
      </c>
      <c r="AD161" s="121" t="s">
        <v>198</v>
      </c>
      <c r="AE161" s="126">
        <v>0.33</v>
      </c>
      <c r="AF161" s="121" t="s">
        <v>198</v>
      </c>
      <c r="AG161" s="126">
        <v>0.22</v>
      </c>
      <c r="AH161" s="121" t="s">
        <v>198</v>
      </c>
      <c r="AI161" s="126">
        <v>0</v>
      </c>
      <c r="AJ161" s="121" t="s">
        <v>198</v>
      </c>
      <c r="AK161" s="126">
        <v>0.06</v>
      </c>
      <c r="AL161" s="121" t="s">
        <v>198</v>
      </c>
      <c r="AM161" s="126">
        <v>0.5</v>
      </c>
      <c r="AN161" s="121" t="s">
        <v>198</v>
      </c>
      <c r="AO161" s="142">
        <v>0</v>
      </c>
      <c r="AP161" s="121" t="s">
        <v>198</v>
      </c>
      <c r="AQ161" s="141">
        <v>0</v>
      </c>
      <c r="AR161" s="121" t="s">
        <v>198</v>
      </c>
      <c r="AS161" s="141">
        <v>0.5</v>
      </c>
      <c r="AT161" s="121" t="s">
        <v>198</v>
      </c>
      <c r="AU161" s="126">
        <v>0</v>
      </c>
      <c r="AV161" s="121" t="s">
        <v>198</v>
      </c>
      <c r="AW161" s="126">
        <v>0</v>
      </c>
      <c r="AX161" s="121" t="s">
        <v>198</v>
      </c>
      <c r="AY161" s="142">
        <v>0</v>
      </c>
      <c r="AZ161" s="121" t="s">
        <v>198</v>
      </c>
      <c r="BA161" s="142">
        <f>1/16</f>
        <v>6.25E-2</v>
      </c>
      <c r="BB161" s="121" t="s">
        <v>198</v>
      </c>
      <c r="BC161" s="142">
        <v>0</v>
      </c>
      <c r="BD161" s="121" t="s">
        <v>198</v>
      </c>
      <c r="BE161" s="142">
        <v>0</v>
      </c>
      <c r="BF161" s="121" t="s">
        <v>198</v>
      </c>
      <c r="BG161" s="206">
        <v>0</v>
      </c>
      <c r="BH161" s="121" t="s">
        <v>198</v>
      </c>
      <c r="BI161" s="206">
        <f>1/6</f>
        <v>0.16666666666666666</v>
      </c>
      <c r="BJ161" s="121" t="s">
        <v>198</v>
      </c>
      <c r="BK161" s="121" t="s">
        <v>61</v>
      </c>
      <c r="BL161" s="128" t="str">
        <f>IF(BK161="NA","NA",IF(BK161="Not Reported","Not Reported",IF(BK161&gt;$L$161,"Not Met","Met")))</f>
        <v>Not Reported</v>
      </c>
      <c r="BM161" s="258" t="s">
        <v>11</v>
      </c>
      <c r="BN161" s="128" t="str">
        <f>IF(BM161="NA","NA",IF(BM161="Not Reported","Not Reported",IF(BM161&gt;$L$161,"Not Met","Met")))</f>
        <v>NA</v>
      </c>
      <c r="BO161" s="128" t="s">
        <v>61</v>
      </c>
      <c r="BP161" s="128" t="s">
        <v>61</v>
      </c>
      <c r="BQ161" s="128" t="s">
        <v>61</v>
      </c>
      <c r="BR161" s="128" t="s">
        <v>61</v>
      </c>
      <c r="BS161" s="26" t="s">
        <v>61</v>
      </c>
      <c r="BT161" s="128" t="str">
        <f>IF(BS161="NA","NA",IF(BS161="Not Reported","Not Reported",IF(BS161&gt;$L$161,"Not Met","Met")))</f>
        <v>Not Reported</v>
      </c>
      <c r="BU161" s="412">
        <f>6/23</f>
        <v>0.2608695652173913</v>
      </c>
      <c r="BV161" s="128" t="str">
        <f>IF(BU161="NA","NA",IF(BU161="Not Reported","Not Reported",IF(BU161&gt;$L$161,"Not Met","Met")))</f>
        <v>Met</v>
      </c>
    </row>
    <row r="162" spans="1:74" x14ac:dyDescent="0.2">
      <c r="A162" s="121">
        <v>161</v>
      </c>
      <c r="B162" s="122" t="s">
        <v>21</v>
      </c>
      <c r="C162" s="122" t="s">
        <v>903</v>
      </c>
      <c r="D162" s="123" t="s">
        <v>113</v>
      </c>
      <c r="E162" s="123" t="s">
        <v>899</v>
      </c>
      <c r="F162" s="123" t="s">
        <v>190</v>
      </c>
      <c r="G162" s="122" t="s">
        <v>273</v>
      </c>
      <c r="H162" s="122" t="s">
        <v>192</v>
      </c>
      <c r="I162" s="124" t="s">
        <v>246</v>
      </c>
      <c r="J162" s="124" t="s">
        <v>214</v>
      </c>
      <c r="K162" s="122" t="s">
        <v>326</v>
      </c>
      <c r="L162" s="128">
        <v>0.2</v>
      </c>
      <c r="M162" s="128" t="s">
        <v>627</v>
      </c>
      <c r="N162" s="122" t="s">
        <v>368</v>
      </c>
      <c r="O162" s="122" t="s">
        <v>369</v>
      </c>
      <c r="P162" s="123" t="s">
        <v>207</v>
      </c>
      <c r="Q162" s="131" t="s">
        <v>61</v>
      </c>
      <c r="R162" s="131" t="s">
        <v>61</v>
      </c>
      <c r="S162" s="142">
        <v>0.1</v>
      </c>
      <c r="T162" s="121" t="s">
        <v>198</v>
      </c>
      <c r="U162" s="142">
        <v>0.32</v>
      </c>
      <c r="V162" s="131" t="s">
        <v>251</v>
      </c>
      <c r="W162" s="142">
        <v>0.15</v>
      </c>
      <c r="X162" s="121" t="s">
        <v>198</v>
      </c>
      <c r="Y162" s="141">
        <v>0.06</v>
      </c>
      <c r="Z162" s="121" t="s">
        <v>198</v>
      </c>
      <c r="AA162" s="142">
        <v>0</v>
      </c>
      <c r="AB162" s="121" t="s">
        <v>198</v>
      </c>
      <c r="AC162" s="142">
        <v>0</v>
      </c>
      <c r="AD162" s="121" t="s">
        <v>198</v>
      </c>
      <c r="AE162" s="126">
        <v>0</v>
      </c>
      <c r="AF162" s="121" t="s">
        <v>198</v>
      </c>
      <c r="AG162" s="126">
        <v>0</v>
      </c>
      <c r="AH162" s="121" t="s">
        <v>198</v>
      </c>
      <c r="AI162" s="126">
        <v>0.5</v>
      </c>
      <c r="AJ162" s="147" t="s">
        <v>251</v>
      </c>
      <c r="AK162" s="126">
        <v>0.5</v>
      </c>
      <c r="AL162" s="147" t="s">
        <v>251</v>
      </c>
      <c r="AM162" s="126">
        <v>0</v>
      </c>
      <c r="AN162" s="121" t="s">
        <v>198</v>
      </c>
      <c r="AO162" s="128">
        <v>0</v>
      </c>
      <c r="AP162" s="121" t="s">
        <v>198</v>
      </c>
      <c r="AQ162" s="141">
        <v>7.0000000000000007E-2</v>
      </c>
      <c r="AR162" s="121" t="s">
        <v>198</v>
      </c>
      <c r="AS162" s="141">
        <v>7.0000000000000007E-2</v>
      </c>
      <c r="AT162" s="121" t="s">
        <v>198</v>
      </c>
      <c r="AU162" s="126">
        <v>0.08</v>
      </c>
      <c r="AV162" s="121" t="s">
        <v>198</v>
      </c>
      <c r="AW162" s="126">
        <v>0.13</v>
      </c>
      <c r="AX162" s="121" t="s">
        <v>198</v>
      </c>
      <c r="AY162" s="128">
        <f>0/2</f>
        <v>0</v>
      </c>
      <c r="AZ162" s="121" t="s">
        <v>198</v>
      </c>
      <c r="BA162" s="128">
        <f>0/2</f>
        <v>0</v>
      </c>
      <c r="BB162" s="121" t="s">
        <v>198</v>
      </c>
      <c r="BC162" s="128">
        <f>1/4</f>
        <v>0.25</v>
      </c>
      <c r="BD162" s="121" t="s">
        <v>251</v>
      </c>
      <c r="BE162" s="128">
        <f>1/4</f>
        <v>0.25</v>
      </c>
      <c r="BF162" s="121" t="s">
        <v>251</v>
      </c>
      <c r="BG162" s="208">
        <f>0/2</f>
        <v>0</v>
      </c>
      <c r="BH162" s="121" t="s">
        <v>198</v>
      </c>
      <c r="BI162" s="208">
        <f>0/2</f>
        <v>0</v>
      </c>
      <c r="BJ162" s="121" t="s">
        <v>198</v>
      </c>
      <c r="BK162" s="121" t="s">
        <v>61</v>
      </c>
      <c r="BL162" s="174" t="str">
        <f>IF(BK162="NA","NA",IF(BK162="Not Reported","Not Reported",IF(BK162&gt;$L$162,"Not Met","Met")))</f>
        <v>Not Reported</v>
      </c>
      <c r="BM162" s="258" t="s">
        <v>11</v>
      </c>
      <c r="BN162" s="162" t="str">
        <f>IF(BM162="NA","NA",IF(BM162="Not Reported","Not Reported",IF(BM162&gt;$L$162,"Not Met","Met")))</f>
        <v>NA</v>
      </c>
      <c r="BO162" s="128" t="s">
        <v>61</v>
      </c>
      <c r="BP162" s="162" t="s">
        <v>61</v>
      </c>
      <c r="BQ162" s="128" t="s">
        <v>61</v>
      </c>
      <c r="BR162" s="162" t="s">
        <v>61</v>
      </c>
      <c r="BS162" s="26" t="s">
        <v>61</v>
      </c>
      <c r="BT162" s="162" t="str">
        <f>IF(BS162="NA","NA",IF(BS162="Not Reported","Not Reported",IF(BS162&gt;$L$162,"Not Met","Met")))</f>
        <v>Not Reported</v>
      </c>
      <c r="BU162" s="414">
        <f>0/2</f>
        <v>0</v>
      </c>
      <c r="BV162" s="162" t="str">
        <f>IF(BU162="NA","NA",IF(BU162="Not Reported","Not Reported",IF(BU162&gt;$L$162,"Not Met","Met")))</f>
        <v>Met</v>
      </c>
    </row>
    <row r="163" spans="1:74" x14ac:dyDescent="0.25">
      <c r="A163" s="121">
        <v>162</v>
      </c>
      <c r="B163" s="122" t="s">
        <v>22</v>
      </c>
      <c r="C163" s="122" t="s">
        <v>901</v>
      </c>
      <c r="D163" s="123" t="s">
        <v>102</v>
      </c>
      <c r="E163" s="123" t="s">
        <v>900</v>
      </c>
      <c r="F163" s="123" t="s">
        <v>190</v>
      </c>
      <c r="G163" s="122" t="s">
        <v>273</v>
      </c>
      <c r="H163" s="123" t="s">
        <v>192</v>
      </c>
      <c r="I163" s="124" t="s">
        <v>274</v>
      </c>
      <c r="J163" s="124" t="s">
        <v>214</v>
      </c>
      <c r="K163" s="145" t="s">
        <v>274</v>
      </c>
      <c r="L163" s="121">
        <v>75</v>
      </c>
      <c r="M163" s="121" t="s">
        <v>542</v>
      </c>
      <c r="N163" s="123" t="s">
        <v>422</v>
      </c>
      <c r="O163" s="123" t="s">
        <v>423</v>
      </c>
      <c r="P163" s="123" t="s">
        <v>207</v>
      </c>
      <c r="Q163" s="121" t="s">
        <v>628</v>
      </c>
      <c r="R163" s="121" t="s">
        <v>198</v>
      </c>
      <c r="S163" s="143" t="s">
        <v>549</v>
      </c>
      <c r="T163" s="121" t="s">
        <v>198</v>
      </c>
      <c r="U163" s="143" t="s">
        <v>360</v>
      </c>
      <c r="V163" s="121" t="s">
        <v>198</v>
      </c>
      <c r="W163" s="143" t="s">
        <v>603</v>
      </c>
      <c r="X163" s="121" t="s">
        <v>198</v>
      </c>
      <c r="Y163" s="121" t="s">
        <v>478</v>
      </c>
      <c r="Z163" s="121" t="s">
        <v>198</v>
      </c>
      <c r="AA163" s="121" t="s">
        <v>546</v>
      </c>
      <c r="AB163" s="147" t="s">
        <v>251</v>
      </c>
      <c r="AC163" s="121" t="s">
        <v>555</v>
      </c>
      <c r="AD163" s="121" t="s">
        <v>251</v>
      </c>
      <c r="AE163" s="121" t="s">
        <v>438</v>
      </c>
      <c r="AF163" s="121" t="s">
        <v>198</v>
      </c>
      <c r="AG163" s="121" t="s">
        <v>555</v>
      </c>
      <c r="AH163" s="121" t="s">
        <v>198</v>
      </c>
      <c r="AI163" s="121" t="s">
        <v>553</v>
      </c>
      <c r="AJ163" s="121" t="s">
        <v>198</v>
      </c>
      <c r="AK163" s="121" t="s">
        <v>629</v>
      </c>
      <c r="AL163" s="121" t="s">
        <v>198</v>
      </c>
      <c r="AM163" s="121" t="s">
        <v>555</v>
      </c>
      <c r="AN163" s="121" t="s">
        <v>198</v>
      </c>
      <c r="AO163" s="121">
        <v>19</v>
      </c>
      <c r="AP163" s="121" t="s">
        <v>198</v>
      </c>
      <c r="AQ163" s="121" t="s">
        <v>347</v>
      </c>
      <c r="AR163" s="121" t="s">
        <v>198</v>
      </c>
      <c r="AS163" s="121" t="s">
        <v>440</v>
      </c>
      <c r="AT163" s="121" t="s">
        <v>198</v>
      </c>
      <c r="AU163" s="121" t="s">
        <v>346</v>
      </c>
      <c r="AV163" s="121" t="s">
        <v>198</v>
      </c>
      <c r="AW163" s="121" t="s">
        <v>360</v>
      </c>
      <c r="AX163" s="121" t="s">
        <v>198</v>
      </c>
      <c r="AY163" s="127" t="s">
        <v>554</v>
      </c>
      <c r="AZ163" s="121" t="s">
        <v>198</v>
      </c>
      <c r="BA163" s="127" t="s">
        <v>630</v>
      </c>
      <c r="BB163" s="121" t="s">
        <v>198</v>
      </c>
      <c r="BC163" s="127" t="s">
        <v>631</v>
      </c>
      <c r="BD163" s="121" t="s">
        <v>198</v>
      </c>
      <c r="BE163" s="127" t="s">
        <v>632</v>
      </c>
      <c r="BF163" s="121" t="s">
        <v>198</v>
      </c>
      <c r="BG163" s="205" t="s">
        <v>847</v>
      </c>
      <c r="BH163" s="121" t="s">
        <v>198</v>
      </c>
      <c r="BI163" s="205" t="s">
        <v>630</v>
      </c>
      <c r="BJ163" s="121" t="s">
        <v>198</v>
      </c>
      <c r="BK163" s="205">
        <v>27</v>
      </c>
      <c r="BL163" s="121" t="str">
        <f>IF(BK163="NA","NA",IF(BK163="Not Reported","Not Reported",IF(BK163&gt;$L$163,"Not Met","Met")))</f>
        <v>Met</v>
      </c>
      <c r="BM163" s="270">
        <v>20</v>
      </c>
      <c r="BN163" s="121" t="str">
        <f>IF(BM163="NA","NA",IF(BM163="Not Reported","Not Reported",IF(BM163&gt;$L$163,"Not Met","Met")))</f>
        <v>Met</v>
      </c>
      <c r="BO163" s="326">
        <v>14</v>
      </c>
      <c r="BP163" s="121" t="s">
        <v>198</v>
      </c>
      <c r="BQ163" s="326">
        <v>15</v>
      </c>
      <c r="BR163" s="121" t="s">
        <v>198</v>
      </c>
      <c r="BS163" s="326">
        <v>25</v>
      </c>
      <c r="BT163" s="121" t="str">
        <f>IF(BS163="NA","NA",IF(BS163="Not Reported","Not Reported",IF(BS163&gt;$L$163,"Not Met","Met")))</f>
        <v>Met</v>
      </c>
      <c r="BU163" s="326">
        <v>27</v>
      </c>
      <c r="BV163" s="121" t="str">
        <f>IF(BU163="NA","NA",IF(BU163="Not Reported","Not Reported",IF(BU163&gt;$L$163,"Not Met","Met")))</f>
        <v>Met</v>
      </c>
    </row>
    <row r="164" spans="1:74" x14ac:dyDescent="0.25">
      <c r="A164" s="121">
        <v>163</v>
      </c>
      <c r="B164" s="122" t="s">
        <v>22</v>
      </c>
      <c r="C164" s="122" t="s">
        <v>901</v>
      </c>
      <c r="D164" s="123" t="s">
        <v>102</v>
      </c>
      <c r="E164" s="123" t="s">
        <v>900</v>
      </c>
      <c r="F164" s="123" t="s">
        <v>190</v>
      </c>
      <c r="G164" s="122" t="s">
        <v>273</v>
      </c>
      <c r="H164" s="123" t="s">
        <v>192</v>
      </c>
      <c r="I164" s="124" t="s">
        <v>213</v>
      </c>
      <c r="J164" s="124" t="s">
        <v>214</v>
      </c>
      <c r="K164" s="129" t="s">
        <v>213</v>
      </c>
      <c r="L164" s="209">
        <v>37</v>
      </c>
      <c r="M164" s="143" t="s">
        <v>438</v>
      </c>
      <c r="N164" s="123" t="s">
        <v>633</v>
      </c>
      <c r="O164" s="123" t="s">
        <v>634</v>
      </c>
      <c r="P164" s="123" t="s">
        <v>207</v>
      </c>
      <c r="Q164" s="143" t="s">
        <v>635</v>
      </c>
      <c r="R164" s="121" t="s">
        <v>251</v>
      </c>
      <c r="S164" s="143" t="s">
        <v>356</v>
      </c>
      <c r="T164" s="121" t="s">
        <v>198</v>
      </c>
      <c r="U164" s="143" t="s">
        <v>608</v>
      </c>
      <c r="V164" s="121" t="s">
        <v>198</v>
      </c>
      <c r="W164" s="143" t="s">
        <v>438</v>
      </c>
      <c r="X164" s="121" t="s">
        <v>198</v>
      </c>
      <c r="Y164" s="121" t="s">
        <v>603</v>
      </c>
      <c r="Z164" s="121" t="s">
        <v>198</v>
      </c>
      <c r="AA164" s="121" t="s">
        <v>615</v>
      </c>
      <c r="AB164" s="121" t="s">
        <v>198</v>
      </c>
      <c r="AC164" s="121" t="s">
        <v>605</v>
      </c>
      <c r="AD164" s="121" t="s">
        <v>198</v>
      </c>
      <c r="AE164" s="121" t="s">
        <v>617</v>
      </c>
      <c r="AF164" s="121" t="s">
        <v>198</v>
      </c>
      <c r="AG164" s="121" t="s">
        <v>438</v>
      </c>
      <c r="AH164" s="121" t="s">
        <v>198</v>
      </c>
      <c r="AI164" s="121" t="s">
        <v>275</v>
      </c>
      <c r="AJ164" s="147" t="s">
        <v>251</v>
      </c>
      <c r="AK164" s="121" t="s">
        <v>356</v>
      </c>
      <c r="AL164" s="121" t="s">
        <v>198</v>
      </c>
      <c r="AM164" s="121" t="s">
        <v>499</v>
      </c>
      <c r="AN164" s="121" t="s">
        <v>198</v>
      </c>
      <c r="AO164" s="121">
        <v>12</v>
      </c>
      <c r="AP164" s="121" t="s">
        <v>198</v>
      </c>
      <c r="AQ164" s="121" t="s">
        <v>449</v>
      </c>
      <c r="AR164" s="121" t="s">
        <v>198</v>
      </c>
      <c r="AS164" s="121" t="s">
        <v>442</v>
      </c>
      <c r="AT164" s="121" t="s">
        <v>198</v>
      </c>
      <c r="AU164" s="121" t="s">
        <v>233</v>
      </c>
      <c r="AV164" s="121" t="s">
        <v>198</v>
      </c>
      <c r="AW164" s="121" t="s">
        <v>617</v>
      </c>
      <c r="AX164" s="121" t="s">
        <v>198</v>
      </c>
      <c r="AY164" s="127" t="s">
        <v>442</v>
      </c>
      <c r="AZ164" s="121" t="s">
        <v>198</v>
      </c>
      <c r="BA164" s="127" t="s">
        <v>636</v>
      </c>
      <c r="BB164" s="121" t="s">
        <v>198</v>
      </c>
      <c r="BC164" s="127" t="s">
        <v>637</v>
      </c>
      <c r="BD164" s="121" t="s">
        <v>198</v>
      </c>
      <c r="BE164" s="127" t="s">
        <v>636</v>
      </c>
      <c r="BF164" s="121" t="s">
        <v>198</v>
      </c>
      <c r="BG164" s="205" t="s">
        <v>848</v>
      </c>
      <c r="BH164" s="121" t="s">
        <v>198</v>
      </c>
      <c r="BI164" s="205" t="s">
        <v>849</v>
      </c>
      <c r="BJ164" s="121" t="s">
        <v>198</v>
      </c>
      <c r="BK164" s="205" t="s">
        <v>228</v>
      </c>
      <c r="BL164" s="121" t="str">
        <f>IF(BK164="NA","NA",IF(BK164="Not Reported","Not Reported",IF(BK164&gt;$L$164,"Not Met","Met")))</f>
        <v>Not Met</v>
      </c>
      <c r="BM164" s="270">
        <v>17</v>
      </c>
      <c r="BN164" s="121" t="str">
        <f>IF(BM164="NA","NA",IF(BM164="Not Reported","Not Reported",IF(BM164&gt;$L$164,"Not Met","Met")))</f>
        <v>Met</v>
      </c>
      <c r="BO164" s="326">
        <v>12</v>
      </c>
      <c r="BP164" s="121" t="s">
        <v>198</v>
      </c>
      <c r="BQ164" s="326">
        <v>20</v>
      </c>
      <c r="BR164" s="121" t="s">
        <v>198</v>
      </c>
      <c r="BS164" s="326">
        <v>17</v>
      </c>
      <c r="BT164" s="121" t="str">
        <f>IF(BS164="NA","NA",IF(BS164="Not Reported","Not Reported",IF(BS164&gt;$L$164,"Not Met","Met")))</f>
        <v>Met</v>
      </c>
      <c r="BU164" s="326">
        <v>21</v>
      </c>
      <c r="BV164" s="121" t="str">
        <f>IF(BU164="NA","NA",IF(BU164="Not Reported","Not Reported",IF(BU164&gt;$L$164,"Not Met","Met")))</f>
        <v>Met</v>
      </c>
    </row>
    <row r="165" spans="1:74" x14ac:dyDescent="0.2">
      <c r="A165" s="121">
        <v>164</v>
      </c>
      <c r="B165" s="122" t="s">
        <v>22</v>
      </c>
      <c r="C165" s="122" t="s">
        <v>901</v>
      </c>
      <c r="D165" s="123" t="s">
        <v>102</v>
      </c>
      <c r="E165" s="123" t="s">
        <v>900</v>
      </c>
      <c r="F165" s="123" t="s">
        <v>190</v>
      </c>
      <c r="G165" s="122" t="s">
        <v>273</v>
      </c>
      <c r="H165" s="123" t="s">
        <v>192</v>
      </c>
      <c r="I165" s="124" t="s">
        <v>246</v>
      </c>
      <c r="J165" s="124" t="s">
        <v>214</v>
      </c>
      <c r="K165" s="122" t="s">
        <v>326</v>
      </c>
      <c r="L165" s="126">
        <v>1</v>
      </c>
      <c r="M165" s="126">
        <v>1</v>
      </c>
      <c r="N165" s="123" t="s">
        <v>638</v>
      </c>
      <c r="O165" s="123" t="s">
        <v>639</v>
      </c>
      <c r="P165" s="123" t="s">
        <v>207</v>
      </c>
      <c r="Q165" s="146">
        <v>0.09</v>
      </c>
      <c r="R165" s="121" t="s">
        <v>198</v>
      </c>
      <c r="S165" s="146">
        <v>0.55000000000000004</v>
      </c>
      <c r="T165" s="121" t="s">
        <v>198</v>
      </c>
      <c r="U165" s="146">
        <v>0.8</v>
      </c>
      <c r="V165" s="121" t="s">
        <v>198</v>
      </c>
      <c r="W165" s="146">
        <v>0.1</v>
      </c>
      <c r="X165" s="121" t="s">
        <v>251</v>
      </c>
      <c r="Y165" s="126">
        <v>1</v>
      </c>
      <c r="Z165" s="121" t="s">
        <v>198</v>
      </c>
      <c r="AA165" s="126">
        <v>1</v>
      </c>
      <c r="AB165" s="121" t="s">
        <v>198</v>
      </c>
      <c r="AC165" s="126">
        <v>1</v>
      </c>
      <c r="AD165" s="121" t="s">
        <v>198</v>
      </c>
      <c r="AE165" s="126">
        <v>1</v>
      </c>
      <c r="AF165" s="121" t="s">
        <v>198</v>
      </c>
      <c r="AG165" s="126">
        <v>1</v>
      </c>
      <c r="AH165" s="121" t="s">
        <v>198</v>
      </c>
      <c r="AI165" s="126">
        <v>1</v>
      </c>
      <c r="AJ165" s="121" t="s">
        <v>198</v>
      </c>
      <c r="AK165" s="126">
        <v>1</v>
      </c>
      <c r="AL165" s="121" t="s">
        <v>198</v>
      </c>
      <c r="AM165" s="126">
        <v>1</v>
      </c>
      <c r="AN165" s="121" t="s">
        <v>198</v>
      </c>
      <c r="AO165" s="126">
        <v>0.96</v>
      </c>
      <c r="AP165" s="121" t="s">
        <v>198</v>
      </c>
      <c r="AQ165" s="126">
        <v>0.97</v>
      </c>
      <c r="AR165" s="121" t="s">
        <v>198</v>
      </c>
      <c r="AS165" s="126">
        <v>0.9</v>
      </c>
      <c r="AT165" s="121" t="s">
        <v>198</v>
      </c>
      <c r="AU165" s="126">
        <v>1</v>
      </c>
      <c r="AV165" s="121" t="s">
        <v>198</v>
      </c>
      <c r="AW165" s="126">
        <v>0.92</v>
      </c>
      <c r="AX165" s="121" t="s">
        <v>198</v>
      </c>
      <c r="AY165" s="142">
        <v>1</v>
      </c>
      <c r="AZ165" s="121" t="s">
        <v>198</v>
      </c>
      <c r="BA165" s="142">
        <v>1</v>
      </c>
      <c r="BB165" s="121" t="s">
        <v>198</v>
      </c>
      <c r="BC165" s="142">
        <v>1</v>
      </c>
      <c r="BD165" s="121" t="s">
        <v>198</v>
      </c>
      <c r="BE165" s="142">
        <v>0.94</v>
      </c>
      <c r="BF165" s="121" t="s">
        <v>198</v>
      </c>
      <c r="BG165" s="206">
        <v>0.98</v>
      </c>
      <c r="BH165" s="121" t="s">
        <v>198</v>
      </c>
      <c r="BI165" s="206">
        <v>0.94</v>
      </c>
      <c r="BJ165" s="121" t="s">
        <v>198</v>
      </c>
      <c r="BK165" s="206">
        <v>0.98</v>
      </c>
      <c r="BL165" s="174" t="str">
        <f>IF(BK165="NA","NA",IF(BK165="Not Reported","Not Reported",IF(BK165&gt;$L$165,"Not Met","Met")))</f>
        <v>Met</v>
      </c>
      <c r="BM165" s="271">
        <v>0.98</v>
      </c>
      <c r="BN165" s="121" t="str">
        <f>IF(BM165="NA","NA",IF(BM165="Not Reported","Not Reported",IF(BM165&gt;$L$165,"Not Met","Met")))</f>
        <v>Met</v>
      </c>
      <c r="BO165" s="327">
        <v>1</v>
      </c>
      <c r="BP165" s="121" t="s">
        <v>198</v>
      </c>
      <c r="BQ165" s="327">
        <v>0.01</v>
      </c>
      <c r="BR165" s="121" t="s">
        <v>198</v>
      </c>
      <c r="BS165" s="327">
        <v>1</v>
      </c>
      <c r="BT165" s="121" t="str">
        <f>IF(BS165="NA","NA",IF(BS165="Not Reported","Not Reported",IF(BS165&gt;$L$165,"Not Met","Met")))</f>
        <v>Met</v>
      </c>
      <c r="BU165" s="327">
        <v>0.05</v>
      </c>
      <c r="BV165" s="121" t="str">
        <f>IF(BU165="NA","NA",IF(BU165="Not Reported","Not Reported",IF(BU165&gt;$L$165,"Not Met","Met")))</f>
        <v>Met</v>
      </c>
    </row>
    <row r="166" spans="1:74" x14ac:dyDescent="0.25">
      <c r="A166" s="121">
        <v>165</v>
      </c>
      <c r="B166" s="122" t="s">
        <v>22</v>
      </c>
      <c r="C166" s="122" t="s">
        <v>901</v>
      </c>
      <c r="D166" s="123" t="s">
        <v>102</v>
      </c>
      <c r="E166" s="123" t="s">
        <v>900</v>
      </c>
      <c r="F166" s="123" t="s">
        <v>190</v>
      </c>
      <c r="G166" s="122" t="s">
        <v>273</v>
      </c>
      <c r="H166" s="122" t="s">
        <v>192</v>
      </c>
      <c r="I166" s="124" t="s">
        <v>284</v>
      </c>
      <c r="J166" s="124" t="s">
        <v>285</v>
      </c>
      <c r="K166" s="145" t="s">
        <v>284</v>
      </c>
      <c r="L166" s="146">
        <v>0.7</v>
      </c>
      <c r="M166" s="146">
        <v>0.7</v>
      </c>
      <c r="N166" s="122" t="s">
        <v>567</v>
      </c>
      <c r="O166" s="122" t="s">
        <v>567</v>
      </c>
      <c r="P166" s="123" t="s">
        <v>207</v>
      </c>
      <c r="Q166" s="146">
        <v>0.3</v>
      </c>
      <c r="R166" s="147" t="s">
        <v>251</v>
      </c>
      <c r="S166" s="146">
        <v>0.3</v>
      </c>
      <c r="T166" s="147" t="s">
        <v>251</v>
      </c>
      <c r="U166" s="146">
        <v>0.5</v>
      </c>
      <c r="V166" s="147" t="s">
        <v>251</v>
      </c>
      <c r="W166" s="146">
        <v>0.4</v>
      </c>
      <c r="X166" s="147" t="s">
        <v>251</v>
      </c>
      <c r="Y166" s="147" t="s">
        <v>11</v>
      </c>
      <c r="Z166" s="147" t="s">
        <v>11</v>
      </c>
      <c r="AA166" s="147" t="s">
        <v>11</v>
      </c>
      <c r="AB166" s="128" t="s">
        <v>11</v>
      </c>
      <c r="AC166" s="147" t="s">
        <v>11</v>
      </c>
      <c r="AD166" s="147" t="s">
        <v>11</v>
      </c>
      <c r="AE166" s="147" t="s">
        <v>11</v>
      </c>
      <c r="AF166" s="128" t="s">
        <v>11</v>
      </c>
      <c r="AG166" s="147" t="s">
        <v>11</v>
      </c>
      <c r="AH166" s="147" t="s">
        <v>11</v>
      </c>
      <c r="AI166" s="147" t="s">
        <v>11</v>
      </c>
      <c r="AJ166" s="128" t="s">
        <v>11</v>
      </c>
      <c r="AK166" s="147" t="s">
        <v>11</v>
      </c>
      <c r="AL166" s="128" t="s">
        <v>11</v>
      </c>
      <c r="AM166" s="147" t="s">
        <v>11</v>
      </c>
      <c r="AN166" s="128" t="s">
        <v>11</v>
      </c>
      <c r="AO166" s="147" t="s">
        <v>61</v>
      </c>
      <c r="AP166" s="147" t="s">
        <v>61</v>
      </c>
      <c r="AQ166" s="147" t="s">
        <v>61</v>
      </c>
      <c r="AR166" s="121" t="s">
        <v>61</v>
      </c>
      <c r="AS166" s="147" t="s">
        <v>61</v>
      </c>
      <c r="AT166" s="147" t="s">
        <v>61</v>
      </c>
      <c r="AU166" s="147" t="s">
        <v>61</v>
      </c>
      <c r="AV166" s="121" t="s">
        <v>61</v>
      </c>
      <c r="AW166" s="121" t="s">
        <v>61</v>
      </c>
      <c r="AX166" s="121" t="s">
        <v>61</v>
      </c>
      <c r="AY166" s="142">
        <v>0.7</v>
      </c>
      <c r="AZ166" s="121" t="s">
        <v>198</v>
      </c>
      <c r="BA166" s="142">
        <v>0.7</v>
      </c>
      <c r="BB166" s="121" t="s">
        <v>198</v>
      </c>
      <c r="BC166" s="142">
        <v>0.7</v>
      </c>
      <c r="BD166" s="121" t="s">
        <v>198</v>
      </c>
      <c r="BE166" s="142">
        <v>0.7</v>
      </c>
      <c r="BF166" s="121" t="s">
        <v>198</v>
      </c>
      <c r="BG166" s="206">
        <v>0.7</v>
      </c>
      <c r="BH166" s="121" t="s">
        <v>198</v>
      </c>
      <c r="BI166" s="206">
        <v>0.7</v>
      </c>
      <c r="BJ166" s="121" t="s">
        <v>198</v>
      </c>
      <c r="BK166" s="206">
        <v>0.7</v>
      </c>
      <c r="BL166" s="128" t="str">
        <f>IF(BK166="NA","NA",IF(BK166="Not Reported","Not Reported",IF(BK166&lt;$L$166,"Not Met","Met")))</f>
        <v>Met</v>
      </c>
      <c r="BM166" s="271">
        <v>0.7</v>
      </c>
      <c r="BN166" s="121" t="str">
        <f>IF(BM166="NA","NA",IF(BM166="Not Reported","Not Reported",IF(BM166&lt;$L$166,"Not Met","Met")))</f>
        <v>Met</v>
      </c>
      <c r="BO166" s="327">
        <v>0.7</v>
      </c>
      <c r="BP166" s="121" t="s">
        <v>198</v>
      </c>
      <c r="BQ166" s="327">
        <v>0.7</v>
      </c>
      <c r="BR166" s="121" t="s">
        <v>198</v>
      </c>
      <c r="BS166" s="393">
        <v>0.7</v>
      </c>
      <c r="BT166" s="121" t="str">
        <f>IF(BS166="NA","NA",IF(BS166="Not Reported","Not Reported",IF(BS166&lt;$L$166,"Not Met","Met")))</f>
        <v>Met</v>
      </c>
      <c r="BU166" s="327">
        <v>0.7</v>
      </c>
      <c r="BV166" s="121" t="str">
        <f>IF(BU166="NA","NA",IF(BU166="Not Reported","Not Reported",IF(BU166&lt;$L$166,"Not Met","Met")))</f>
        <v>Met</v>
      </c>
    </row>
    <row r="167" spans="1:74" x14ac:dyDescent="0.25">
      <c r="A167" s="121">
        <v>166</v>
      </c>
      <c r="B167" s="122" t="s">
        <v>22</v>
      </c>
      <c r="C167" s="122" t="s">
        <v>901</v>
      </c>
      <c r="D167" s="123" t="s">
        <v>102</v>
      </c>
      <c r="E167" s="123" t="s">
        <v>900</v>
      </c>
      <c r="F167" s="123" t="s">
        <v>190</v>
      </c>
      <c r="G167" s="122" t="s">
        <v>273</v>
      </c>
      <c r="H167" s="122" t="s">
        <v>192</v>
      </c>
      <c r="I167" s="124" t="s">
        <v>289</v>
      </c>
      <c r="J167" s="124" t="s">
        <v>285</v>
      </c>
      <c r="K167" s="145" t="s">
        <v>289</v>
      </c>
      <c r="L167" s="146">
        <v>0.5</v>
      </c>
      <c r="M167" s="146">
        <v>0.5</v>
      </c>
      <c r="N167" s="122" t="s">
        <v>529</v>
      </c>
      <c r="O167" s="122" t="s">
        <v>529</v>
      </c>
      <c r="P167" s="123" t="s">
        <v>207</v>
      </c>
      <c r="Q167" s="146">
        <v>0.3</v>
      </c>
      <c r="R167" s="147" t="s">
        <v>251</v>
      </c>
      <c r="S167" s="146">
        <v>0.3</v>
      </c>
      <c r="T167" s="147" t="s">
        <v>251</v>
      </c>
      <c r="U167" s="146">
        <v>0.6</v>
      </c>
      <c r="V167" s="147" t="s">
        <v>198</v>
      </c>
      <c r="W167" s="146">
        <v>0.6</v>
      </c>
      <c r="X167" s="121" t="s">
        <v>198</v>
      </c>
      <c r="Y167" s="126">
        <v>0.6</v>
      </c>
      <c r="Z167" s="121" t="s">
        <v>198</v>
      </c>
      <c r="AA167" s="126">
        <v>0.6</v>
      </c>
      <c r="AB167" s="121" t="s">
        <v>198</v>
      </c>
      <c r="AC167" s="126">
        <v>0.6</v>
      </c>
      <c r="AD167" s="121" t="s">
        <v>198</v>
      </c>
      <c r="AE167" s="126">
        <v>0.6</v>
      </c>
      <c r="AF167" s="121" t="s">
        <v>198</v>
      </c>
      <c r="AG167" s="126">
        <v>0.6</v>
      </c>
      <c r="AH167" s="121" t="s">
        <v>198</v>
      </c>
      <c r="AI167" s="126">
        <v>0.6</v>
      </c>
      <c r="AJ167" s="121" t="s">
        <v>198</v>
      </c>
      <c r="AK167" s="126">
        <v>0.6</v>
      </c>
      <c r="AL167" s="121" t="s">
        <v>198</v>
      </c>
      <c r="AM167" s="126">
        <v>0.6</v>
      </c>
      <c r="AN167" s="121" t="s">
        <v>198</v>
      </c>
      <c r="AO167" s="126">
        <v>0.6</v>
      </c>
      <c r="AP167" s="121" t="s">
        <v>198</v>
      </c>
      <c r="AQ167" s="126">
        <v>0.6</v>
      </c>
      <c r="AR167" s="121" t="s">
        <v>198</v>
      </c>
      <c r="AS167" s="126">
        <v>0.6</v>
      </c>
      <c r="AT167" s="121" t="s">
        <v>198</v>
      </c>
      <c r="AU167" s="126">
        <v>0.6</v>
      </c>
      <c r="AV167" s="121" t="s">
        <v>198</v>
      </c>
      <c r="AW167" s="126">
        <v>0.6</v>
      </c>
      <c r="AX167" s="121" t="s">
        <v>198</v>
      </c>
      <c r="AY167" s="142">
        <v>0.5</v>
      </c>
      <c r="AZ167" s="121" t="s">
        <v>198</v>
      </c>
      <c r="BA167" s="142">
        <v>0.5</v>
      </c>
      <c r="BB167" s="121" t="s">
        <v>198</v>
      </c>
      <c r="BC167" s="142">
        <v>0.5</v>
      </c>
      <c r="BD167" s="121" t="s">
        <v>198</v>
      </c>
      <c r="BE167" s="142">
        <v>0.5</v>
      </c>
      <c r="BF167" s="121" t="s">
        <v>198</v>
      </c>
      <c r="BG167" s="206">
        <v>0.5</v>
      </c>
      <c r="BH167" s="121" t="s">
        <v>198</v>
      </c>
      <c r="BI167" s="206">
        <v>0.5</v>
      </c>
      <c r="BJ167" s="121" t="s">
        <v>198</v>
      </c>
      <c r="BK167" s="206">
        <v>0.5</v>
      </c>
      <c r="BL167" s="128" t="str">
        <f>IF(BK167="NA","NA",IF(BK167="Not Reported","Not Reported",IF(BK167&lt;$L$167,"Not Met","Met")))</f>
        <v>Met</v>
      </c>
      <c r="BM167" s="271">
        <v>0.5</v>
      </c>
      <c r="BN167" s="121" t="str">
        <f>IF(BM167="NA","NA",IF(BM167="Not Reported","Not Reported",IF(BM167&lt;$L$167,"Not Met","Met")))</f>
        <v>Met</v>
      </c>
      <c r="BO167" s="327">
        <v>0.5</v>
      </c>
      <c r="BP167" s="121" t="s">
        <v>198</v>
      </c>
      <c r="BQ167" s="327">
        <v>0.5</v>
      </c>
      <c r="BR167" s="121" t="s">
        <v>198</v>
      </c>
      <c r="BS167" s="393">
        <v>0.5</v>
      </c>
      <c r="BT167" s="121" t="str">
        <f>IF(BS167="NA","NA",IF(BS167="Not Reported","Not Reported",IF(BS167&lt;$L$167,"Not Met","Met")))</f>
        <v>Met</v>
      </c>
      <c r="BU167" s="327">
        <v>0.5</v>
      </c>
      <c r="BV167" s="121" t="str">
        <f>IF(BU167="NA","NA",IF(BU167="Not Reported","Not Reported",IF(BU167&lt;$L$167,"Not Met","Met")))</f>
        <v>Met</v>
      </c>
    </row>
    <row r="168" spans="1:74" x14ac:dyDescent="0.2">
      <c r="A168" s="121">
        <v>167</v>
      </c>
      <c r="B168" s="122" t="s">
        <v>22</v>
      </c>
      <c r="C168" s="122" t="s">
        <v>901</v>
      </c>
      <c r="D168" s="123" t="s">
        <v>102</v>
      </c>
      <c r="E168" s="123" t="s">
        <v>900</v>
      </c>
      <c r="F168" s="123" t="s">
        <v>190</v>
      </c>
      <c r="G168" s="122" t="s">
        <v>273</v>
      </c>
      <c r="H168" s="122" t="s">
        <v>192</v>
      </c>
      <c r="I168" s="124" t="s">
        <v>292</v>
      </c>
      <c r="J168" s="124" t="s">
        <v>293</v>
      </c>
      <c r="K168" s="122" t="s">
        <v>292</v>
      </c>
      <c r="L168" s="146">
        <v>0.5</v>
      </c>
      <c r="M168" s="146">
        <v>0.5</v>
      </c>
      <c r="N168" s="122" t="s">
        <v>294</v>
      </c>
      <c r="O168" s="122" t="s">
        <v>295</v>
      </c>
      <c r="P168" s="123" t="s">
        <v>207</v>
      </c>
      <c r="Q168" s="146">
        <v>0.03</v>
      </c>
      <c r="R168" s="121" t="s">
        <v>198</v>
      </c>
      <c r="S168" s="146">
        <v>7.0000000000000007E-2</v>
      </c>
      <c r="T168" s="121" t="s">
        <v>198</v>
      </c>
      <c r="U168" s="146">
        <v>0.02</v>
      </c>
      <c r="V168" s="121" t="s">
        <v>198</v>
      </c>
      <c r="W168" s="146">
        <v>7.0000000000000007E-2</v>
      </c>
      <c r="X168" s="121" t="s">
        <v>198</v>
      </c>
      <c r="Y168" s="126">
        <v>0.15</v>
      </c>
      <c r="Z168" s="121" t="s">
        <v>198</v>
      </c>
      <c r="AA168" s="126">
        <v>0.21</v>
      </c>
      <c r="AB168" s="121" t="s">
        <v>198</v>
      </c>
      <c r="AC168" s="126">
        <v>0.18</v>
      </c>
      <c r="AD168" s="121" t="s">
        <v>198</v>
      </c>
      <c r="AE168" s="126">
        <v>0.08</v>
      </c>
      <c r="AF168" s="121" t="s">
        <v>198</v>
      </c>
      <c r="AG168" s="126">
        <v>0.1</v>
      </c>
      <c r="AH168" s="121" t="s">
        <v>198</v>
      </c>
      <c r="AI168" s="126">
        <v>0.17</v>
      </c>
      <c r="AJ168" s="121" t="s">
        <v>198</v>
      </c>
      <c r="AK168" s="126">
        <v>0.11</v>
      </c>
      <c r="AL168" s="121" t="s">
        <v>198</v>
      </c>
      <c r="AM168" s="126">
        <v>0.1</v>
      </c>
      <c r="AN168" s="121" t="s">
        <v>198</v>
      </c>
      <c r="AO168" s="126">
        <v>0.23</v>
      </c>
      <c r="AP168" s="121" t="s">
        <v>198</v>
      </c>
      <c r="AQ168" s="126">
        <v>0.18</v>
      </c>
      <c r="AR168" s="121" t="s">
        <v>198</v>
      </c>
      <c r="AS168" s="126">
        <v>0.13</v>
      </c>
      <c r="AT168" s="121" t="s">
        <v>198</v>
      </c>
      <c r="AU168" s="126">
        <v>0.13</v>
      </c>
      <c r="AV168" s="121" t="s">
        <v>198</v>
      </c>
      <c r="AW168" s="126">
        <v>0.13</v>
      </c>
      <c r="AX168" s="121" t="s">
        <v>198</v>
      </c>
      <c r="AY168" s="142">
        <v>0.2</v>
      </c>
      <c r="AZ168" s="121" t="s">
        <v>198</v>
      </c>
      <c r="BA168" s="142">
        <v>0.2</v>
      </c>
      <c r="BB168" s="121" t="s">
        <v>198</v>
      </c>
      <c r="BC168" s="142">
        <v>0.11</v>
      </c>
      <c r="BD168" s="121" t="s">
        <v>198</v>
      </c>
      <c r="BE168" s="142">
        <v>0.17</v>
      </c>
      <c r="BF168" s="121" t="s">
        <v>198</v>
      </c>
      <c r="BG168" s="206">
        <v>0.05</v>
      </c>
      <c r="BH168" s="121" t="s">
        <v>198</v>
      </c>
      <c r="BI168" s="206">
        <v>7.0000000000000007E-2</v>
      </c>
      <c r="BJ168" s="121" t="s">
        <v>198</v>
      </c>
      <c r="BK168" s="210">
        <f>3/45</f>
        <v>6.6666666666666666E-2</v>
      </c>
      <c r="BL168" s="128" t="str">
        <f>IF(BK168="NA","NA",IF(BK168="Not Reported","Not Reported",IF(BK168&gt;$L$168,"Not Met","Met")))</f>
        <v>Met</v>
      </c>
      <c r="BM168" s="272">
        <f>3/42</f>
        <v>7.1428571428571425E-2</v>
      </c>
      <c r="BN168" s="121" t="str">
        <f>IF(BM168="NA","NA",IF(BM168="Not Reported","Not Reported",IF(BM168&gt;$L$168,"Not Met","Met")))</f>
        <v>Met</v>
      </c>
      <c r="BO168" s="327">
        <v>0</v>
      </c>
      <c r="BP168" s="121" t="s">
        <v>198</v>
      </c>
      <c r="BQ168" s="327">
        <f>7/97</f>
        <v>7.2164948453608241E-2</v>
      </c>
      <c r="BR168" s="121" t="s">
        <v>198</v>
      </c>
      <c r="BS168" s="393">
        <v>0.13</v>
      </c>
      <c r="BT168" s="121" t="str">
        <f>IF(BS168="NA","NA",IF(BS168="Not Reported","Not Reported",IF(BS168&gt;$L$168,"Not Met","Met")))</f>
        <v>Met</v>
      </c>
      <c r="BU168" s="327">
        <f>42/333</f>
        <v>0.12612612612612611</v>
      </c>
      <c r="BV168" s="121" t="str">
        <f>IF(BU168="NA","NA",IF(BU168="Not Reported","Not Reported",IF(BU168&gt;$L$168,"Not Met","Met")))</f>
        <v>Met</v>
      </c>
    </row>
    <row r="169" spans="1:74" x14ac:dyDescent="0.25">
      <c r="A169" s="121">
        <v>168</v>
      </c>
      <c r="B169" s="122" t="s">
        <v>22</v>
      </c>
      <c r="C169" s="122" t="s">
        <v>901</v>
      </c>
      <c r="D169" s="123" t="s">
        <v>102</v>
      </c>
      <c r="E169" s="123" t="s">
        <v>900</v>
      </c>
      <c r="F169" s="123" t="s">
        <v>190</v>
      </c>
      <c r="G169" s="122" t="s">
        <v>273</v>
      </c>
      <c r="H169" s="122" t="s">
        <v>192</v>
      </c>
      <c r="I169" s="123" t="s">
        <v>296</v>
      </c>
      <c r="J169" s="123" t="s">
        <v>296</v>
      </c>
      <c r="K169" s="145" t="s">
        <v>296</v>
      </c>
      <c r="L169" s="128">
        <v>0.6</v>
      </c>
      <c r="M169" s="128">
        <v>0.6</v>
      </c>
      <c r="N169" s="145" t="s">
        <v>368</v>
      </c>
      <c r="O169" s="145" t="s">
        <v>369</v>
      </c>
      <c r="P169" s="123" t="s">
        <v>207</v>
      </c>
      <c r="Q169" s="146">
        <v>0.12</v>
      </c>
      <c r="R169" s="147" t="s">
        <v>251</v>
      </c>
      <c r="S169" s="146">
        <v>0.86</v>
      </c>
      <c r="T169" s="121" t="s">
        <v>198</v>
      </c>
      <c r="U169" s="146">
        <v>0.8</v>
      </c>
      <c r="V169" s="121" t="s">
        <v>198</v>
      </c>
      <c r="W169" s="146">
        <v>0.76</v>
      </c>
      <c r="X169" s="121" t="s">
        <v>198</v>
      </c>
      <c r="Y169" s="126">
        <v>0.79</v>
      </c>
      <c r="Z169" s="121" t="s">
        <v>198</v>
      </c>
      <c r="AA169" s="126">
        <v>0.66</v>
      </c>
      <c r="AB169" s="121" t="s">
        <v>198</v>
      </c>
      <c r="AC169" s="126">
        <v>0.63</v>
      </c>
      <c r="AD169" s="121" t="s">
        <v>198</v>
      </c>
      <c r="AE169" s="126">
        <v>0.79</v>
      </c>
      <c r="AF169" s="121" t="s">
        <v>198</v>
      </c>
      <c r="AG169" s="126">
        <v>0.77</v>
      </c>
      <c r="AH169" s="121" t="s">
        <v>198</v>
      </c>
      <c r="AI169" s="126">
        <v>1</v>
      </c>
      <c r="AJ169" s="121" t="s">
        <v>198</v>
      </c>
      <c r="AK169" s="126">
        <v>0.83</v>
      </c>
      <c r="AL169" s="121" t="s">
        <v>198</v>
      </c>
      <c r="AM169" s="126">
        <v>0.56999999999999995</v>
      </c>
      <c r="AN169" s="121" t="s">
        <v>251</v>
      </c>
      <c r="AO169" s="126">
        <v>0.44</v>
      </c>
      <c r="AP169" s="121" t="s">
        <v>251</v>
      </c>
      <c r="AQ169" s="126">
        <v>0.54</v>
      </c>
      <c r="AR169" s="121" t="s">
        <v>251</v>
      </c>
      <c r="AS169" s="126">
        <v>0.6</v>
      </c>
      <c r="AT169" s="121" t="s">
        <v>198</v>
      </c>
      <c r="AU169" s="126">
        <v>0.72</v>
      </c>
      <c r="AV169" s="121" t="s">
        <v>198</v>
      </c>
      <c r="AW169" s="126">
        <v>0.62</v>
      </c>
      <c r="AX169" s="121" t="s">
        <v>198</v>
      </c>
      <c r="AY169" s="142">
        <v>0.67</v>
      </c>
      <c r="AZ169" s="121" t="s">
        <v>198</v>
      </c>
      <c r="BA169" s="142">
        <v>0.66</v>
      </c>
      <c r="BB169" s="121" t="s">
        <v>198</v>
      </c>
      <c r="BC169" s="142">
        <v>0.67</v>
      </c>
      <c r="BD169" s="121" t="s">
        <v>198</v>
      </c>
      <c r="BE169" s="142">
        <v>0.67</v>
      </c>
      <c r="BF169" s="121" t="s">
        <v>198</v>
      </c>
      <c r="BG169" s="206">
        <v>0.49</v>
      </c>
      <c r="BH169" s="121" t="s">
        <v>251</v>
      </c>
      <c r="BI169" s="206">
        <v>0.57999999999999996</v>
      </c>
      <c r="BJ169" s="121" t="s">
        <v>251</v>
      </c>
      <c r="BK169" s="206">
        <v>0.63</v>
      </c>
      <c r="BL169" s="128" t="str">
        <f>IF(BK169="NA","NA",IF(BK169="Not Reported","Not Reported",IF(BK169&lt;$L$169,"Not Met","Met")))</f>
        <v>Met</v>
      </c>
      <c r="BM169" s="271">
        <v>0.6</v>
      </c>
      <c r="BN169" s="121" t="str">
        <f>IF(BM169="NA","NA",IF(BM169="Not Reported","Not Reported",IF(BM169&lt;$L$169,"Not Met","Met")))</f>
        <v>Met</v>
      </c>
      <c r="BO169" s="327">
        <v>0.19</v>
      </c>
      <c r="BP169" s="121" t="s">
        <v>251</v>
      </c>
      <c r="BQ169" s="327">
        <v>0.51</v>
      </c>
      <c r="BR169" s="121" t="s">
        <v>251</v>
      </c>
      <c r="BS169" s="393">
        <v>0.47</v>
      </c>
      <c r="BT169" s="121" t="str">
        <f>IF(BS169="NA","NA",IF(BS169="Not Reported","Not Reported",IF(BS169&lt;$L$169,"Not Met","Met")))</f>
        <v>Not Met</v>
      </c>
      <c r="BU169" s="327">
        <v>0.65</v>
      </c>
      <c r="BV169" s="121" t="str">
        <f>IF(BU169="NA","NA",IF(BU169="Not Reported","Not Reported",IF(BU169&lt;$L$169,"Not Met","Met")))</f>
        <v>Met</v>
      </c>
    </row>
    <row r="170" spans="1:74" x14ac:dyDescent="0.25">
      <c r="A170" s="121">
        <v>169</v>
      </c>
      <c r="B170" s="122" t="s">
        <v>22</v>
      </c>
      <c r="C170" s="122" t="s">
        <v>901</v>
      </c>
      <c r="D170" s="123" t="s">
        <v>102</v>
      </c>
      <c r="E170" s="123" t="s">
        <v>900</v>
      </c>
      <c r="F170" s="123" t="s">
        <v>190</v>
      </c>
      <c r="G170" s="122" t="s">
        <v>191</v>
      </c>
      <c r="H170" s="122" t="s">
        <v>192</v>
      </c>
      <c r="I170" s="123" t="s">
        <v>640</v>
      </c>
      <c r="J170" s="124" t="s">
        <v>214</v>
      </c>
      <c r="K170" s="145" t="s">
        <v>641</v>
      </c>
      <c r="L170" s="128">
        <v>1</v>
      </c>
      <c r="M170" s="128">
        <v>1</v>
      </c>
      <c r="N170" s="145"/>
      <c r="O170" s="145"/>
      <c r="P170" s="123" t="s">
        <v>207</v>
      </c>
      <c r="Q170" s="146"/>
      <c r="R170" s="147"/>
      <c r="S170" s="146"/>
      <c r="T170" s="121"/>
      <c r="U170" s="146"/>
      <c r="V170" s="121"/>
      <c r="W170" s="146" t="s">
        <v>11</v>
      </c>
      <c r="X170" s="146" t="s">
        <v>11</v>
      </c>
      <c r="Y170" s="126">
        <v>0.92</v>
      </c>
      <c r="Z170" s="121" t="s">
        <v>251</v>
      </c>
      <c r="AA170" s="126">
        <v>0.48</v>
      </c>
      <c r="AB170" s="147" t="s">
        <v>251</v>
      </c>
      <c r="AC170" s="126">
        <v>0.85</v>
      </c>
      <c r="AD170" s="121" t="s">
        <v>251</v>
      </c>
      <c r="AE170" s="126">
        <v>2.65</v>
      </c>
      <c r="AF170" s="121" t="s">
        <v>198</v>
      </c>
      <c r="AG170" s="126">
        <v>1.58</v>
      </c>
      <c r="AH170" s="121" t="s">
        <v>198</v>
      </c>
      <c r="AI170" s="126">
        <v>0.41</v>
      </c>
      <c r="AJ170" s="147" t="s">
        <v>251</v>
      </c>
      <c r="AK170" s="126">
        <v>1.62</v>
      </c>
      <c r="AL170" s="121" t="s">
        <v>198</v>
      </c>
      <c r="AM170" s="126">
        <v>1.1100000000000001</v>
      </c>
      <c r="AN170" s="121" t="s">
        <v>198</v>
      </c>
      <c r="AO170" s="126">
        <v>0.89</v>
      </c>
      <c r="AP170" s="121" t="s">
        <v>251</v>
      </c>
      <c r="AQ170" s="126">
        <v>1.04</v>
      </c>
      <c r="AR170" s="121" t="s">
        <v>198</v>
      </c>
      <c r="AS170" s="126">
        <v>1</v>
      </c>
      <c r="AT170" s="121" t="s">
        <v>198</v>
      </c>
      <c r="AU170" s="126">
        <v>0.72</v>
      </c>
      <c r="AV170" s="121" t="s">
        <v>251</v>
      </c>
      <c r="AW170" s="126">
        <v>1.7</v>
      </c>
      <c r="AX170" s="121" t="s">
        <v>198</v>
      </c>
      <c r="AY170" s="142">
        <v>1.21</v>
      </c>
      <c r="AZ170" s="121" t="s">
        <v>198</v>
      </c>
      <c r="BA170" s="142">
        <v>1.58</v>
      </c>
      <c r="BB170" s="121" t="s">
        <v>198</v>
      </c>
      <c r="BC170" s="127" t="s">
        <v>11</v>
      </c>
      <c r="BD170" s="128" t="s">
        <v>11</v>
      </c>
      <c r="BE170" s="127" t="s">
        <v>11</v>
      </c>
      <c r="BF170" s="127" t="s">
        <v>11</v>
      </c>
      <c r="BG170" s="205" t="s">
        <v>11</v>
      </c>
      <c r="BH170" s="128" t="s">
        <v>11</v>
      </c>
      <c r="BI170" s="205" t="s">
        <v>11</v>
      </c>
      <c r="BJ170" s="128" t="s">
        <v>11</v>
      </c>
      <c r="BK170" s="205" t="s">
        <v>11</v>
      </c>
      <c r="BL170" s="121" t="str">
        <f>IF(BK170="NA","NA",IF(BK170="Not Reported","Not Reported",IF(BK170&lt;$L$170,"Not Met","Met")))</f>
        <v>NA</v>
      </c>
      <c r="BM170" s="205" t="s">
        <v>11</v>
      </c>
      <c r="BN170" s="121" t="str">
        <f>IF(BM170="NA","NA",IF(BM170="Not Reported","Not Reported",IF(BM170&lt;$L$170,"Not Met","Met")))</f>
        <v>NA</v>
      </c>
      <c r="BO170" s="205" t="s">
        <v>11</v>
      </c>
      <c r="BP170" s="121" t="s">
        <v>11</v>
      </c>
      <c r="BQ170" s="205" t="s">
        <v>11</v>
      </c>
      <c r="BR170" s="121" t="s">
        <v>11</v>
      </c>
      <c r="BS170" s="326" t="s">
        <v>11</v>
      </c>
      <c r="BT170" s="121" t="str">
        <f>IF(BS170="NA","NA",IF(BS170="Not Reported","Not Reported",IF(BS170&lt;$L$170,"Not Met","Met")))</f>
        <v>NA</v>
      </c>
      <c r="BU170" s="415" t="s">
        <v>11</v>
      </c>
      <c r="BV170" s="121" t="str">
        <f>IF(BU170="NA","NA",IF(BU170="Not Reported","Not Reported",IF(BU170&lt;$L$170,"Not Met","Met")))</f>
        <v>NA</v>
      </c>
    </row>
    <row r="171" spans="1:74" x14ac:dyDescent="0.2">
      <c r="A171" s="121">
        <v>170</v>
      </c>
      <c r="B171" s="122" t="s">
        <v>12</v>
      </c>
      <c r="C171" s="122" t="s">
        <v>901</v>
      </c>
      <c r="D171" s="123" t="s">
        <v>102</v>
      </c>
      <c r="E171" s="123" t="s">
        <v>900</v>
      </c>
      <c r="F171" s="123" t="s">
        <v>190</v>
      </c>
      <c r="G171" s="122" t="s">
        <v>191</v>
      </c>
      <c r="H171" s="122" t="s">
        <v>192</v>
      </c>
      <c r="I171" s="124" t="s">
        <v>274</v>
      </c>
      <c r="J171" s="124" t="s">
        <v>214</v>
      </c>
      <c r="K171" s="145" t="s">
        <v>274</v>
      </c>
      <c r="L171" s="147">
        <v>120</v>
      </c>
      <c r="M171" s="147" t="s">
        <v>876</v>
      </c>
      <c r="N171" s="122" t="s">
        <v>528</v>
      </c>
      <c r="O171" s="122" t="s">
        <v>528</v>
      </c>
      <c r="P171" s="122" t="s">
        <v>207</v>
      </c>
      <c r="Q171" s="162">
        <v>102</v>
      </c>
      <c r="R171" s="121" t="s">
        <v>198</v>
      </c>
      <c r="S171" s="162">
        <v>117</v>
      </c>
      <c r="T171" s="121" t="s">
        <v>198</v>
      </c>
      <c r="U171" s="162" t="s">
        <v>642</v>
      </c>
      <c r="V171" s="121" t="s">
        <v>198</v>
      </c>
      <c r="W171" s="162" t="s">
        <v>535</v>
      </c>
      <c r="X171" s="147" t="s">
        <v>251</v>
      </c>
      <c r="Y171" s="162">
        <v>108</v>
      </c>
      <c r="Z171" s="121" t="s">
        <v>198</v>
      </c>
      <c r="AA171" s="162" t="s">
        <v>643</v>
      </c>
      <c r="AB171" s="121" t="s">
        <v>198</v>
      </c>
      <c r="AC171" s="121" t="s">
        <v>256</v>
      </c>
      <c r="AD171" s="121" t="s">
        <v>61</v>
      </c>
      <c r="AE171" s="162">
        <v>113</v>
      </c>
      <c r="AF171" s="121" t="s">
        <v>198</v>
      </c>
      <c r="AG171" s="162">
        <v>113</v>
      </c>
      <c r="AH171" s="121" t="s">
        <v>198</v>
      </c>
      <c r="AI171" s="162">
        <v>100</v>
      </c>
      <c r="AJ171" s="121" t="s">
        <v>198</v>
      </c>
      <c r="AK171" s="121" t="s">
        <v>61</v>
      </c>
      <c r="AL171" s="121" t="s">
        <v>61</v>
      </c>
      <c r="AM171" s="162">
        <v>112</v>
      </c>
      <c r="AN171" s="121" t="s">
        <v>198</v>
      </c>
      <c r="AO171" s="162">
        <v>117</v>
      </c>
      <c r="AP171" s="121" t="s">
        <v>198</v>
      </c>
      <c r="AQ171" s="196">
        <v>132</v>
      </c>
      <c r="AR171" s="121" t="s">
        <v>251</v>
      </c>
      <c r="AS171" s="196">
        <v>119</v>
      </c>
      <c r="AT171" s="121" t="s">
        <v>198</v>
      </c>
      <c r="AU171" s="147">
        <v>107</v>
      </c>
      <c r="AV171" s="121" t="s">
        <v>198</v>
      </c>
      <c r="AW171" s="162">
        <v>102</v>
      </c>
      <c r="AX171" s="121" t="s">
        <v>198</v>
      </c>
      <c r="AY171" s="162">
        <v>115</v>
      </c>
      <c r="AZ171" s="121" t="s">
        <v>198</v>
      </c>
      <c r="BA171" s="162">
        <v>108</v>
      </c>
      <c r="BB171" s="121" t="s">
        <v>198</v>
      </c>
      <c r="BC171" s="162">
        <v>90</v>
      </c>
      <c r="BD171" s="121" t="s">
        <v>198</v>
      </c>
      <c r="BE171" s="162">
        <v>97</v>
      </c>
      <c r="BF171" s="121" t="s">
        <v>198</v>
      </c>
      <c r="BG171" s="162">
        <v>101</v>
      </c>
      <c r="BH171" s="121" t="s">
        <v>198</v>
      </c>
      <c r="BI171" s="162">
        <v>108</v>
      </c>
      <c r="BJ171" s="121" t="s">
        <v>198</v>
      </c>
      <c r="BK171" s="162">
        <v>108</v>
      </c>
      <c r="BL171" s="121" t="str">
        <f>IF(BK171="NA","NA",IF(BK171="Not Reported","Not Reported",IF(BK171&gt;$L$171,"Not Met","Met")))</f>
        <v>Met</v>
      </c>
      <c r="BM171" s="258">
        <v>97</v>
      </c>
      <c r="BN171" s="121" t="str">
        <f>IF(BM171="NA","NA",IF(BM171="Not Reported","Not Reported",IF(BM171&gt;$L$171,"Not Met","Met")))</f>
        <v>Met</v>
      </c>
      <c r="BO171" s="121" t="s">
        <v>61</v>
      </c>
      <c r="BP171" s="121" t="s">
        <v>61</v>
      </c>
      <c r="BQ171" s="121" t="s">
        <v>61</v>
      </c>
      <c r="BR171" s="121" t="s">
        <v>61</v>
      </c>
      <c r="BS171" s="26">
        <v>87</v>
      </c>
      <c r="BT171" s="121" t="str">
        <f>IF(BS171="NA","NA",IF(BS171="Not Reported","Not Reported",IF(BS171&gt;$L$171,"Not Met","Met")))</f>
        <v>Met</v>
      </c>
      <c r="BU171" s="296">
        <v>101</v>
      </c>
      <c r="BV171" s="121" t="str">
        <f>IF(BU171="NA","NA",IF(BU171="Not Reported","Not Reported",IF(BU171&gt;$L$171,"Not Met","Met")))</f>
        <v>Met</v>
      </c>
    </row>
    <row r="172" spans="1:74" x14ac:dyDescent="0.2">
      <c r="A172" s="121">
        <v>171</v>
      </c>
      <c r="B172" s="122" t="s">
        <v>12</v>
      </c>
      <c r="C172" s="122" t="s">
        <v>901</v>
      </c>
      <c r="D172" s="123" t="s">
        <v>102</v>
      </c>
      <c r="E172" s="123" t="s">
        <v>900</v>
      </c>
      <c r="F172" s="123" t="s">
        <v>190</v>
      </c>
      <c r="G172" s="122" t="s">
        <v>191</v>
      </c>
      <c r="H172" s="122" t="s">
        <v>192</v>
      </c>
      <c r="I172" s="124" t="s">
        <v>213</v>
      </c>
      <c r="J172" s="124" t="s">
        <v>214</v>
      </c>
      <c r="K172" s="129" t="s">
        <v>213</v>
      </c>
      <c r="L172" s="147">
        <v>60</v>
      </c>
      <c r="M172" s="147" t="s">
        <v>579</v>
      </c>
      <c r="N172" s="122" t="s">
        <v>567</v>
      </c>
      <c r="O172" s="122" t="s">
        <v>567</v>
      </c>
      <c r="P172" s="122" t="s">
        <v>207</v>
      </c>
      <c r="Q172" s="162">
        <v>58</v>
      </c>
      <c r="R172" s="121" t="s">
        <v>198</v>
      </c>
      <c r="S172" s="162">
        <v>48</v>
      </c>
      <c r="T172" s="121" t="s">
        <v>198</v>
      </c>
      <c r="U172" s="162" t="s">
        <v>570</v>
      </c>
      <c r="V172" s="121" t="s">
        <v>198</v>
      </c>
      <c r="W172" s="162" t="s">
        <v>644</v>
      </c>
      <c r="X172" s="121" t="s">
        <v>198</v>
      </c>
      <c r="Y172" s="162">
        <v>42</v>
      </c>
      <c r="Z172" s="121" t="s">
        <v>198</v>
      </c>
      <c r="AA172" s="162" t="s">
        <v>278</v>
      </c>
      <c r="AB172" s="121" t="s">
        <v>198</v>
      </c>
      <c r="AC172" s="121" t="s">
        <v>256</v>
      </c>
      <c r="AD172" s="121" t="s">
        <v>61</v>
      </c>
      <c r="AE172" s="162">
        <v>44</v>
      </c>
      <c r="AF172" s="121" t="s">
        <v>198</v>
      </c>
      <c r="AG172" s="162">
        <v>37</v>
      </c>
      <c r="AH172" s="121" t="s">
        <v>198</v>
      </c>
      <c r="AI172" s="162">
        <v>54</v>
      </c>
      <c r="AJ172" s="121" t="s">
        <v>198</v>
      </c>
      <c r="AK172" s="121" t="s">
        <v>61</v>
      </c>
      <c r="AL172" s="121" t="s">
        <v>61</v>
      </c>
      <c r="AM172" s="162">
        <v>48</v>
      </c>
      <c r="AN172" s="121" t="s">
        <v>198</v>
      </c>
      <c r="AO172" s="162">
        <v>54</v>
      </c>
      <c r="AP172" s="121" t="s">
        <v>198</v>
      </c>
      <c r="AQ172" s="196">
        <v>62</v>
      </c>
      <c r="AR172" s="121" t="s">
        <v>251</v>
      </c>
      <c r="AS172" s="196">
        <v>56</v>
      </c>
      <c r="AT172" s="121" t="s">
        <v>198</v>
      </c>
      <c r="AU172" s="147">
        <v>51</v>
      </c>
      <c r="AV172" s="121" t="s">
        <v>198</v>
      </c>
      <c r="AW172" s="162">
        <v>19</v>
      </c>
      <c r="AX172" s="121" t="s">
        <v>198</v>
      </c>
      <c r="AY172" s="162">
        <v>35</v>
      </c>
      <c r="AZ172" s="121" t="s">
        <v>198</v>
      </c>
      <c r="BA172" s="162">
        <v>35</v>
      </c>
      <c r="BB172" s="121" t="s">
        <v>198</v>
      </c>
      <c r="BC172" s="162">
        <v>37</v>
      </c>
      <c r="BD172" s="121" t="s">
        <v>198</v>
      </c>
      <c r="BE172" s="162">
        <v>43</v>
      </c>
      <c r="BF172" s="121" t="s">
        <v>198</v>
      </c>
      <c r="BG172" s="162">
        <v>41</v>
      </c>
      <c r="BH172" s="121" t="s">
        <v>198</v>
      </c>
      <c r="BI172" s="162">
        <v>48</v>
      </c>
      <c r="BJ172" s="121" t="s">
        <v>198</v>
      </c>
      <c r="BK172" s="162">
        <v>48</v>
      </c>
      <c r="BL172" s="121" t="str">
        <f>IF(BK172="NA","NA",IF(BK172="Not Reported","Not Reported",IF(BK172&gt;$L$172,"Not Met","Met")))</f>
        <v>Met</v>
      </c>
      <c r="BM172" s="258">
        <v>47</v>
      </c>
      <c r="BN172" s="121" t="str">
        <f>IF(BM172="NA","NA",IF(BM172="Not Reported","Not Reported",IF(BM172&gt;$L$172,"Not Met","Met")))</f>
        <v>Met</v>
      </c>
      <c r="BO172" s="121" t="s">
        <v>61</v>
      </c>
      <c r="BP172" s="121" t="s">
        <v>61</v>
      </c>
      <c r="BQ172" s="121" t="s">
        <v>61</v>
      </c>
      <c r="BR172" s="121" t="s">
        <v>61</v>
      </c>
      <c r="BS172" s="26">
        <v>34</v>
      </c>
      <c r="BT172" s="121" t="str">
        <f>IF(BS172="NA","NA",IF(BS172="Not Reported","Not Reported",IF(BS172&gt;$L$172,"Not Met","Met")))</f>
        <v>Met</v>
      </c>
      <c r="BU172" s="296">
        <v>40</v>
      </c>
      <c r="BV172" s="121" t="str">
        <f>IF(BU172="NA","NA",IF(BU172="Not Reported","Not Reported",IF(BU172&gt;$L$172,"Not Met","Met")))</f>
        <v>Met</v>
      </c>
    </row>
    <row r="173" spans="1:74" x14ac:dyDescent="0.2">
      <c r="A173" s="121">
        <v>172</v>
      </c>
      <c r="B173" s="122" t="s">
        <v>12</v>
      </c>
      <c r="C173" s="122" t="s">
        <v>901</v>
      </c>
      <c r="D173" s="123" t="s">
        <v>102</v>
      </c>
      <c r="E173" s="123" t="s">
        <v>900</v>
      </c>
      <c r="F173" s="123" t="s">
        <v>190</v>
      </c>
      <c r="G173" s="122" t="s">
        <v>191</v>
      </c>
      <c r="H173" s="122" t="s">
        <v>192</v>
      </c>
      <c r="I173" s="124" t="s">
        <v>313</v>
      </c>
      <c r="J173" s="124" t="s">
        <v>313</v>
      </c>
      <c r="K173" s="123" t="s">
        <v>572</v>
      </c>
      <c r="L173" s="146">
        <v>0.8</v>
      </c>
      <c r="M173" s="146">
        <v>0.8</v>
      </c>
      <c r="N173" s="122" t="s">
        <v>541</v>
      </c>
      <c r="O173" s="122" t="s">
        <v>541</v>
      </c>
      <c r="P173" s="123" t="s">
        <v>207</v>
      </c>
      <c r="Q173" s="128">
        <f>17/17</f>
        <v>1</v>
      </c>
      <c r="R173" s="121" t="s">
        <v>198</v>
      </c>
      <c r="S173" s="128">
        <v>0.92307692307692313</v>
      </c>
      <c r="T173" s="121" t="s">
        <v>198</v>
      </c>
      <c r="U173" s="128">
        <v>1</v>
      </c>
      <c r="V173" s="121" t="s">
        <v>198</v>
      </c>
      <c r="W173" s="128">
        <f>19/20</f>
        <v>0.95</v>
      </c>
      <c r="X173" s="121" t="s">
        <v>198</v>
      </c>
      <c r="Y173" s="128">
        <f>27/32</f>
        <v>0.84375</v>
      </c>
      <c r="Z173" s="121" t="s">
        <v>198</v>
      </c>
      <c r="AA173" s="128">
        <f>21/25</f>
        <v>0.84</v>
      </c>
      <c r="AB173" s="121" t="s">
        <v>198</v>
      </c>
      <c r="AC173" s="121" t="s">
        <v>256</v>
      </c>
      <c r="AD173" s="121" t="s">
        <v>61</v>
      </c>
      <c r="AE173" s="128">
        <f>26/29</f>
        <v>0.89655172413793105</v>
      </c>
      <c r="AF173" s="121" t="s">
        <v>198</v>
      </c>
      <c r="AG173" s="128">
        <v>0.95833333333333337</v>
      </c>
      <c r="AH173" s="121" t="s">
        <v>198</v>
      </c>
      <c r="AI173" s="128">
        <f>25/26</f>
        <v>0.96153846153846156</v>
      </c>
      <c r="AJ173" s="121" t="s">
        <v>198</v>
      </c>
      <c r="AK173" s="121" t="s">
        <v>61</v>
      </c>
      <c r="AL173" s="121" t="s">
        <v>61</v>
      </c>
      <c r="AM173" s="178">
        <v>0.96</v>
      </c>
      <c r="AN173" s="121" t="s">
        <v>198</v>
      </c>
      <c r="AO173" s="178">
        <v>0.88</v>
      </c>
      <c r="AP173" s="121" t="s">
        <v>198</v>
      </c>
      <c r="AQ173" s="143">
        <f>20/22</f>
        <v>0.90909090909090906</v>
      </c>
      <c r="AR173" s="121" t="s">
        <v>198</v>
      </c>
      <c r="AS173" s="143">
        <f>68/74</f>
        <v>0.91891891891891897</v>
      </c>
      <c r="AT173" s="121" t="s">
        <v>198</v>
      </c>
      <c r="AU173" s="146">
        <v>0.86</v>
      </c>
      <c r="AV173" s="121" t="s">
        <v>198</v>
      </c>
      <c r="AW173" s="128">
        <f>18/18</f>
        <v>1</v>
      </c>
      <c r="AX173" s="121" t="s">
        <v>198</v>
      </c>
      <c r="AY173" s="128">
        <f>19/22</f>
        <v>0.86363636363636365</v>
      </c>
      <c r="AZ173" s="121" t="s">
        <v>198</v>
      </c>
      <c r="BA173" s="128">
        <f>43/47</f>
        <v>0.91489361702127658</v>
      </c>
      <c r="BB173" s="121" t="s">
        <v>198</v>
      </c>
      <c r="BC173" s="128">
        <f>23/29</f>
        <v>0.7931034482758621</v>
      </c>
      <c r="BD173" s="121" t="s">
        <v>251</v>
      </c>
      <c r="BE173" s="128">
        <f>21/26</f>
        <v>0.80769230769230771</v>
      </c>
      <c r="BF173" s="121" t="s">
        <v>198</v>
      </c>
      <c r="BG173" s="211">
        <f>37/38</f>
        <v>0.97368421052631582</v>
      </c>
      <c r="BH173" s="121" t="s">
        <v>198</v>
      </c>
      <c r="BI173" s="211">
        <f>13/13</f>
        <v>1</v>
      </c>
      <c r="BJ173" s="121" t="s">
        <v>198</v>
      </c>
      <c r="BK173" s="211">
        <f>13/13</f>
        <v>1</v>
      </c>
      <c r="BL173" s="121" t="str">
        <f>IF(BK173="NA","NA",IF(BK173="Not Reported","Not Reported",IF(BK173&lt;$L$173,"Not Met","Met")))</f>
        <v>Met</v>
      </c>
      <c r="BM173" s="262">
        <v>0.84</v>
      </c>
      <c r="BN173" s="121" t="str">
        <f>IF(BM173="NA","NA",IF(BM173="Not Reported","Not Reported",IF(BM173&lt;$L$173,"Not Met","Met")))</f>
        <v>Met</v>
      </c>
      <c r="BO173" s="121" t="s">
        <v>61</v>
      </c>
      <c r="BP173" s="121" t="s">
        <v>61</v>
      </c>
      <c r="BQ173" s="121" t="s">
        <v>61</v>
      </c>
      <c r="BR173" s="121" t="s">
        <v>61</v>
      </c>
      <c r="BS173" s="315">
        <v>0.93</v>
      </c>
      <c r="BT173" s="121" t="str">
        <f>IF(BS173="NA","NA",IF(BS173="Not Reported","Not Reported",IF(BS173&lt;$L$173,"Not Met","Met")))</f>
        <v>Met</v>
      </c>
      <c r="BU173" s="416">
        <f>138/154</f>
        <v>0.89610389610389607</v>
      </c>
      <c r="BV173" s="121" t="str">
        <f>IF(BU173="NA","NA",IF(BU173="Not Reported","Not Reported",IF(BU173&lt;$L$173,"Not Met","Met")))</f>
        <v>Met</v>
      </c>
    </row>
    <row r="174" spans="1:74" x14ac:dyDescent="0.2">
      <c r="A174" s="121">
        <v>173</v>
      </c>
      <c r="B174" s="122" t="s">
        <v>12</v>
      </c>
      <c r="C174" s="122" t="s">
        <v>901</v>
      </c>
      <c r="D174" s="123" t="s">
        <v>102</v>
      </c>
      <c r="E174" s="123" t="s">
        <v>900</v>
      </c>
      <c r="F174" s="123" t="s">
        <v>190</v>
      </c>
      <c r="G174" s="122" t="s">
        <v>191</v>
      </c>
      <c r="H174" s="122" t="s">
        <v>192</v>
      </c>
      <c r="I174" s="124"/>
      <c r="J174" s="124"/>
      <c r="K174" s="122" t="s">
        <v>585</v>
      </c>
      <c r="L174" s="152">
        <v>4.7222222222222221E-2</v>
      </c>
      <c r="M174" s="152">
        <v>4.7222222222222221E-2</v>
      </c>
      <c r="N174" s="122" t="s">
        <v>529</v>
      </c>
      <c r="O174" s="122" t="s">
        <v>529</v>
      </c>
      <c r="P174" s="122" t="s">
        <v>207</v>
      </c>
      <c r="Q174" s="192">
        <v>4.3749999999999997E-2</v>
      </c>
      <c r="R174" s="121" t="s">
        <v>198</v>
      </c>
      <c r="S174" s="192">
        <v>4.3749999999999997E-2</v>
      </c>
      <c r="T174" s="121" t="s">
        <v>198</v>
      </c>
      <c r="U174" s="192">
        <v>4.4444444444444446E-2</v>
      </c>
      <c r="V174" s="121" t="s">
        <v>198</v>
      </c>
      <c r="W174" s="192">
        <v>4.3055555555555555E-2</v>
      </c>
      <c r="X174" s="121" t="s">
        <v>198</v>
      </c>
      <c r="Y174" s="192">
        <v>4.5138888888888888E-2</v>
      </c>
      <c r="Z174" s="121" t="s">
        <v>198</v>
      </c>
      <c r="AA174" s="192">
        <v>4.3055555555555555E-2</v>
      </c>
      <c r="AB174" s="121" t="s">
        <v>198</v>
      </c>
      <c r="AC174" s="121" t="s">
        <v>256</v>
      </c>
      <c r="AD174" s="121" t="s">
        <v>61</v>
      </c>
      <c r="AE174" s="192">
        <v>4.583333333333333E-2</v>
      </c>
      <c r="AF174" s="121" t="s">
        <v>198</v>
      </c>
      <c r="AG174" s="192">
        <v>4.3749999999999997E-2</v>
      </c>
      <c r="AH174" s="121" t="s">
        <v>198</v>
      </c>
      <c r="AI174" s="192">
        <v>4.4444444444444446E-2</v>
      </c>
      <c r="AJ174" s="121" t="s">
        <v>198</v>
      </c>
      <c r="AK174" s="121" t="s">
        <v>61</v>
      </c>
      <c r="AL174" s="121" t="s">
        <v>61</v>
      </c>
      <c r="AM174" s="152">
        <v>4.3749999999999997E-2</v>
      </c>
      <c r="AN174" s="121" t="s">
        <v>198</v>
      </c>
      <c r="AO174" s="152">
        <v>4.583333333333333E-2</v>
      </c>
      <c r="AP174" s="121" t="s">
        <v>198</v>
      </c>
      <c r="AQ174" s="152">
        <v>4.3749999999999997E-2</v>
      </c>
      <c r="AR174" s="121" t="s">
        <v>198</v>
      </c>
      <c r="AS174" s="152">
        <v>4.4444444444444446E-2</v>
      </c>
      <c r="AT174" s="121" t="s">
        <v>198</v>
      </c>
      <c r="AU174" s="152">
        <v>4.7222222222222221E-2</v>
      </c>
      <c r="AV174" s="121" t="s">
        <v>198</v>
      </c>
      <c r="AW174" s="192">
        <v>4.3749999999999997E-2</v>
      </c>
      <c r="AX174" s="121" t="s">
        <v>198</v>
      </c>
      <c r="AY174" s="192">
        <v>4.3749999999999997E-2</v>
      </c>
      <c r="AZ174" s="121" t="s">
        <v>198</v>
      </c>
      <c r="BA174" s="192">
        <v>4.4444444444444446E-2</v>
      </c>
      <c r="BB174" s="121" t="s">
        <v>198</v>
      </c>
      <c r="BC174" s="192">
        <v>4.3055555555555555E-2</v>
      </c>
      <c r="BD174" s="121" t="s">
        <v>198</v>
      </c>
      <c r="BE174" s="192">
        <v>4.3055555555555555E-2</v>
      </c>
      <c r="BF174" s="121" t="s">
        <v>198</v>
      </c>
      <c r="BG174" s="192">
        <v>4.3749999999999997E-2</v>
      </c>
      <c r="BH174" s="121" t="s">
        <v>198</v>
      </c>
      <c r="BI174" s="192">
        <v>4.5138888888888888E-2</v>
      </c>
      <c r="BJ174" s="121" t="s">
        <v>198</v>
      </c>
      <c r="BK174" s="192">
        <v>4.5138888888888888E-2</v>
      </c>
      <c r="BL174" s="121" t="str">
        <f>IF(BK174="NA","NA",IF(BK174="Not Reported","Not Reported",IF(BK174&gt;$L$174,"Not Met","Met")))</f>
        <v>Met</v>
      </c>
      <c r="BM174" s="269">
        <v>4.4444444444444446E-2</v>
      </c>
      <c r="BN174" s="121" t="str">
        <f>IF(BM174="NA","NA",IF(BM174="Not Reported","Not Reported",IF(BM174&gt;$L$174,"Not Met","Met")))</f>
        <v>Met</v>
      </c>
      <c r="BO174" s="121" t="s">
        <v>61</v>
      </c>
      <c r="BP174" s="121" t="s">
        <v>61</v>
      </c>
      <c r="BQ174" s="121" t="s">
        <v>61</v>
      </c>
      <c r="BR174" s="121" t="s">
        <v>61</v>
      </c>
      <c r="BS174" s="320">
        <v>4.3055555555555555E-2</v>
      </c>
      <c r="BT174" s="121" t="str">
        <f>IF(BS174="NA","NA",IF(BS174="Not Reported","Not Reported",IF(BS174&gt;$L$174,"Not Met","Met")))</f>
        <v>Met</v>
      </c>
      <c r="BU174" s="408">
        <v>4.3749999999999997E-2</v>
      </c>
      <c r="BV174" s="121" t="str">
        <f>IF(BU174="NA","NA",IF(BU174="Not Reported","Not Reported",IF(BU174&gt;$L$174,"Not Met","Met")))</f>
        <v>Met</v>
      </c>
    </row>
    <row r="175" spans="1:74" x14ac:dyDescent="0.2">
      <c r="A175" s="121">
        <v>174</v>
      </c>
      <c r="B175" s="122" t="s">
        <v>12</v>
      </c>
      <c r="C175" s="122" t="s">
        <v>901</v>
      </c>
      <c r="D175" s="123" t="s">
        <v>102</v>
      </c>
      <c r="E175" s="123" t="s">
        <v>900</v>
      </c>
      <c r="F175" s="123" t="s">
        <v>190</v>
      </c>
      <c r="G175" s="122" t="s">
        <v>191</v>
      </c>
      <c r="H175" s="122" t="s">
        <v>192</v>
      </c>
      <c r="I175" s="124"/>
      <c r="J175" s="124"/>
      <c r="K175" s="122" t="s">
        <v>645</v>
      </c>
      <c r="L175" s="146">
        <v>0.15</v>
      </c>
      <c r="M175" s="146">
        <v>0.15</v>
      </c>
      <c r="N175" s="122" t="s">
        <v>600</v>
      </c>
      <c r="O175" s="122" t="s">
        <v>600</v>
      </c>
      <c r="P175" s="123" t="s">
        <v>207</v>
      </c>
      <c r="Q175" s="178">
        <f>8/17</f>
        <v>0.47058823529411764</v>
      </c>
      <c r="R175" s="121" t="s">
        <v>198</v>
      </c>
      <c r="S175" s="178">
        <v>0.45833333333333331</v>
      </c>
      <c r="T175" s="121" t="s">
        <v>198</v>
      </c>
      <c r="U175" s="178">
        <v>0.27586206896551724</v>
      </c>
      <c r="V175" s="121" t="s">
        <v>198</v>
      </c>
      <c r="W175" s="178">
        <f>11/19</f>
        <v>0.57894736842105265</v>
      </c>
      <c r="X175" s="121" t="s">
        <v>198</v>
      </c>
      <c r="Y175" s="178">
        <f>13/27</f>
        <v>0.48148148148148145</v>
      </c>
      <c r="Z175" s="121" t="s">
        <v>198</v>
      </c>
      <c r="AA175" s="178">
        <f>12/21</f>
        <v>0.5714285714285714</v>
      </c>
      <c r="AB175" s="121" t="s">
        <v>198</v>
      </c>
      <c r="AC175" s="121" t="s">
        <v>256</v>
      </c>
      <c r="AD175" s="121" t="s">
        <v>61</v>
      </c>
      <c r="AE175" s="178">
        <f>17/26</f>
        <v>0.65384615384615385</v>
      </c>
      <c r="AF175" s="121" t="s">
        <v>198</v>
      </c>
      <c r="AG175" s="178">
        <v>0.56521739130434778</v>
      </c>
      <c r="AH175" s="121" t="s">
        <v>198</v>
      </c>
      <c r="AI175" s="178">
        <f>14/25</f>
        <v>0.56000000000000005</v>
      </c>
      <c r="AJ175" s="121" t="s">
        <v>198</v>
      </c>
      <c r="AK175" s="121" t="s">
        <v>61</v>
      </c>
      <c r="AL175" s="121" t="s">
        <v>61</v>
      </c>
      <c r="AM175" s="178">
        <v>0.52</v>
      </c>
      <c r="AN175" s="121" t="s">
        <v>198</v>
      </c>
      <c r="AO175" s="178">
        <v>0.32</v>
      </c>
      <c r="AP175" s="121" t="s">
        <v>198</v>
      </c>
      <c r="AQ175" s="143">
        <f>6/20</f>
        <v>0.3</v>
      </c>
      <c r="AR175" s="121" t="s">
        <v>198</v>
      </c>
      <c r="AS175" s="143">
        <f>26/68</f>
        <v>0.38235294117647056</v>
      </c>
      <c r="AT175" s="121" t="s">
        <v>198</v>
      </c>
      <c r="AU175" s="128">
        <f>1/6</f>
        <v>0.16666666666666666</v>
      </c>
      <c r="AV175" s="121" t="s">
        <v>198</v>
      </c>
      <c r="AW175" s="178">
        <f>5/18</f>
        <v>0.27777777777777779</v>
      </c>
      <c r="AX175" s="121" t="s">
        <v>198</v>
      </c>
      <c r="AY175" s="178">
        <f>5/19</f>
        <v>0.26315789473684209</v>
      </c>
      <c r="AZ175" s="121" t="s">
        <v>198</v>
      </c>
      <c r="BA175" s="178">
        <f>11/43</f>
        <v>0.2558139534883721</v>
      </c>
      <c r="BB175" s="121" t="s">
        <v>198</v>
      </c>
      <c r="BC175" s="178">
        <f>6/23</f>
        <v>0.2608695652173913</v>
      </c>
      <c r="BD175" s="121" t="s">
        <v>198</v>
      </c>
      <c r="BE175" s="178">
        <f>4/21</f>
        <v>0.19047619047619047</v>
      </c>
      <c r="BF175" s="121" t="s">
        <v>198</v>
      </c>
      <c r="BG175" s="178">
        <f>8/37</f>
        <v>0.21621621621621623</v>
      </c>
      <c r="BH175" s="121" t="s">
        <v>198</v>
      </c>
      <c r="BI175" s="178">
        <f>4/13</f>
        <v>0.30769230769230771</v>
      </c>
      <c r="BJ175" s="121" t="s">
        <v>198</v>
      </c>
      <c r="BK175" s="178">
        <f>4/13</f>
        <v>0.30769230769230771</v>
      </c>
      <c r="BL175" s="121" t="str">
        <f>IF(BK175="NA","NA",IF(BK175="Not Reported","Not Reported",IF(BK175&lt;$L$175,"Not Met","Met")))</f>
        <v>Met</v>
      </c>
      <c r="BM175" s="262">
        <v>0.38</v>
      </c>
      <c r="BN175" s="121" t="str">
        <f>IF(BM175="NA","NA",IF(BM175="Not Reported","Not Reported",IF(BM175&lt;$L$175,"Not Met","Met")))</f>
        <v>Met</v>
      </c>
      <c r="BO175" s="121" t="s">
        <v>61</v>
      </c>
      <c r="BP175" s="121" t="s">
        <v>61</v>
      </c>
      <c r="BQ175" s="121" t="s">
        <v>61</v>
      </c>
      <c r="BR175" s="121" t="s">
        <v>61</v>
      </c>
      <c r="BS175" s="315">
        <v>0.52</v>
      </c>
      <c r="BT175" s="121" t="str">
        <f>IF(BS175="NA","NA",IF(BS175="Not Reported","Not Reported",IF(BS175&lt;$L$175,"Not Met","Met")))</f>
        <v>Met</v>
      </c>
      <c r="BU175" s="417">
        <v>0.28999999999999998</v>
      </c>
      <c r="BV175" s="121" t="str">
        <f>IF(BU175="NA","NA",IF(BU175="Not Reported","Not Reported",IF(BU175&lt;$L$175,"Not Met","Met")))</f>
        <v>Met</v>
      </c>
    </row>
    <row r="176" spans="1:74" x14ac:dyDescent="0.2">
      <c r="A176" s="121">
        <v>175</v>
      </c>
      <c r="B176" s="122" t="s">
        <v>12</v>
      </c>
      <c r="C176" s="122" t="s">
        <v>901</v>
      </c>
      <c r="D176" s="123" t="s">
        <v>102</v>
      </c>
      <c r="E176" s="123" t="s">
        <v>900</v>
      </c>
      <c r="F176" s="123" t="s">
        <v>190</v>
      </c>
      <c r="G176" s="122" t="s">
        <v>273</v>
      </c>
      <c r="H176" s="122" t="s">
        <v>192</v>
      </c>
      <c r="I176" s="124" t="s">
        <v>246</v>
      </c>
      <c r="J176" s="124" t="s">
        <v>214</v>
      </c>
      <c r="K176" s="122" t="s">
        <v>326</v>
      </c>
      <c r="L176" s="128">
        <v>0.2</v>
      </c>
      <c r="M176" s="128">
        <v>0.2</v>
      </c>
      <c r="N176" s="122" t="s">
        <v>368</v>
      </c>
      <c r="O176" s="122" t="s">
        <v>369</v>
      </c>
      <c r="P176" s="122" t="s">
        <v>207</v>
      </c>
      <c r="Q176" s="178">
        <f>34/88</f>
        <v>0.38636363636363635</v>
      </c>
      <c r="R176" s="121" t="s">
        <v>251</v>
      </c>
      <c r="S176" s="143">
        <v>0.38554216867469882</v>
      </c>
      <c r="T176" s="147" t="s">
        <v>251</v>
      </c>
      <c r="U176" s="143">
        <v>0.18627450980392157</v>
      </c>
      <c r="V176" s="121" t="s">
        <v>198</v>
      </c>
      <c r="W176" s="143">
        <f>18/100</f>
        <v>0.18</v>
      </c>
      <c r="X176" s="121" t="s">
        <v>198</v>
      </c>
      <c r="Y176" s="143">
        <f>18/125</f>
        <v>0.14399999999999999</v>
      </c>
      <c r="Z176" s="121" t="s">
        <v>198</v>
      </c>
      <c r="AA176" s="143">
        <f>17/97</f>
        <v>0.17525773195876287</v>
      </c>
      <c r="AB176" s="121" t="s">
        <v>198</v>
      </c>
      <c r="AC176" s="121" t="s">
        <v>256</v>
      </c>
      <c r="AD176" s="121" t="s">
        <v>61</v>
      </c>
      <c r="AE176" s="143">
        <f>23/96</f>
        <v>0.23958333333333334</v>
      </c>
      <c r="AF176" s="147" t="s">
        <v>251</v>
      </c>
      <c r="AG176" s="143">
        <v>0.328125</v>
      </c>
      <c r="AH176" s="147" t="s">
        <v>251</v>
      </c>
      <c r="AI176" s="143">
        <f>25/58</f>
        <v>0.43103448275862066</v>
      </c>
      <c r="AJ176" s="147" t="s">
        <v>251</v>
      </c>
      <c r="AK176" s="121" t="s">
        <v>61</v>
      </c>
      <c r="AL176" s="121" t="s">
        <v>61</v>
      </c>
      <c r="AM176" s="143">
        <v>0.56000000000000005</v>
      </c>
      <c r="AN176" s="121" t="s">
        <v>251</v>
      </c>
      <c r="AO176" s="143">
        <v>0.39</v>
      </c>
      <c r="AP176" s="121" t="s">
        <v>251</v>
      </c>
      <c r="AQ176" s="143">
        <f>14/72</f>
        <v>0.19444444444444445</v>
      </c>
      <c r="AR176" s="121" t="s">
        <v>198</v>
      </c>
      <c r="AS176" s="143">
        <f>54/155</f>
        <v>0.34838709677419355</v>
      </c>
      <c r="AT176" s="121" t="s">
        <v>251</v>
      </c>
      <c r="AU176" s="128">
        <f>6/61</f>
        <v>9.8360655737704916E-2</v>
      </c>
      <c r="AV176" s="121" t="s">
        <v>198</v>
      </c>
      <c r="AW176" s="143">
        <f>11/73</f>
        <v>0.15068493150684931</v>
      </c>
      <c r="AX176" s="121" t="s">
        <v>198</v>
      </c>
      <c r="AY176" s="143">
        <f>9/84</f>
        <v>0.10714285714285714</v>
      </c>
      <c r="AZ176" s="121" t="s">
        <v>198</v>
      </c>
      <c r="BA176" s="143">
        <f>26/218</f>
        <v>0.11926605504587157</v>
      </c>
      <c r="BB176" s="121" t="s">
        <v>198</v>
      </c>
      <c r="BC176" s="143">
        <f>20/89</f>
        <v>0.2247191011235955</v>
      </c>
      <c r="BD176" s="121" t="s">
        <v>251</v>
      </c>
      <c r="BE176" s="143">
        <f>48/147</f>
        <v>0.32653061224489793</v>
      </c>
      <c r="BF176" s="121" t="s">
        <v>251</v>
      </c>
      <c r="BG176" s="195">
        <f>35/75</f>
        <v>0.46666666666666667</v>
      </c>
      <c r="BH176" s="121" t="s">
        <v>251</v>
      </c>
      <c r="BI176" s="195">
        <f>30/100</f>
        <v>0.3</v>
      </c>
      <c r="BJ176" s="121" t="s">
        <v>251</v>
      </c>
      <c r="BK176" s="195">
        <f>30/100</f>
        <v>0.3</v>
      </c>
      <c r="BL176" s="174" t="str">
        <f>IF(BK176="NA","NA",IF(BK176="Not Reported","Not Reported",IF(BK176&gt;$L$176,"Not Met","Met")))</f>
        <v>Not Met</v>
      </c>
      <c r="BM176" s="262">
        <v>0.19</v>
      </c>
      <c r="BN176" s="162" t="str">
        <f>IF(BM176="NA","NA",IF(BM176="Not Reported","Not Reported",IF(BM176&gt;$L$176,"Not Met","Met")))</f>
        <v>Met</v>
      </c>
      <c r="BO176" s="121" t="s">
        <v>61</v>
      </c>
      <c r="BP176" s="162" t="s">
        <v>61</v>
      </c>
      <c r="BQ176" s="121" t="s">
        <v>61</v>
      </c>
      <c r="BR176" s="162" t="s">
        <v>61</v>
      </c>
      <c r="BS176" s="315">
        <v>0.23</v>
      </c>
      <c r="BT176" s="162" t="str">
        <f>IF(BS176="NA","NA",IF(BS176="Not Reported","Not Reported",IF(BS176&gt;$L$176,"Not Met","Met")))</f>
        <v>Not Met</v>
      </c>
      <c r="BU176" s="345">
        <v>0.22</v>
      </c>
      <c r="BV176" s="162" t="str">
        <f>IF(BU176="NA","NA",IF(BU176="Not Reported","Not Reported",IF(BU176&gt;$L$176,"Not Met","Met")))</f>
        <v>Not Met</v>
      </c>
    </row>
    <row r="177" spans="1:74" x14ac:dyDescent="0.2">
      <c r="A177" s="121">
        <v>176</v>
      </c>
      <c r="B177" s="122" t="s">
        <v>12</v>
      </c>
      <c r="C177" s="122" t="s">
        <v>901</v>
      </c>
      <c r="D177" s="123" t="s">
        <v>102</v>
      </c>
      <c r="E177" s="123" t="s">
        <v>900</v>
      </c>
      <c r="F177" s="123" t="s">
        <v>190</v>
      </c>
      <c r="G177" s="122" t="s">
        <v>273</v>
      </c>
      <c r="H177" s="122" t="s">
        <v>192</v>
      </c>
      <c r="I177" s="124" t="s">
        <v>284</v>
      </c>
      <c r="J177" s="124" t="s">
        <v>285</v>
      </c>
      <c r="K177" s="145" t="s">
        <v>284</v>
      </c>
      <c r="L177" s="128">
        <v>0.7</v>
      </c>
      <c r="M177" s="128">
        <v>0.7</v>
      </c>
      <c r="N177" s="122" t="s">
        <v>287</v>
      </c>
      <c r="O177" s="122" t="s">
        <v>288</v>
      </c>
      <c r="P177" s="122" t="s">
        <v>207</v>
      </c>
      <c r="Q177" s="178">
        <f>194/366</f>
        <v>0.5300546448087432</v>
      </c>
      <c r="R177" s="121" t="s">
        <v>251</v>
      </c>
      <c r="S177" s="143">
        <v>0.41509433962264153</v>
      </c>
      <c r="T177" s="147" t="s">
        <v>251</v>
      </c>
      <c r="U177" s="143">
        <v>0.34459459459459457</v>
      </c>
      <c r="V177" s="147" t="s">
        <v>251</v>
      </c>
      <c r="W177" s="143">
        <f>119/297</f>
        <v>0.40067340067340068</v>
      </c>
      <c r="X177" s="147" t="s">
        <v>251</v>
      </c>
      <c r="Y177" s="143">
        <f>98/224</f>
        <v>0.4375</v>
      </c>
      <c r="Z177" s="121" t="s">
        <v>251</v>
      </c>
      <c r="AA177" s="143">
        <f>27/153</f>
        <v>0.17647058823529413</v>
      </c>
      <c r="AB177" s="147" t="s">
        <v>251</v>
      </c>
      <c r="AC177" s="121" t="s">
        <v>256</v>
      </c>
      <c r="AD177" s="121" t="s">
        <v>61</v>
      </c>
      <c r="AE177" s="143">
        <f>73/110</f>
        <v>0.66363636363636369</v>
      </c>
      <c r="AF177" s="147" t="s">
        <v>251</v>
      </c>
      <c r="AG177" s="143">
        <v>0.43775100401606426</v>
      </c>
      <c r="AH177" s="147" t="s">
        <v>251</v>
      </c>
      <c r="AI177" s="143">
        <f>106/155</f>
        <v>0.68387096774193545</v>
      </c>
      <c r="AJ177" s="147" t="s">
        <v>251</v>
      </c>
      <c r="AK177" s="121" t="s">
        <v>61</v>
      </c>
      <c r="AL177" s="121" t="s">
        <v>61</v>
      </c>
      <c r="AM177" s="143">
        <v>0.53</v>
      </c>
      <c r="AN177" s="121" t="s">
        <v>251</v>
      </c>
      <c r="AO177" s="143">
        <v>0.71</v>
      </c>
      <c r="AP177" s="121" t="s">
        <v>198</v>
      </c>
      <c r="AQ177" s="143">
        <f>95/141</f>
        <v>0.67375886524822692</v>
      </c>
      <c r="AR177" s="121" t="s">
        <v>251</v>
      </c>
      <c r="AS177" s="143">
        <f>249/412</f>
        <v>0.60436893203883491</v>
      </c>
      <c r="AT177" s="121" t="s">
        <v>251</v>
      </c>
      <c r="AU177" s="128">
        <f>65/91</f>
        <v>0.7142857142857143</v>
      </c>
      <c r="AV177" s="121" t="s">
        <v>198</v>
      </c>
      <c r="AW177" s="143">
        <f>61/102</f>
        <v>0.59803921568627449</v>
      </c>
      <c r="AX177" s="121" t="s">
        <v>251</v>
      </c>
      <c r="AY177" s="143">
        <f>74/80</f>
        <v>0.92500000000000004</v>
      </c>
      <c r="AZ177" s="121" t="s">
        <v>198</v>
      </c>
      <c r="BA177" s="143">
        <f>197/273</f>
        <v>0.7216117216117216</v>
      </c>
      <c r="BB177" s="121" t="s">
        <v>198</v>
      </c>
      <c r="BC177" s="143">
        <f>96/137</f>
        <v>0.7007299270072993</v>
      </c>
      <c r="BD177" s="121" t="s">
        <v>198</v>
      </c>
      <c r="BE177" s="143">
        <f>60/108</f>
        <v>0.55555555555555558</v>
      </c>
      <c r="BF177" s="121" t="s">
        <v>251</v>
      </c>
      <c r="BG177" s="195">
        <f>53/71</f>
        <v>0.74647887323943662</v>
      </c>
      <c r="BH177" s="121" t="s">
        <v>198</v>
      </c>
      <c r="BI177" s="195">
        <f>80/130</f>
        <v>0.61538461538461542</v>
      </c>
      <c r="BJ177" s="121" t="s">
        <v>251</v>
      </c>
      <c r="BK177" s="195">
        <f>80/130</f>
        <v>0.61538461538461542</v>
      </c>
      <c r="BL177" s="128" t="str">
        <f>IF(BK177="NA","NA",IF(BK177="Not Reported","Not Reported",IF(BK177&lt;$L$177,"Not Met","Met")))</f>
        <v>Not Met</v>
      </c>
      <c r="BM177" s="262">
        <v>0.54</v>
      </c>
      <c r="BN177" s="128" t="str">
        <f>IF(BM177="NA","NA",IF(BM177="Not Reported","Not Reported",IF(BM177&lt;$L$177,"Not Met","Met")))</f>
        <v>Not Met</v>
      </c>
      <c r="BO177" s="121" t="s">
        <v>61</v>
      </c>
      <c r="BP177" s="128" t="s">
        <v>61</v>
      </c>
      <c r="BQ177" s="121" t="s">
        <v>61</v>
      </c>
      <c r="BR177" s="128" t="s">
        <v>61</v>
      </c>
      <c r="BS177" s="315">
        <v>0.75</v>
      </c>
      <c r="BT177" s="128" t="str">
        <f>IF(BS177="NA","NA",IF(BS177="Not Reported","Not Reported",IF(BS177&lt;$L$177,"Not Met","Met")))</f>
        <v>Met</v>
      </c>
      <c r="BU177" s="345">
        <v>0.7</v>
      </c>
      <c r="BV177" s="128" t="str">
        <f>IF(BU177="NA","NA",IF(BU177="Not Reported","Not Reported",IF(BU177&lt;$L$177,"Not Met","Met")))</f>
        <v>Met</v>
      </c>
    </row>
    <row r="178" spans="1:74" x14ac:dyDescent="0.2">
      <c r="A178" s="121">
        <v>177</v>
      </c>
      <c r="B178" s="122" t="s">
        <v>12</v>
      </c>
      <c r="C178" s="122" t="s">
        <v>901</v>
      </c>
      <c r="D178" s="123" t="s">
        <v>102</v>
      </c>
      <c r="E178" s="123" t="s">
        <v>900</v>
      </c>
      <c r="F178" s="123" t="s">
        <v>190</v>
      </c>
      <c r="G178" s="122" t="s">
        <v>273</v>
      </c>
      <c r="H178" s="122" t="s">
        <v>192</v>
      </c>
      <c r="I178" s="124" t="s">
        <v>289</v>
      </c>
      <c r="J178" s="124" t="s">
        <v>285</v>
      </c>
      <c r="K178" s="145" t="s">
        <v>289</v>
      </c>
      <c r="L178" s="128">
        <v>0.5</v>
      </c>
      <c r="M178" s="128">
        <v>0.5</v>
      </c>
      <c r="N178" s="122" t="s">
        <v>290</v>
      </c>
      <c r="O178" s="122" t="s">
        <v>291</v>
      </c>
      <c r="P178" s="122" t="s">
        <v>207</v>
      </c>
      <c r="Q178" s="178">
        <f>34/366</f>
        <v>9.2896174863387984E-2</v>
      </c>
      <c r="R178" s="121" t="s">
        <v>251</v>
      </c>
      <c r="S178" s="143">
        <v>0.17358490566037735</v>
      </c>
      <c r="T178" s="147" t="s">
        <v>251</v>
      </c>
      <c r="U178" s="143">
        <v>4.0540540540540543E-2</v>
      </c>
      <c r="V178" s="147" t="s">
        <v>251</v>
      </c>
      <c r="W178" s="143">
        <f>53/297</f>
        <v>0.17845117845117844</v>
      </c>
      <c r="X178" s="147" t="s">
        <v>251</v>
      </c>
      <c r="Y178" s="143">
        <f>34/224</f>
        <v>0.15178571428571427</v>
      </c>
      <c r="Z178" s="121" t="s">
        <v>251</v>
      </c>
      <c r="AA178" s="143">
        <f>35/153</f>
        <v>0.22875816993464052</v>
      </c>
      <c r="AB178" s="147" t="s">
        <v>251</v>
      </c>
      <c r="AC178" s="121" t="s">
        <v>256</v>
      </c>
      <c r="AD178" s="121" t="s">
        <v>61</v>
      </c>
      <c r="AE178" s="143">
        <f>42/110</f>
        <v>0.38181818181818183</v>
      </c>
      <c r="AF178" s="147" t="s">
        <v>251</v>
      </c>
      <c r="AG178" s="143">
        <v>0.13253012048192772</v>
      </c>
      <c r="AH178" s="147" t="s">
        <v>251</v>
      </c>
      <c r="AI178" s="143">
        <f>19/105</f>
        <v>0.18095238095238095</v>
      </c>
      <c r="AJ178" s="147" t="s">
        <v>251</v>
      </c>
      <c r="AK178" s="121" t="s">
        <v>61</v>
      </c>
      <c r="AL178" s="121" t="s">
        <v>61</v>
      </c>
      <c r="AM178" s="143">
        <v>0.25</v>
      </c>
      <c r="AN178" s="121" t="s">
        <v>251</v>
      </c>
      <c r="AO178" s="143">
        <v>0.22</v>
      </c>
      <c r="AP178" s="121" t="s">
        <v>251</v>
      </c>
      <c r="AQ178" s="143">
        <f>23/141</f>
        <v>0.16312056737588654</v>
      </c>
      <c r="AR178" s="121" t="s">
        <v>251</v>
      </c>
      <c r="AS178" s="143">
        <f>63/328</f>
        <v>0.19207317073170732</v>
      </c>
      <c r="AT178" s="121" t="s">
        <v>251</v>
      </c>
      <c r="AU178" s="128">
        <f>37/91</f>
        <v>0.40659340659340659</v>
      </c>
      <c r="AV178" s="121" t="s">
        <v>251</v>
      </c>
      <c r="AW178" s="143">
        <f>46/102</f>
        <v>0.45098039215686275</v>
      </c>
      <c r="AX178" s="121" t="s">
        <v>251</v>
      </c>
      <c r="AY178" s="143">
        <f>27/80</f>
        <v>0.33750000000000002</v>
      </c>
      <c r="AZ178" s="121" t="s">
        <v>251</v>
      </c>
      <c r="BA178" s="143">
        <f>110/273</f>
        <v>0.40293040293040294</v>
      </c>
      <c r="BB178" s="121" t="s">
        <v>251</v>
      </c>
      <c r="BC178" s="143">
        <f>35/137</f>
        <v>0.25547445255474455</v>
      </c>
      <c r="BD178" s="121" t="s">
        <v>251</v>
      </c>
      <c r="BE178" s="143">
        <f>23/108</f>
        <v>0.21296296296296297</v>
      </c>
      <c r="BF178" s="121" t="s">
        <v>251</v>
      </c>
      <c r="BG178" s="195">
        <f>30/53</f>
        <v>0.56603773584905659</v>
      </c>
      <c r="BH178" s="121" t="s">
        <v>198</v>
      </c>
      <c r="BI178" s="195">
        <f>25/80</f>
        <v>0.3125</v>
      </c>
      <c r="BJ178" s="121" t="s">
        <v>251</v>
      </c>
      <c r="BK178" s="195">
        <f>25/80</f>
        <v>0.3125</v>
      </c>
      <c r="BL178" s="128" t="str">
        <f>IF(BK178="NA","NA",IF(BK178="Not Reported","Not Reported",IF(BK178&lt;$L$178,"Not Met","Met")))</f>
        <v>Not Met</v>
      </c>
      <c r="BM178" s="262">
        <v>0.41</v>
      </c>
      <c r="BN178" s="128" t="str">
        <f>IF(BM178="NA","NA",IF(BM178="Not Reported","Not Reported",IF(BM178&lt;$L$178,"Not Met","Met")))</f>
        <v>Not Met</v>
      </c>
      <c r="BO178" s="121" t="s">
        <v>61</v>
      </c>
      <c r="BP178" s="128" t="s">
        <v>61</v>
      </c>
      <c r="BQ178" s="121" t="s">
        <v>61</v>
      </c>
      <c r="BR178" s="128" t="s">
        <v>61</v>
      </c>
      <c r="BS178" s="315">
        <v>0.22</v>
      </c>
      <c r="BT178" s="128" t="str">
        <f>IF(BS178="NA","NA",IF(BS178="Not Reported","Not Reported",IF(BS178&lt;$L$178,"Not Met","Met")))</f>
        <v>Not Met</v>
      </c>
      <c r="BU178" s="345">
        <v>0.35</v>
      </c>
      <c r="BV178" s="128" t="str">
        <f>IF(BU178="NA","NA",IF(BU178="Not Reported","Not Reported",IF(BU178&lt;$L$178,"Not Met","Met")))</f>
        <v>Not Met</v>
      </c>
    </row>
    <row r="179" spans="1:74" x14ac:dyDescent="0.2">
      <c r="A179" s="121">
        <v>178</v>
      </c>
      <c r="B179" s="122" t="s">
        <v>12</v>
      </c>
      <c r="C179" s="122" t="s">
        <v>901</v>
      </c>
      <c r="D179" s="123" t="s">
        <v>102</v>
      </c>
      <c r="E179" s="123" t="s">
        <v>900</v>
      </c>
      <c r="F179" s="123" t="s">
        <v>190</v>
      </c>
      <c r="G179" s="122" t="s">
        <v>273</v>
      </c>
      <c r="H179" s="122" t="s">
        <v>192</v>
      </c>
      <c r="I179" s="124" t="s">
        <v>292</v>
      </c>
      <c r="J179" s="124" t="s">
        <v>293</v>
      </c>
      <c r="K179" s="122" t="s">
        <v>292</v>
      </c>
      <c r="L179" s="128">
        <v>0.2</v>
      </c>
      <c r="M179" s="128">
        <v>0.2</v>
      </c>
      <c r="N179" s="122" t="s">
        <v>294</v>
      </c>
      <c r="O179" s="122" t="s">
        <v>575</v>
      </c>
      <c r="P179" s="122" t="s">
        <v>207</v>
      </c>
      <c r="Q179" s="178">
        <f>1/28</f>
        <v>3.5714285714285712E-2</v>
      </c>
      <c r="R179" s="121" t="s">
        <v>198</v>
      </c>
      <c r="S179" s="143">
        <v>0</v>
      </c>
      <c r="T179" s="121" t="s">
        <v>198</v>
      </c>
      <c r="U179" s="143">
        <v>0</v>
      </c>
      <c r="V179" s="121" t="s">
        <v>198</v>
      </c>
      <c r="W179" s="143">
        <f>1/29</f>
        <v>3.4482758620689655E-2</v>
      </c>
      <c r="X179" s="121" t="s">
        <v>198</v>
      </c>
      <c r="Y179" s="143">
        <f>1/23</f>
        <v>4.3478260869565216E-2</v>
      </c>
      <c r="Z179" s="121" t="s">
        <v>198</v>
      </c>
      <c r="AA179" s="143">
        <f>0/27</f>
        <v>0</v>
      </c>
      <c r="AB179" s="121" t="s">
        <v>198</v>
      </c>
      <c r="AC179" s="121" t="s">
        <v>256</v>
      </c>
      <c r="AD179" s="121" t="s">
        <v>61</v>
      </c>
      <c r="AE179" s="143">
        <f>0/22</f>
        <v>0</v>
      </c>
      <c r="AF179" s="121" t="s">
        <v>198</v>
      </c>
      <c r="AG179" s="143">
        <v>3.0303030303030304E-2</v>
      </c>
      <c r="AH179" s="121" t="s">
        <v>198</v>
      </c>
      <c r="AI179" s="143">
        <f>0/26</f>
        <v>0</v>
      </c>
      <c r="AJ179" s="121" t="s">
        <v>198</v>
      </c>
      <c r="AK179" s="121" t="s">
        <v>61</v>
      </c>
      <c r="AL179" s="121" t="s">
        <v>61</v>
      </c>
      <c r="AM179" s="143">
        <v>0</v>
      </c>
      <c r="AN179" s="121" t="s">
        <v>198</v>
      </c>
      <c r="AO179" s="143">
        <v>0</v>
      </c>
      <c r="AP179" s="121" t="s">
        <v>198</v>
      </c>
      <c r="AQ179" s="143">
        <f>0/15</f>
        <v>0</v>
      </c>
      <c r="AR179" s="121" t="s">
        <v>198</v>
      </c>
      <c r="AS179" s="143">
        <f>0/15</f>
        <v>0</v>
      </c>
      <c r="AT179" s="121" t="s">
        <v>251</v>
      </c>
      <c r="AU179" s="146">
        <f>0/13%</f>
        <v>0</v>
      </c>
      <c r="AV179" s="121" t="s">
        <v>198</v>
      </c>
      <c r="AW179" s="143">
        <f>0/31%</f>
        <v>0</v>
      </c>
      <c r="AX179" s="121" t="s">
        <v>198</v>
      </c>
      <c r="AY179" s="143">
        <f>2/32</f>
        <v>6.25E-2</v>
      </c>
      <c r="AZ179" s="121" t="s">
        <v>198</v>
      </c>
      <c r="BA179" s="143">
        <f>2/76</f>
        <v>2.6315789473684209E-2</v>
      </c>
      <c r="BB179" s="121" t="s">
        <v>198</v>
      </c>
      <c r="BC179" s="143">
        <f>1/25</f>
        <v>0.04</v>
      </c>
      <c r="BD179" s="121" t="s">
        <v>198</v>
      </c>
      <c r="BE179" s="143">
        <f>0/25</f>
        <v>0</v>
      </c>
      <c r="BF179" s="121" t="s">
        <v>198</v>
      </c>
      <c r="BG179" s="195">
        <f>0/20</f>
        <v>0</v>
      </c>
      <c r="BH179" s="121" t="s">
        <v>198</v>
      </c>
      <c r="BI179" s="195">
        <f>1/15</f>
        <v>6.6666666666666666E-2</v>
      </c>
      <c r="BJ179" s="121" t="s">
        <v>198</v>
      </c>
      <c r="BK179" s="195">
        <f>1/15</f>
        <v>6.6666666666666666E-2</v>
      </c>
      <c r="BL179" s="128" t="str">
        <f>IF(BK179="NA","NA",IF(BK179="Not Reported","Not Reported",IF(BK179&gt;$L$179,"Not Met","Met")))</f>
        <v>Met</v>
      </c>
      <c r="BM179" s="262">
        <v>0.11</v>
      </c>
      <c r="BN179" s="128" t="str">
        <f>IF(BM179="NA","NA",IF(BM179="Not Reported","Not Reported",IF(BM179&gt;$L$179,"Not Met","Met")))</f>
        <v>Met</v>
      </c>
      <c r="BO179" s="121" t="s">
        <v>61</v>
      </c>
      <c r="BP179" s="128" t="s">
        <v>61</v>
      </c>
      <c r="BQ179" s="121" t="s">
        <v>61</v>
      </c>
      <c r="BR179" s="128" t="s">
        <v>61</v>
      </c>
      <c r="BS179" s="315">
        <v>0.02</v>
      </c>
      <c r="BT179" s="128" t="str">
        <f>IF(BS179="NA","NA",IF(BS179="Not Reported","Not Reported",IF(BS179&gt;$L$179,"Not Met","Met")))</f>
        <v>Met</v>
      </c>
      <c r="BU179" s="345">
        <v>0.13</v>
      </c>
      <c r="BV179" s="128" t="str">
        <f>IF(BU179="NA","NA",IF(BU179="Not Reported","Not Reported",IF(BU179&gt;$L$179,"Not Met","Met")))</f>
        <v>Met</v>
      </c>
    </row>
    <row r="180" spans="1:74" x14ac:dyDescent="0.2">
      <c r="A180" s="121">
        <v>179</v>
      </c>
      <c r="B180" s="122" t="s">
        <v>12</v>
      </c>
      <c r="C180" s="122" t="s">
        <v>901</v>
      </c>
      <c r="D180" s="123" t="s">
        <v>102</v>
      </c>
      <c r="E180" s="123" t="s">
        <v>900</v>
      </c>
      <c r="F180" s="123" t="s">
        <v>190</v>
      </c>
      <c r="G180" s="122" t="s">
        <v>273</v>
      </c>
      <c r="H180" s="122" t="s">
        <v>192</v>
      </c>
      <c r="I180" s="123" t="s">
        <v>296</v>
      </c>
      <c r="J180" s="123" t="s">
        <v>296</v>
      </c>
      <c r="K180" s="145" t="s">
        <v>296</v>
      </c>
      <c r="L180" s="128">
        <v>0.2</v>
      </c>
      <c r="M180" s="128">
        <v>0.2</v>
      </c>
      <c r="N180" s="122" t="s">
        <v>297</v>
      </c>
      <c r="O180" s="122" t="s">
        <v>298</v>
      </c>
      <c r="P180" s="122" t="s">
        <v>207</v>
      </c>
      <c r="Q180" s="178">
        <f>17/60</f>
        <v>0.28333333333333333</v>
      </c>
      <c r="R180" s="121" t="s">
        <v>198</v>
      </c>
      <c r="S180" s="143">
        <v>0.68333333333333335</v>
      </c>
      <c r="T180" s="121" t="s">
        <v>198</v>
      </c>
      <c r="U180" s="143">
        <v>0.28431372549019607</v>
      </c>
      <c r="V180" s="121" t="s">
        <v>198</v>
      </c>
      <c r="W180" s="143">
        <f>19/100</f>
        <v>0.19</v>
      </c>
      <c r="X180" s="147" t="s">
        <v>251</v>
      </c>
      <c r="Y180" s="143">
        <f>27/125</f>
        <v>0.216</v>
      </c>
      <c r="Z180" s="121" t="s">
        <v>198</v>
      </c>
      <c r="AA180" s="143">
        <f>21/97</f>
        <v>0.21649484536082475</v>
      </c>
      <c r="AB180" s="121" t="s">
        <v>198</v>
      </c>
      <c r="AC180" s="121" t="s">
        <v>256</v>
      </c>
      <c r="AD180" s="121" t="s">
        <v>61</v>
      </c>
      <c r="AE180" s="143">
        <f>26/96</f>
        <v>0.27083333333333331</v>
      </c>
      <c r="AF180" s="121" t="s">
        <v>198</v>
      </c>
      <c r="AG180" s="143">
        <v>0.359375</v>
      </c>
      <c r="AH180" s="121" t="s">
        <v>198</v>
      </c>
      <c r="AI180" s="143">
        <f>25/59</f>
        <v>0.42372881355932202</v>
      </c>
      <c r="AJ180" s="121" t="s">
        <v>198</v>
      </c>
      <c r="AK180" s="121" t="s">
        <v>61</v>
      </c>
      <c r="AL180" s="121" t="s">
        <v>61</v>
      </c>
      <c r="AM180" s="143">
        <v>0.56000000000000005</v>
      </c>
      <c r="AN180" s="121" t="s">
        <v>198</v>
      </c>
      <c r="AO180" s="143">
        <v>0.57999999999999996</v>
      </c>
      <c r="AP180" s="121" t="s">
        <v>198</v>
      </c>
      <c r="AQ180" s="143">
        <f>20/71</f>
        <v>0.28169014084507044</v>
      </c>
      <c r="AR180" s="121" t="s">
        <v>198</v>
      </c>
      <c r="AS180" s="143">
        <f>67/154</f>
        <v>0.43506493506493504</v>
      </c>
      <c r="AT180" s="121" t="s">
        <v>198</v>
      </c>
      <c r="AU180" s="128">
        <f>6/61</f>
        <v>9.8360655737704916E-2</v>
      </c>
      <c r="AV180" s="121" t="s">
        <v>251</v>
      </c>
      <c r="AW180" s="143">
        <f>18/73</f>
        <v>0.24657534246575341</v>
      </c>
      <c r="AX180" s="121" t="s">
        <v>198</v>
      </c>
      <c r="AY180" s="143">
        <f>19/84</f>
        <v>0.22619047619047619</v>
      </c>
      <c r="AZ180" s="121" t="s">
        <v>198</v>
      </c>
      <c r="BA180" s="143">
        <f>43/218</f>
        <v>0.19724770642201836</v>
      </c>
      <c r="BB180" s="121" t="s">
        <v>198</v>
      </c>
      <c r="BC180" s="143">
        <f>23/89</f>
        <v>0.25842696629213485</v>
      </c>
      <c r="BD180" s="121" t="s">
        <v>198</v>
      </c>
      <c r="BE180" s="143">
        <f>21/147</f>
        <v>0.14285714285714285</v>
      </c>
      <c r="BF180" s="121" t="s">
        <v>251</v>
      </c>
      <c r="BG180" s="195">
        <f>37/75</f>
        <v>0.49333333333333335</v>
      </c>
      <c r="BH180" s="121" t="s">
        <v>198</v>
      </c>
      <c r="BI180" s="195">
        <f>13/75</f>
        <v>0.17333333333333334</v>
      </c>
      <c r="BJ180" s="121" t="s">
        <v>251</v>
      </c>
      <c r="BK180" s="195">
        <f>13/75</f>
        <v>0.17333333333333334</v>
      </c>
      <c r="BL180" s="128" t="str">
        <f>IF(BK180="NA","NA",IF(BK180="Not Reported","Not Reported",IF(BK180&lt;$L$180,"Not Met","Met")))</f>
        <v>Not Met</v>
      </c>
      <c r="BM180" s="262">
        <v>0.11</v>
      </c>
      <c r="BN180" s="128" t="str">
        <f>IF(BM180="NA","NA",IF(BM180="Not Reported","Not Reported",IF(BM180&lt;$L$180,"Not Met","Met")))</f>
        <v>Not Met</v>
      </c>
      <c r="BO180" s="121" t="s">
        <v>61</v>
      </c>
      <c r="BP180" s="128" t="s">
        <v>61</v>
      </c>
      <c r="BQ180" s="121" t="s">
        <v>61</v>
      </c>
      <c r="BR180" s="128" t="s">
        <v>61</v>
      </c>
      <c r="BS180" s="315">
        <v>0.14000000000000001</v>
      </c>
      <c r="BT180" s="128" t="str">
        <f>IF(BS180="NA","NA",IF(BS180="Not Reported","Not Reported",IF(BS180&lt;$L$180,"Not Met","Met")))</f>
        <v>Not Met</v>
      </c>
      <c r="BU180" s="345">
        <v>0.2</v>
      </c>
      <c r="BV180" s="128" t="str">
        <f>IF(BU180="NA","NA",IF(BU180="Not Reported","Not Reported",IF(BU180&lt;$L$180,"Not Met","Met")))</f>
        <v>Met</v>
      </c>
    </row>
    <row r="181" spans="1:74" x14ac:dyDescent="0.2">
      <c r="A181" s="121">
        <v>180</v>
      </c>
      <c r="B181" s="122" t="s">
        <v>12</v>
      </c>
      <c r="C181" s="122" t="s">
        <v>901</v>
      </c>
      <c r="D181" s="123" t="s">
        <v>102</v>
      </c>
      <c r="E181" s="123" t="s">
        <v>900</v>
      </c>
      <c r="F181" s="123" t="s">
        <v>190</v>
      </c>
      <c r="G181" s="122" t="s">
        <v>273</v>
      </c>
      <c r="H181" s="122" t="s">
        <v>192</v>
      </c>
      <c r="I181" s="124" t="s">
        <v>257</v>
      </c>
      <c r="J181" s="124" t="s">
        <v>258</v>
      </c>
      <c r="K181" s="123" t="s">
        <v>259</v>
      </c>
      <c r="L181" s="128">
        <v>0.35</v>
      </c>
      <c r="M181" s="128">
        <v>0.35</v>
      </c>
      <c r="N181" s="122" t="s">
        <v>476</v>
      </c>
      <c r="O181" s="122" t="s">
        <v>477</v>
      </c>
      <c r="P181" s="122" t="s">
        <v>207</v>
      </c>
      <c r="Q181" s="178">
        <f>2/17</f>
        <v>0.11764705882352941</v>
      </c>
      <c r="R181" s="121" t="s">
        <v>251</v>
      </c>
      <c r="S181" s="143">
        <v>0.16666666666666666</v>
      </c>
      <c r="T181" s="147" t="s">
        <v>251</v>
      </c>
      <c r="U181" s="143">
        <v>0.20689655172413793</v>
      </c>
      <c r="V181" s="147" t="s">
        <v>251</v>
      </c>
      <c r="W181" s="143">
        <f>2/19</f>
        <v>0.10526315789473684</v>
      </c>
      <c r="X181" s="147" t="s">
        <v>251</v>
      </c>
      <c r="Y181" s="143">
        <f>4/27</f>
        <v>0.14814814814814814</v>
      </c>
      <c r="Z181" s="121" t="s">
        <v>251</v>
      </c>
      <c r="AA181" s="143">
        <f>6/21</f>
        <v>0.2857142857142857</v>
      </c>
      <c r="AB181" s="147" t="s">
        <v>251</v>
      </c>
      <c r="AC181" s="121" t="s">
        <v>256</v>
      </c>
      <c r="AD181" s="121" t="s">
        <v>61</v>
      </c>
      <c r="AE181" s="143">
        <f>6/26</f>
        <v>0.23076923076923078</v>
      </c>
      <c r="AF181" s="147" t="s">
        <v>251</v>
      </c>
      <c r="AG181" s="143">
        <v>4.3478260869565216E-2</v>
      </c>
      <c r="AH181" s="147" t="s">
        <v>251</v>
      </c>
      <c r="AI181" s="143">
        <f>3/25</f>
        <v>0.12</v>
      </c>
      <c r="AJ181" s="147" t="s">
        <v>251</v>
      </c>
      <c r="AK181" s="121" t="s">
        <v>61</v>
      </c>
      <c r="AL181" s="121" t="s">
        <v>61</v>
      </c>
      <c r="AM181" s="143">
        <v>0.2</v>
      </c>
      <c r="AN181" s="121" t="s">
        <v>251</v>
      </c>
      <c r="AO181" s="143">
        <v>0.23</v>
      </c>
      <c r="AP181" s="121" t="s">
        <v>251</v>
      </c>
      <c r="AQ181" s="143">
        <f>3/20</f>
        <v>0.15</v>
      </c>
      <c r="AR181" s="121" t="s">
        <v>251</v>
      </c>
      <c r="AS181" s="143">
        <f>13/67</f>
        <v>0.19402985074626866</v>
      </c>
      <c r="AT181" s="121" t="s">
        <v>251</v>
      </c>
      <c r="AU181" s="128">
        <f>3/6</f>
        <v>0.5</v>
      </c>
      <c r="AV181" s="121" t="s">
        <v>198</v>
      </c>
      <c r="AW181" s="143">
        <f>4/18</f>
        <v>0.22222222222222221</v>
      </c>
      <c r="AX181" s="121" t="s">
        <v>251</v>
      </c>
      <c r="AY181" s="143">
        <f>4/19</f>
        <v>0.21052631578947367</v>
      </c>
      <c r="AZ181" s="121" t="s">
        <v>251</v>
      </c>
      <c r="BA181" s="143">
        <f>11/43</f>
        <v>0.2558139534883721</v>
      </c>
      <c r="BB181" s="121" t="s">
        <v>251</v>
      </c>
      <c r="BC181" s="143">
        <f>6/23</f>
        <v>0.2608695652173913</v>
      </c>
      <c r="BD181" s="121" t="s">
        <v>251</v>
      </c>
      <c r="BE181" s="143">
        <f>5/21</f>
        <v>0.23809523809523808</v>
      </c>
      <c r="BF181" s="121" t="s">
        <v>251</v>
      </c>
      <c r="BG181" s="195">
        <f>9/37</f>
        <v>0.24324324324324326</v>
      </c>
      <c r="BH181" s="121" t="s">
        <v>251</v>
      </c>
      <c r="BI181" s="195">
        <f>4/13</f>
        <v>0.30769230769230771</v>
      </c>
      <c r="BJ181" s="121" t="s">
        <v>251</v>
      </c>
      <c r="BK181" s="195">
        <f>4/13</f>
        <v>0.30769230769230771</v>
      </c>
      <c r="BL181" s="121" t="str">
        <f>IF(BK181="NA","NA",IF(BK181="Not Reported","Not Reported",IF(BK181&lt;$L$181,"Not Met","Met")))</f>
        <v>Not Met</v>
      </c>
      <c r="BM181" s="262">
        <v>0.25</v>
      </c>
      <c r="BN181" s="121" t="str">
        <f>IF(BM181="NA","NA",IF(BM181="Not Reported","Not Reported",IF(BM181&lt;$L$181,"Not Met","Met")))</f>
        <v>Not Met</v>
      </c>
      <c r="BO181" s="121" t="s">
        <v>61</v>
      </c>
      <c r="BP181" s="121" t="s">
        <v>61</v>
      </c>
      <c r="BQ181" s="121" t="s">
        <v>61</v>
      </c>
      <c r="BR181" s="121" t="s">
        <v>61</v>
      </c>
      <c r="BS181" s="315">
        <v>0.32</v>
      </c>
      <c r="BT181" s="121" t="str">
        <f>IF(BS181="NA","NA",IF(BS181="Not Reported","Not Reported",IF(BS181&lt;$L$181,"Not Met","Met")))</f>
        <v>Not Met</v>
      </c>
      <c r="BU181" s="345">
        <v>0.31</v>
      </c>
      <c r="BV181" s="121" t="str">
        <f>IF(BU181="NA","NA",IF(BU181="Not Reported","Not Reported",IF(BU181&lt;$L$181,"Not Met","Met")))</f>
        <v>Not Met</v>
      </c>
    </row>
    <row r="182" spans="1:74" x14ac:dyDescent="0.2">
      <c r="A182" s="121">
        <v>181</v>
      </c>
      <c r="B182" s="122" t="s">
        <v>13</v>
      </c>
      <c r="C182" s="122" t="s">
        <v>901</v>
      </c>
      <c r="D182" s="123" t="s">
        <v>114</v>
      </c>
      <c r="E182" s="123" t="s">
        <v>900</v>
      </c>
      <c r="F182" s="123" t="s">
        <v>190</v>
      </c>
      <c r="G182" s="122" t="s">
        <v>191</v>
      </c>
      <c r="H182" s="122" t="s">
        <v>212</v>
      </c>
      <c r="I182" s="124" t="s">
        <v>213</v>
      </c>
      <c r="J182" s="124" t="s">
        <v>214</v>
      </c>
      <c r="K182" s="129" t="s">
        <v>862</v>
      </c>
      <c r="L182" s="147">
        <v>55</v>
      </c>
      <c r="M182" s="147" t="s">
        <v>878</v>
      </c>
      <c r="N182" s="122" t="s">
        <v>646</v>
      </c>
      <c r="O182" s="122" t="s">
        <v>646</v>
      </c>
      <c r="P182" s="122" t="s">
        <v>647</v>
      </c>
      <c r="Q182" s="162" t="s">
        <v>581</v>
      </c>
      <c r="R182" s="121" t="s">
        <v>198</v>
      </c>
      <c r="S182" s="162" t="s">
        <v>569</v>
      </c>
      <c r="T182" s="121" t="s">
        <v>198</v>
      </c>
      <c r="U182" s="162" t="s">
        <v>564</v>
      </c>
      <c r="V182" s="147" t="s">
        <v>251</v>
      </c>
      <c r="W182" s="162" t="s">
        <v>581</v>
      </c>
      <c r="X182" s="121" t="s">
        <v>198</v>
      </c>
      <c r="Y182" s="162" t="s">
        <v>624</v>
      </c>
      <c r="Z182" s="121" t="s">
        <v>198</v>
      </c>
      <c r="AA182" s="121" t="s">
        <v>278</v>
      </c>
      <c r="AB182" s="121" t="s">
        <v>198</v>
      </c>
      <c r="AC182" s="131" t="s">
        <v>256</v>
      </c>
      <c r="AD182" s="121" t="s">
        <v>61</v>
      </c>
      <c r="AE182" s="121" t="s">
        <v>629</v>
      </c>
      <c r="AF182" s="121" t="s">
        <v>198</v>
      </c>
      <c r="AG182" s="121" t="s">
        <v>581</v>
      </c>
      <c r="AH182" s="121" t="s">
        <v>198</v>
      </c>
      <c r="AI182" s="121" t="s">
        <v>562</v>
      </c>
      <c r="AJ182" s="147" t="s">
        <v>251</v>
      </c>
      <c r="AK182" s="147" t="s">
        <v>11</v>
      </c>
      <c r="AL182" s="128" t="s">
        <v>11</v>
      </c>
      <c r="AM182" s="121" t="s">
        <v>648</v>
      </c>
      <c r="AN182" s="121" t="s">
        <v>251</v>
      </c>
      <c r="AO182" s="121">
        <v>68</v>
      </c>
      <c r="AP182" s="121" t="s">
        <v>251</v>
      </c>
      <c r="AQ182" s="121">
        <v>46</v>
      </c>
      <c r="AR182" s="121" t="s">
        <v>198</v>
      </c>
      <c r="AS182" s="121" t="s">
        <v>61</v>
      </c>
      <c r="AT182" s="121" t="s">
        <v>61</v>
      </c>
      <c r="AU182" s="121" t="s">
        <v>61</v>
      </c>
      <c r="AV182" s="121" t="s">
        <v>61</v>
      </c>
      <c r="AW182" s="121">
        <v>53</v>
      </c>
      <c r="AX182" s="121" t="s">
        <v>198</v>
      </c>
      <c r="AY182" s="121">
        <v>68</v>
      </c>
      <c r="AZ182" s="121" t="s">
        <v>251</v>
      </c>
      <c r="BA182" s="121">
        <v>56</v>
      </c>
      <c r="BB182" s="121" t="s">
        <v>251</v>
      </c>
      <c r="BC182" s="121">
        <v>54</v>
      </c>
      <c r="BD182" s="121" t="s">
        <v>198</v>
      </c>
      <c r="BE182" s="121">
        <v>35</v>
      </c>
      <c r="BF182" s="121" t="s">
        <v>198</v>
      </c>
      <c r="BG182" s="121">
        <v>26</v>
      </c>
      <c r="BH182" s="121" t="s">
        <v>198</v>
      </c>
      <c r="BI182" s="121">
        <v>33</v>
      </c>
      <c r="BJ182" s="121" t="s">
        <v>198</v>
      </c>
      <c r="BK182" s="121">
        <v>32</v>
      </c>
      <c r="BL182" s="121" t="str">
        <f>IF(BK182="NA","NA",IF(BK182="Not Reported","Not Reported",IF(BK182&gt;$L$182,"Not Met","Met")))</f>
        <v>Met</v>
      </c>
      <c r="BM182" s="258">
        <v>52</v>
      </c>
      <c r="BN182" s="121" t="str">
        <f>IF(BM182="NA","NA",IF(BM182="Not Reported","Not Reported",IF(BM182&gt;$L$182,"Not Met","Met")))</f>
        <v>Met</v>
      </c>
      <c r="BO182" s="121">
        <v>42</v>
      </c>
      <c r="BP182" s="121" t="s">
        <v>198</v>
      </c>
      <c r="BQ182" s="121" t="s">
        <v>61</v>
      </c>
      <c r="BR182" s="121" t="s">
        <v>61</v>
      </c>
      <c r="BS182" s="26">
        <v>45</v>
      </c>
      <c r="BT182" s="121" t="str">
        <f>IF(BS182="NA","NA",IF(BS182="Not Reported","Not Reported",IF(BS182&gt;$L$182,"Not Met","Met")))</f>
        <v>Met</v>
      </c>
      <c r="BU182" s="26">
        <v>45</v>
      </c>
      <c r="BV182" s="121" t="str">
        <f>IF(BU182="NA","NA",IF(BU182="Not Reported","Not Reported",IF(BU182&gt;$L$182,"Not Met","Met")))</f>
        <v>Met</v>
      </c>
    </row>
    <row r="183" spans="1:74" x14ac:dyDescent="0.2">
      <c r="A183" s="121">
        <v>182</v>
      </c>
      <c r="B183" s="122" t="s">
        <v>13</v>
      </c>
      <c r="C183" s="122" t="s">
        <v>901</v>
      </c>
      <c r="D183" s="123" t="s">
        <v>114</v>
      </c>
      <c r="E183" s="123" t="s">
        <v>900</v>
      </c>
      <c r="F183" s="123" t="s">
        <v>190</v>
      </c>
      <c r="G183" s="122" t="s">
        <v>191</v>
      </c>
      <c r="H183" s="122" t="s">
        <v>212</v>
      </c>
      <c r="I183" s="124" t="s">
        <v>213</v>
      </c>
      <c r="J183" s="124" t="s">
        <v>214</v>
      </c>
      <c r="K183" s="129" t="s">
        <v>863</v>
      </c>
      <c r="L183" s="147">
        <v>45</v>
      </c>
      <c r="M183" s="147" t="s">
        <v>879</v>
      </c>
      <c r="N183" s="122" t="s">
        <v>646</v>
      </c>
      <c r="O183" s="122" t="s">
        <v>646</v>
      </c>
      <c r="P183" s="122" t="s">
        <v>647</v>
      </c>
      <c r="Q183" s="162" t="s">
        <v>649</v>
      </c>
      <c r="R183" s="121" t="s">
        <v>251</v>
      </c>
      <c r="S183" s="162" t="s">
        <v>650</v>
      </c>
      <c r="T183" s="147" t="s">
        <v>251</v>
      </c>
      <c r="U183" s="162" t="s">
        <v>649</v>
      </c>
      <c r="V183" s="147" t="s">
        <v>251</v>
      </c>
      <c r="W183" s="162" t="s">
        <v>571</v>
      </c>
      <c r="X183" s="121" t="s">
        <v>198</v>
      </c>
      <c r="Y183" s="162" t="s">
        <v>281</v>
      </c>
      <c r="Z183" s="121" t="s">
        <v>198</v>
      </c>
      <c r="AA183" s="121" t="s">
        <v>584</v>
      </c>
      <c r="AB183" s="147" t="s">
        <v>251</v>
      </c>
      <c r="AC183" s="131" t="s">
        <v>256</v>
      </c>
      <c r="AD183" s="121" t="s">
        <v>61</v>
      </c>
      <c r="AE183" s="121" t="s">
        <v>624</v>
      </c>
      <c r="AF183" s="147" t="s">
        <v>251</v>
      </c>
      <c r="AG183" s="121" t="s">
        <v>584</v>
      </c>
      <c r="AH183" s="147" t="s">
        <v>251</v>
      </c>
      <c r="AI183" s="121" t="s">
        <v>651</v>
      </c>
      <c r="AJ183" s="147" t="s">
        <v>251</v>
      </c>
      <c r="AK183" s="147" t="s">
        <v>11</v>
      </c>
      <c r="AL183" s="128" t="s">
        <v>11</v>
      </c>
      <c r="AM183" s="121" t="s">
        <v>652</v>
      </c>
      <c r="AN183" s="121" t="s">
        <v>251</v>
      </c>
      <c r="AO183" s="121">
        <v>49</v>
      </c>
      <c r="AP183" s="121" t="s">
        <v>251</v>
      </c>
      <c r="AQ183" s="121">
        <v>43</v>
      </c>
      <c r="AR183" s="121" t="s">
        <v>198</v>
      </c>
      <c r="AS183" s="121" t="s">
        <v>61</v>
      </c>
      <c r="AT183" s="121" t="s">
        <v>61</v>
      </c>
      <c r="AU183" s="121" t="s">
        <v>61</v>
      </c>
      <c r="AV183" s="121" t="s">
        <v>61</v>
      </c>
      <c r="AW183" s="121">
        <v>98</v>
      </c>
      <c r="AX183" s="121" t="s">
        <v>251</v>
      </c>
      <c r="AY183" s="121">
        <v>94</v>
      </c>
      <c r="AZ183" s="121" t="s">
        <v>251</v>
      </c>
      <c r="BA183" s="121">
        <v>80</v>
      </c>
      <c r="BB183" s="121" t="s">
        <v>251</v>
      </c>
      <c r="BC183" s="121">
        <v>50</v>
      </c>
      <c r="BD183" s="121" t="s">
        <v>251</v>
      </c>
      <c r="BE183" s="121">
        <v>38</v>
      </c>
      <c r="BF183" s="121" t="s">
        <v>198</v>
      </c>
      <c r="BG183" s="121">
        <v>37</v>
      </c>
      <c r="BH183" s="121" t="s">
        <v>198</v>
      </c>
      <c r="BI183" s="121">
        <v>41</v>
      </c>
      <c r="BJ183" s="121" t="s">
        <v>198</v>
      </c>
      <c r="BK183" s="121">
        <v>36</v>
      </c>
      <c r="BL183" s="121" t="str">
        <f>IF(BK183="NA","NA",IF(BK183="Not Reported","Not Reported",IF(BK183&gt;$L$183,"Not Met","Met")))</f>
        <v>Met</v>
      </c>
      <c r="BM183" s="258">
        <v>38</v>
      </c>
      <c r="BN183" s="121" t="str">
        <f>IF(BM183="NA","NA",IF(BM183="Not Reported","Not Reported",IF(BM183&gt;$L$183,"Not Met","Met")))</f>
        <v>Met</v>
      </c>
      <c r="BO183" s="121">
        <v>30</v>
      </c>
      <c r="BP183" s="121" t="s">
        <v>198</v>
      </c>
      <c r="BQ183" s="121" t="s">
        <v>61</v>
      </c>
      <c r="BR183" s="121" t="s">
        <v>61</v>
      </c>
      <c r="BS183" s="26">
        <v>37</v>
      </c>
      <c r="BT183" s="121" t="str">
        <f>IF(BS183="NA","NA",IF(BS183="Not Reported","Not Reported",IF(BS183&gt;$L$183,"Not Met","Met")))</f>
        <v>Met</v>
      </c>
      <c r="BU183" s="26">
        <v>37</v>
      </c>
      <c r="BV183" s="121" t="str">
        <f>IF(BU183="NA","NA",IF(BU183="Not Reported","Not Reported",IF(BU183&gt;$L$183,"Not Met","Met")))</f>
        <v>Met</v>
      </c>
    </row>
    <row r="184" spans="1:74" x14ac:dyDescent="0.2">
      <c r="A184" s="121">
        <v>183</v>
      </c>
      <c r="B184" s="122" t="s">
        <v>13</v>
      </c>
      <c r="C184" s="122" t="s">
        <v>901</v>
      </c>
      <c r="D184" s="123" t="s">
        <v>114</v>
      </c>
      <c r="E184" s="123" t="s">
        <v>900</v>
      </c>
      <c r="F184" s="123" t="s">
        <v>190</v>
      </c>
      <c r="G184" s="122" t="s">
        <v>191</v>
      </c>
      <c r="H184" s="122" t="s">
        <v>212</v>
      </c>
      <c r="I184" s="129" t="s">
        <v>246</v>
      </c>
      <c r="J184" s="129" t="s">
        <v>214</v>
      </c>
      <c r="K184" s="122" t="s">
        <v>653</v>
      </c>
      <c r="L184" s="146">
        <v>0.25</v>
      </c>
      <c r="M184" s="147" t="s">
        <v>654</v>
      </c>
      <c r="N184" s="122" t="s">
        <v>655</v>
      </c>
      <c r="O184" s="122" t="s">
        <v>656</v>
      </c>
      <c r="P184" s="122" t="s">
        <v>647</v>
      </c>
      <c r="Q184" s="178">
        <v>0.4</v>
      </c>
      <c r="R184" s="121" t="s">
        <v>251</v>
      </c>
      <c r="S184" s="178">
        <v>0.3</v>
      </c>
      <c r="T184" s="147" t="s">
        <v>251</v>
      </c>
      <c r="U184" s="178">
        <v>0.35</v>
      </c>
      <c r="V184" s="147" t="s">
        <v>251</v>
      </c>
      <c r="W184" s="178">
        <v>0.3</v>
      </c>
      <c r="X184" s="147" t="s">
        <v>251</v>
      </c>
      <c r="Y184" s="178">
        <v>0.33</v>
      </c>
      <c r="Z184" s="121" t="s">
        <v>251</v>
      </c>
      <c r="AA184" s="126">
        <v>0.23</v>
      </c>
      <c r="AB184" s="121" t="s">
        <v>198</v>
      </c>
      <c r="AC184" s="131" t="s">
        <v>256</v>
      </c>
      <c r="AD184" s="121" t="s">
        <v>61</v>
      </c>
      <c r="AE184" s="126">
        <v>0.18</v>
      </c>
      <c r="AF184" s="121" t="s">
        <v>198</v>
      </c>
      <c r="AG184" s="126">
        <v>0.25</v>
      </c>
      <c r="AH184" s="121" t="s">
        <v>198</v>
      </c>
      <c r="AI184" s="121" t="s">
        <v>628</v>
      </c>
      <c r="AJ184" s="121" t="s">
        <v>198</v>
      </c>
      <c r="AK184" s="147" t="s">
        <v>11</v>
      </c>
      <c r="AL184" s="128" t="s">
        <v>11</v>
      </c>
      <c r="AM184" s="126">
        <v>0.25</v>
      </c>
      <c r="AN184" s="121" t="s">
        <v>198</v>
      </c>
      <c r="AO184" s="126">
        <v>0.15</v>
      </c>
      <c r="AP184" s="121" t="s">
        <v>198</v>
      </c>
      <c r="AQ184" s="126">
        <v>0</v>
      </c>
      <c r="AR184" s="121" t="s">
        <v>198</v>
      </c>
      <c r="AS184" s="121" t="s">
        <v>61</v>
      </c>
      <c r="AT184" s="121" t="s">
        <v>61</v>
      </c>
      <c r="AU184" s="121" t="s">
        <v>61</v>
      </c>
      <c r="AV184" s="121" t="s">
        <v>61</v>
      </c>
      <c r="AW184" s="126">
        <v>0.11</v>
      </c>
      <c r="AX184" s="121" t="s">
        <v>198</v>
      </c>
      <c r="AY184" s="126">
        <v>0.16</v>
      </c>
      <c r="AZ184" s="121" t="s">
        <v>198</v>
      </c>
      <c r="BA184" s="126">
        <v>0.14000000000000001</v>
      </c>
      <c r="BB184" s="121" t="s">
        <v>198</v>
      </c>
      <c r="BC184" s="126">
        <v>0.06</v>
      </c>
      <c r="BD184" s="121" t="s">
        <v>198</v>
      </c>
      <c r="BE184" s="126">
        <v>0.05</v>
      </c>
      <c r="BF184" s="121" t="s">
        <v>198</v>
      </c>
      <c r="BG184" s="126">
        <v>0.02</v>
      </c>
      <c r="BH184" s="121" t="s">
        <v>198</v>
      </c>
      <c r="BI184" s="126">
        <v>0.05</v>
      </c>
      <c r="BJ184" s="121" t="s">
        <v>198</v>
      </c>
      <c r="BK184" s="126">
        <v>0.15</v>
      </c>
      <c r="BL184" s="121" t="str">
        <f>IF(BK184="NA","NA",IF(BK184="Not Reported","Not Reported",IF(BK184&gt;$L$184,"Not Met","Met")))</f>
        <v>Met</v>
      </c>
      <c r="BM184" s="262">
        <v>0.15</v>
      </c>
      <c r="BN184" s="121" t="str">
        <f>IF(BM184="NA","NA",IF(BM184="Not Reported","Not Reported",IF(BM184&gt;$L$184,"Not Met","Met")))</f>
        <v>Met</v>
      </c>
      <c r="BO184" s="262">
        <v>0.05</v>
      </c>
      <c r="BP184" s="121" t="s">
        <v>198</v>
      </c>
      <c r="BQ184" s="121" t="s">
        <v>61</v>
      </c>
      <c r="BR184" s="121" t="s">
        <v>61</v>
      </c>
      <c r="BS184" s="315">
        <v>0.06</v>
      </c>
      <c r="BT184" s="121" t="str">
        <f>IF(BS184="NA","NA",IF(BS184="Not Reported","Not Reported",IF(BS184&gt;$L$184,"Not Met","Met")))</f>
        <v>Met</v>
      </c>
      <c r="BU184" s="315">
        <v>0.06</v>
      </c>
      <c r="BV184" s="121" t="str">
        <f>IF(BU184="NA","NA",IF(BU184="Not Reported","Not Reported",IF(BU184&gt;$L$184,"Not Met","Met")))</f>
        <v>Met</v>
      </c>
    </row>
    <row r="185" spans="1:74" x14ac:dyDescent="0.2">
      <c r="A185" s="121">
        <v>184</v>
      </c>
      <c r="B185" s="122" t="s">
        <v>13</v>
      </c>
      <c r="C185" s="122" t="s">
        <v>901</v>
      </c>
      <c r="D185" s="123" t="s">
        <v>114</v>
      </c>
      <c r="E185" s="123" t="s">
        <v>900</v>
      </c>
      <c r="F185" s="123" t="s">
        <v>190</v>
      </c>
      <c r="G185" s="122" t="s">
        <v>191</v>
      </c>
      <c r="H185" s="122" t="s">
        <v>212</v>
      </c>
      <c r="I185" s="129" t="s">
        <v>246</v>
      </c>
      <c r="J185" s="129" t="s">
        <v>214</v>
      </c>
      <c r="K185" s="122" t="s">
        <v>657</v>
      </c>
      <c r="L185" s="146">
        <v>0.2</v>
      </c>
      <c r="M185" s="147" t="s">
        <v>627</v>
      </c>
      <c r="N185" s="122" t="s">
        <v>655</v>
      </c>
      <c r="O185" s="122" t="s">
        <v>656</v>
      </c>
      <c r="P185" s="122" t="s">
        <v>647</v>
      </c>
      <c r="Q185" s="178">
        <v>0.21</v>
      </c>
      <c r="R185" s="121" t="s">
        <v>251</v>
      </c>
      <c r="S185" s="178">
        <v>0.16</v>
      </c>
      <c r="T185" s="121" t="s">
        <v>198</v>
      </c>
      <c r="U185" s="178">
        <v>0.16</v>
      </c>
      <c r="V185" s="121" t="s">
        <v>198</v>
      </c>
      <c r="W185" s="178">
        <v>0.21</v>
      </c>
      <c r="X185" s="147" t="s">
        <v>251</v>
      </c>
      <c r="Y185" s="178">
        <v>0.16</v>
      </c>
      <c r="Z185" s="121" t="s">
        <v>198</v>
      </c>
      <c r="AA185" s="126">
        <v>0.34</v>
      </c>
      <c r="AB185" s="147" t="s">
        <v>251</v>
      </c>
      <c r="AC185" s="131" t="s">
        <v>256</v>
      </c>
      <c r="AD185" s="121" t="s">
        <v>61</v>
      </c>
      <c r="AE185" s="126">
        <v>0.43</v>
      </c>
      <c r="AF185" s="147" t="s">
        <v>251</v>
      </c>
      <c r="AG185" s="126">
        <v>0.52</v>
      </c>
      <c r="AH185" s="147" t="s">
        <v>251</v>
      </c>
      <c r="AI185" s="121" t="s">
        <v>281</v>
      </c>
      <c r="AJ185" s="147" t="s">
        <v>251</v>
      </c>
      <c r="AK185" s="147" t="s">
        <v>11</v>
      </c>
      <c r="AL185" s="128" t="s">
        <v>11</v>
      </c>
      <c r="AM185" s="126">
        <v>0.53</v>
      </c>
      <c r="AN185" s="121" t="s">
        <v>251</v>
      </c>
      <c r="AO185" s="126">
        <v>0.2</v>
      </c>
      <c r="AP185" s="121" t="s">
        <v>198</v>
      </c>
      <c r="AQ185" s="126">
        <v>0</v>
      </c>
      <c r="AR185" s="121" t="s">
        <v>198</v>
      </c>
      <c r="AS185" s="121" t="s">
        <v>61</v>
      </c>
      <c r="AT185" s="121" t="s">
        <v>61</v>
      </c>
      <c r="AU185" s="121" t="s">
        <v>61</v>
      </c>
      <c r="AV185" s="121" t="s">
        <v>61</v>
      </c>
      <c r="AW185" s="126">
        <v>0.08</v>
      </c>
      <c r="AX185" s="121" t="s">
        <v>198</v>
      </c>
      <c r="AY185" s="126">
        <v>0.13</v>
      </c>
      <c r="AZ185" s="121" t="s">
        <v>198</v>
      </c>
      <c r="BA185" s="126">
        <v>0.06</v>
      </c>
      <c r="BB185" s="121" t="s">
        <v>198</v>
      </c>
      <c r="BC185" s="126">
        <v>0.23</v>
      </c>
      <c r="BD185" s="121" t="s">
        <v>251</v>
      </c>
      <c r="BE185" s="126">
        <v>0.18</v>
      </c>
      <c r="BF185" s="121" t="s">
        <v>198</v>
      </c>
      <c r="BG185" s="126">
        <v>0.15</v>
      </c>
      <c r="BH185" s="121" t="s">
        <v>198</v>
      </c>
      <c r="BI185" s="126">
        <v>0.21</v>
      </c>
      <c r="BJ185" s="121" t="s">
        <v>251</v>
      </c>
      <c r="BK185" s="126">
        <v>0.09</v>
      </c>
      <c r="BL185" s="121" t="str">
        <f>IF(BK185="NA","NA",IF(BK185="Not Reported","Not Reported",IF(BK185&gt;$L$185,"Not Met","Met")))</f>
        <v>Met</v>
      </c>
      <c r="BM185" s="262">
        <v>0.09</v>
      </c>
      <c r="BN185" s="121" t="str">
        <f>IF(BM185="NA","NA",IF(BM185="Not Reported","Not Reported",IF(BM185&gt;$L$185,"Not Met","Met")))</f>
        <v>Met</v>
      </c>
      <c r="BO185" s="262">
        <v>0.11</v>
      </c>
      <c r="BP185" s="121" t="s">
        <v>198</v>
      </c>
      <c r="BQ185" s="121" t="s">
        <v>61</v>
      </c>
      <c r="BR185" s="121" t="s">
        <v>61</v>
      </c>
      <c r="BS185" s="315">
        <v>0.16</v>
      </c>
      <c r="BT185" s="121" t="str">
        <f>IF(BS185="NA","NA",IF(BS185="Not Reported","Not Reported",IF(BS185&gt;$L$185,"Not Met","Met")))</f>
        <v>Met</v>
      </c>
      <c r="BU185" s="315">
        <v>0.18</v>
      </c>
      <c r="BV185" s="121" t="str">
        <f>IF(BU185="NA","NA",IF(BU185="Not Reported","Not Reported",IF(BU185&gt;$L$185,"Not Met","Met")))</f>
        <v>Met</v>
      </c>
    </row>
    <row r="186" spans="1:74" x14ac:dyDescent="0.2">
      <c r="A186" s="121">
        <v>185</v>
      </c>
      <c r="B186" s="122" t="s">
        <v>13</v>
      </c>
      <c r="C186" s="122" t="s">
        <v>901</v>
      </c>
      <c r="D186" s="123" t="s">
        <v>114</v>
      </c>
      <c r="E186" s="123" t="s">
        <v>900</v>
      </c>
      <c r="F186" s="123" t="s">
        <v>190</v>
      </c>
      <c r="G186" s="122" t="s">
        <v>191</v>
      </c>
      <c r="H186" s="122" t="s">
        <v>192</v>
      </c>
      <c r="I186" s="124"/>
      <c r="J186" s="124"/>
      <c r="K186" s="122" t="s">
        <v>658</v>
      </c>
      <c r="L186" s="146">
        <v>0.2</v>
      </c>
      <c r="M186" s="147" t="s">
        <v>627</v>
      </c>
      <c r="N186" s="122" t="s">
        <v>659</v>
      </c>
      <c r="O186" s="122" t="s">
        <v>11</v>
      </c>
      <c r="P186" s="122" t="s">
        <v>647</v>
      </c>
      <c r="Q186" s="178">
        <v>0.01</v>
      </c>
      <c r="R186" s="121" t="s">
        <v>198</v>
      </c>
      <c r="S186" s="178">
        <v>0.03</v>
      </c>
      <c r="T186" s="121" t="s">
        <v>198</v>
      </c>
      <c r="U186" s="178">
        <v>0.02</v>
      </c>
      <c r="V186" s="121" t="s">
        <v>198</v>
      </c>
      <c r="W186" s="212">
        <v>4.8</v>
      </c>
      <c r="X186" s="121" t="s">
        <v>198</v>
      </c>
      <c r="Y186" s="177">
        <v>0.04</v>
      </c>
      <c r="Z186" s="121" t="s">
        <v>198</v>
      </c>
      <c r="AA186" s="213">
        <v>5</v>
      </c>
      <c r="AB186" s="121" t="s">
        <v>198</v>
      </c>
      <c r="AC186" s="131" t="s">
        <v>256</v>
      </c>
      <c r="AD186" s="121" t="s">
        <v>61</v>
      </c>
      <c r="AE186" s="213">
        <v>4.2</v>
      </c>
      <c r="AF186" s="121" t="s">
        <v>198</v>
      </c>
      <c r="AG186" s="213">
        <v>3</v>
      </c>
      <c r="AH186" s="121" t="s">
        <v>198</v>
      </c>
      <c r="AI186" s="121">
        <v>4</v>
      </c>
      <c r="AJ186" s="121" t="s">
        <v>198</v>
      </c>
      <c r="AK186" s="147" t="s">
        <v>11</v>
      </c>
      <c r="AL186" s="128" t="s">
        <v>11</v>
      </c>
      <c r="AM186" s="121">
        <v>3</v>
      </c>
      <c r="AN186" s="121" t="s">
        <v>198</v>
      </c>
      <c r="AO186" s="121">
        <v>4</v>
      </c>
      <c r="AP186" s="121" t="s">
        <v>198</v>
      </c>
      <c r="AQ186" s="121">
        <v>2</v>
      </c>
      <c r="AR186" s="121" t="s">
        <v>198</v>
      </c>
      <c r="AS186" s="121" t="s">
        <v>61</v>
      </c>
      <c r="AT186" s="121" t="s">
        <v>61</v>
      </c>
      <c r="AU186" s="121" t="s">
        <v>61</v>
      </c>
      <c r="AV186" s="121" t="s">
        <v>61</v>
      </c>
      <c r="AW186" s="126">
        <v>0.02</v>
      </c>
      <c r="AX186" s="121" t="s">
        <v>198</v>
      </c>
      <c r="AY186" s="121">
        <v>6</v>
      </c>
      <c r="AZ186" s="121" t="s">
        <v>198</v>
      </c>
      <c r="BA186" s="121">
        <v>4</v>
      </c>
      <c r="BB186" s="121" t="s">
        <v>198</v>
      </c>
      <c r="BC186" s="121">
        <v>11</v>
      </c>
      <c r="BD186" s="121" t="s">
        <v>198</v>
      </c>
      <c r="BE186" s="121">
        <v>12</v>
      </c>
      <c r="BF186" s="121" t="s">
        <v>198</v>
      </c>
      <c r="BG186" s="121">
        <v>8</v>
      </c>
      <c r="BH186" s="121" t="s">
        <v>198</v>
      </c>
      <c r="BI186" s="160">
        <v>14</v>
      </c>
      <c r="BJ186" s="121" t="s">
        <v>198</v>
      </c>
      <c r="BK186" s="160">
        <v>5</v>
      </c>
      <c r="BL186" s="121" t="str">
        <f>IF(BK186="NA","NA",IF(BK186="Not Reported","Not Reported",IF(BK186&gt;$L$186,"Not Met","Met")))</f>
        <v>Not Met</v>
      </c>
      <c r="BM186" s="273">
        <v>0.05</v>
      </c>
      <c r="BN186" s="121" t="str">
        <f>IF(BM186="NA","NA",IF(BM186="Not Reported","Not Reported",IF(BM186&gt;$L$186,"Not Met","Met")))</f>
        <v>Met</v>
      </c>
      <c r="BO186" s="126">
        <v>0.36</v>
      </c>
      <c r="BP186" s="121" t="s">
        <v>251</v>
      </c>
      <c r="BQ186" s="121" t="s">
        <v>61</v>
      </c>
      <c r="BR186" s="121" t="s">
        <v>61</v>
      </c>
      <c r="BS186" s="394">
        <v>9</v>
      </c>
      <c r="BT186" s="121" t="str">
        <f>IF(BS186="NA","NA",IF(BS186="Not Reported","Not Reported",IF(BS186&gt;$L$186,"Not Met","Met")))</f>
        <v>Not Met</v>
      </c>
      <c r="BU186" s="314">
        <v>39</v>
      </c>
      <c r="BV186" s="121" t="str">
        <f>IF(BU186="NA","NA",IF(BU186="Not Reported","Not Reported",IF(BU186&gt;$L$186,"Not Met","Met")))</f>
        <v>Not Met</v>
      </c>
    </row>
    <row r="187" spans="1:74" x14ac:dyDescent="0.2">
      <c r="A187" s="121">
        <v>186</v>
      </c>
      <c r="B187" s="122" t="s">
        <v>13</v>
      </c>
      <c r="C187" s="122" t="s">
        <v>901</v>
      </c>
      <c r="D187" s="123" t="s">
        <v>114</v>
      </c>
      <c r="E187" s="123" t="s">
        <v>900</v>
      </c>
      <c r="F187" s="123" t="s">
        <v>190</v>
      </c>
      <c r="G187" s="122" t="s">
        <v>191</v>
      </c>
      <c r="H187" s="122" t="s">
        <v>192</v>
      </c>
      <c r="I187" s="124"/>
      <c r="J187" s="124"/>
      <c r="K187" s="122" t="s">
        <v>660</v>
      </c>
      <c r="L187" s="146">
        <v>0.3</v>
      </c>
      <c r="M187" s="147" t="s">
        <v>661</v>
      </c>
      <c r="N187" s="122" t="s">
        <v>659</v>
      </c>
      <c r="O187" s="122" t="s">
        <v>11</v>
      </c>
      <c r="P187" s="122" t="s">
        <v>647</v>
      </c>
      <c r="Q187" s="178">
        <v>0.02</v>
      </c>
      <c r="R187" s="121" t="s">
        <v>198</v>
      </c>
      <c r="S187" s="178">
        <v>0.03</v>
      </c>
      <c r="T187" s="121" t="s">
        <v>198</v>
      </c>
      <c r="U187" s="178">
        <v>0.05</v>
      </c>
      <c r="V187" s="121" t="s">
        <v>198</v>
      </c>
      <c r="W187" s="212">
        <v>2.6</v>
      </c>
      <c r="X187" s="121" t="s">
        <v>198</v>
      </c>
      <c r="Y187" s="177">
        <v>0.04</v>
      </c>
      <c r="Z187" s="121" t="s">
        <v>198</v>
      </c>
      <c r="AA187" s="213">
        <v>6</v>
      </c>
      <c r="AB187" s="121" t="s">
        <v>198</v>
      </c>
      <c r="AC187" s="131" t="s">
        <v>256</v>
      </c>
      <c r="AD187" s="121" t="s">
        <v>61</v>
      </c>
      <c r="AE187" s="213">
        <v>3.6</v>
      </c>
      <c r="AF187" s="121" t="s">
        <v>198</v>
      </c>
      <c r="AG187" s="213">
        <v>3</v>
      </c>
      <c r="AH187" s="121" t="s">
        <v>198</v>
      </c>
      <c r="AI187" s="121">
        <v>3</v>
      </c>
      <c r="AJ187" s="121" t="s">
        <v>198</v>
      </c>
      <c r="AK187" s="147" t="s">
        <v>11</v>
      </c>
      <c r="AL187" s="128" t="s">
        <v>11</v>
      </c>
      <c r="AM187" s="121">
        <v>4</v>
      </c>
      <c r="AN187" s="121" t="s">
        <v>198</v>
      </c>
      <c r="AO187" s="121">
        <v>4</v>
      </c>
      <c r="AP187" s="121" t="s">
        <v>198</v>
      </c>
      <c r="AQ187" s="121">
        <v>2</v>
      </c>
      <c r="AR187" s="121" t="s">
        <v>198</v>
      </c>
      <c r="AS187" s="121" t="s">
        <v>61</v>
      </c>
      <c r="AT187" s="121" t="s">
        <v>61</v>
      </c>
      <c r="AU187" s="121" t="s">
        <v>61</v>
      </c>
      <c r="AV187" s="121" t="s">
        <v>61</v>
      </c>
      <c r="AW187" s="126">
        <v>0.02</v>
      </c>
      <c r="AX187" s="121" t="s">
        <v>198</v>
      </c>
      <c r="AY187" s="121">
        <v>1</v>
      </c>
      <c r="AZ187" s="121" t="s">
        <v>198</v>
      </c>
      <c r="BA187" s="121">
        <v>2</v>
      </c>
      <c r="BB187" s="121" t="s">
        <v>198</v>
      </c>
      <c r="BC187" s="121">
        <v>2</v>
      </c>
      <c r="BD187" s="121" t="s">
        <v>198</v>
      </c>
      <c r="BE187" s="121">
        <v>4</v>
      </c>
      <c r="BF187" s="121" t="s">
        <v>198</v>
      </c>
      <c r="BG187" s="121">
        <v>3</v>
      </c>
      <c r="BH187" s="121" t="s">
        <v>198</v>
      </c>
      <c r="BI187" s="160">
        <v>4</v>
      </c>
      <c r="BJ187" s="121" t="s">
        <v>198</v>
      </c>
      <c r="BK187" s="160">
        <v>2</v>
      </c>
      <c r="BL187" s="121" t="str">
        <f>IF(BK187="NA","NA",IF(BK187="Not Reported","Not Reported",IF(BK187&gt;$L$187,"Not Met","Met")))</f>
        <v>Not Met</v>
      </c>
      <c r="BM187" s="262">
        <v>7.0000000000000007E-2</v>
      </c>
      <c r="BN187" s="121" t="str">
        <f>IF(BM187="NA","NA",IF(BM187="Not Reported","Not Reported",IF(BM187&gt;$L$187,"Not Met","Met")))</f>
        <v>Met</v>
      </c>
      <c r="BO187" s="126">
        <v>0.06</v>
      </c>
      <c r="BP187" s="121" t="s">
        <v>198</v>
      </c>
      <c r="BQ187" s="121" t="s">
        <v>61</v>
      </c>
      <c r="BR187" s="121" t="s">
        <v>61</v>
      </c>
      <c r="BS187" s="394">
        <v>5</v>
      </c>
      <c r="BT187" s="121" t="str">
        <f>IF(BS187="NA","NA",IF(BS187="Not Reported","Not Reported",IF(BS187&gt;$L$187,"Not Met","Met")))</f>
        <v>Not Met</v>
      </c>
      <c r="BU187" s="314">
        <v>10</v>
      </c>
      <c r="BV187" s="121" t="str">
        <f>IF(BU187="NA","NA",IF(BU187="Not Reported","Not Reported",IF(BU187&gt;$L$187,"Not Met","Met")))</f>
        <v>Not Met</v>
      </c>
    </row>
    <row r="188" spans="1:74" x14ac:dyDescent="0.2">
      <c r="A188" s="121">
        <v>187</v>
      </c>
      <c r="B188" s="122" t="s">
        <v>13</v>
      </c>
      <c r="C188" s="122" t="s">
        <v>901</v>
      </c>
      <c r="D188" s="123" t="s">
        <v>114</v>
      </c>
      <c r="E188" s="123" t="s">
        <v>900</v>
      </c>
      <c r="F188" s="123" t="s">
        <v>190</v>
      </c>
      <c r="G188" s="122" t="s">
        <v>191</v>
      </c>
      <c r="H188" s="122" t="s">
        <v>192</v>
      </c>
      <c r="I188" s="124"/>
      <c r="J188" s="124"/>
      <c r="K188" s="122" t="s">
        <v>662</v>
      </c>
      <c r="L188" s="146">
        <v>0.3</v>
      </c>
      <c r="M188" s="147" t="s">
        <v>663</v>
      </c>
      <c r="N188" s="122" t="s">
        <v>664</v>
      </c>
      <c r="O188" s="122" t="s">
        <v>665</v>
      </c>
      <c r="P188" s="122" t="s">
        <v>647</v>
      </c>
      <c r="Q188" s="178">
        <v>0.31</v>
      </c>
      <c r="R188" s="121" t="s">
        <v>198</v>
      </c>
      <c r="S188" s="178">
        <v>0.33</v>
      </c>
      <c r="T188" s="121" t="s">
        <v>198</v>
      </c>
      <c r="U188" s="178">
        <v>0.21</v>
      </c>
      <c r="V188" s="147" t="s">
        <v>251</v>
      </c>
      <c r="W188" s="178">
        <v>0.46</v>
      </c>
      <c r="X188" s="121" t="s">
        <v>198</v>
      </c>
      <c r="Y188" s="178">
        <v>0.64</v>
      </c>
      <c r="Z188" s="121" t="s">
        <v>198</v>
      </c>
      <c r="AA188" s="126">
        <v>0.64</v>
      </c>
      <c r="AB188" s="121" t="s">
        <v>198</v>
      </c>
      <c r="AC188" s="131" t="s">
        <v>256</v>
      </c>
      <c r="AD188" s="121" t="s">
        <v>61</v>
      </c>
      <c r="AE188" s="126">
        <v>0.47</v>
      </c>
      <c r="AF188" s="121" t="s">
        <v>198</v>
      </c>
      <c r="AG188" s="126">
        <v>0.28999999999999998</v>
      </c>
      <c r="AH188" s="147" t="s">
        <v>251</v>
      </c>
      <c r="AI188" s="126">
        <v>0.32</v>
      </c>
      <c r="AJ188" s="121" t="s">
        <v>198</v>
      </c>
      <c r="AK188" s="147" t="s">
        <v>11</v>
      </c>
      <c r="AL188" s="128" t="s">
        <v>11</v>
      </c>
      <c r="AM188" s="126">
        <v>0.43</v>
      </c>
      <c r="AN188" s="121" t="s">
        <v>198</v>
      </c>
      <c r="AO188" s="126">
        <v>0.34</v>
      </c>
      <c r="AP188" s="121" t="s">
        <v>198</v>
      </c>
      <c r="AQ188" s="126">
        <v>0.18</v>
      </c>
      <c r="AR188" s="121" t="s">
        <v>251</v>
      </c>
      <c r="AS188" s="121" t="s">
        <v>61</v>
      </c>
      <c r="AT188" s="121" t="s">
        <v>61</v>
      </c>
      <c r="AU188" s="121" t="s">
        <v>61</v>
      </c>
      <c r="AV188" s="121" t="s">
        <v>61</v>
      </c>
      <c r="AW188" s="126">
        <v>0.25</v>
      </c>
      <c r="AX188" s="121" t="s">
        <v>251</v>
      </c>
      <c r="AY188" s="126">
        <v>0.3</v>
      </c>
      <c r="AZ188" s="121" t="s">
        <v>198</v>
      </c>
      <c r="BA188" s="126">
        <v>0.24</v>
      </c>
      <c r="BB188" s="121" t="s">
        <v>251</v>
      </c>
      <c r="BC188" s="126">
        <v>0.33</v>
      </c>
      <c r="BD188" s="121" t="s">
        <v>198</v>
      </c>
      <c r="BE188" s="126">
        <v>0.31</v>
      </c>
      <c r="BF188" s="121" t="s">
        <v>198</v>
      </c>
      <c r="BG188" s="126">
        <v>0.3</v>
      </c>
      <c r="BH188" s="121" t="s">
        <v>198</v>
      </c>
      <c r="BI188" s="126">
        <v>0</v>
      </c>
      <c r="BJ188" s="121" t="s">
        <v>251</v>
      </c>
      <c r="BK188" s="126">
        <v>0.3</v>
      </c>
      <c r="BL188" s="121" t="str">
        <f>IF(BK188="NA","NA",IF(BK188="Not Reported","Not Reported",IF(BK188&lt;$L$188,"Not Met","Met")))</f>
        <v>Met</v>
      </c>
      <c r="BM188" s="262">
        <v>0.35</v>
      </c>
      <c r="BN188" s="121" t="str">
        <f>IF(BM188="NA","NA",IF(BM188="Not Reported","Not Reported",IF(BM188&lt;$L$188,"Not Met","Met")))</f>
        <v>Met</v>
      </c>
      <c r="BO188" s="126">
        <v>0.33</v>
      </c>
      <c r="BP188" s="121" t="s">
        <v>198</v>
      </c>
      <c r="BQ188" s="121" t="s">
        <v>61</v>
      </c>
      <c r="BR188" s="121" t="s">
        <v>61</v>
      </c>
      <c r="BS188" s="315">
        <v>0.3</v>
      </c>
      <c r="BT188" s="121" t="str">
        <f>IF(BS188="NA","NA",IF(BS188="Not Reported","Not Reported",IF(BS188&lt;$L$188,"Not Met","Met")))</f>
        <v>Met</v>
      </c>
      <c r="BU188" s="315">
        <v>0.34</v>
      </c>
      <c r="BV188" s="121" t="str">
        <f>IF(BU188="NA","NA",IF(BU188="Not Reported","Not Reported",IF(BU188&lt;$L$188,"Not Met","Met")))</f>
        <v>Met</v>
      </c>
    </row>
    <row r="189" spans="1:74" x14ac:dyDescent="0.2">
      <c r="A189" s="121">
        <v>188</v>
      </c>
      <c r="B189" s="122" t="s">
        <v>13</v>
      </c>
      <c r="C189" s="122" t="s">
        <v>901</v>
      </c>
      <c r="D189" s="123" t="s">
        <v>114</v>
      </c>
      <c r="E189" s="123" t="s">
        <v>900</v>
      </c>
      <c r="F189" s="123" t="s">
        <v>190</v>
      </c>
      <c r="G189" s="122" t="s">
        <v>191</v>
      </c>
      <c r="H189" s="122" t="s">
        <v>192</v>
      </c>
      <c r="I189" s="124"/>
      <c r="J189" s="124"/>
      <c r="K189" s="122" t="s">
        <v>666</v>
      </c>
      <c r="L189" s="146">
        <v>0.3</v>
      </c>
      <c r="M189" s="147" t="s">
        <v>663</v>
      </c>
      <c r="N189" s="122" t="s">
        <v>664</v>
      </c>
      <c r="O189" s="122" t="s">
        <v>665</v>
      </c>
      <c r="P189" s="122" t="s">
        <v>647</v>
      </c>
      <c r="Q189" s="178">
        <v>0.39</v>
      </c>
      <c r="R189" s="121" t="s">
        <v>198</v>
      </c>
      <c r="S189" s="178">
        <v>0.67</v>
      </c>
      <c r="T189" s="121" t="s">
        <v>198</v>
      </c>
      <c r="U189" s="178">
        <v>0.73</v>
      </c>
      <c r="V189" s="121" t="s">
        <v>198</v>
      </c>
      <c r="W189" s="178">
        <v>0.62</v>
      </c>
      <c r="X189" s="121" t="s">
        <v>198</v>
      </c>
      <c r="Y189" s="178">
        <v>0.5</v>
      </c>
      <c r="Z189" s="121" t="s">
        <v>198</v>
      </c>
      <c r="AA189" s="126">
        <v>0.41</v>
      </c>
      <c r="AB189" s="121" t="s">
        <v>198</v>
      </c>
      <c r="AC189" s="131" t="s">
        <v>256</v>
      </c>
      <c r="AD189" s="121" t="s">
        <v>61</v>
      </c>
      <c r="AE189" s="126">
        <v>0.2</v>
      </c>
      <c r="AF189" s="147" t="s">
        <v>251</v>
      </c>
      <c r="AG189" s="126">
        <v>0.61</v>
      </c>
      <c r="AH189" s="121" t="s">
        <v>198</v>
      </c>
      <c r="AI189" s="126">
        <v>0.51</v>
      </c>
      <c r="AJ189" s="121" t="s">
        <v>198</v>
      </c>
      <c r="AK189" s="147" t="s">
        <v>11</v>
      </c>
      <c r="AL189" s="128" t="s">
        <v>11</v>
      </c>
      <c r="AM189" s="126">
        <v>0.43</v>
      </c>
      <c r="AN189" s="121" t="s">
        <v>198</v>
      </c>
      <c r="AO189" s="126">
        <v>0.71</v>
      </c>
      <c r="AP189" s="121" t="s">
        <v>198</v>
      </c>
      <c r="AQ189" s="126">
        <v>0.75</v>
      </c>
      <c r="AR189" s="121" t="s">
        <v>198</v>
      </c>
      <c r="AS189" s="121" t="s">
        <v>61</v>
      </c>
      <c r="AT189" s="121" t="s">
        <v>61</v>
      </c>
      <c r="AU189" s="121" t="s">
        <v>61</v>
      </c>
      <c r="AV189" s="121" t="s">
        <v>61</v>
      </c>
      <c r="AW189" s="126">
        <v>0.56000000000000005</v>
      </c>
      <c r="AX189" s="121" t="s">
        <v>198</v>
      </c>
      <c r="AY189" s="126">
        <v>0.82</v>
      </c>
      <c r="AZ189" s="121" t="s">
        <v>198</v>
      </c>
      <c r="BA189" s="126">
        <v>0.64</v>
      </c>
      <c r="BB189" s="121" t="s">
        <v>198</v>
      </c>
      <c r="BC189" s="126">
        <v>0.46</v>
      </c>
      <c r="BD189" s="121" t="s">
        <v>198</v>
      </c>
      <c r="BE189" s="126">
        <v>0.44</v>
      </c>
      <c r="BF189" s="121" t="s">
        <v>198</v>
      </c>
      <c r="BG189" s="126">
        <v>0.38</v>
      </c>
      <c r="BH189" s="121" t="s">
        <v>198</v>
      </c>
      <c r="BI189" s="126">
        <v>0.44</v>
      </c>
      <c r="BJ189" s="121" t="s">
        <v>198</v>
      </c>
      <c r="BK189" s="126">
        <v>0.45</v>
      </c>
      <c r="BL189" s="121" t="str">
        <f>IF(BK189="NA","NA",IF(BK189="Not Reported","Not Reported",IF(BK189&lt;$L$189,"Not Met","Met")))</f>
        <v>Met</v>
      </c>
      <c r="BM189" s="262">
        <v>0.46</v>
      </c>
      <c r="BN189" s="121" t="str">
        <f>IF(BM189="NA","NA",IF(BM189="Not Reported","Not Reported",IF(BM189&lt;$L$189,"Not Met","Met")))</f>
        <v>Met</v>
      </c>
      <c r="BO189" s="126">
        <v>0.3</v>
      </c>
      <c r="BP189" s="121" t="s">
        <v>198</v>
      </c>
      <c r="BQ189" s="121" t="s">
        <v>61</v>
      </c>
      <c r="BR189" s="121" t="s">
        <v>61</v>
      </c>
      <c r="BS189" s="315">
        <v>0.77</v>
      </c>
      <c r="BT189" s="121" t="str">
        <f>IF(BS189="NA","NA",IF(BS189="Not Reported","Not Reported",IF(BS189&lt;$L$189,"Not Met","Met")))</f>
        <v>Met</v>
      </c>
      <c r="BU189" s="315">
        <v>0.56999999999999995</v>
      </c>
      <c r="BV189" s="121" t="str">
        <f>IF(BU189="NA","NA",IF(BU189="Not Reported","Not Reported",IF(BU189&lt;$L$189,"Not Met","Met")))</f>
        <v>Met</v>
      </c>
    </row>
    <row r="190" spans="1:74" x14ac:dyDescent="0.2">
      <c r="A190" s="121">
        <v>189</v>
      </c>
      <c r="B190" s="122" t="s">
        <v>13</v>
      </c>
      <c r="C190" s="122" t="s">
        <v>901</v>
      </c>
      <c r="D190" s="123" t="s">
        <v>114</v>
      </c>
      <c r="E190" s="123" t="s">
        <v>900</v>
      </c>
      <c r="F190" s="123" t="s">
        <v>190</v>
      </c>
      <c r="G190" s="122" t="s">
        <v>191</v>
      </c>
      <c r="H190" s="122" t="s">
        <v>192</v>
      </c>
      <c r="I190" s="124"/>
      <c r="J190" s="124"/>
      <c r="K190" s="122" t="s">
        <v>667</v>
      </c>
      <c r="L190" s="146">
        <v>0.1</v>
      </c>
      <c r="M190" s="147" t="s">
        <v>668</v>
      </c>
      <c r="N190" s="122" t="s">
        <v>669</v>
      </c>
      <c r="O190" s="122" t="s">
        <v>670</v>
      </c>
      <c r="P190" s="122" t="s">
        <v>647</v>
      </c>
      <c r="Q190" s="178">
        <v>0</v>
      </c>
      <c r="R190" s="121" t="s">
        <v>198</v>
      </c>
      <c r="S190" s="178">
        <v>0</v>
      </c>
      <c r="T190" s="121" t="s">
        <v>198</v>
      </c>
      <c r="U190" s="178">
        <v>0</v>
      </c>
      <c r="V190" s="121" t="s">
        <v>198</v>
      </c>
      <c r="W190" s="178">
        <v>0</v>
      </c>
      <c r="X190" s="121" t="s">
        <v>198</v>
      </c>
      <c r="Y190" s="178">
        <v>0</v>
      </c>
      <c r="Z190" s="121" t="s">
        <v>198</v>
      </c>
      <c r="AA190" s="178">
        <v>0</v>
      </c>
      <c r="AB190" s="121" t="s">
        <v>198</v>
      </c>
      <c r="AC190" s="131" t="s">
        <v>256</v>
      </c>
      <c r="AD190" s="121" t="s">
        <v>61</v>
      </c>
      <c r="AE190" s="178">
        <v>0</v>
      </c>
      <c r="AF190" s="121" t="s">
        <v>198</v>
      </c>
      <c r="AG190" s="178">
        <v>0</v>
      </c>
      <c r="AH190" s="121" t="s">
        <v>198</v>
      </c>
      <c r="AI190" s="126">
        <v>0</v>
      </c>
      <c r="AJ190" s="121" t="s">
        <v>198</v>
      </c>
      <c r="AK190" s="147" t="s">
        <v>11</v>
      </c>
      <c r="AL190" s="128" t="s">
        <v>11</v>
      </c>
      <c r="AM190" s="126">
        <v>0</v>
      </c>
      <c r="AN190" s="121" t="s">
        <v>198</v>
      </c>
      <c r="AO190" s="126">
        <v>0</v>
      </c>
      <c r="AP190" s="121" t="s">
        <v>198</v>
      </c>
      <c r="AQ190" s="126">
        <v>0</v>
      </c>
      <c r="AR190" s="121" t="s">
        <v>198</v>
      </c>
      <c r="AS190" s="121" t="s">
        <v>61</v>
      </c>
      <c r="AT190" s="121" t="s">
        <v>61</v>
      </c>
      <c r="AU190" s="121" t="s">
        <v>61</v>
      </c>
      <c r="AV190" s="121" t="s">
        <v>61</v>
      </c>
      <c r="AW190" s="126">
        <v>0</v>
      </c>
      <c r="AX190" s="121" t="s">
        <v>198</v>
      </c>
      <c r="AY190" s="126">
        <v>0</v>
      </c>
      <c r="AZ190" s="121" t="s">
        <v>198</v>
      </c>
      <c r="BA190" s="126">
        <v>0</v>
      </c>
      <c r="BB190" s="121" t="s">
        <v>198</v>
      </c>
      <c r="BC190" s="126">
        <v>0</v>
      </c>
      <c r="BD190" s="121" t="s">
        <v>198</v>
      </c>
      <c r="BE190" s="126">
        <v>0</v>
      </c>
      <c r="BF190" s="121" t="s">
        <v>198</v>
      </c>
      <c r="BG190" s="126">
        <v>0</v>
      </c>
      <c r="BH190" s="121" t="s">
        <v>198</v>
      </c>
      <c r="BI190" s="121">
        <v>0</v>
      </c>
      <c r="BJ190" s="121" t="s">
        <v>198</v>
      </c>
      <c r="BK190" s="121">
        <v>0</v>
      </c>
      <c r="BL190" s="121" t="str">
        <f>IF(BK190="NA","NA",IF(BK190="Not Reported","Not Reported",IF(BK190&gt;$L$190,"Not Met","Met")))</f>
        <v>Met</v>
      </c>
      <c r="BM190" s="262">
        <v>0</v>
      </c>
      <c r="BN190" s="121" t="str">
        <f>IF(BM190="NA","NA",IF(BM190="Not Reported","Not Reported",IF(BM190&gt;$L$190,"Not Met","Met")))</f>
        <v>Met</v>
      </c>
      <c r="BO190" s="126">
        <v>0.02</v>
      </c>
      <c r="BP190" s="121" t="s">
        <v>198</v>
      </c>
      <c r="BQ190" s="121" t="s">
        <v>61</v>
      </c>
      <c r="BR190" s="121" t="s">
        <v>61</v>
      </c>
      <c r="BS190" s="315">
        <v>0</v>
      </c>
      <c r="BT190" s="121" t="str">
        <f>IF(BS190="NA","NA",IF(BS190="Not Reported","Not Reported",IF(BS190&gt;$L$190,"Not Met","Met")))</f>
        <v>Met</v>
      </c>
      <c r="BU190" s="315">
        <v>0.01</v>
      </c>
      <c r="BV190" s="121" t="str">
        <f>IF(BU190="NA","NA",IF(BU190="Not Reported","Not Reported",IF(BU190&gt;$L$190,"Not Met","Met")))</f>
        <v>Met</v>
      </c>
    </row>
    <row r="191" spans="1:74" x14ac:dyDescent="0.2">
      <c r="A191" s="121">
        <v>190</v>
      </c>
      <c r="B191" s="122" t="s">
        <v>13</v>
      </c>
      <c r="C191" s="122" t="s">
        <v>901</v>
      </c>
      <c r="D191" s="123" t="s">
        <v>114</v>
      </c>
      <c r="E191" s="123" t="s">
        <v>900</v>
      </c>
      <c r="F191" s="123" t="s">
        <v>190</v>
      </c>
      <c r="G191" s="122" t="s">
        <v>191</v>
      </c>
      <c r="H191" s="122" t="s">
        <v>192</v>
      </c>
      <c r="I191" s="124"/>
      <c r="J191" s="124"/>
      <c r="K191" s="122" t="s">
        <v>671</v>
      </c>
      <c r="L191" s="146">
        <v>0.05</v>
      </c>
      <c r="M191" s="147" t="s">
        <v>672</v>
      </c>
      <c r="N191" s="122" t="s">
        <v>669</v>
      </c>
      <c r="O191" s="122" t="s">
        <v>670</v>
      </c>
      <c r="P191" s="122" t="s">
        <v>647</v>
      </c>
      <c r="Q191" s="178">
        <v>0</v>
      </c>
      <c r="R191" s="121" t="s">
        <v>198</v>
      </c>
      <c r="S191" s="178">
        <v>0</v>
      </c>
      <c r="T191" s="121" t="s">
        <v>198</v>
      </c>
      <c r="U191" s="178">
        <v>0</v>
      </c>
      <c r="V191" s="121" t="s">
        <v>198</v>
      </c>
      <c r="W191" s="178">
        <v>0</v>
      </c>
      <c r="X191" s="121" t="s">
        <v>198</v>
      </c>
      <c r="Y191" s="178">
        <v>0</v>
      </c>
      <c r="Z191" s="121" t="s">
        <v>198</v>
      </c>
      <c r="AA191" s="178">
        <v>0</v>
      </c>
      <c r="AB191" s="121" t="s">
        <v>198</v>
      </c>
      <c r="AC191" s="131" t="s">
        <v>256</v>
      </c>
      <c r="AD191" s="121" t="s">
        <v>61</v>
      </c>
      <c r="AE191" s="178">
        <v>0</v>
      </c>
      <c r="AF191" s="121" t="s">
        <v>198</v>
      </c>
      <c r="AG191" s="178">
        <v>0.04</v>
      </c>
      <c r="AH191" s="121" t="s">
        <v>198</v>
      </c>
      <c r="AI191" s="126">
        <v>0.03</v>
      </c>
      <c r="AJ191" s="121" t="s">
        <v>198</v>
      </c>
      <c r="AK191" s="147" t="s">
        <v>11</v>
      </c>
      <c r="AL191" s="128" t="s">
        <v>11</v>
      </c>
      <c r="AM191" s="126">
        <v>0</v>
      </c>
      <c r="AN191" s="121" t="s">
        <v>198</v>
      </c>
      <c r="AO191" s="126">
        <v>0.02</v>
      </c>
      <c r="AP191" s="121" t="s">
        <v>198</v>
      </c>
      <c r="AQ191" s="126">
        <v>0</v>
      </c>
      <c r="AR191" s="121" t="s">
        <v>198</v>
      </c>
      <c r="AS191" s="121" t="s">
        <v>61</v>
      </c>
      <c r="AT191" s="121" t="s">
        <v>61</v>
      </c>
      <c r="AU191" s="121" t="s">
        <v>61</v>
      </c>
      <c r="AV191" s="121" t="s">
        <v>61</v>
      </c>
      <c r="AW191" s="126">
        <v>0.04</v>
      </c>
      <c r="AX191" s="121" t="s">
        <v>198</v>
      </c>
      <c r="AY191" s="126">
        <v>0</v>
      </c>
      <c r="AZ191" s="121" t="s">
        <v>198</v>
      </c>
      <c r="BA191" s="126">
        <v>0.02</v>
      </c>
      <c r="BB191" s="121" t="s">
        <v>198</v>
      </c>
      <c r="BC191" s="126">
        <v>0</v>
      </c>
      <c r="BD191" s="121" t="s">
        <v>198</v>
      </c>
      <c r="BE191" s="126">
        <v>0</v>
      </c>
      <c r="BF191" s="121" t="s">
        <v>198</v>
      </c>
      <c r="BG191" s="126">
        <v>0</v>
      </c>
      <c r="BH191" s="121" t="s">
        <v>198</v>
      </c>
      <c r="BI191" s="126">
        <v>0.05</v>
      </c>
      <c r="BJ191" s="121" t="s">
        <v>198</v>
      </c>
      <c r="BK191" s="126">
        <v>0.05</v>
      </c>
      <c r="BL191" s="121" t="str">
        <f>IF(BK191="NA","NA",IF(BK191="Not Reported","Not Reported",IF(BK191&gt;$L$191,"Not Met","Met")))</f>
        <v>Met</v>
      </c>
      <c r="BM191" s="262">
        <v>0</v>
      </c>
      <c r="BN191" s="121" t="str">
        <f>IF(BM191="NA","NA",IF(BM191="Not Reported","Not Reported",IF(BM191&gt;$L$191,"Not Met","Met")))</f>
        <v>Met</v>
      </c>
      <c r="BO191" s="126">
        <v>0</v>
      </c>
      <c r="BP191" s="121" t="s">
        <v>198</v>
      </c>
      <c r="BQ191" s="121" t="s">
        <v>61</v>
      </c>
      <c r="BR191" s="121" t="s">
        <v>61</v>
      </c>
      <c r="BS191" s="315">
        <v>0</v>
      </c>
      <c r="BT191" s="121" t="str">
        <f>IF(BS191="NA","NA",IF(BS191="Not Reported","Not Reported",IF(BS191&gt;$L$191,"Not Met","Met")))</f>
        <v>Met</v>
      </c>
      <c r="BU191" s="315">
        <v>0</v>
      </c>
      <c r="BV191" s="121" t="str">
        <f>IF(BU191="NA","NA",IF(BU191="Not Reported","Not Reported",IF(BU191&gt;$L$191,"Not Met","Met")))</f>
        <v>Met</v>
      </c>
    </row>
    <row r="192" spans="1:74" x14ac:dyDescent="0.2">
      <c r="A192" s="121">
        <v>191</v>
      </c>
      <c r="B192" s="122" t="s">
        <v>13</v>
      </c>
      <c r="C192" s="122" t="s">
        <v>901</v>
      </c>
      <c r="D192" s="123" t="s">
        <v>114</v>
      </c>
      <c r="E192" s="123" t="s">
        <v>900</v>
      </c>
      <c r="F192" s="123" t="s">
        <v>190</v>
      </c>
      <c r="G192" s="122" t="s">
        <v>191</v>
      </c>
      <c r="H192" s="122" t="s">
        <v>192</v>
      </c>
      <c r="I192" s="124" t="s">
        <v>257</v>
      </c>
      <c r="J192" s="124" t="s">
        <v>258</v>
      </c>
      <c r="K192" s="123" t="s">
        <v>259</v>
      </c>
      <c r="L192" s="146">
        <v>0.8</v>
      </c>
      <c r="M192" s="147" t="s">
        <v>673</v>
      </c>
      <c r="N192" s="122" t="s">
        <v>674</v>
      </c>
      <c r="O192" s="122" t="s">
        <v>11</v>
      </c>
      <c r="P192" s="122" t="s">
        <v>647</v>
      </c>
      <c r="Q192" s="178">
        <v>1</v>
      </c>
      <c r="R192" s="121" t="s">
        <v>198</v>
      </c>
      <c r="S192" s="178">
        <v>1</v>
      </c>
      <c r="T192" s="121" t="s">
        <v>198</v>
      </c>
      <c r="U192" s="178">
        <v>1</v>
      </c>
      <c r="V192" s="121" t="s">
        <v>198</v>
      </c>
      <c r="W192" s="178">
        <v>1</v>
      </c>
      <c r="X192" s="121" t="s">
        <v>198</v>
      </c>
      <c r="Y192" s="178">
        <v>1</v>
      </c>
      <c r="Z192" s="121" t="s">
        <v>198</v>
      </c>
      <c r="AA192" s="178">
        <v>1</v>
      </c>
      <c r="AB192" s="121" t="s">
        <v>198</v>
      </c>
      <c r="AC192" s="131" t="s">
        <v>256</v>
      </c>
      <c r="AD192" s="121" t="s">
        <v>61</v>
      </c>
      <c r="AE192" s="178">
        <v>1</v>
      </c>
      <c r="AF192" s="121" t="s">
        <v>198</v>
      </c>
      <c r="AG192" s="146">
        <v>1</v>
      </c>
      <c r="AH192" s="121" t="s">
        <v>198</v>
      </c>
      <c r="AI192" s="146">
        <v>1</v>
      </c>
      <c r="AJ192" s="121" t="s">
        <v>198</v>
      </c>
      <c r="AK192" s="147" t="s">
        <v>11</v>
      </c>
      <c r="AL192" s="128" t="s">
        <v>11</v>
      </c>
      <c r="AM192" s="146">
        <v>1</v>
      </c>
      <c r="AN192" s="121" t="s">
        <v>198</v>
      </c>
      <c r="AO192" s="146">
        <v>1</v>
      </c>
      <c r="AP192" s="121" t="s">
        <v>198</v>
      </c>
      <c r="AQ192" s="146">
        <v>1</v>
      </c>
      <c r="AR192" s="121" t="s">
        <v>198</v>
      </c>
      <c r="AS192" s="121" t="s">
        <v>61</v>
      </c>
      <c r="AT192" s="121" t="s">
        <v>61</v>
      </c>
      <c r="AU192" s="128" t="s">
        <v>11</v>
      </c>
      <c r="AV192" s="128" t="s">
        <v>11</v>
      </c>
      <c r="AW192" s="128" t="s">
        <v>11</v>
      </c>
      <c r="AX192" s="128" t="s">
        <v>11</v>
      </c>
      <c r="AY192" s="128" t="s">
        <v>11</v>
      </c>
      <c r="AZ192" s="128" t="s">
        <v>11</v>
      </c>
      <c r="BA192" s="128" t="s">
        <v>11</v>
      </c>
      <c r="BB192" s="128" t="s">
        <v>11</v>
      </c>
      <c r="BC192" s="127" t="s">
        <v>11</v>
      </c>
      <c r="BD192" s="128" t="s">
        <v>11</v>
      </c>
      <c r="BE192" s="128" t="s">
        <v>11</v>
      </c>
      <c r="BF192" s="128" t="s">
        <v>11</v>
      </c>
      <c r="BG192" s="121" t="s">
        <v>11</v>
      </c>
      <c r="BH192" s="128" t="s">
        <v>11</v>
      </c>
      <c r="BI192" s="121" t="s">
        <v>11</v>
      </c>
      <c r="BJ192" s="128" t="s">
        <v>11</v>
      </c>
      <c r="BK192" s="126">
        <v>0.79</v>
      </c>
      <c r="BL192" s="121" t="str">
        <f>IF(BK192="NA","NA",IF(BK192="Not Reported","Not Reported",IF(BK192&lt;=$L$192,"Not Met","Met")))</f>
        <v>Not Met</v>
      </c>
      <c r="BM192" s="257" t="s">
        <v>11</v>
      </c>
      <c r="BN192" s="121" t="str">
        <f>IF(BM192="NA","NA",IF(BM192="Not Reported","Not Reported",IF(BM192&lt;=$L$192,"Not Met","Met")))</f>
        <v>NA</v>
      </c>
      <c r="BO192" s="257" t="s">
        <v>11</v>
      </c>
      <c r="BP192" s="121" t="s">
        <v>11</v>
      </c>
      <c r="BQ192" s="121" t="s">
        <v>11</v>
      </c>
      <c r="BR192" s="121" t="s">
        <v>11</v>
      </c>
      <c r="BS192" s="13" t="s">
        <v>11</v>
      </c>
      <c r="BT192" s="121" t="str">
        <f>IF(BS192="NA","NA",IF(BS192="Not Reported","Not Reported",IF(BS192&lt;=$L$192,"Not Met","Met")))</f>
        <v>NA</v>
      </c>
      <c r="BU192" s="338" t="s">
        <v>11</v>
      </c>
      <c r="BV192" s="121" t="str">
        <f>IF(BU192="NA","NA",IF(BU192="Not Reported","Not Reported",IF(BU192&lt;=$L$192,"Not Met","Met")))</f>
        <v>NA</v>
      </c>
    </row>
    <row r="193" spans="1:74" x14ac:dyDescent="0.2">
      <c r="A193" s="121">
        <v>192</v>
      </c>
      <c r="B193" s="122" t="s">
        <v>13</v>
      </c>
      <c r="C193" s="122" t="s">
        <v>901</v>
      </c>
      <c r="D193" s="123" t="s">
        <v>114</v>
      </c>
      <c r="E193" s="123" t="s">
        <v>900</v>
      </c>
      <c r="F193" s="123" t="s">
        <v>190</v>
      </c>
      <c r="G193" s="122" t="s">
        <v>191</v>
      </c>
      <c r="H193" s="122" t="s">
        <v>192</v>
      </c>
      <c r="I193" s="124" t="s">
        <v>257</v>
      </c>
      <c r="J193" s="124" t="s">
        <v>258</v>
      </c>
      <c r="K193" s="123" t="s">
        <v>259</v>
      </c>
      <c r="L193" s="146">
        <v>0.8</v>
      </c>
      <c r="M193" s="147" t="s">
        <v>675</v>
      </c>
      <c r="N193" s="122" t="s">
        <v>674</v>
      </c>
      <c r="O193" s="122" t="s">
        <v>11</v>
      </c>
      <c r="P193" s="122" t="s">
        <v>647</v>
      </c>
      <c r="Q193" s="178">
        <v>1</v>
      </c>
      <c r="R193" s="121" t="s">
        <v>198</v>
      </c>
      <c r="S193" s="178">
        <v>1</v>
      </c>
      <c r="T193" s="121" t="s">
        <v>198</v>
      </c>
      <c r="U193" s="178">
        <v>1</v>
      </c>
      <c r="V193" s="121" t="s">
        <v>198</v>
      </c>
      <c r="W193" s="178">
        <v>1</v>
      </c>
      <c r="X193" s="121" t="s">
        <v>198</v>
      </c>
      <c r="Y193" s="178">
        <v>1</v>
      </c>
      <c r="Z193" s="121" t="s">
        <v>198</v>
      </c>
      <c r="AA193" s="178">
        <v>1</v>
      </c>
      <c r="AB193" s="121" t="s">
        <v>198</v>
      </c>
      <c r="AC193" s="131" t="s">
        <v>256</v>
      </c>
      <c r="AD193" s="121" t="s">
        <v>61</v>
      </c>
      <c r="AE193" s="178">
        <v>1</v>
      </c>
      <c r="AF193" s="121" t="s">
        <v>198</v>
      </c>
      <c r="AG193" s="146">
        <v>1</v>
      </c>
      <c r="AH193" s="121" t="s">
        <v>198</v>
      </c>
      <c r="AI193" s="146">
        <v>1</v>
      </c>
      <c r="AJ193" s="121" t="s">
        <v>198</v>
      </c>
      <c r="AK193" s="147" t="s">
        <v>11</v>
      </c>
      <c r="AL193" s="128" t="s">
        <v>11</v>
      </c>
      <c r="AM193" s="146">
        <v>1</v>
      </c>
      <c r="AN193" s="121" t="s">
        <v>198</v>
      </c>
      <c r="AO193" s="146">
        <v>1</v>
      </c>
      <c r="AP193" s="121" t="s">
        <v>198</v>
      </c>
      <c r="AQ193" s="146">
        <v>1</v>
      </c>
      <c r="AR193" s="121" t="s">
        <v>198</v>
      </c>
      <c r="AS193" s="121" t="s">
        <v>61</v>
      </c>
      <c r="AT193" s="121" t="s">
        <v>61</v>
      </c>
      <c r="AU193" s="128" t="s">
        <v>11</v>
      </c>
      <c r="AV193" s="128" t="s">
        <v>11</v>
      </c>
      <c r="AW193" s="128" t="s">
        <v>11</v>
      </c>
      <c r="AX193" s="128" t="s">
        <v>11</v>
      </c>
      <c r="AY193" s="128" t="s">
        <v>11</v>
      </c>
      <c r="AZ193" s="128" t="s">
        <v>11</v>
      </c>
      <c r="BA193" s="128" t="s">
        <v>11</v>
      </c>
      <c r="BB193" s="128" t="s">
        <v>11</v>
      </c>
      <c r="BC193" s="127" t="s">
        <v>11</v>
      </c>
      <c r="BD193" s="128" t="s">
        <v>11</v>
      </c>
      <c r="BE193" s="128" t="s">
        <v>11</v>
      </c>
      <c r="BF193" s="128" t="s">
        <v>11</v>
      </c>
      <c r="BG193" s="121" t="s">
        <v>11</v>
      </c>
      <c r="BH193" s="128" t="s">
        <v>11</v>
      </c>
      <c r="BI193" s="121" t="s">
        <v>11</v>
      </c>
      <c r="BJ193" s="128" t="s">
        <v>11</v>
      </c>
      <c r="BK193" s="126">
        <v>0.79</v>
      </c>
      <c r="BL193" s="121" t="str">
        <f>IF(BK193="NA","NA",IF(BK193="Not Reported","Not Reported",IF(BK193&lt;=$L$193,"Not Met","Met")))</f>
        <v>Not Met</v>
      </c>
      <c r="BM193" s="257" t="s">
        <v>11</v>
      </c>
      <c r="BN193" s="121" t="str">
        <f>IF(BM193="NA","NA",IF(BM193="Not Reported","Not Reported",IF(BM193&lt;=$L$193,"Not Met","Met")))</f>
        <v>NA</v>
      </c>
      <c r="BO193" s="257" t="s">
        <v>11</v>
      </c>
      <c r="BP193" s="121" t="s">
        <v>11</v>
      </c>
      <c r="BQ193" s="121" t="s">
        <v>11</v>
      </c>
      <c r="BR193" s="121" t="s">
        <v>11</v>
      </c>
      <c r="BS193" s="13" t="s">
        <v>11</v>
      </c>
      <c r="BT193" s="121" t="str">
        <f>IF(BS193="NA","NA",IF(BS193="Not Reported","Not Reported",IF(BS193&lt;=$L$193,"Not Met","Met")))</f>
        <v>NA</v>
      </c>
      <c r="BU193" s="338" t="s">
        <v>11</v>
      </c>
      <c r="BV193" s="121" t="str">
        <f>IF(BU193="NA","NA",IF(BU193="Not Reported","Not Reported",IF(BU193&lt;=$L$193,"Not Met","Met")))</f>
        <v>NA</v>
      </c>
    </row>
    <row r="194" spans="1:74" x14ac:dyDescent="0.25">
      <c r="A194" s="121">
        <v>193</v>
      </c>
      <c r="B194" s="122" t="s">
        <v>13</v>
      </c>
      <c r="C194" s="122" t="s">
        <v>901</v>
      </c>
      <c r="D194" s="123" t="s">
        <v>114</v>
      </c>
      <c r="E194" s="123" t="s">
        <v>900</v>
      </c>
      <c r="F194" s="123" t="s">
        <v>190</v>
      </c>
      <c r="G194" s="122" t="s">
        <v>191</v>
      </c>
      <c r="H194" s="122" t="s">
        <v>192</v>
      </c>
      <c r="I194" s="124" t="e">
        <v>#N/A</v>
      </c>
      <c r="J194" s="124"/>
      <c r="K194" s="122" t="s">
        <v>676</v>
      </c>
      <c r="L194" s="146">
        <v>0.9</v>
      </c>
      <c r="M194" s="147" t="s">
        <v>677</v>
      </c>
      <c r="N194" s="122" t="s">
        <v>678</v>
      </c>
      <c r="O194" s="122" t="s">
        <v>11</v>
      </c>
      <c r="P194" s="122" t="s">
        <v>647</v>
      </c>
      <c r="Q194" s="131" t="s">
        <v>61</v>
      </c>
      <c r="R194" s="131" t="s">
        <v>61</v>
      </c>
      <c r="S194" s="131" t="s">
        <v>61</v>
      </c>
      <c r="T194" s="131" t="s">
        <v>61</v>
      </c>
      <c r="U194" s="131" t="s">
        <v>61</v>
      </c>
      <c r="V194" s="131" t="s">
        <v>61</v>
      </c>
      <c r="W194" s="131" t="s">
        <v>256</v>
      </c>
      <c r="X194" s="143" t="s">
        <v>61</v>
      </c>
      <c r="Y194" s="131" t="s">
        <v>256</v>
      </c>
      <c r="Z194" s="143" t="s">
        <v>61</v>
      </c>
      <c r="AA194" s="143" t="s">
        <v>61</v>
      </c>
      <c r="AB194" s="127" t="s">
        <v>61</v>
      </c>
      <c r="AC194" s="143" t="s">
        <v>61</v>
      </c>
      <c r="AD194" s="121" t="s">
        <v>61</v>
      </c>
      <c r="AE194" s="143" t="s">
        <v>61</v>
      </c>
      <c r="AF194" s="127" t="s">
        <v>61</v>
      </c>
      <c r="AG194" s="143" t="s">
        <v>61</v>
      </c>
      <c r="AH194" s="143" t="s">
        <v>61</v>
      </c>
      <c r="AI194" s="131" t="s">
        <v>11</v>
      </c>
      <c r="AJ194" s="128" t="s">
        <v>11</v>
      </c>
      <c r="AK194" s="131" t="s">
        <v>11</v>
      </c>
      <c r="AL194" s="128" t="s">
        <v>11</v>
      </c>
      <c r="AM194" s="131" t="s">
        <v>11</v>
      </c>
      <c r="AN194" s="128" t="s">
        <v>11</v>
      </c>
      <c r="AO194" s="128" t="s">
        <v>11</v>
      </c>
      <c r="AP194" s="128" t="s">
        <v>11</v>
      </c>
      <c r="AQ194" s="128" t="s">
        <v>11</v>
      </c>
      <c r="AR194" s="128" t="s">
        <v>11</v>
      </c>
      <c r="AS194" s="128" t="s">
        <v>11</v>
      </c>
      <c r="AT194" s="128" t="s">
        <v>11</v>
      </c>
      <c r="AU194" s="128" t="s">
        <v>11</v>
      </c>
      <c r="AV194" s="128" t="s">
        <v>11</v>
      </c>
      <c r="AW194" s="128" t="s">
        <v>11</v>
      </c>
      <c r="AX194" s="128" t="s">
        <v>11</v>
      </c>
      <c r="AY194" s="128" t="s">
        <v>11</v>
      </c>
      <c r="AZ194" s="128" t="s">
        <v>11</v>
      </c>
      <c r="BA194" s="128" t="s">
        <v>11</v>
      </c>
      <c r="BB194" s="128" t="s">
        <v>11</v>
      </c>
      <c r="BC194" s="127" t="s">
        <v>11</v>
      </c>
      <c r="BD194" s="128" t="s">
        <v>11</v>
      </c>
      <c r="BE194" s="128" t="s">
        <v>11</v>
      </c>
      <c r="BF194" s="128" t="s">
        <v>11</v>
      </c>
      <c r="BG194" s="121" t="s">
        <v>11</v>
      </c>
      <c r="BH194" s="128" t="s">
        <v>11</v>
      </c>
      <c r="BI194" s="121" t="s">
        <v>11</v>
      </c>
      <c r="BJ194" s="128" t="s">
        <v>11</v>
      </c>
      <c r="BK194" s="121" t="s">
        <v>11</v>
      </c>
      <c r="BL194" s="128" t="str">
        <f>IF(BK194="NA","NA",IF(BK194="Not Reported","Not Reported",IF(BK194&lt;$L$194,"Not Met","Met")))</f>
        <v>NA</v>
      </c>
      <c r="BM194" s="257" t="s">
        <v>11</v>
      </c>
      <c r="BN194" s="128" t="str">
        <f>IF(BM194="NA","NA",IF(BM194="Not Reported","Not Reported",IF(BM194&lt;$L$194,"Not Met","Met")))</f>
        <v>NA</v>
      </c>
      <c r="BO194" s="257" t="s">
        <v>11</v>
      </c>
      <c r="BP194" s="128" t="s">
        <v>11</v>
      </c>
      <c r="BQ194" s="121" t="s">
        <v>11</v>
      </c>
      <c r="BR194" s="121" t="s">
        <v>11</v>
      </c>
      <c r="BS194" s="13" t="s">
        <v>11</v>
      </c>
      <c r="BT194" s="128" t="str">
        <f>IF(BS194="NA","NA",IF(BS194="Not Reported","Not Reported",IF(BS194&lt;$L$194,"Not Met","Met")))</f>
        <v>NA</v>
      </c>
      <c r="BU194" s="338" t="s">
        <v>11</v>
      </c>
      <c r="BV194" s="128" t="str">
        <f>IF(BU194="NA","NA",IF(BU194="Not Reported","Not Reported",IF(BU194&lt;$L$194,"Not Met","Met")))</f>
        <v>NA</v>
      </c>
    </row>
    <row r="195" spans="1:74" x14ac:dyDescent="0.25">
      <c r="A195" s="121">
        <v>194</v>
      </c>
      <c r="B195" s="122" t="s">
        <v>13</v>
      </c>
      <c r="C195" s="122" t="s">
        <v>901</v>
      </c>
      <c r="D195" s="123" t="s">
        <v>114</v>
      </c>
      <c r="E195" s="123" t="s">
        <v>900</v>
      </c>
      <c r="F195" s="123" t="s">
        <v>190</v>
      </c>
      <c r="G195" s="122" t="s">
        <v>191</v>
      </c>
      <c r="H195" s="122" t="s">
        <v>192</v>
      </c>
      <c r="I195" s="124" t="e">
        <v>#N/A</v>
      </c>
      <c r="J195" s="124"/>
      <c r="K195" s="122" t="s">
        <v>679</v>
      </c>
      <c r="L195" s="146">
        <v>0.9</v>
      </c>
      <c r="M195" s="147" t="s">
        <v>677</v>
      </c>
      <c r="N195" s="122" t="s">
        <v>678</v>
      </c>
      <c r="O195" s="122" t="s">
        <v>11</v>
      </c>
      <c r="P195" s="122" t="s">
        <v>647</v>
      </c>
      <c r="Q195" s="131" t="s">
        <v>61</v>
      </c>
      <c r="R195" s="131" t="s">
        <v>61</v>
      </c>
      <c r="S195" s="131" t="s">
        <v>61</v>
      </c>
      <c r="T195" s="131" t="s">
        <v>61</v>
      </c>
      <c r="U195" s="131" t="s">
        <v>61</v>
      </c>
      <c r="V195" s="131" t="s">
        <v>61</v>
      </c>
      <c r="W195" s="131" t="s">
        <v>256</v>
      </c>
      <c r="X195" s="143" t="s">
        <v>61</v>
      </c>
      <c r="Y195" s="131" t="s">
        <v>256</v>
      </c>
      <c r="Z195" s="143" t="s">
        <v>61</v>
      </c>
      <c r="AA195" s="143" t="s">
        <v>61</v>
      </c>
      <c r="AB195" s="127" t="s">
        <v>61</v>
      </c>
      <c r="AC195" s="143" t="s">
        <v>61</v>
      </c>
      <c r="AD195" s="121" t="s">
        <v>61</v>
      </c>
      <c r="AE195" s="143" t="s">
        <v>61</v>
      </c>
      <c r="AF195" s="127" t="s">
        <v>61</v>
      </c>
      <c r="AG195" s="143" t="s">
        <v>61</v>
      </c>
      <c r="AH195" s="143" t="s">
        <v>61</v>
      </c>
      <c r="AI195" s="131" t="s">
        <v>11</v>
      </c>
      <c r="AJ195" s="128" t="s">
        <v>11</v>
      </c>
      <c r="AK195" s="131" t="s">
        <v>11</v>
      </c>
      <c r="AL195" s="128" t="s">
        <v>11</v>
      </c>
      <c r="AM195" s="131" t="s">
        <v>11</v>
      </c>
      <c r="AN195" s="128" t="s">
        <v>11</v>
      </c>
      <c r="AO195" s="128" t="s">
        <v>11</v>
      </c>
      <c r="AP195" s="128" t="s">
        <v>11</v>
      </c>
      <c r="AQ195" s="128" t="s">
        <v>11</v>
      </c>
      <c r="AR195" s="128" t="s">
        <v>11</v>
      </c>
      <c r="AS195" s="128" t="s">
        <v>11</v>
      </c>
      <c r="AT195" s="128" t="s">
        <v>11</v>
      </c>
      <c r="AU195" s="128" t="s">
        <v>11</v>
      </c>
      <c r="AV195" s="128" t="s">
        <v>11</v>
      </c>
      <c r="AW195" s="128" t="s">
        <v>11</v>
      </c>
      <c r="AX195" s="128" t="s">
        <v>11</v>
      </c>
      <c r="AY195" s="128" t="s">
        <v>11</v>
      </c>
      <c r="AZ195" s="128" t="s">
        <v>11</v>
      </c>
      <c r="BA195" s="128" t="s">
        <v>11</v>
      </c>
      <c r="BB195" s="128" t="s">
        <v>11</v>
      </c>
      <c r="BC195" s="127" t="s">
        <v>11</v>
      </c>
      <c r="BD195" s="128" t="s">
        <v>11</v>
      </c>
      <c r="BE195" s="128" t="s">
        <v>11</v>
      </c>
      <c r="BF195" s="128" t="s">
        <v>11</v>
      </c>
      <c r="BG195" s="121" t="s">
        <v>11</v>
      </c>
      <c r="BH195" s="128" t="s">
        <v>11</v>
      </c>
      <c r="BI195" s="121" t="s">
        <v>11</v>
      </c>
      <c r="BJ195" s="128" t="s">
        <v>11</v>
      </c>
      <c r="BK195" s="121" t="s">
        <v>11</v>
      </c>
      <c r="BL195" s="128" t="str">
        <f>IF(BK195="NA","NA",IF(BK195="Not Reported","Not Reported",IF(BK195&lt;$L$195,"Not Met","Met")))</f>
        <v>NA</v>
      </c>
      <c r="BM195" s="257" t="s">
        <v>11</v>
      </c>
      <c r="BN195" s="128" t="str">
        <f>IF(BM195="NA","NA",IF(BM195="Not Reported","Not Reported",IF(BM195&lt;$L$195,"Not Met","Met")))</f>
        <v>NA</v>
      </c>
      <c r="BO195" s="257" t="s">
        <v>11</v>
      </c>
      <c r="BP195" s="128" t="s">
        <v>11</v>
      </c>
      <c r="BQ195" s="121" t="s">
        <v>11</v>
      </c>
      <c r="BR195" s="121" t="s">
        <v>11</v>
      </c>
      <c r="BS195" s="13" t="s">
        <v>11</v>
      </c>
      <c r="BT195" s="128" t="str">
        <f>IF(BS195="NA","NA",IF(BS195="Not Reported","Not Reported",IF(BS195&lt;$L$195,"Not Met","Met")))</f>
        <v>NA</v>
      </c>
      <c r="BU195" s="338" t="s">
        <v>11</v>
      </c>
      <c r="BV195" s="128" t="str">
        <f>IF(BU195="NA","NA",IF(BU195="Not Reported","Not Reported",IF(BU195&lt;$L$195,"Not Met","Met")))</f>
        <v>NA</v>
      </c>
    </row>
    <row r="196" spans="1:74" x14ac:dyDescent="0.25">
      <c r="A196" s="121">
        <v>195</v>
      </c>
      <c r="B196" s="122" t="s">
        <v>13</v>
      </c>
      <c r="C196" s="122" t="s">
        <v>901</v>
      </c>
      <c r="D196" s="123" t="s">
        <v>114</v>
      </c>
      <c r="E196" s="123" t="s">
        <v>900</v>
      </c>
      <c r="F196" s="123" t="s">
        <v>190</v>
      </c>
      <c r="G196" s="122" t="s">
        <v>191</v>
      </c>
      <c r="H196" s="122" t="s">
        <v>192</v>
      </c>
      <c r="I196" s="124" t="e">
        <v>#N/A</v>
      </c>
      <c r="J196" s="124"/>
      <c r="K196" s="122" t="s">
        <v>676</v>
      </c>
      <c r="L196" s="146">
        <v>0.9</v>
      </c>
      <c r="M196" s="147" t="s">
        <v>677</v>
      </c>
      <c r="N196" s="122" t="s">
        <v>680</v>
      </c>
      <c r="O196" s="122" t="s">
        <v>11</v>
      </c>
      <c r="P196" s="122" t="s">
        <v>647</v>
      </c>
      <c r="Q196" s="131" t="s">
        <v>61</v>
      </c>
      <c r="R196" s="131" t="s">
        <v>61</v>
      </c>
      <c r="S196" s="131" t="s">
        <v>61</v>
      </c>
      <c r="T196" s="131" t="s">
        <v>61</v>
      </c>
      <c r="U196" s="131" t="s">
        <v>61</v>
      </c>
      <c r="V196" s="131" t="s">
        <v>61</v>
      </c>
      <c r="W196" s="131" t="s">
        <v>256</v>
      </c>
      <c r="X196" s="143" t="s">
        <v>61</v>
      </c>
      <c r="Y196" s="131" t="s">
        <v>256</v>
      </c>
      <c r="Z196" s="143" t="s">
        <v>61</v>
      </c>
      <c r="AA196" s="143" t="s">
        <v>61</v>
      </c>
      <c r="AB196" s="127" t="s">
        <v>61</v>
      </c>
      <c r="AC196" s="143" t="s">
        <v>61</v>
      </c>
      <c r="AD196" s="121" t="s">
        <v>61</v>
      </c>
      <c r="AE196" s="143" t="s">
        <v>61</v>
      </c>
      <c r="AF196" s="127" t="s">
        <v>61</v>
      </c>
      <c r="AG196" s="143" t="s">
        <v>61</v>
      </c>
      <c r="AH196" s="143" t="s">
        <v>61</v>
      </c>
      <c r="AI196" s="131" t="s">
        <v>11</v>
      </c>
      <c r="AJ196" s="128" t="s">
        <v>11</v>
      </c>
      <c r="AK196" s="131" t="s">
        <v>11</v>
      </c>
      <c r="AL196" s="128" t="s">
        <v>11</v>
      </c>
      <c r="AM196" s="131" t="s">
        <v>11</v>
      </c>
      <c r="AN196" s="128" t="s">
        <v>11</v>
      </c>
      <c r="AO196" s="128" t="s">
        <v>11</v>
      </c>
      <c r="AP196" s="128" t="s">
        <v>11</v>
      </c>
      <c r="AQ196" s="128" t="s">
        <v>11</v>
      </c>
      <c r="AR196" s="128" t="s">
        <v>11</v>
      </c>
      <c r="AS196" s="128" t="s">
        <v>11</v>
      </c>
      <c r="AT196" s="128" t="s">
        <v>11</v>
      </c>
      <c r="AU196" s="128" t="s">
        <v>11</v>
      </c>
      <c r="AV196" s="128" t="s">
        <v>11</v>
      </c>
      <c r="AW196" s="128" t="s">
        <v>11</v>
      </c>
      <c r="AX196" s="128" t="s">
        <v>11</v>
      </c>
      <c r="AY196" s="128" t="s">
        <v>11</v>
      </c>
      <c r="AZ196" s="128" t="s">
        <v>11</v>
      </c>
      <c r="BA196" s="128" t="s">
        <v>11</v>
      </c>
      <c r="BB196" s="128" t="s">
        <v>11</v>
      </c>
      <c r="BC196" s="127" t="s">
        <v>11</v>
      </c>
      <c r="BD196" s="128" t="s">
        <v>11</v>
      </c>
      <c r="BE196" s="128" t="s">
        <v>11</v>
      </c>
      <c r="BF196" s="128" t="s">
        <v>11</v>
      </c>
      <c r="BG196" s="121" t="s">
        <v>11</v>
      </c>
      <c r="BH196" s="128" t="s">
        <v>11</v>
      </c>
      <c r="BI196" s="121" t="s">
        <v>11</v>
      </c>
      <c r="BJ196" s="128" t="s">
        <v>11</v>
      </c>
      <c r="BK196" s="121" t="s">
        <v>11</v>
      </c>
      <c r="BL196" s="128" t="str">
        <f>IF(BK196="NA","NA",IF(BK196="Not Reported","Not Reported",IF(BK196&lt;$L$196,"Not Met","Met")))</f>
        <v>NA</v>
      </c>
      <c r="BM196" s="257" t="s">
        <v>11</v>
      </c>
      <c r="BN196" s="128" t="str">
        <f>IF(BM196="NA","NA",IF(BM196="Not Reported","Not Reported",IF(BM196&lt;$L$196,"Not Met","Met")))</f>
        <v>NA</v>
      </c>
      <c r="BO196" s="257" t="s">
        <v>11</v>
      </c>
      <c r="BP196" s="128" t="s">
        <v>11</v>
      </c>
      <c r="BQ196" s="121" t="s">
        <v>11</v>
      </c>
      <c r="BR196" s="121" t="s">
        <v>11</v>
      </c>
      <c r="BS196" s="13" t="s">
        <v>11</v>
      </c>
      <c r="BT196" s="128" t="str">
        <f>IF(BS196="NA","NA",IF(BS196="Not Reported","Not Reported",IF(BS196&lt;$L$196,"Not Met","Met")))</f>
        <v>NA</v>
      </c>
      <c r="BU196" s="338" t="s">
        <v>11</v>
      </c>
      <c r="BV196" s="128" t="str">
        <f>IF(BU196="NA","NA",IF(BU196="Not Reported","Not Reported",IF(BU196&lt;$L$196,"Not Met","Met")))</f>
        <v>NA</v>
      </c>
    </row>
    <row r="197" spans="1:74" x14ac:dyDescent="0.25">
      <c r="A197" s="121">
        <v>196</v>
      </c>
      <c r="B197" s="122" t="s">
        <v>13</v>
      </c>
      <c r="C197" s="122" t="s">
        <v>901</v>
      </c>
      <c r="D197" s="123" t="s">
        <v>114</v>
      </c>
      <c r="E197" s="123" t="s">
        <v>900</v>
      </c>
      <c r="F197" s="123" t="s">
        <v>190</v>
      </c>
      <c r="G197" s="122" t="s">
        <v>191</v>
      </c>
      <c r="H197" s="122" t="s">
        <v>192</v>
      </c>
      <c r="I197" s="124" t="e">
        <v>#N/A</v>
      </c>
      <c r="J197" s="124"/>
      <c r="K197" s="122" t="s">
        <v>679</v>
      </c>
      <c r="L197" s="146">
        <v>0.9</v>
      </c>
      <c r="M197" s="147" t="s">
        <v>677</v>
      </c>
      <c r="N197" s="122" t="s">
        <v>680</v>
      </c>
      <c r="O197" s="122" t="s">
        <v>11</v>
      </c>
      <c r="P197" s="122" t="s">
        <v>647</v>
      </c>
      <c r="Q197" s="131" t="s">
        <v>61</v>
      </c>
      <c r="R197" s="131" t="s">
        <v>61</v>
      </c>
      <c r="S197" s="131" t="s">
        <v>61</v>
      </c>
      <c r="T197" s="131" t="s">
        <v>61</v>
      </c>
      <c r="U197" s="131" t="s">
        <v>61</v>
      </c>
      <c r="V197" s="131" t="s">
        <v>61</v>
      </c>
      <c r="W197" s="131" t="s">
        <v>256</v>
      </c>
      <c r="X197" s="143" t="s">
        <v>61</v>
      </c>
      <c r="Y197" s="131" t="s">
        <v>256</v>
      </c>
      <c r="Z197" s="143" t="s">
        <v>61</v>
      </c>
      <c r="AA197" s="143" t="s">
        <v>61</v>
      </c>
      <c r="AB197" s="127" t="s">
        <v>61</v>
      </c>
      <c r="AC197" s="143" t="s">
        <v>61</v>
      </c>
      <c r="AD197" s="121" t="s">
        <v>61</v>
      </c>
      <c r="AE197" s="143" t="s">
        <v>61</v>
      </c>
      <c r="AF197" s="127" t="s">
        <v>61</v>
      </c>
      <c r="AG197" s="143" t="s">
        <v>61</v>
      </c>
      <c r="AH197" s="143" t="s">
        <v>61</v>
      </c>
      <c r="AI197" s="131" t="s">
        <v>11</v>
      </c>
      <c r="AJ197" s="128" t="s">
        <v>11</v>
      </c>
      <c r="AK197" s="131" t="s">
        <v>11</v>
      </c>
      <c r="AL197" s="128" t="s">
        <v>11</v>
      </c>
      <c r="AM197" s="131" t="s">
        <v>11</v>
      </c>
      <c r="AN197" s="128" t="s">
        <v>11</v>
      </c>
      <c r="AO197" s="128" t="s">
        <v>11</v>
      </c>
      <c r="AP197" s="128" t="s">
        <v>11</v>
      </c>
      <c r="AQ197" s="128" t="s">
        <v>11</v>
      </c>
      <c r="AR197" s="128" t="s">
        <v>11</v>
      </c>
      <c r="AS197" s="128" t="s">
        <v>11</v>
      </c>
      <c r="AT197" s="128" t="s">
        <v>11</v>
      </c>
      <c r="AU197" s="128" t="s">
        <v>11</v>
      </c>
      <c r="AV197" s="128" t="s">
        <v>11</v>
      </c>
      <c r="AW197" s="128" t="s">
        <v>11</v>
      </c>
      <c r="AX197" s="128" t="s">
        <v>11</v>
      </c>
      <c r="AY197" s="128" t="s">
        <v>11</v>
      </c>
      <c r="AZ197" s="128" t="s">
        <v>11</v>
      </c>
      <c r="BA197" s="128" t="s">
        <v>11</v>
      </c>
      <c r="BB197" s="128" t="s">
        <v>11</v>
      </c>
      <c r="BC197" s="127" t="s">
        <v>11</v>
      </c>
      <c r="BD197" s="128" t="s">
        <v>11</v>
      </c>
      <c r="BE197" s="128" t="s">
        <v>11</v>
      </c>
      <c r="BF197" s="128" t="s">
        <v>11</v>
      </c>
      <c r="BG197" s="121" t="s">
        <v>11</v>
      </c>
      <c r="BH197" s="128" t="s">
        <v>11</v>
      </c>
      <c r="BI197" s="121" t="s">
        <v>11</v>
      </c>
      <c r="BJ197" s="128" t="s">
        <v>11</v>
      </c>
      <c r="BK197" s="121" t="s">
        <v>11</v>
      </c>
      <c r="BL197" s="128" t="str">
        <f>IF(BK197="NA","NA",IF(BK197="Not Reported","Not Reported",IF(BK197&lt;$L$197,"Not Met","Met")))</f>
        <v>NA</v>
      </c>
      <c r="BM197" s="257" t="s">
        <v>11</v>
      </c>
      <c r="BN197" s="128" t="str">
        <f>IF(BM197="NA","NA",IF(BM197="Not Reported","Not Reported",IF(BM197&lt;$L$197,"Not Met","Met")))</f>
        <v>NA</v>
      </c>
      <c r="BO197" s="257" t="s">
        <v>11</v>
      </c>
      <c r="BP197" s="128" t="s">
        <v>11</v>
      </c>
      <c r="BQ197" s="121" t="s">
        <v>11</v>
      </c>
      <c r="BR197" s="121" t="s">
        <v>11</v>
      </c>
      <c r="BS197" s="13" t="s">
        <v>11</v>
      </c>
      <c r="BT197" s="128" t="str">
        <f>IF(BS197="NA","NA",IF(BS197="Not Reported","Not Reported",IF(BS197&lt;$L$197,"Not Met","Met")))</f>
        <v>NA</v>
      </c>
      <c r="BU197" s="338" t="s">
        <v>11</v>
      </c>
      <c r="BV197" s="128" t="str">
        <f>IF(BU197="NA","NA",IF(BU197="Not Reported","Not Reported",IF(BU197&lt;$L$197,"Not Met","Met")))</f>
        <v>NA</v>
      </c>
    </row>
    <row r="198" spans="1:74" x14ac:dyDescent="0.25">
      <c r="A198" s="121">
        <v>197</v>
      </c>
      <c r="B198" s="122" t="s">
        <v>13</v>
      </c>
      <c r="C198" s="122" t="s">
        <v>901</v>
      </c>
      <c r="D198" s="123" t="s">
        <v>114</v>
      </c>
      <c r="E198" s="123" t="s">
        <v>900</v>
      </c>
      <c r="F198" s="123" t="s">
        <v>190</v>
      </c>
      <c r="G198" s="122" t="s">
        <v>191</v>
      </c>
      <c r="H198" s="122" t="s">
        <v>192</v>
      </c>
      <c r="I198" s="124" t="e">
        <v>#N/A</v>
      </c>
      <c r="J198" s="124"/>
      <c r="K198" s="122" t="s">
        <v>676</v>
      </c>
      <c r="L198" s="146">
        <v>0.9</v>
      </c>
      <c r="M198" s="147" t="s">
        <v>677</v>
      </c>
      <c r="N198" s="122" t="s">
        <v>681</v>
      </c>
      <c r="O198" s="122" t="s">
        <v>11</v>
      </c>
      <c r="P198" s="122" t="s">
        <v>647</v>
      </c>
      <c r="Q198" s="131" t="s">
        <v>61</v>
      </c>
      <c r="R198" s="131" t="s">
        <v>61</v>
      </c>
      <c r="S198" s="131" t="s">
        <v>61</v>
      </c>
      <c r="T198" s="131" t="s">
        <v>61</v>
      </c>
      <c r="U198" s="131" t="s">
        <v>61</v>
      </c>
      <c r="V198" s="131" t="s">
        <v>61</v>
      </c>
      <c r="W198" s="131" t="s">
        <v>256</v>
      </c>
      <c r="X198" s="143" t="s">
        <v>61</v>
      </c>
      <c r="Y198" s="131" t="s">
        <v>256</v>
      </c>
      <c r="Z198" s="143" t="s">
        <v>61</v>
      </c>
      <c r="AA198" s="143" t="s">
        <v>61</v>
      </c>
      <c r="AB198" s="127" t="s">
        <v>61</v>
      </c>
      <c r="AC198" s="143" t="s">
        <v>61</v>
      </c>
      <c r="AD198" s="121" t="s">
        <v>61</v>
      </c>
      <c r="AE198" s="143" t="s">
        <v>61</v>
      </c>
      <c r="AF198" s="127" t="s">
        <v>61</v>
      </c>
      <c r="AG198" s="143" t="s">
        <v>61</v>
      </c>
      <c r="AH198" s="143" t="s">
        <v>61</v>
      </c>
      <c r="AI198" s="131" t="s">
        <v>11</v>
      </c>
      <c r="AJ198" s="128" t="s">
        <v>11</v>
      </c>
      <c r="AK198" s="131" t="s">
        <v>11</v>
      </c>
      <c r="AL198" s="128" t="s">
        <v>11</v>
      </c>
      <c r="AM198" s="131" t="s">
        <v>11</v>
      </c>
      <c r="AN198" s="128" t="s">
        <v>11</v>
      </c>
      <c r="AO198" s="128" t="s">
        <v>11</v>
      </c>
      <c r="AP198" s="128" t="s">
        <v>11</v>
      </c>
      <c r="AQ198" s="128" t="s">
        <v>11</v>
      </c>
      <c r="AR198" s="128" t="s">
        <v>11</v>
      </c>
      <c r="AS198" s="128" t="s">
        <v>11</v>
      </c>
      <c r="AT198" s="128" t="s">
        <v>11</v>
      </c>
      <c r="AU198" s="128" t="s">
        <v>11</v>
      </c>
      <c r="AV198" s="128" t="s">
        <v>11</v>
      </c>
      <c r="AW198" s="128" t="s">
        <v>11</v>
      </c>
      <c r="AX198" s="128" t="s">
        <v>11</v>
      </c>
      <c r="AY198" s="128" t="s">
        <v>11</v>
      </c>
      <c r="AZ198" s="128" t="s">
        <v>11</v>
      </c>
      <c r="BA198" s="128" t="s">
        <v>11</v>
      </c>
      <c r="BB198" s="128" t="s">
        <v>11</v>
      </c>
      <c r="BC198" s="127" t="s">
        <v>11</v>
      </c>
      <c r="BD198" s="128" t="s">
        <v>11</v>
      </c>
      <c r="BE198" s="128" t="s">
        <v>11</v>
      </c>
      <c r="BF198" s="128" t="s">
        <v>11</v>
      </c>
      <c r="BG198" s="121" t="s">
        <v>11</v>
      </c>
      <c r="BH198" s="128" t="s">
        <v>11</v>
      </c>
      <c r="BI198" s="121" t="s">
        <v>11</v>
      </c>
      <c r="BJ198" s="128" t="s">
        <v>11</v>
      </c>
      <c r="BK198" s="126" t="s">
        <v>11</v>
      </c>
      <c r="BL198" s="128" t="str">
        <f>IF(BK198="NA","NA",IF(BK198="Not Reported","Not Reported",IF(BK198&lt;$L$198,"Not Met","Met")))</f>
        <v>NA</v>
      </c>
      <c r="BM198" s="257" t="s">
        <v>11</v>
      </c>
      <c r="BN198" s="128" t="str">
        <f>IF(BM198="NA","NA",IF(BM198="Not Reported","Not Reported",IF(BM198&lt;$L$198,"Not Met","Met")))</f>
        <v>NA</v>
      </c>
      <c r="BO198" s="257" t="s">
        <v>11</v>
      </c>
      <c r="BP198" s="128" t="s">
        <v>11</v>
      </c>
      <c r="BQ198" s="121" t="s">
        <v>11</v>
      </c>
      <c r="BR198" s="121" t="s">
        <v>11</v>
      </c>
      <c r="BS198" s="13" t="s">
        <v>11</v>
      </c>
      <c r="BT198" s="128" t="str">
        <f>IF(BS198="NA","NA",IF(BS198="Not Reported","Not Reported",IF(BS198&lt;$L$198,"Not Met","Met")))</f>
        <v>NA</v>
      </c>
      <c r="BU198" s="338" t="s">
        <v>11</v>
      </c>
      <c r="BV198" s="128" t="str">
        <f>IF(BU198="NA","NA",IF(BU198="Not Reported","Not Reported",IF(BU198&lt;$L$198,"Not Met","Met")))</f>
        <v>NA</v>
      </c>
    </row>
    <row r="199" spans="1:74" x14ac:dyDescent="0.25">
      <c r="A199" s="121">
        <v>198</v>
      </c>
      <c r="B199" s="122" t="s">
        <v>13</v>
      </c>
      <c r="C199" s="122" t="s">
        <v>901</v>
      </c>
      <c r="D199" s="123" t="s">
        <v>114</v>
      </c>
      <c r="E199" s="123" t="s">
        <v>900</v>
      </c>
      <c r="F199" s="123" t="s">
        <v>190</v>
      </c>
      <c r="G199" s="122" t="s">
        <v>191</v>
      </c>
      <c r="H199" s="122" t="s">
        <v>192</v>
      </c>
      <c r="I199" s="124" t="e">
        <v>#N/A</v>
      </c>
      <c r="J199" s="124"/>
      <c r="K199" s="122" t="s">
        <v>679</v>
      </c>
      <c r="L199" s="146">
        <v>0.9</v>
      </c>
      <c r="M199" s="147" t="s">
        <v>677</v>
      </c>
      <c r="N199" s="122" t="s">
        <v>681</v>
      </c>
      <c r="O199" s="122" t="s">
        <v>11</v>
      </c>
      <c r="P199" s="122" t="s">
        <v>647</v>
      </c>
      <c r="Q199" s="131" t="s">
        <v>61</v>
      </c>
      <c r="R199" s="131" t="s">
        <v>61</v>
      </c>
      <c r="S199" s="131" t="s">
        <v>61</v>
      </c>
      <c r="T199" s="131" t="s">
        <v>61</v>
      </c>
      <c r="U199" s="131" t="s">
        <v>61</v>
      </c>
      <c r="V199" s="131" t="s">
        <v>61</v>
      </c>
      <c r="W199" s="131" t="s">
        <v>256</v>
      </c>
      <c r="X199" s="143" t="s">
        <v>61</v>
      </c>
      <c r="Y199" s="131" t="s">
        <v>256</v>
      </c>
      <c r="Z199" s="143" t="s">
        <v>61</v>
      </c>
      <c r="AA199" s="143" t="s">
        <v>61</v>
      </c>
      <c r="AB199" s="127" t="s">
        <v>61</v>
      </c>
      <c r="AC199" s="143" t="s">
        <v>61</v>
      </c>
      <c r="AD199" s="121" t="s">
        <v>61</v>
      </c>
      <c r="AE199" s="143" t="s">
        <v>61</v>
      </c>
      <c r="AF199" s="127" t="s">
        <v>61</v>
      </c>
      <c r="AG199" s="143" t="s">
        <v>61</v>
      </c>
      <c r="AH199" s="143" t="s">
        <v>61</v>
      </c>
      <c r="AI199" s="131" t="s">
        <v>11</v>
      </c>
      <c r="AJ199" s="128" t="s">
        <v>11</v>
      </c>
      <c r="AK199" s="131" t="s">
        <v>11</v>
      </c>
      <c r="AL199" s="128" t="s">
        <v>11</v>
      </c>
      <c r="AM199" s="131" t="s">
        <v>11</v>
      </c>
      <c r="AN199" s="128" t="s">
        <v>11</v>
      </c>
      <c r="AO199" s="128" t="s">
        <v>11</v>
      </c>
      <c r="AP199" s="128" t="s">
        <v>11</v>
      </c>
      <c r="AQ199" s="128" t="s">
        <v>11</v>
      </c>
      <c r="AR199" s="128" t="s">
        <v>11</v>
      </c>
      <c r="AS199" s="128" t="s">
        <v>11</v>
      </c>
      <c r="AT199" s="128" t="s">
        <v>11</v>
      </c>
      <c r="AU199" s="128" t="s">
        <v>11</v>
      </c>
      <c r="AV199" s="128" t="s">
        <v>11</v>
      </c>
      <c r="AW199" s="128" t="s">
        <v>11</v>
      </c>
      <c r="AX199" s="128" t="s">
        <v>11</v>
      </c>
      <c r="AY199" s="128" t="s">
        <v>11</v>
      </c>
      <c r="AZ199" s="128" t="s">
        <v>11</v>
      </c>
      <c r="BA199" s="128" t="s">
        <v>11</v>
      </c>
      <c r="BB199" s="128" t="s">
        <v>11</v>
      </c>
      <c r="BC199" s="127" t="s">
        <v>11</v>
      </c>
      <c r="BD199" s="128" t="s">
        <v>11</v>
      </c>
      <c r="BE199" s="128" t="s">
        <v>11</v>
      </c>
      <c r="BF199" s="128" t="s">
        <v>11</v>
      </c>
      <c r="BG199" s="121" t="s">
        <v>11</v>
      </c>
      <c r="BH199" s="128" t="s">
        <v>11</v>
      </c>
      <c r="BI199" s="121" t="s">
        <v>11</v>
      </c>
      <c r="BJ199" s="128" t="s">
        <v>11</v>
      </c>
      <c r="BK199" s="121" t="s">
        <v>11</v>
      </c>
      <c r="BL199" s="128" t="str">
        <f>IF(BK199="NA","NA",IF(BK199="Not Reported","Not Reported",IF(BK199&lt;$L$199,"Not Met","Met")))</f>
        <v>NA</v>
      </c>
      <c r="BM199" s="257" t="s">
        <v>11</v>
      </c>
      <c r="BN199" s="128" t="str">
        <f>IF(BM199="NA","NA",IF(BM199="Not Reported","Not Reported",IF(BM199&lt;$L$199,"Not Met","Met")))</f>
        <v>NA</v>
      </c>
      <c r="BO199" s="257" t="s">
        <v>11</v>
      </c>
      <c r="BP199" s="128" t="s">
        <v>11</v>
      </c>
      <c r="BQ199" s="121" t="s">
        <v>11</v>
      </c>
      <c r="BR199" s="121" t="s">
        <v>11</v>
      </c>
      <c r="BS199" s="13" t="s">
        <v>11</v>
      </c>
      <c r="BT199" s="128" t="str">
        <f>IF(BS199="NA","NA",IF(BS199="Not Reported","Not Reported",IF(BS199&lt;$L$199,"Not Met","Met")))</f>
        <v>NA</v>
      </c>
      <c r="BU199" s="338" t="s">
        <v>11</v>
      </c>
      <c r="BV199" s="128" t="str">
        <f>IF(BU199="NA","NA",IF(BU199="Not Reported","Not Reported",IF(BU199&lt;$L$199,"Not Met","Met")))</f>
        <v>NA</v>
      </c>
    </row>
    <row r="200" spans="1:74" x14ac:dyDescent="0.25">
      <c r="A200" s="121">
        <v>199</v>
      </c>
      <c r="B200" s="122" t="s">
        <v>13</v>
      </c>
      <c r="C200" s="122" t="s">
        <v>901</v>
      </c>
      <c r="D200" s="123" t="s">
        <v>114</v>
      </c>
      <c r="E200" s="123" t="s">
        <v>900</v>
      </c>
      <c r="F200" s="123" t="s">
        <v>190</v>
      </c>
      <c r="G200" s="122" t="s">
        <v>191</v>
      </c>
      <c r="H200" s="122" t="s">
        <v>192</v>
      </c>
      <c r="I200" s="124"/>
      <c r="J200" s="124"/>
      <c r="K200" s="122" t="s">
        <v>682</v>
      </c>
      <c r="L200" s="128" t="s">
        <v>286</v>
      </c>
      <c r="M200" s="128" t="s">
        <v>286</v>
      </c>
      <c r="N200" s="122" t="s">
        <v>683</v>
      </c>
      <c r="O200" s="122" t="s">
        <v>683</v>
      </c>
      <c r="P200" s="123" t="s">
        <v>207</v>
      </c>
      <c r="Q200" s="131" t="s">
        <v>61</v>
      </c>
      <c r="R200" s="131" t="s">
        <v>61</v>
      </c>
      <c r="S200" s="131" t="s">
        <v>61</v>
      </c>
      <c r="T200" s="131" t="s">
        <v>61</v>
      </c>
      <c r="U200" s="131" t="s">
        <v>61</v>
      </c>
      <c r="V200" s="131" t="s">
        <v>61</v>
      </c>
      <c r="W200" s="131" t="s">
        <v>256</v>
      </c>
      <c r="X200" s="143" t="s">
        <v>61</v>
      </c>
      <c r="Y200" s="131" t="s">
        <v>256</v>
      </c>
      <c r="Z200" s="143" t="s">
        <v>61</v>
      </c>
      <c r="AA200" s="143" t="s">
        <v>61</v>
      </c>
      <c r="AB200" s="127" t="s">
        <v>61</v>
      </c>
      <c r="AC200" s="143" t="s">
        <v>61</v>
      </c>
      <c r="AD200" s="121" t="s">
        <v>61</v>
      </c>
      <c r="AE200" s="143" t="s">
        <v>61</v>
      </c>
      <c r="AF200" s="127" t="s">
        <v>61</v>
      </c>
      <c r="AG200" s="143" t="s">
        <v>61</v>
      </c>
      <c r="AH200" s="143" t="s">
        <v>61</v>
      </c>
      <c r="AI200" s="131" t="s">
        <v>11</v>
      </c>
      <c r="AJ200" s="128" t="s">
        <v>11</v>
      </c>
      <c r="AK200" s="131" t="s">
        <v>11</v>
      </c>
      <c r="AL200" s="128" t="s">
        <v>11</v>
      </c>
      <c r="AM200" s="131" t="s">
        <v>11</v>
      </c>
      <c r="AN200" s="128" t="s">
        <v>11</v>
      </c>
      <c r="AO200" s="128" t="s">
        <v>11</v>
      </c>
      <c r="AP200" s="128" t="s">
        <v>11</v>
      </c>
      <c r="AQ200" s="128" t="s">
        <v>11</v>
      </c>
      <c r="AR200" s="128" t="s">
        <v>11</v>
      </c>
      <c r="AS200" s="128" t="s">
        <v>11</v>
      </c>
      <c r="AT200" s="128" t="s">
        <v>11</v>
      </c>
      <c r="AU200" s="128" t="s">
        <v>11</v>
      </c>
      <c r="AV200" s="128" t="s">
        <v>11</v>
      </c>
      <c r="AW200" s="128" t="s">
        <v>11</v>
      </c>
      <c r="AX200" s="128" t="s">
        <v>11</v>
      </c>
      <c r="AY200" s="128" t="s">
        <v>11</v>
      </c>
      <c r="AZ200" s="128" t="s">
        <v>11</v>
      </c>
      <c r="BA200" s="128" t="s">
        <v>11</v>
      </c>
      <c r="BB200" s="128" t="s">
        <v>11</v>
      </c>
      <c r="BC200" s="127" t="s">
        <v>11</v>
      </c>
      <c r="BD200" s="128" t="s">
        <v>11</v>
      </c>
      <c r="BE200" s="128" t="s">
        <v>11</v>
      </c>
      <c r="BF200" s="128" t="s">
        <v>11</v>
      </c>
      <c r="BG200" s="121" t="s">
        <v>11</v>
      </c>
      <c r="BH200" s="128" t="s">
        <v>11</v>
      </c>
      <c r="BI200" s="121" t="s">
        <v>11</v>
      </c>
      <c r="BJ200" s="128" t="s">
        <v>11</v>
      </c>
      <c r="BK200" s="121" t="s">
        <v>11</v>
      </c>
      <c r="BL200" s="121" t="str">
        <f>IF(BK200="NA","NA",IF(BK200="Not Reported","Not Reported",IF(BK200&lt;$L$200,"Not Met","Met")))</f>
        <v>NA</v>
      </c>
      <c r="BM200" s="257" t="s">
        <v>11</v>
      </c>
      <c r="BN200" s="121" t="str">
        <f>IF(BM200="NA","NA",IF(BM200="Not Reported","Not Reported",IF(BM200&lt;$L$200,"Not Met","Met")))</f>
        <v>NA</v>
      </c>
      <c r="BO200" s="257" t="s">
        <v>11</v>
      </c>
      <c r="BP200" s="121" t="s">
        <v>11</v>
      </c>
      <c r="BQ200" s="121" t="s">
        <v>11</v>
      </c>
      <c r="BR200" s="121" t="s">
        <v>11</v>
      </c>
      <c r="BS200" s="13" t="s">
        <v>11</v>
      </c>
      <c r="BT200" s="121" t="str">
        <f>IF(BS200="NA","NA",IF(BS200="Not Reported","Not Reported",IF(BS200&lt;$L$200,"Not Met","Met")))</f>
        <v>NA</v>
      </c>
      <c r="BU200" s="338" t="s">
        <v>11</v>
      </c>
      <c r="BV200" s="121" t="str">
        <f>IF(BU200="NA","NA",IF(BU200="Not Reported","Not Reported",IF(BU200&lt;$L$200,"Not Met","Met")))</f>
        <v>NA</v>
      </c>
    </row>
    <row r="201" spans="1:74" x14ac:dyDescent="0.25">
      <c r="A201" s="121">
        <v>200</v>
      </c>
      <c r="B201" s="122" t="s">
        <v>13</v>
      </c>
      <c r="C201" s="122" t="s">
        <v>901</v>
      </c>
      <c r="D201" s="123" t="s">
        <v>114</v>
      </c>
      <c r="E201" s="123" t="s">
        <v>900</v>
      </c>
      <c r="F201" s="123" t="s">
        <v>190</v>
      </c>
      <c r="G201" s="122" t="s">
        <v>191</v>
      </c>
      <c r="H201" s="122" t="s">
        <v>192</v>
      </c>
      <c r="I201" s="124"/>
      <c r="J201" s="124"/>
      <c r="K201" s="122" t="s">
        <v>682</v>
      </c>
      <c r="L201" s="128" t="s">
        <v>286</v>
      </c>
      <c r="M201" s="128" t="s">
        <v>286</v>
      </c>
      <c r="N201" s="122" t="s">
        <v>684</v>
      </c>
      <c r="O201" s="122" t="s">
        <v>684</v>
      </c>
      <c r="P201" s="123" t="s">
        <v>207</v>
      </c>
      <c r="Q201" s="131" t="s">
        <v>61</v>
      </c>
      <c r="R201" s="131" t="s">
        <v>61</v>
      </c>
      <c r="S201" s="131" t="s">
        <v>61</v>
      </c>
      <c r="T201" s="131" t="s">
        <v>61</v>
      </c>
      <c r="U201" s="131" t="s">
        <v>61</v>
      </c>
      <c r="V201" s="131" t="s">
        <v>61</v>
      </c>
      <c r="W201" s="131" t="s">
        <v>256</v>
      </c>
      <c r="X201" s="143" t="s">
        <v>61</v>
      </c>
      <c r="Y201" s="131" t="s">
        <v>256</v>
      </c>
      <c r="Z201" s="143" t="s">
        <v>61</v>
      </c>
      <c r="AA201" s="143" t="s">
        <v>61</v>
      </c>
      <c r="AB201" s="127" t="s">
        <v>61</v>
      </c>
      <c r="AC201" s="143" t="s">
        <v>61</v>
      </c>
      <c r="AD201" s="121" t="s">
        <v>61</v>
      </c>
      <c r="AE201" s="143" t="s">
        <v>61</v>
      </c>
      <c r="AF201" s="127" t="s">
        <v>61</v>
      </c>
      <c r="AG201" s="143" t="s">
        <v>61</v>
      </c>
      <c r="AH201" s="143" t="s">
        <v>61</v>
      </c>
      <c r="AI201" s="131" t="s">
        <v>11</v>
      </c>
      <c r="AJ201" s="128" t="s">
        <v>11</v>
      </c>
      <c r="AK201" s="131" t="s">
        <v>11</v>
      </c>
      <c r="AL201" s="128" t="s">
        <v>11</v>
      </c>
      <c r="AM201" s="131" t="s">
        <v>11</v>
      </c>
      <c r="AN201" s="128" t="s">
        <v>11</v>
      </c>
      <c r="AO201" s="128" t="s">
        <v>11</v>
      </c>
      <c r="AP201" s="128" t="s">
        <v>11</v>
      </c>
      <c r="AQ201" s="128" t="s">
        <v>11</v>
      </c>
      <c r="AR201" s="128" t="s">
        <v>11</v>
      </c>
      <c r="AS201" s="128" t="s">
        <v>11</v>
      </c>
      <c r="AT201" s="128" t="s">
        <v>11</v>
      </c>
      <c r="AU201" s="128" t="s">
        <v>11</v>
      </c>
      <c r="AV201" s="128" t="s">
        <v>11</v>
      </c>
      <c r="AW201" s="128" t="s">
        <v>11</v>
      </c>
      <c r="AX201" s="128" t="s">
        <v>11</v>
      </c>
      <c r="AY201" s="128" t="s">
        <v>11</v>
      </c>
      <c r="AZ201" s="128" t="s">
        <v>11</v>
      </c>
      <c r="BA201" s="128" t="s">
        <v>11</v>
      </c>
      <c r="BB201" s="128" t="s">
        <v>11</v>
      </c>
      <c r="BC201" s="127" t="s">
        <v>11</v>
      </c>
      <c r="BD201" s="128" t="s">
        <v>11</v>
      </c>
      <c r="BE201" s="128" t="s">
        <v>11</v>
      </c>
      <c r="BF201" s="128" t="s">
        <v>11</v>
      </c>
      <c r="BG201" s="121" t="s">
        <v>11</v>
      </c>
      <c r="BH201" s="128" t="s">
        <v>11</v>
      </c>
      <c r="BI201" s="121" t="s">
        <v>11</v>
      </c>
      <c r="BJ201" s="128" t="s">
        <v>11</v>
      </c>
      <c r="BK201" s="121" t="s">
        <v>11</v>
      </c>
      <c r="BL201" s="121" t="str">
        <f>IF(BK201="NA","NA",IF(BK201="Not Reported","Not Reported",IF(BK201&lt;$L$201,"Not Met","Met")))</f>
        <v>NA</v>
      </c>
      <c r="BM201" s="257" t="s">
        <v>11</v>
      </c>
      <c r="BN201" s="121" t="str">
        <f>IF(BM201="NA","NA",IF(BM201="Not Reported","Not Reported",IF(BM201&lt;$L$201,"Not Met","Met")))</f>
        <v>NA</v>
      </c>
      <c r="BO201" s="257" t="s">
        <v>11</v>
      </c>
      <c r="BP201" s="121" t="s">
        <v>11</v>
      </c>
      <c r="BQ201" s="121" t="s">
        <v>11</v>
      </c>
      <c r="BR201" s="121" t="s">
        <v>11</v>
      </c>
      <c r="BS201" s="13" t="s">
        <v>11</v>
      </c>
      <c r="BT201" s="121" t="str">
        <f>IF(BS201="NA","NA",IF(BS201="Not Reported","Not Reported",IF(BS201&lt;$L$201,"Not Met","Met")))</f>
        <v>NA</v>
      </c>
      <c r="BU201" s="338" t="s">
        <v>11</v>
      </c>
      <c r="BV201" s="121" t="str">
        <f>IF(BU201="NA","NA",IF(BU201="Not Reported","Not Reported",IF(BU201&lt;$L$201,"Not Met","Met")))</f>
        <v>NA</v>
      </c>
    </row>
    <row r="202" spans="1:74" x14ac:dyDescent="0.25">
      <c r="A202" s="121">
        <v>201</v>
      </c>
      <c r="B202" s="122" t="s">
        <v>13</v>
      </c>
      <c r="C202" s="122" t="s">
        <v>901</v>
      </c>
      <c r="D202" s="123" t="s">
        <v>114</v>
      </c>
      <c r="E202" s="123" t="s">
        <v>900</v>
      </c>
      <c r="F202" s="123" t="s">
        <v>190</v>
      </c>
      <c r="G202" s="122" t="s">
        <v>273</v>
      </c>
      <c r="H202" s="122" t="s">
        <v>192</v>
      </c>
      <c r="I202" s="124" t="s">
        <v>274</v>
      </c>
      <c r="J202" s="124" t="s">
        <v>214</v>
      </c>
      <c r="K202" s="145" t="s">
        <v>274</v>
      </c>
      <c r="L202" s="130" t="s">
        <v>685</v>
      </c>
      <c r="M202" s="128" t="s">
        <v>685</v>
      </c>
      <c r="N202" s="122" t="s">
        <v>528</v>
      </c>
      <c r="O202" s="122" t="s">
        <v>528</v>
      </c>
      <c r="P202" s="123" t="s">
        <v>207</v>
      </c>
      <c r="Q202" s="131" t="s">
        <v>61</v>
      </c>
      <c r="R202" s="131" t="s">
        <v>61</v>
      </c>
      <c r="S202" s="131" t="s">
        <v>11</v>
      </c>
      <c r="T202" s="128" t="s">
        <v>11</v>
      </c>
      <c r="U202" s="131" t="s">
        <v>61</v>
      </c>
      <c r="V202" s="131" t="s">
        <v>61</v>
      </c>
      <c r="W202" s="131" t="s">
        <v>256</v>
      </c>
      <c r="X202" s="143" t="s">
        <v>61</v>
      </c>
      <c r="Y202" s="131" t="s">
        <v>11</v>
      </c>
      <c r="Z202" s="131" t="s">
        <v>11</v>
      </c>
      <c r="AA202" s="131" t="s">
        <v>11</v>
      </c>
      <c r="AB202" s="128" t="s">
        <v>11</v>
      </c>
      <c r="AC202" s="131" t="s">
        <v>11</v>
      </c>
      <c r="AD202" s="131" t="s">
        <v>11</v>
      </c>
      <c r="AE202" s="131" t="s">
        <v>11</v>
      </c>
      <c r="AF202" s="128" t="s">
        <v>11</v>
      </c>
      <c r="AG202" s="131" t="s">
        <v>11</v>
      </c>
      <c r="AH202" s="131" t="s">
        <v>11</v>
      </c>
      <c r="AI202" s="131" t="s">
        <v>11</v>
      </c>
      <c r="AJ202" s="128" t="s">
        <v>11</v>
      </c>
      <c r="AK202" s="131" t="s">
        <v>11</v>
      </c>
      <c r="AL202" s="128" t="s">
        <v>11</v>
      </c>
      <c r="AM202" s="131" t="s">
        <v>11</v>
      </c>
      <c r="AN202" s="128" t="s">
        <v>11</v>
      </c>
      <c r="AO202" s="128" t="s">
        <v>11</v>
      </c>
      <c r="AP202" s="128" t="s">
        <v>11</v>
      </c>
      <c r="AQ202" s="128" t="s">
        <v>11</v>
      </c>
      <c r="AR202" s="128" t="s">
        <v>11</v>
      </c>
      <c r="AS202" s="128" t="s">
        <v>11</v>
      </c>
      <c r="AT202" s="128" t="s">
        <v>11</v>
      </c>
      <c r="AU202" s="128" t="s">
        <v>11</v>
      </c>
      <c r="AV202" s="128" t="s">
        <v>11</v>
      </c>
      <c r="AW202" s="128" t="s">
        <v>11</v>
      </c>
      <c r="AX202" s="128" t="s">
        <v>11</v>
      </c>
      <c r="AY202" s="128" t="s">
        <v>11</v>
      </c>
      <c r="AZ202" s="128" t="s">
        <v>11</v>
      </c>
      <c r="BA202" s="128" t="s">
        <v>11</v>
      </c>
      <c r="BB202" s="128" t="s">
        <v>11</v>
      </c>
      <c r="BC202" s="127" t="s">
        <v>11</v>
      </c>
      <c r="BD202" s="128" t="s">
        <v>11</v>
      </c>
      <c r="BE202" s="128" t="s">
        <v>11</v>
      </c>
      <c r="BF202" s="128" t="s">
        <v>11</v>
      </c>
      <c r="BG202" s="121" t="s">
        <v>11</v>
      </c>
      <c r="BH202" s="128" t="s">
        <v>11</v>
      </c>
      <c r="BI202" s="121" t="s">
        <v>11</v>
      </c>
      <c r="BJ202" s="128" t="s">
        <v>11</v>
      </c>
      <c r="BK202" s="121" t="s">
        <v>11</v>
      </c>
      <c r="BL202" s="121" t="str">
        <f>IF(BK202="NA","NA",IF(BK202="Not Reported","Not Reported",IF(BK202&gt;$L$202,"Not Met","Met")))</f>
        <v>NA</v>
      </c>
      <c r="BM202" s="257" t="s">
        <v>11</v>
      </c>
      <c r="BN202" s="121" t="str">
        <f>IF(BM202="NA","NA",IF(BM202="Not Reported","Not Reported",IF(BM202&gt;$L$202,"Not Met","Met")))</f>
        <v>NA</v>
      </c>
      <c r="BO202" s="257" t="s">
        <v>11</v>
      </c>
      <c r="BP202" s="121" t="s">
        <v>11</v>
      </c>
      <c r="BQ202" s="121" t="s">
        <v>11</v>
      </c>
      <c r="BR202" s="121" t="s">
        <v>11</v>
      </c>
      <c r="BS202" s="13" t="s">
        <v>11</v>
      </c>
      <c r="BT202" s="121" t="str">
        <f>IF(BS202="NA","NA",IF(BS202="Not Reported","Not Reported",IF(BS202&gt;$L$202,"Not Met","Met")))</f>
        <v>NA</v>
      </c>
      <c r="BU202" s="338" t="s">
        <v>11</v>
      </c>
      <c r="BV202" s="121" t="str">
        <f>IF(BU202="NA","NA",IF(BU202="Not Reported","Not Reported",IF(BU202&gt;$L$202,"Not Met","Met")))</f>
        <v>NA</v>
      </c>
    </row>
    <row r="203" spans="1:74" x14ac:dyDescent="0.25">
      <c r="A203" s="121">
        <v>202</v>
      </c>
      <c r="B203" s="122" t="s">
        <v>13</v>
      </c>
      <c r="C203" s="122" t="s">
        <v>901</v>
      </c>
      <c r="D203" s="123" t="s">
        <v>114</v>
      </c>
      <c r="E203" s="123" t="s">
        <v>900</v>
      </c>
      <c r="F203" s="123" t="s">
        <v>190</v>
      </c>
      <c r="G203" s="122" t="s">
        <v>273</v>
      </c>
      <c r="H203" s="122" t="s">
        <v>192</v>
      </c>
      <c r="I203" s="124" t="s">
        <v>274</v>
      </c>
      <c r="J203" s="124" t="s">
        <v>214</v>
      </c>
      <c r="K203" s="145" t="s">
        <v>274</v>
      </c>
      <c r="L203" s="130" t="s">
        <v>686</v>
      </c>
      <c r="M203" s="128" t="s">
        <v>686</v>
      </c>
      <c r="N203" s="122" t="s">
        <v>528</v>
      </c>
      <c r="O203" s="122" t="s">
        <v>528</v>
      </c>
      <c r="P203" s="123" t="s">
        <v>207</v>
      </c>
      <c r="Q203" s="131" t="s">
        <v>61</v>
      </c>
      <c r="R203" s="131" t="s">
        <v>61</v>
      </c>
      <c r="S203" s="131" t="s">
        <v>11</v>
      </c>
      <c r="T203" s="128" t="s">
        <v>11</v>
      </c>
      <c r="U203" s="131" t="s">
        <v>61</v>
      </c>
      <c r="V203" s="131" t="s">
        <v>61</v>
      </c>
      <c r="W203" s="131" t="s">
        <v>256</v>
      </c>
      <c r="X203" s="143" t="s">
        <v>61</v>
      </c>
      <c r="Y203" s="131" t="s">
        <v>11</v>
      </c>
      <c r="Z203" s="131" t="s">
        <v>11</v>
      </c>
      <c r="AA203" s="131" t="s">
        <v>11</v>
      </c>
      <c r="AB203" s="128" t="s">
        <v>11</v>
      </c>
      <c r="AC203" s="131" t="s">
        <v>11</v>
      </c>
      <c r="AD203" s="131" t="s">
        <v>11</v>
      </c>
      <c r="AE203" s="131" t="s">
        <v>11</v>
      </c>
      <c r="AF203" s="128" t="s">
        <v>11</v>
      </c>
      <c r="AG203" s="131" t="s">
        <v>11</v>
      </c>
      <c r="AH203" s="131" t="s">
        <v>11</v>
      </c>
      <c r="AI203" s="131" t="s">
        <v>11</v>
      </c>
      <c r="AJ203" s="128" t="s">
        <v>11</v>
      </c>
      <c r="AK203" s="131" t="s">
        <v>11</v>
      </c>
      <c r="AL203" s="128" t="s">
        <v>11</v>
      </c>
      <c r="AM203" s="131" t="s">
        <v>11</v>
      </c>
      <c r="AN203" s="128" t="s">
        <v>11</v>
      </c>
      <c r="AO203" s="128" t="s">
        <v>11</v>
      </c>
      <c r="AP203" s="128" t="s">
        <v>11</v>
      </c>
      <c r="AQ203" s="128" t="s">
        <v>11</v>
      </c>
      <c r="AR203" s="128" t="s">
        <v>11</v>
      </c>
      <c r="AS203" s="128" t="s">
        <v>11</v>
      </c>
      <c r="AT203" s="128" t="s">
        <v>11</v>
      </c>
      <c r="AU203" s="128" t="s">
        <v>11</v>
      </c>
      <c r="AV203" s="128" t="s">
        <v>11</v>
      </c>
      <c r="AW203" s="128" t="s">
        <v>11</v>
      </c>
      <c r="AX203" s="128" t="s">
        <v>11</v>
      </c>
      <c r="AY203" s="128" t="s">
        <v>11</v>
      </c>
      <c r="AZ203" s="128" t="s">
        <v>11</v>
      </c>
      <c r="BA203" s="128" t="s">
        <v>11</v>
      </c>
      <c r="BB203" s="128" t="s">
        <v>11</v>
      </c>
      <c r="BC203" s="127" t="s">
        <v>11</v>
      </c>
      <c r="BD203" s="128" t="s">
        <v>11</v>
      </c>
      <c r="BE203" s="128" t="s">
        <v>11</v>
      </c>
      <c r="BF203" s="128" t="s">
        <v>11</v>
      </c>
      <c r="BG203" s="121" t="s">
        <v>11</v>
      </c>
      <c r="BH203" s="128" t="s">
        <v>11</v>
      </c>
      <c r="BI203" s="121" t="s">
        <v>11</v>
      </c>
      <c r="BJ203" s="128" t="s">
        <v>11</v>
      </c>
      <c r="BK203" s="121" t="s">
        <v>11</v>
      </c>
      <c r="BL203" s="121" t="str">
        <f>IF(BK203="NA","NA",IF(BK203="Not Reported","Not Reported",IF(BK203&gt;$L$203,"Not Met","Met")))</f>
        <v>NA</v>
      </c>
      <c r="BM203" s="257" t="s">
        <v>11</v>
      </c>
      <c r="BN203" s="121" t="str">
        <f>IF(BM203="NA","NA",IF(BM203="Not Reported","Not Reported",IF(BM203&gt;$L$203,"Not Met","Met")))</f>
        <v>NA</v>
      </c>
      <c r="BO203" s="257" t="s">
        <v>11</v>
      </c>
      <c r="BP203" s="121" t="s">
        <v>11</v>
      </c>
      <c r="BQ203" s="121" t="s">
        <v>11</v>
      </c>
      <c r="BR203" s="121" t="s">
        <v>11</v>
      </c>
      <c r="BS203" s="13" t="s">
        <v>11</v>
      </c>
      <c r="BT203" s="121" t="str">
        <f>IF(BS203="NA","NA",IF(BS203="Not Reported","Not Reported",IF(BS203&gt;$L$203,"Not Met","Met")))</f>
        <v>NA</v>
      </c>
      <c r="BU203" s="338" t="s">
        <v>11</v>
      </c>
      <c r="BV203" s="121" t="str">
        <f>IF(BU203="NA","NA",IF(BU203="Not Reported","Not Reported",IF(BU203&gt;$L$203,"Not Met","Met")))</f>
        <v>NA</v>
      </c>
    </row>
    <row r="204" spans="1:74" x14ac:dyDescent="0.25">
      <c r="A204" s="121">
        <v>203</v>
      </c>
      <c r="B204" s="122" t="s">
        <v>13</v>
      </c>
      <c r="C204" s="122" t="s">
        <v>901</v>
      </c>
      <c r="D204" s="123" t="s">
        <v>114</v>
      </c>
      <c r="E204" s="123" t="s">
        <v>900</v>
      </c>
      <c r="F204" s="123" t="s">
        <v>190</v>
      </c>
      <c r="G204" s="122" t="s">
        <v>273</v>
      </c>
      <c r="H204" s="122" t="s">
        <v>192</v>
      </c>
      <c r="I204" s="124" t="s">
        <v>289</v>
      </c>
      <c r="J204" s="124" t="s">
        <v>285</v>
      </c>
      <c r="K204" s="145" t="s">
        <v>289</v>
      </c>
      <c r="L204" s="128" t="s">
        <v>286</v>
      </c>
      <c r="M204" s="128" t="s">
        <v>286</v>
      </c>
      <c r="N204" s="122" t="s">
        <v>529</v>
      </c>
      <c r="O204" s="122" t="s">
        <v>529</v>
      </c>
      <c r="P204" s="123" t="s">
        <v>207</v>
      </c>
      <c r="Q204" s="131" t="s">
        <v>61</v>
      </c>
      <c r="R204" s="131" t="s">
        <v>61</v>
      </c>
      <c r="S204" s="131" t="s">
        <v>11</v>
      </c>
      <c r="T204" s="128" t="s">
        <v>11</v>
      </c>
      <c r="U204" s="131" t="s">
        <v>61</v>
      </c>
      <c r="V204" s="131" t="s">
        <v>61</v>
      </c>
      <c r="W204" s="131" t="s">
        <v>256</v>
      </c>
      <c r="X204" s="143" t="s">
        <v>61</v>
      </c>
      <c r="Y204" s="131" t="s">
        <v>11</v>
      </c>
      <c r="Z204" s="131" t="s">
        <v>11</v>
      </c>
      <c r="AA204" s="131" t="s">
        <v>11</v>
      </c>
      <c r="AB204" s="128" t="s">
        <v>11</v>
      </c>
      <c r="AC204" s="131" t="s">
        <v>11</v>
      </c>
      <c r="AD204" s="131" t="s">
        <v>11</v>
      </c>
      <c r="AE204" s="131" t="s">
        <v>11</v>
      </c>
      <c r="AF204" s="128" t="s">
        <v>11</v>
      </c>
      <c r="AG204" s="131" t="s">
        <v>11</v>
      </c>
      <c r="AH204" s="131" t="s">
        <v>11</v>
      </c>
      <c r="AI204" s="131" t="s">
        <v>11</v>
      </c>
      <c r="AJ204" s="128" t="s">
        <v>11</v>
      </c>
      <c r="AK204" s="131" t="s">
        <v>11</v>
      </c>
      <c r="AL204" s="128" t="s">
        <v>11</v>
      </c>
      <c r="AM204" s="131" t="s">
        <v>11</v>
      </c>
      <c r="AN204" s="128" t="s">
        <v>11</v>
      </c>
      <c r="AO204" s="128" t="s">
        <v>11</v>
      </c>
      <c r="AP204" s="128" t="s">
        <v>11</v>
      </c>
      <c r="AQ204" s="128" t="s">
        <v>11</v>
      </c>
      <c r="AR204" s="128" t="s">
        <v>11</v>
      </c>
      <c r="AS204" s="128" t="s">
        <v>11</v>
      </c>
      <c r="AT204" s="128" t="s">
        <v>11</v>
      </c>
      <c r="AU204" s="128" t="s">
        <v>11</v>
      </c>
      <c r="AV204" s="128" t="s">
        <v>11</v>
      </c>
      <c r="AW204" s="128" t="s">
        <v>11</v>
      </c>
      <c r="AX204" s="128" t="s">
        <v>11</v>
      </c>
      <c r="AY204" s="128" t="s">
        <v>11</v>
      </c>
      <c r="AZ204" s="128" t="s">
        <v>11</v>
      </c>
      <c r="BA204" s="128" t="s">
        <v>11</v>
      </c>
      <c r="BB204" s="128" t="s">
        <v>11</v>
      </c>
      <c r="BC204" s="127" t="s">
        <v>11</v>
      </c>
      <c r="BD204" s="128" t="s">
        <v>11</v>
      </c>
      <c r="BE204" s="128" t="s">
        <v>11</v>
      </c>
      <c r="BF204" s="128" t="s">
        <v>11</v>
      </c>
      <c r="BG204" s="121" t="s">
        <v>11</v>
      </c>
      <c r="BH204" s="128" t="s">
        <v>11</v>
      </c>
      <c r="BI204" s="121" t="s">
        <v>11</v>
      </c>
      <c r="BJ204" s="128" t="s">
        <v>11</v>
      </c>
      <c r="BK204" s="121" t="s">
        <v>11</v>
      </c>
      <c r="BL204" s="128" t="str">
        <f>IF(BK204="NA","NA",IF(BK204="Not Reported","Not Reported",IF(BK204&lt;$L$204,"Not Met","Met")))</f>
        <v>NA</v>
      </c>
      <c r="BM204" s="257" t="s">
        <v>11</v>
      </c>
      <c r="BN204" s="128" t="str">
        <f>IF(BM204="NA","NA",IF(BM204="Not Reported","Not Reported",IF(BM204&lt;$L$204,"Not Met","Met")))</f>
        <v>NA</v>
      </c>
      <c r="BO204" s="257" t="s">
        <v>11</v>
      </c>
      <c r="BP204" s="128" t="s">
        <v>11</v>
      </c>
      <c r="BQ204" s="121" t="s">
        <v>11</v>
      </c>
      <c r="BR204" s="121" t="s">
        <v>11</v>
      </c>
      <c r="BS204" s="13" t="s">
        <v>11</v>
      </c>
      <c r="BT204" s="128" t="str">
        <f>IF(BS204="NA","NA",IF(BS204="Not Reported","Not Reported",IF(BS204&lt;$L$204,"Not Met","Met")))</f>
        <v>NA</v>
      </c>
      <c r="BU204" s="338" t="s">
        <v>11</v>
      </c>
      <c r="BV204" s="128" t="str">
        <f>IF(BU204="NA","NA",IF(BU204="Not Reported","Not Reported",IF(BU204&lt;$L$204,"Not Met","Met")))</f>
        <v>NA</v>
      </c>
    </row>
    <row r="205" spans="1:74" x14ac:dyDescent="0.25">
      <c r="A205" s="121">
        <v>204</v>
      </c>
      <c r="B205" s="122" t="s">
        <v>13</v>
      </c>
      <c r="C205" s="122" t="s">
        <v>901</v>
      </c>
      <c r="D205" s="123" t="s">
        <v>114</v>
      </c>
      <c r="E205" s="123" t="s">
        <v>900</v>
      </c>
      <c r="F205" s="123" t="s">
        <v>190</v>
      </c>
      <c r="G205" s="122" t="s">
        <v>273</v>
      </c>
      <c r="H205" s="122" t="s">
        <v>192</v>
      </c>
      <c r="I205" s="124" t="s">
        <v>289</v>
      </c>
      <c r="J205" s="124" t="s">
        <v>285</v>
      </c>
      <c r="K205" s="145" t="s">
        <v>289</v>
      </c>
      <c r="L205" s="128" t="s">
        <v>286</v>
      </c>
      <c r="M205" s="128" t="s">
        <v>286</v>
      </c>
      <c r="N205" s="122" t="s">
        <v>529</v>
      </c>
      <c r="O205" s="122" t="s">
        <v>529</v>
      </c>
      <c r="P205" s="123" t="s">
        <v>207</v>
      </c>
      <c r="Q205" s="131" t="s">
        <v>61</v>
      </c>
      <c r="R205" s="131" t="s">
        <v>61</v>
      </c>
      <c r="S205" s="131" t="s">
        <v>11</v>
      </c>
      <c r="T205" s="128" t="s">
        <v>11</v>
      </c>
      <c r="U205" s="131" t="s">
        <v>61</v>
      </c>
      <c r="V205" s="131" t="s">
        <v>61</v>
      </c>
      <c r="W205" s="131" t="s">
        <v>256</v>
      </c>
      <c r="X205" s="143" t="s">
        <v>61</v>
      </c>
      <c r="Y205" s="131" t="s">
        <v>11</v>
      </c>
      <c r="Z205" s="131" t="s">
        <v>11</v>
      </c>
      <c r="AA205" s="131" t="s">
        <v>11</v>
      </c>
      <c r="AB205" s="128" t="s">
        <v>11</v>
      </c>
      <c r="AC205" s="131" t="s">
        <v>11</v>
      </c>
      <c r="AD205" s="131" t="s">
        <v>11</v>
      </c>
      <c r="AE205" s="131" t="s">
        <v>11</v>
      </c>
      <c r="AF205" s="128" t="s">
        <v>11</v>
      </c>
      <c r="AG205" s="131" t="s">
        <v>11</v>
      </c>
      <c r="AH205" s="131" t="s">
        <v>11</v>
      </c>
      <c r="AI205" s="131" t="s">
        <v>11</v>
      </c>
      <c r="AJ205" s="128" t="s">
        <v>11</v>
      </c>
      <c r="AK205" s="131" t="s">
        <v>11</v>
      </c>
      <c r="AL205" s="128" t="s">
        <v>11</v>
      </c>
      <c r="AM205" s="131" t="s">
        <v>11</v>
      </c>
      <c r="AN205" s="128" t="s">
        <v>11</v>
      </c>
      <c r="AO205" s="128" t="s">
        <v>11</v>
      </c>
      <c r="AP205" s="128" t="s">
        <v>11</v>
      </c>
      <c r="AQ205" s="128" t="s">
        <v>11</v>
      </c>
      <c r="AR205" s="128" t="s">
        <v>11</v>
      </c>
      <c r="AS205" s="128" t="s">
        <v>11</v>
      </c>
      <c r="AT205" s="128" t="s">
        <v>11</v>
      </c>
      <c r="AU205" s="128" t="s">
        <v>11</v>
      </c>
      <c r="AV205" s="128" t="s">
        <v>11</v>
      </c>
      <c r="AW205" s="128" t="s">
        <v>11</v>
      </c>
      <c r="AX205" s="128" t="s">
        <v>11</v>
      </c>
      <c r="AY205" s="128" t="s">
        <v>11</v>
      </c>
      <c r="AZ205" s="128" t="s">
        <v>11</v>
      </c>
      <c r="BA205" s="128" t="s">
        <v>11</v>
      </c>
      <c r="BB205" s="128" t="s">
        <v>11</v>
      </c>
      <c r="BC205" s="127" t="s">
        <v>11</v>
      </c>
      <c r="BD205" s="128" t="s">
        <v>11</v>
      </c>
      <c r="BE205" s="128" t="s">
        <v>11</v>
      </c>
      <c r="BF205" s="128" t="s">
        <v>11</v>
      </c>
      <c r="BG205" s="121" t="s">
        <v>11</v>
      </c>
      <c r="BH205" s="128" t="s">
        <v>11</v>
      </c>
      <c r="BI205" s="121" t="s">
        <v>11</v>
      </c>
      <c r="BJ205" s="128" t="s">
        <v>11</v>
      </c>
      <c r="BK205" s="121" t="s">
        <v>11</v>
      </c>
      <c r="BL205" s="128" t="str">
        <f>IF(BK205="NA","NA",IF(BK205="Not Reported","Not Reported",IF(BK205&lt;$L$205,"Not Met","Met")))</f>
        <v>NA</v>
      </c>
      <c r="BM205" s="257" t="s">
        <v>11</v>
      </c>
      <c r="BN205" s="128" t="str">
        <f>IF(BM205="NA","NA",IF(BM205="Not Reported","Not Reported",IF(BM205&lt;$L$205,"Not Met","Met")))</f>
        <v>NA</v>
      </c>
      <c r="BO205" s="257" t="s">
        <v>11</v>
      </c>
      <c r="BP205" s="128" t="s">
        <v>11</v>
      </c>
      <c r="BQ205" s="121" t="s">
        <v>11</v>
      </c>
      <c r="BR205" s="121" t="s">
        <v>11</v>
      </c>
      <c r="BS205" s="13" t="s">
        <v>11</v>
      </c>
      <c r="BT205" s="128" t="str">
        <f>IF(BS205="NA","NA",IF(BS205="Not Reported","Not Reported",IF(BS205&lt;$L$205,"Not Met","Met")))</f>
        <v>NA</v>
      </c>
      <c r="BU205" s="338" t="s">
        <v>11</v>
      </c>
      <c r="BV205" s="128" t="str">
        <f>IF(BU205="NA","NA",IF(BU205="Not Reported","Not Reported",IF(BU205&lt;$L$205,"Not Met","Met")))</f>
        <v>NA</v>
      </c>
    </row>
    <row r="206" spans="1:74" x14ac:dyDescent="0.25">
      <c r="A206" s="121">
        <v>205</v>
      </c>
      <c r="B206" s="122" t="s">
        <v>13</v>
      </c>
      <c r="C206" s="122" t="s">
        <v>901</v>
      </c>
      <c r="D206" s="123" t="s">
        <v>114</v>
      </c>
      <c r="E206" s="123" t="s">
        <v>900</v>
      </c>
      <c r="F206" s="123" t="s">
        <v>190</v>
      </c>
      <c r="G206" s="122" t="s">
        <v>273</v>
      </c>
      <c r="H206" s="122" t="s">
        <v>192</v>
      </c>
      <c r="I206" s="124" t="s">
        <v>292</v>
      </c>
      <c r="J206" s="124" t="s">
        <v>293</v>
      </c>
      <c r="K206" s="122" t="s">
        <v>292</v>
      </c>
      <c r="L206" s="128" t="s">
        <v>685</v>
      </c>
      <c r="M206" s="128" t="s">
        <v>685</v>
      </c>
      <c r="N206" s="122" t="s">
        <v>294</v>
      </c>
      <c r="O206" s="122" t="s">
        <v>295</v>
      </c>
      <c r="P206" s="123" t="s">
        <v>207</v>
      </c>
      <c r="Q206" s="131" t="s">
        <v>61</v>
      </c>
      <c r="R206" s="131" t="s">
        <v>61</v>
      </c>
      <c r="S206" s="142">
        <v>0.12</v>
      </c>
      <c r="T206" s="121" t="s">
        <v>198</v>
      </c>
      <c r="U206" s="131" t="s">
        <v>61</v>
      </c>
      <c r="V206" s="131" t="s">
        <v>61</v>
      </c>
      <c r="W206" s="131" t="s">
        <v>256</v>
      </c>
      <c r="X206" s="143" t="s">
        <v>61</v>
      </c>
      <c r="Y206" s="131" t="s">
        <v>11</v>
      </c>
      <c r="Z206" s="131" t="s">
        <v>11</v>
      </c>
      <c r="AA206" s="131" t="s">
        <v>11</v>
      </c>
      <c r="AB206" s="128" t="s">
        <v>11</v>
      </c>
      <c r="AC206" s="131" t="s">
        <v>11</v>
      </c>
      <c r="AD206" s="131" t="s">
        <v>11</v>
      </c>
      <c r="AE206" s="131" t="s">
        <v>11</v>
      </c>
      <c r="AF206" s="128" t="s">
        <v>11</v>
      </c>
      <c r="AG206" s="131" t="s">
        <v>11</v>
      </c>
      <c r="AH206" s="131" t="s">
        <v>11</v>
      </c>
      <c r="AI206" s="131" t="s">
        <v>11</v>
      </c>
      <c r="AJ206" s="128" t="s">
        <v>11</v>
      </c>
      <c r="AK206" s="131" t="s">
        <v>11</v>
      </c>
      <c r="AL206" s="128" t="s">
        <v>11</v>
      </c>
      <c r="AM206" s="131" t="s">
        <v>11</v>
      </c>
      <c r="AN206" s="128" t="s">
        <v>11</v>
      </c>
      <c r="AO206" s="128" t="s">
        <v>11</v>
      </c>
      <c r="AP206" s="128" t="s">
        <v>11</v>
      </c>
      <c r="AQ206" s="128" t="s">
        <v>11</v>
      </c>
      <c r="AR206" s="128" t="s">
        <v>11</v>
      </c>
      <c r="AS206" s="128" t="s">
        <v>11</v>
      </c>
      <c r="AT206" s="128" t="s">
        <v>11</v>
      </c>
      <c r="AU206" s="128" t="s">
        <v>11</v>
      </c>
      <c r="AV206" s="128" t="s">
        <v>11</v>
      </c>
      <c r="AW206" s="128" t="s">
        <v>11</v>
      </c>
      <c r="AX206" s="128" t="s">
        <v>11</v>
      </c>
      <c r="AY206" s="128" t="s">
        <v>11</v>
      </c>
      <c r="AZ206" s="128" t="s">
        <v>11</v>
      </c>
      <c r="BA206" s="128" t="s">
        <v>11</v>
      </c>
      <c r="BB206" s="128" t="s">
        <v>11</v>
      </c>
      <c r="BC206" s="127" t="s">
        <v>11</v>
      </c>
      <c r="BD206" s="128" t="s">
        <v>11</v>
      </c>
      <c r="BE206" s="128" t="s">
        <v>11</v>
      </c>
      <c r="BF206" s="128" t="s">
        <v>11</v>
      </c>
      <c r="BG206" s="121" t="s">
        <v>11</v>
      </c>
      <c r="BH206" s="128" t="s">
        <v>11</v>
      </c>
      <c r="BI206" s="121" t="s">
        <v>11</v>
      </c>
      <c r="BJ206" s="128" t="s">
        <v>11</v>
      </c>
      <c r="BK206" s="121" t="s">
        <v>11</v>
      </c>
      <c r="BL206" s="128" t="str">
        <f>IF(BK206="NA","NA",IF(BK206="Not Reported","Not Reported",IF(BK206&gt;$L$206,"Not Met","Met")))</f>
        <v>NA</v>
      </c>
      <c r="BM206" s="257" t="s">
        <v>11</v>
      </c>
      <c r="BN206" s="128" t="str">
        <f>IF(BM206="NA","NA",IF(BM206="Not Reported","Not Reported",IF(BM206&gt;$L$206,"Not Met","Met")))</f>
        <v>NA</v>
      </c>
      <c r="BO206" s="257" t="s">
        <v>11</v>
      </c>
      <c r="BP206" s="128" t="s">
        <v>11</v>
      </c>
      <c r="BQ206" s="121" t="s">
        <v>11</v>
      </c>
      <c r="BR206" s="121" t="s">
        <v>11</v>
      </c>
      <c r="BS206" s="13" t="s">
        <v>11</v>
      </c>
      <c r="BT206" s="128" t="str">
        <f>IF(BS206="NA","NA",IF(BS206="Not Reported","Not Reported",IF(BS206&gt;$L$206,"Not Met","Met")))</f>
        <v>NA</v>
      </c>
      <c r="BU206" s="338" t="s">
        <v>11</v>
      </c>
      <c r="BV206" s="128" t="str">
        <f>IF(BU206="NA","NA",IF(BU206="Not Reported","Not Reported",IF(BU206&gt;$L$206,"Not Met","Met")))</f>
        <v>NA</v>
      </c>
    </row>
    <row r="207" spans="1:74" x14ac:dyDescent="0.25">
      <c r="A207" s="121">
        <v>206</v>
      </c>
      <c r="B207" s="122" t="s">
        <v>13</v>
      </c>
      <c r="C207" s="122" t="s">
        <v>901</v>
      </c>
      <c r="D207" s="123" t="s">
        <v>114</v>
      </c>
      <c r="E207" s="123" t="s">
        <v>900</v>
      </c>
      <c r="F207" s="123" t="s">
        <v>190</v>
      </c>
      <c r="G207" s="122" t="s">
        <v>273</v>
      </c>
      <c r="H207" s="122" t="s">
        <v>192</v>
      </c>
      <c r="I207" s="124" t="s">
        <v>292</v>
      </c>
      <c r="J207" s="124" t="s">
        <v>293</v>
      </c>
      <c r="K207" s="122" t="s">
        <v>292</v>
      </c>
      <c r="L207" s="128" t="s">
        <v>686</v>
      </c>
      <c r="M207" s="128" t="s">
        <v>686</v>
      </c>
      <c r="N207" s="122" t="s">
        <v>294</v>
      </c>
      <c r="O207" s="122" t="s">
        <v>295</v>
      </c>
      <c r="P207" s="123" t="s">
        <v>207</v>
      </c>
      <c r="Q207" s="131" t="s">
        <v>61</v>
      </c>
      <c r="R207" s="131" t="s">
        <v>61</v>
      </c>
      <c r="S207" s="142">
        <v>0.12</v>
      </c>
      <c r="T207" s="121" t="s">
        <v>198</v>
      </c>
      <c r="U207" s="131" t="s">
        <v>61</v>
      </c>
      <c r="V207" s="131" t="s">
        <v>61</v>
      </c>
      <c r="W207" s="131" t="s">
        <v>256</v>
      </c>
      <c r="X207" s="143" t="s">
        <v>61</v>
      </c>
      <c r="Y207" s="131" t="s">
        <v>11</v>
      </c>
      <c r="Z207" s="131" t="s">
        <v>11</v>
      </c>
      <c r="AA207" s="131" t="s">
        <v>11</v>
      </c>
      <c r="AB207" s="128" t="s">
        <v>11</v>
      </c>
      <c r="AC207" s="131" t="s">
        <v>11</v>
      </c>
      <c r="AD207" s="131" t="s">
        <v>11</v>
      </c>
      <c r="AE207" s="131" t="s">
        <v>11</v>
      </c>
      <c r="AF207" s="128" t="s">
        <v>11</v>
      </c>
      <c r="AG207" s="131" t="s">
        <v>11</v>
      </c>
      <c r="AH207" s="131" t="s">
        <v>11</v>
      </c>
      <c r="AI207" s="131" t="s">
        <v>11</v>
      </c>
      <c r="AJ207" s="128" t="s">
        <v>11</v>
      </c>
      <c r="AK207" s="131" t="s">
        <v>11</v>
      </c>
      <c r="AL207" s="128" t="s">
        <v>11</v>
      </c>
      <c r="AM207" s="131" t="s">
        <v>11</v>
      </c>
      <c r="AN207" s="128" t="s">
        <v>11</v>
      </c>
      <c r="AO207" s="128" t="s">
        <v>11</v>
      </c>
      <c r="AP207" s="128" t="s">
        <v>11</v>
      </c>
      <c r="AQ207" s="128" t="s">
        <v>11</v>
      </c>
      <c r="AR207" s="128" t="s">
        <v>11</v>
      </c>
      <c r="AS207" s="128" t="s">
        <v>11</v>
      </c>
      <c r="AT207" s="128" t="s">
        <v>11</v>
      </c>
      <c r="AU207" s="128" t="s">
        <v>11</v>
      </c>
      <c r="AV207" s="128" t="s">
        <v>11</v>
      </c>
      <c r="AW207" s="128" t="s">
        <v>11</v>
      </c>
      <c r="AX207" s="128" t="s">
        <v>11</v>
      </c>
      <c r="AY207" s="128" t="s">
        <v>11</v>
      </c>
      <c r="AZ207" s="128" t="s">
        <v>11</v>
      </c>
      <c r="BA207" s="128" t="s">
        <v>11</v>
      </c>
      <c r="BB207" s="128" t="s">
        <v>11</v>
      </c>
      <c r="BC207" s="127" t="s">
        <v>11</v>
      </c>
      <c r="BD207" s="128" t="s">
        <v>11</v>
      </c>
      <c r="BE207" s="128" t="s">
        <v>11</v>
      </c>
      <c r="BF207" s="128" t="s">
        <v>11</v>
      </c>
      <c r="BG207" s="121" t="s">
        <v>11</v>
      </c>
      <c r="BH207" s="128" t="s">
        <v>11</v>
      </c>
      <c r="BI207" s="121" t="s">
        <v>11</v>
      </c>
      <c r="BJ207" s="128" t="s">
        <v>11</v>
      </c>
      <c r="BK207" s="121" t="s">
        <v>11</v>
      </c>
      <c r="BL207" s="128" t="str">
        <f>IF(BK207="NA","NA",IF(BK207="Not Reported","Not Reported",IF(BK207&gt;$L$207,"Not Met","Met")))</f>
        <v>NA</v>
      </c>
      <c r="BM207" s="257" t="s">
        <v>11</v>
      </c>
      <c r="BN207" s="128" t="str">
        <f>IF(BM207="NA","NA",IF(BM207="Not Reported","Not Reported",IF(BM207&gt;$L$207,"Not Met","Met")))</f>
        <v>NA</v>
      </c>
      <c r="BO207" s="257" t="s">
        <v>11</v>
      </c>
      <c r="BP207" s="128" t="s">
        <v>11</v>
      </c>
      <c r="BQ207" s="121" t="s">
        <v>11</v>
      </c>
      <c r="BR207" s="121" t="s">
        <v>11</v>
      </c>
      <c r="BS207" s="13" t="s">
        <v>11</v>
      </c>
      <c r="BT207" s="128" t="str">
        <f>IF(BS207="NA","NA",IF(BS207="Not Reported","Not Reported",IF(BS207&gt;$L$207,"Not Met","Met")))</f>
        <v>NA</v>
      </c>
      <c r="BU207" s="338" t="s">
        <v>11</v>
      </c>
      <c r="BV207" s="128" t="str">
        <f>IF(BU207="NA","NA",IF(BU207="Not Reported","Not Reported",IF(BU207&gt;$L$207,"Not Met","Met")))</f>
        <v>NA</v>
      </c>
    </row>
    <row r="208" spans="1:74" x14ac:dyDescent="0.2">
      <c r="A208" s="121">
        <v>207</v>
      </c>
      <c r="B208" s="122" t="s">
        <v>13</v>
      </c>
      <c r="C208" s="122" t="s">
        <v>901</v>
      </c>
      <c r="D208" s="123" t="s">
        <v>114</v>
      </c>
      <c r="E208" s="123" t="s">
        <v>900</v>
      </c>
      <c r="F208" s="123" t="s">
        <v>190</v>
      </c>
      <c r="G208" s="122" t="s">
        <v>273</v>
      </c>
      <c r="H208" s="122" t="s">
        <v>192</v>
      </c>
      <c r="I208" s="124" t="s">
        <v>284</v>
      </c>
      <c r="J208" s="124" t="s">
        <v>285</v>
      </c>
      <c r="K208" s="145" t="s">
        <v>284</v>
      </c>
      <c r="L208" s="128" t="s">
        <v>685</v>
      </c>
      <c r="M208" s="128" t="s">
        <v>685</v>
      </c>
      <c r="N208" s="145" t="s">
        <v>287</v>
      </c>
      <c r="O208" s="214" t="s">
        <v>288</v>
      </c>
      <c r="P208" s="123" t="s">
        <v>207</v>
      </c>
      <c r="Q208" s="131" t="s">
        <v>61</v>
      </c>
      <c r="R208" s="131" t="s">
        <v>61</v>
      </c>
      <c r="S208" s="131" t="s">
        <v>11</v>
      </c>
      <c r="T208" s="128" t="s">
        <v>11</v>
      </c>
      <c r="U208" s="131" t="s">
        <v>61</v>
      </c>
      <c r="V208" s="131" t="s">
        <v>61</v>
      </c>
      <c r="W208" s="131" t="s">
        <v>256</v>
      </c>
      <c r="X208" s="143" t="s">
        <v>61</v>
      </c>
      <c r="Y208" s="131" t="s">
        <v>11</v>
      </c>
      <c r="Z208" s="131" t="s">
        <v>11</v>
      </c>
      <c r="AA208" s="131" t="s">
        <v>11</v>
      </c>
      <c r="AB208" s="128" t="s">
        <v>11</v>
      </c>
      <c r="AC208" s="131" t="s">
        <v>11</v>
      </c>
      <c r="AD208" s="131" t="s">
        <v>11</v>
      </c>
      <c r="AE208" s="131" t="s">
        <v>11</v>
      </c>
      <c r="AF208" s="128" t="s">
        <v>11</v>
      </c>
      <c r="AG208" s="131" t="s">
        <v>11</v>
      </c>
      <c r="AH208" s="131" t="s">
        <v>11</v>
      </c>
      <c r="AI208" s="131" t="s">
        <v>11</v>
      </c>
      <c r="AJ208" s="128" t="s">
        <v>11</v>
      </c>
      <c r="AK208" s="131" t="s">
        <v>11</v>
      </c>
      <c r="AL208" s="128" t="s">
        <v>11</v>
      </c>
      <c r="AM208" s="131" t="s">
        <v>11</v>
      </c>
      <c r="AN208" s="128" t="s">
        <v>11</v>
      </c>
      <c r="AO208" s="128" t="s">
        <v>11</v>
      </c>
      <c r="AP208" s="128" t="s">
        <v>11</v>
      </c>
      <c r="AQ208" s="128" t="s">
        <v>11</v>
      </c>
      <c r="AR208" s="128" t="s">
        <v>11</v>
      </c>
      <c r="AS208" s="128" t="s">
        <v>11</v>
      </c>
      <c r="AT208" s="128" t="s">
        <v>11</v>
      </c>
      <c r="AU208" s="128" t="s">
        <v>11</v>
      </c>
      <c r="AV208" s="128" t="s">
        <v>11</v>
      </c>
      <c r="AW208" s="128" t="s">
        <v>11</v>
      </c>
      <c r="AX208" s="128" t="s">
        <v>11</v>
      </c>
      <c r="AY208" s="128" t="s">
        <v>11</v>
      </c>
      <c r="AZ208" s="128" t="s">
        <v>11</v>
      </c>
      <c r="BA208" s="128" t="s">
        <v>11</v>
      </c>
      <c r="BB208" s="128" t="s">
        <v>11</v>
      </c>
      <c r="BC208" s="127" t="s">
        <v>11</v>
      </c>
      <c r="BD208" s="128" t="s">
        <v>11</v>
      </c>
      <c r="BE208" s="128" t="s">
        <v>11</v>
      </c>
      <c r="BF208" s="128" t="s">
        <v>11</v>
      </c>
      <c r="BG208" s="121" t="s">
        <v>11</v>
      </c>
      <c r="BH208" s="128" t="s">
        <v>11</v>
      </c>
      <c r="BI208" s="121" t="s">
        <v>11</v>
      </c>
      <c r="BJ208" s="128" t="s">
        <v>11</v>
      </c>
      <c r="BK208" s="121" t="s">
        <v>11</v>
      </c>
      <c r="BL208" s="128" t="str">
        <f>IF(BK208="NA","NA",IF(BK208="Not Reported","Not Reported",IF(BK208&lt;$L$208,"Not Met","Met")))</f>
        <v>NA</v>
      </c>
      <c r="BM208" s="257" t="s">
        <v>11</v>
      </c>
      <c r="BN208" s="128" t="str">
        <f>IF(BM208="NA","NA",IF(BM208="Not Reported","Not Reported",IF(BM208&lt;$L$208,"Not Met","Met")))</f>
        <v>NA</v>
      </c>
      <c r="BO208" s="257" t="s">
        <v>11</v>
      </c>
      <c r="BP208" s="128" t="s">
        <v>11</v>
      </c>
      <c r="BQ208" s="121" t="s">
        <v>11</v>
      </c>
      <c r="BR208" s="121" t="s">
        <v>11</v>
      </c>
      <c r="BS208" s="13" t="s">
        <v>11</v>
      </c>
      <c r="BT208" s="128" t="str">
        <f>IF(BS208="NA","NA",IF(BS208="Not Reported","Not Reported",IF(BS208&lt;$L$208,"Not Met","Met")))</f>
        <v>NA</v>
      </c>
      <c r="BU208" s="338" t="s">
        <v>11</v>
      </c>
      <c r="BV208" s="128" t="str">
        <f>IF(BU208="NA","NA",IF(BU208="Not Reported","Not Reported",IF(BU208&lt;$L$208,"Not Met","Met")))</f>
        <v>NA</v>
      </c>
    </row>
    <row r="209" spans="1:74" x14ac:dyDescent="0.2">
      <c r="A209" s="121">
        <v>208</v>
      </c>
      <c r="B209" s="122" t="s">
        <v>13</v>
      </c>
      <c r="C209" s="122" t="s">
        <v>901</v>
      </c>
      <c r="D209" s="123" t="s">
        <v>114</v>
      </c>
      <c r="E209" s="123" t="s">
        <v>900</v>
      </c>
      <c r="F209" s="123" t="s">
        <v>190</v>
      </c>
      <c r="G209" s="122" t="s">
        <v>273</v>
      </c>
      <c r="H209" s="122" t="s">
        <v>192</v>
      </c>
      <c r="I209" s="124" t="s">
        <v>284</v>
      </c>
      <c r="J209" s="124" t="s">
        <v>285</v>
      </c>
      <c r="K209" s="145" t="s">
        <v>284</v>
      </c>
      <c r="L209" s="128" t="s">
        <v>686</v>
      </c>
      <c r="M209" s="128" t="s">
        <v>686</v>
      </c>
      <c r="N209" s="145" t="s">
        <v>287</v>
      </c>
      <c r="O209" s="214" t="s">
        <v>288</v>
      </c>
      <c r="P209" s="123" t="s">
        <v>207</v>
      </c>
      <c r="Q209" s="131" t="s">
        <v>61</v>
      </c>
      <c r="R209" s="131" t="s">
        <v>61</v>
      </c>
      <c r="S209" s="131" t="s">
        <v>11</v>
      </c>
      <c r="T209" s="128" t="s">
        <v>11</v>
      </c>
      <c r="U209" s="131" t="s">
        <v>61</v>
      </c>
      <c r="V209" s="131" t="s">
        <v>61</v>
      </c>
      <c r="W209" s="131" t="s">
        <v>256</v>
      </c>
      <c r="X209" s="143" t="s">
        <v>61</v>
      </c>
      <c r="Y209" s="131" t="s">
        <v>11</v>
      </c>
      <c r="Z209" s="131" t="s">
        <v>11</v>
      </c>
      <c r="AA209" s="131" t="s">
        <v>11</v>
      </c>
      <c r="AB209" s="128" t="s">
        <v>11</v>
      </c>
      <c r="AC209" s="131" t="s">
        <v>11</v>
      </c>
      <c r="AD209" s="131" t="s">
        <v>11</v>
      </c>
      <c r="AE209" s="131" t="s">
        <v>11</v>
      </c>
      <c r="AF209" s="128" t="s">
        <v>11</v>
      </c>
      <c r="AG209" s="131" t="s">
        <v>11</v>
      </c>
      <c r="AH209" s="131" t="s">
        <v>11</v>
      </c>
      <c r="AI209" s="131" t="s">
        <v>11</v>
      </c>
      <c r="AJ209" s="128" t="s">
        <v>11</v>
      </c>
      <c r="AK209" s="131" t="s">
        <v>11</v>
      </c>
      <c r="AL209" s="128" t="s">
        <v>11</v>
      </c>
      <c r="AM209" s="131" t="s">
        <v>11</v>
      </c>
      <c r="AN209" s="128" t="s">
        <v>11</v>
      </c>
      <c r="AO209" s="128" t="s">
        <v>11</v>
      </c>
      <c r="AP209" s="128" t="s">
        <v>11</v>
      </c>
      <c r="AQ209" s="128" t="s">
        <v>11</v>
      </c>
      <c r="AR209" s="128" t="s">
        <v>11</v>
      </c>
      <c r="AS209" s="128" t="s">
        <v>11</v>
      </c>
      <c r="AT209" s="128" t="s">
        <v>11</v>
      </c>
      <c r="AU209" s="128" t="s">
        <v>11</v>
      </c>
      <c r="AV209" s="128" t="s">
        <v>11</v>
      </c>
      <c r="AW209" s="128" t="s">
        <v>11</v>
      </c>
      <c r="AX209" s="128" t="s">
        <v>11</v>
      </c>
      <c r="AY209" s="128" t="s">
        <v>11</v>
      </c>
      <c r="AZ209" s="128" t="s">
        <v>11</v>
      </c>
      <c r="BA209" s="128" t="s">
        <v>11</v>
      </c>
      <c r="BB209" s="128" t="s">
        <v>11</v>
      </c>
      <c r="BC209" s="127" t="s">
        <v>11</v>
      </c>
      <c r="BD209" s="128" t="s">
        <v>11</v>
      </c>
      <c r="BE209" s="128" t="s">
        <v>11</v>
      </c>
      <c r="BF209" s="128" t="s">
        <v>11</v>
      </c>
      <c r="BG209" s="121" t="s">
        <v>11</v>
      </c>
      <c r="BH209" s="128" t="s">
        <v>11</v>
      </c>
      <c r="BI209" s="121" t="s">
        <v>11</v>
      </c>
      <c r="BJ209" s="128" t="s">
        <v>11</v>
      </c>
      <c r="BK209" s="121" t="s">
        <v>11</v>
      </c>
      <c r="BL209" s="128" t="str">
        <f>IF(BK209="NA","NA",IF(BK209="Not Reported","Not Reported",IF(BK209&lt;$L$209,"Not Met","Met")))</f>
        <v>NA</v>
      </c>
      <c r="BM209" s="257" t="s">
        <v>11</v>
      </c>
      <c r="BN209" s="128" t="str">
        <f>IF(BM209="NA","NA",IF(BM209="Not Reported","Not Reported",IF(BM209&lt;$L$209,"Not Met","Met")))</f>
        <v>NA</v>
      </c>
      <c r="BO209" s="257" t="s">
        <v>11</v>
      </c>
      <c r="BP209" s="128" t="s">
        <v>11</v>
      </c>
      <c r="BQ209" s="121" t="s">
        <v>11</v>
      </c>
      <c r="BR209" s="121" t="s">
        <v>11</v>
      </c>
      <c r="BS209" s="13" t="s">
        <v>11</v>
      </c>
      <c r="BT209" s="128" t="str">
        <f>IF(BS209="NA","NA",IF(BS209="Not Reported","Not Reported",IF(BS209&lt;$L$209,"Not Met","Met")))</f>
        <v>NA</v>
      </c>
      <c r="BU209" s="338" t="s">
        <v>11</v>
      </c>
      <c r="BV209" s="128" t="str">
        <f>IF(BU209="NA","NA",IF(BU209="Not Reported","Not Reported",IF(BU209&lt;$L$209,"Not Met","Met")))</f>
        <v>NA</v>
      </c>
    </row>
    <row r="210" spans="1:74" x14ac:dyDescent="0.2">
      <c r="A210" s="121">
        <v>209</v>
      </c>
      <c r="B210" s="122" t="s">
        <v>13</v>
      </c>
      <c r="C210" s="122" t="s">
        <v>901</v>
      </c>
      <c r="D210" s="123" t="s">
        <v>114</v>
      </c>
      <c r="E210" s="123" t="s">
        <v>900</v>
      </c>
      <c r="F210" s="123" t="s">
        <v>190</v>
      </c>
      <c r="G210" s="122" t="s">
        <v>273</v>
      </c>
      <c r="H210" s="122" t="s">
        <v>192</v>
      </c>
      <c r="I210" s="123" t="s">
        <v>296</v>
      </c>
      <c r="J210" s="123" t="s">
        <v>296</v>
      </c>
      <c r="K210" s="145" t="s">
        <v>296</v>
      </c>
      <c r="L210" s="128" t="s">
        <v>685</v>
      </c>
      <c r="M210" s="128" t="s">
        <v>685</v>
      </c>
      <c r="N210" s="145" t="s">
        <v>297</v>
      </c>
      <c r="O210" s="214" t="s">
        <v>298</v>
      </c>
      <c r="P210" s="123" t="s">
        <v>207</v>
      </c>
      <c r="Q210" s="131" t="s">
        <v>61</v>
      </c>
      <c r="R210" s="131" t="s">
        <v>61</v>
      </c>
      <c r="S210" s="131" t="s">
        <v>11</v>
      </c>
      <c r="T210" s="128" t="s">
        <v>11</v>
      </c>
      <c r="U210" s="131" t="s">
        <v>61</v>
      </c>
      <c r="V210" s="131" t="s">
        <v>61</v>
      </c>
      <c r="W210" s="131" t="s">
        <v>256</v>
      </c>
      <c r="X210" s="143" t="s">
        <v>61</v>
      </c>
      <c r="Y210" s="131" t="s">
        <v>11</v>
      </c>
      <c r="Z210" s="131" t="s">
        <v>11</v>
      </c>
      <c r="AA210" s="131" t="s">
        <v>11</v>
      </c>
      <c r="AB210" s="128" t="s">
        <v>11</v>
      </c>
      <c r="AC210" s="131" t="s">
        <v>11</v>
      </c>
      <c r="AD210" s="131" t="s">
        <v>11</v>
      </c>
      <c r="AE210" s="131" t="s">
        <v>11</v>
      </c>
      <c r="AF210" s="128" t="s">
        <v>11</v>
      </c>
      <c r="AG210" s="131" t="s">
        <v>11</v>
      </c>
      <c r="AH210" s="131" t="s">
        <v>11</v>
      </c>
      <c r="AI210" s="131" t="s">
        <v>11</v>
      </c>
      <c r="AJ210" s="128" t="s">
        <v>11</v>
      </c>
      <c r="AK210" s="131" t="s">
        <v>11</v>
      </c>
      <c r="AL210" s="128" t="s">
        <v>11</v>
      </c>
      <c r="AM210" s="131" t="s">
        <v>11</v>
      </c>
      <c r="AN210" s="128" t="s">
        <v>11</v>
      </c>
      <c r="AO210" s="128" t="s">
        <v>11</v>
      </c>
      <c r="AP210" s="128" t="s">
        <v>11</v>
      </c>
      <c r="AQ210" s="128" t="s">
        <v>11</v>
      </c>
      <c r="AR210" s="128" t="s">
        <v>11</v>
      </c>
      <c r="AS210" s="128" t="s">
        <v>11</v>
      </c>
      <c r="AT210" s="128" t="s">
        <v>11</v>
      </c>
      <c r="AU210" s="128" t="s">
        <v>11</v>
      </c>
      <c r="AV210" s="128" t="s">
        <v>11</v>
      </c>
      <c r="AW210" s="128" t="s">
        <v>11</v>
      </c>
      <c r="AX210" s="128" t="s">
        <v>11</v>
      </c>
      <c r="AY210" s="128" t="s">
        <v>11</v>
      </c>
      <c r="AZ210" s="128" t="s">
        <v>11</v>
      </c>
      <c r="BA210" s="128" t="s">
        <v>11</v>
      </c>
      <c r="BB210" s="128" t="s">
        <v>11</v>
      </c>
      <c r="BC210" s="127" t="s">
        <v>11</v>
      </c>
      <c r="BD210" s="128" t="s">
        <v>11</v>
      </c>
      <c r="BE210" s="128" t="s">
        <v>11</v>
      </c>
      <c r="BF210" s="128" t="s">
        <v>11</v>
      </c>
      <c r="BG210" s="121" t="s">
        <v>11</v>
      </c>
      <c r="BH210" s="128" t="s">
        <v>11</v>
      </c>
      <c r="BI210" s="121" t="s">
        <v>11</v>
      </c>
      <c r="BJ210" s="128" t="s">
        <v>11</v>
      </c>
      <c r="BK210" s="121" t="s">
        <v>11</v>
      </c>
      <c r="BL210" s="128" t="str">
        <f>IF(BK210="NA","NA",IF(BK210="Not Reported","Not Reported",IF(BK210&lt;$L$210,"Not Met","Met")))</f>
        <v>NA</v>
      </c>
      <c r="BM210" s="257" t="s">
        <v>11</v>
      </c>
      <c r="BN210" s="128" t="str">
        <f>IF(BM210="NA","NA",IF(BM210="Not Reported","Not Reported",IF(BM210&lt;$L$210,"Not Met","Met")))</f>
        <v>NA</v>
      </c>
      <c r="BO210" s="257" t="s">
        <v>11</v>
      </c>
      <c r="BP210" s="128" t="s">
        <v>11</v>
      </c>
      <c r="BQ210" s="121" t="s">
        <v>11</v>
      </c>
      <c r="BR210" s="121" t="s">
        <v>11</v>
      </c>
      <c r="BS210" s="13" t="s">
        <v>11</v>
      </c>
      <c r="BT210" s="128" t="str">
        <f>IF(BS210="NA","NA",IF(BS210="Not Reported","Not Reported",IF(BS210&lt;$L$210,"Not Met","Met")))</f>
        <v>NA</v>
      </c>
      <c r="BU210" s="338" t="s">
        <v>11</v>
      </c>
      <c r="BV210" s="128" t="str">
        <f>IF(BU210="NA","NA",IF(BU210="Not Reported","Not Reported",IF(BU210&lt;$L$210,"Not Met","Met")))</f>
        <v>NA</v>
      </c>
    </row>
    <row r="211" spans="1:74" x14ac:dyDescent="0.2">
      <c r="A211" s="121">
        <v>210</v>
      </c>
      <c r="B211" s="122" t="s">
        <v>13</v>
      </c>
      <c r="C211" s="122" t="s">
        <v>901</v>
      </c>
      <c r="D211" s="123" t="s">
        <v>114</v>
      </c>
      <c r="E211" s="123" t="s">
        <v>900</v>
      </c>
      <c r="F211" s="123" t="s">
        <v>190</v>
      </c>
      <c r="G211" s="122" t="s">
        <v>273</v>
      </c>
      <c r="H211" s="122" t="s">
        <v>192</v>
      </c>
      <c r="I211" s="123" t="s">
        <v>296</v>
      </c>
      <c r="J211" s="123" t="s">
        <v>296</v>
      </c>
      <c r="K211" s="145" t="s">
        <v>296</v>
      </c>
      <c r="L211" s="128" t="s">
        <v>686</v>
      </c>
      <c r="M211" s="128" t="s">
        <v>686</v>
      </c>
      <c r="N211" s="145" t="s">
        <v>297</v>
      </c>
      <c r="O211" s="214" t="s">
        <v>298</v>
      </c>
      <c r="P211" s="123" t="s">
        <v>207</v>
      </c>
      <c r="Q211" s="131" t="s">
        <v>61</v>
      </c>
      <c r="R211" s="131" t="s">
        <v>61</v>
      </c>
      <c r="S211" s="131" t="s">
        <v>11</v>
      </c>
      <c r="T211" s="128" t="s">
        <v>11</v>
      </c>
      <c r="U211" s="131" t="s">
        <v>61</v>
      </c>
      <c r="V211" s="131" t="s">
        <v>61</v>
      </c>
      <c r="W211" s="131" t="s">
        <v>256</v>
      </c>
      <c r="X211" s="143" t="s">
        <v>61</v>
      </c>
      <c r="Y211" s="131" t="s">
        <v>11</v>
      </c>
      <c r="Z211" s="131" t="s">
        <v>11</v>
      </c>
      <c r="AA211" s="131" t="s">
        <v>11</v>
      </c>
      <c r="AB211" s="128" t="s">
        <v>11</v>
      </c>
      <c r="AC211" s="131" t="s">
        <v>11</v>
      </c>
      <c r="AD211" s="131" t="s">
        <v>11</v>
      </c>
      <c r="AE211" s="131" t="s">
        <v>11</v>
      </c>
      <c r="AF211" s="128" t="s">
        <v>11</v>
      </c>
      <c r="AG211" s="131" t="s">
        <v>11</v>
      </c>
      <c r="AH211" s="131" t="s">
        <v>11</v>
      </c>
      <c r="AI211" s="131" t="s">
        <v>11</v>
      </c>
      <c r="AJ211" s="128" t="s">
        <v>11</v>
      </c>
      <c r="AK211" s="131" t="s">
        <v>11</v>
      </c>
      <c r="AL211" s="128" t="s">
        <v>11</v>
      </c>
      <c r="AM211" s="131" t="s">
        <v>11</v>
      </c>
      <c r="AN211" s="128" t="s">
        <v>11</v>
      </c>
      <c r="AO211" s="128" t="s">
        <v>11</v>
      </c>
      <c r="AP211" s="128" t="s">
        <v>11</v>
      </c>
      <c r="AQ211" s="128" t="s">
        <v>11</v>
      </c>
      <c r="AR211" s="128" t="s">
        <v>11</v>
      </c>
      <c r="AS211" s="128" t="s">
        <v>11</v>
      </c>
      <c r="AT211" s="128" t="s">
        <v>11</v>
      </c>
      <c r="AU211" s="128" t="s">
        <v>11</v>
      </c>
      <c r="AV211" s="128" t="s">
        <v>11</v>
      </c>
      <c r="AW211" s="128" t="s">
        <v>11</v>
      </c>
      <c r="AX211" s="128" t="s">
        <v>11</v>
      </c>
      <c r="AY211" s="128" t="s">
        <v>11</v>
      </c>
      <c r="AZ211" s="128" t="s">
        <v>11</v>
      </c>
      <c r="BA211" s="128" t="s">
        <v>11</v>
      </c>
      <c r="BB211" s="128" t="s">
        <v>11</v>
      </c>
      <c r="BC211" s="127" t="s">
        <v>11</v>
      </c>
      <c r="BD211" s="128" t="s">
        <v>11</v>
      </c>
      <c r="BE211" s="128" t="s">
        <v>11</v>
      </c>
      <c r="BF211" s="128" t="s">
        <v>11</v>
      </c>
      <c r="BG211" s="121" t="s">
        <v>11</v>
      </c>
      <c r="BH211" s="128" t="s">
        <v>11</v>
      </c>
      <c r="BI211" s="121" t="s">
        <v>11</v>
      </c>
      <c r="BJ211" s="128" t="s">
        <v>11</v>
      </c>
      <c r="BK211" s="121" t="s">
        <v>11</v>
      </c>
      <c r="BL211" s="128" t="str">
        <f>IF(BK211="NA","NA",IF(BK211="Not Reported","Not Reported",IF(BK211&lt;$L$211,"Not Met","Met")))</f>
        <v>NA</v>
      </c>
      <c r="BM211" s="257" t="s">
        <v>11</v>
      </c>
      <c r="BN211" s="128" t="str">
        <f>IF(BM211="NA","NA",IF(BM211="Not Reported","Not Reported",IF(BM211&lt;$L$211,"Not Met","Met")))</f>
        <v>NA</v>
      </c>
      <c r="BO211" s="257" t="s">
        <v>11</v>
      </c>
      <c r="BP211" s="128" t="s">
        <v>11</v>
      </c>
      <c r="BQ211" s="121" t="s">
        <v>11</v>
      </c>
      <c r="BR211" s="121" t="s">
        <v>11</v>
      </c>
      <c r="BS211" s="13" t="s">
        <v>11</v>
      </c>
      <c r="BT211" s="128" t="str">
        <f>IF(BS211="NA","NA",IF(BS211="Not Reported","Not Reported",IF(BS211&lt;$L$211,"Not Met","Met")))</f>
        <v>NA</v>
      </c>
      <c r="BU211" s="338" t="s">
        <v>11</v>
      </c>
      <c r="BV211" s="128" t="str">
        <f>IF(BU211="NA","NA",IF(BU211="Not Reported","Not Reported",IF(BU211&lt;$L$211,"Not Met","Met")))</f>
        <v>NA</v>
      </c>
    </row>
    <row r="212" spans="1:74" x14ac:dyDescent="0.2">
      <c r="A212" s="121">
        <v>211</v>
      </c>
      <c r="B212" s="122" t="s">
        <v>687</v>
      </c>
      <c r="C212" s="122" t="s">
        <v>903</v>
      </c>
      <c r="D212" s="123" t="s">
        <v>111</v>
      </c>
      <c r="E212" s="123" t="s">
        <v>899</v>
      </c>
      <c r="F212" s="123" t="s">
        <v>190</v>
      </c>
      <c r="G212" s="122" t="s">
        <v>191</v>
      </c>
      <c r="H212" s="122" t="s">
        <v>212</v>
      </c>
      <c r="I212" s="124" t="s">
        <v>296</v>
      </c>
      <c r="J212" s="124" t="s">
        <v>296</v>
      </c>
      <c r="K212" s="122" t="s">
        <v>688</v>
      </c>
      <c r="L212" s="142">
        <v>0.85</v>
      </c>
      <c r="M212" s="142">
        <v>0.85</v>
      </c>
      <c r="N212" s="122" t="s">
        <v>355</v>
      </c>
      <c r="O212" s="122" t="s">
        <v>355</v>
      </c>
      <c r="P212" s="122" t="s">
        <v>207</v>
      </c>
      <c r="Q212" s="178" t="s">
        <v>61</v>
      </c>
      <c r="R212" s="178" t="s">
        <v>61</v>
      </c>
      <c r="S212" s="178" t="s">
        <v>61</v>
      </c>
      <c r="T212" s="131" t="s">
        <v>61</v>
      </c>
      <c r="U212" s="178">
        <v>1</v>
      </c>
      <c r="V212" s="121" t="s">
        <v>198</v>
      </c>
      <c r="W212" s="121" t="s">
        <v>323</v>
      </c>
      <c r="X212" s="128" t="s">
        <v>11</v>
      </c>
      <c r="Y212" s="128" t="s">
        <v>323</v>
      </c>
      <c r="Z212" s="128" t="s">
        <v>323</v>
      </c>
      <c r="AA212" s="128" t="s">
        <v>11</v>
      </c>
      <c r="AB212" s="128" t="s">
        <v>11</v>
      </c>
      <c r="AC212" s="128" t="s">
        <v>11</v>
      </c>
      <c r="AD212" s="128" t="s">
        <v>11</v>
      </c>
      <c r="AE212" s="128" t="s">
        <v>11</v>
      </c>
      <c r="AF212" s="128" t="s">
        <v>11</v>
      </c>
      <c r="AG212" s="128" t="s">
        <v>11</v>
      </c>
      <c r="AH212" s="128" t="s">
        <v>11</v>
      </c>
      <c r="AI212" s="128" t="s">
        <v>11</v>
      </c>
      <c r="AJ212" s="128" t="s">
        <v>11</v>
      </c>
      <c r="AK212" s="128" t="s">
        <v>11</v>
      </c>
      <c r="AL212" s="128" t="s">
        <v>11</v>
      </c>
      <c r="AM212" s="128" t="s">
        <v>11</v>
      </c>
      <c r="AN212" s="128" t="s">
        <v>11</v>
      </c>
      <c r="AO212" s="128" t="s">
        <v>323</v>
      </c>
      <c r="AP212" s="128" t="s">
        <v>11</v>
      </c>
      <c r="AQ212" s="128" t="s">
        <v>323</v>
      </c>
      <c r="AR212" s="128" t="s">
        <v>11</v>
      </c>
      <c r="AS212" s="128" t="s">
        <v>323</v>
      </c>
      <c r="AT212" s="128" t="s">
        <v>11</v>
      </c>
      <c r="AU212" s="128" t="s">
        <v>323</v>
      </c>
      <c r="AV212" s="128" t="s">
        <v>11</v>
      </c>
      <c r="AW212" s="128" t="s">
        <v>323</v>
      </c>
      <c r="AX212" s="128" t="s">
        <v>11</v>
      </c>
      <c r="AY212" s="128" t="s">
        <v>323</v>
      </c>
      <c r="AZ212" s="128" t="s">
        <v>11</v>
      </c>
      <c r="BA212" s="128" t="s">
        <v>323</v>
      </c>
      <c r="BB212" s="128" t="s">
        <v>11</v>
      </c>
      <c r="BC212" s="127" t="s">
        <v>11</v>
      </c>
      <c r="BD212" s="128" t="s">
        <v>11</v>
      </c>
      <c r="BE212" s="127" t="s">
        <v>11</v>
      </c>
      <c r="BF212" s="128" t="s">
        <v>11</v>
      </c>
      <c r="BG212" s="127" t="s">
        <v>11</v>
      </c>
      <c r="BH212" s="128" t="s">
        <v>11</v>
      </c>
      <c r="BI212" s="127" t="s">
        <v>11</v>
      </c>
      <c r="BJ212" s="128" t="s">
        <v>11</v>
      </c>
      <c r="BK212" s="127" t="s">
        <v>11</v>
      </c>
      <c r="BL212" s="128" t="str">
        <f>IF(BK212="NA","NA",IF(BK212="Not Reported","Not Reported",IF(BK212&lt;$L$212,"Not Met","Met")))</f>
        <v>NA</v>
      </c>
      <c r="BM212" s="257" t="s">
        <v>11</v>
      </c>
      <c r="BN212" s="128" t="str">
        <f>IF(BM212="NA","NA",IF(BM212="Not Reported","Not Reported",IF(BM212&lt;$L$212,"Not Met","Met")))</f>
        <v>NA</v>
      </c>
      <c r="BO212" s="128" t="s">
        <v>11</v>
      </c>
      <c r="BP212" s="128" t="s">
        <v>11</v>
      </c>
      <c r="BQ212" s="128" t="s">
        <v>11</v>
      </c>
      <c r="BR212" s="128" t="s">
        <v>11</v>
      </c>
      <c r="BS212" s="338" t="s">
        <v>11</v>
      </c>
      <c r="BT212" s="128" t="str">
        <f>IF(BS212="NA","NA",IF(BS212="Not Reported","Not Reported",IF(BS212&lt;$L$212,"Not Met","Met")))</f>
        <v>NA</v>
      </c>
      <c r="BU212" s="338" t="s">
        <v>11</v>
      </c>
      <c r="BV212" s="128" t="str">
        <f>IF(BU212="NA","NA",IF(BU212="Not Reported","Not Reported",IF(BU212&lt;$L$212,"Not Met","Met")))</f>
        <v>NA</v>
      </c>
    </row>
    <row r="213" spans="1:74" x14ac:dyDescent="0.2">
      <c r="A213" s="121">
        <v>212</v>
      </c>
      <c r="B213" s="122" t="s">
        <v>687</v>
      </c>
      <c r="C213" s="122" t="s">
        <v>903</v>
      </c>
      <c r="D213" s="123" t="s">
        <v>111</v>
      </c>
      <c r="E213" s="123" t="s">
        <v>899</v>
      </c>
      <c r="F213" s="123" t="s">
        <v>190</v>
      </c>
      <c r="G213" s="122" t="s">
        <v>191</v>
      </c>
      <c r="H213" s="122" t="s">
        <v>212</v>
      </c>
      <c r="I213" s="124" t="s">
        <v>313</v>
      </c>
      <c r="J213" s="124" t="s">
        <v>313</v>
      </c>
      <c r="K213" s="122" t="s">
        <v>314</v>
      </c>
      <c r="L213" s="142">
        <v>0.95</v>
      </c>
      <c r="M213" s="142">
        <v>0.95</v>
      </c>
      <c r="N213" s="122" t="s">
        <v>689</v>
      </c>
      <c r="O213" s="122" t="s">
        <v>690</v>
      </c>
      <c r="P213" s="122" t="s">
        <v>207</v>
      </c>
      <c r="Q213" s="178" t="s">
        <v>61</v>
      </c>
      <c r="R213" s="178" t="s">
        <v>61</v>
      </c>
      <c r="S213" s="178">
        <v>1</v>
      </c>
      <c r="T213" s="121" t="s">
        <v>198</v>
      </c>
      <c r="U213" s="178">
        <v>1</v>
      </c>
      <c r="V213" s="121" t="s">
        <v>198</v>
      </c>
      <c r="W213" s="121" t="s">
        <v>323</v>
      </c>
      <c r="X213" s="128" t="s">
        <v>11</v>
      </c>
      <c r="Y213" s="128" t="s">
        <v>323</v>
      </c>
      <c r="Z213" s="128" t="s">
        <v>323</v>
      </c>
      <c r="AA213" s="128" t="s">
        <v>11</v>
      </c>
      <c r="AB213" s="128" t="s">
        <v>11</v>
      </c>
      <c r="AC213" s="128" t="s">
        <v>11</v>
      </c>
      <c r="AD213" s="128" t="s">
        <v>11</v>
      </c>
      <c r="AE213" s="128" t="s">
        <v>11</v>
      </c>
      <c r="AF213" s="128" t="s">
        <v>11</v>
      </c>
      <c r="AG213" s="128" t="s">
        <v>11</v>
      </c>
      <c r="AH213" s="128" t="s">
        <v>11</v>
      </c>
      <c r="AI213" s="128" t="s">
        <v>11</v>
      </c>
      <c r="AJ213" s="128" t="s">
        <v>11</v>
      </c>
      <c r="AK213" s="128" t="s">
        <v>11</v>
      </c>
      <c r="AL213" s="128" t="s">
        <v>11</v>
      </c>
      <c r="AM213" s="128" t="s">
        <v>11</v>
      </c>
      <c r="AN213" s="128" t="s">
        <v>11</v>
      </c>
      <c r="AO213" s="128" t="s">
        <v>323</v>
      </c>
      <c r="AP213" s="128" t="s">
        <v>11</v>
      </c>
      <c r="AQ213" s="128" t="s">
        <v>323</v>
      </c>
      <c r="AR213" s="128" t="s">
        <v>11</v>
      </c>
      <c r="AS213" s="128" t="s">
        <v>323</v>
      </c>
      <c r="AT213" s="128" t="s">
        <v>11</v>
      </c>
      <c r="AU213" s="128" t="s">
        <v>323</v>
      </c>
      <c r="AV213" s="128" t="s">
        <v>11</v>
      </c>
      <c r="AW213" s="128" t="s">
        <v>323</v>
      </c>
      <c r="AX213" s="128" t="s">
        <v>11</v>
      </c>
      <c r="AY213" s="128" t="s">
        <v>323</v>
      </c>
      <c r="AZ213" s="128" t="s">
        <v>11</v>
      </c>
      <c r="BA213" s="128" t="s">
        <v>323</v>
      </c>
      <c r="BB213" s="128" t="s">
        <v>11</v>
      </c>
      <c r="BC213" s="127" t="s">
        <v>11</v>
      </c>
      <c r="BD213" s="128" t="s">
        <v>11</v>
      </c>
      <c r="BE213" s="127" t="s">
        <v>11</v>
      </c>
      <c r="BF213" s="128" t="s">
        <v>11</v>
      </c>
      <c r="BG213" s="127" t="s">
        <v>11</v>
      </c>
      <c r="BH213" s="128" t="s">
        <v>11</v>
      </c>
      <c r="BI213" s="127" t="s">
        <v>11</v>
      </c>
      <c r="BJ213" s="128" t="s">
        <v>11</v>
      </c>
      <c r="BK213" s="127" t="s">
        <v>11</v>
      </c>
      <c r="BL213" s="121" t="str">
        <f>IF(BK213="NA","NA",IF(BK213="Not Reported","Not Reported",IF(BK213&lt;$L$213,"Not Met","Met")))</f>
        <v>NA</v>
      </c>
      <c r="BM213" s="257" t="s">
        <v>11</v>
      </c>
      <c r="BN213" s="121" t="str">
        <f>IF(BM213="NA","NA",IF(BM213="Not Reported","Not Reported",IF(BM213&lt;$L$213,"Not Met","Met")))</f>
        <v>NA</v>
      </c>
      <c r="BO213" s="128" t="s">
        <v>11</v>
      </c>
      <c r="BP213" s="121" t="s">
        <v>11</v>
      </c>
      <c r="BQ213" s="128" t="s">
        <v>11</v>
      </c>
      <c r="BR213" s="121" t="s">
        <v>11</v>
      </c>
      <c r="BS213" s="338" t="s">
        <v>11</v>
      </c>
      <c r="BT213" s="121" t="str">
        <f>IF(BS213="NA","NA",IF(BS213="Not Reported","Not Reported",IF(BS213&lt;$L$213,"Not Met","Met")))</f>
        <v>NA</v>
      </c>
      <c r="BU213" s="338" t="s">
        <v>11</v>
      </c>
      <c r="BV213" s="121" t="str">
        <f>IF(BU213="NA","NA",IF(BU213="Not Reported","Not Reported",IF(BU213&lt;$L$213,"Not Met","Met")))</f>
        <v>NA</v>
      </c>
    </row>
    <row r="214" spans="1:74" x14ac:dyDescent="0.2">
      <c r="A214" s="121">
        <v>213</v>
      </c>
      <c r="B214" s="122" t="s">
        <v>687</v>
      </c>
      <c r="C214" s="122" t="s">
        <v>903</v>
      </c>
      <c r="D214" s="123" t="s">
        <v>111</v>
      </c>
      <c r="E214" s="123" t="s">
        <v>899</v>
      </c>
      <c r="F214" s="123" t="s">
        <v>190</v>
      </c>
      <c r="G214" s="122" t="s">
        <v>191</v>
      </c>
      <c r="H214" s="122" t="s">
        <v>212</v>
      </c>
      <c r="I214" s="124" t="s">
        <v>213</v>
      </c>
      <c r="J214" s="124" t="s">
        <v>214</v>
      </c>
      <c r="K214" s="129" t="s">
        <v>213</v>
      </c>
      <c r="L214" s="127">
        <v>15</v>
      </c>
      <c r="M214" s="127" t="s">
        <v>691</v>
      </c>
      <c r="N214" s="122" t="s">
        <v>567</v>
      </c>
      <c r="O214" s="122" t="s">
        <v>567</v>
      </c>
      <c r="P214" s="122" t="s">
        <v>207</v>
      </c>
      <c r="Q214" s="178" t="s">
        <v>61</v>
      </c>
      <c r="R214" s="178" t="s">
        <v>61</v>
      </c>
      <c r="S214" s="178" t="s">
        <v>497</v>
      </c>
      <c r="T214" s="147" t="s">
        <v>251</v>
      </c>
      <c r="U214" s="162" t="s">
        <v>323</v>
      </c>
      <c r="V214" s="128" t="s">
        <v>11</v>
      </c>
      <c r="W214" s="121" t="s">
        <v>470</v>
      </c>
      <c r="X214" s="121" t="s">
        <v>198</v>
      </c>
      <c r="Y214" s="128" t="s">
        <v>323</v>
      </c>
      <c r="Z214" s="128" t="s">
        <v>323</v>
      </c>
      <c r="AA214" s="128" t="s">
        <v>11</v>
      </c>
      <c r="AB214" s="128" t="s">
        <v>11</v>
      </c>
      <c r="AC214" s="128" t="s">
        <v>11</v>
      </c>
      <c r="AD214" s="128" t="s">
        <v>11</v>
      </c>
      <c r="AE214" s="128" t="s">
        <v>11</v>
      </c>
      <c r="AF214" s="128" t="s">
        <v>11</v>
      </c>
      <c r="AG214" s="128" t="s">
        <v>11</v>
      </c>
      <c r="AH214" s="128" t="s">
        <v>11</v>
      </c>
      <c r="AI214" s="128" t="s">
        <v>11</v>
      </c>
      <c r="AJ214" s="128" t="s">
        <v>11</v>
      </c>
      <c r="AK214" s="128" t="s">
        <v>11</v>
      </c>
      <c r="AL214" s="128" t="s">
        <v>11</v>
      </c>
      <c r="AM214" s="128" t="s">
        <v>11</v>
      </c>
      <c r="AN214" s="128" t="s">
        <v>11</v>
      </c>
      <c r="AO214" s="128" t="s">
        <v>323</v>
      </c>
      <c r="AP214" s="128" t="s">
        <v>11</v>
      </c>
      <c r="AQ214" s="128" t="s">
        <v>323</v>
      </c>
      <c r="AR214" s="128" t="s">
        <v>11</v>
      </c>
      <c r="AS214" s="128" t="s">
        <v>323</v>
      </c>
      <c r="AT214" s="128" t="s">
        <v>11</v>
      </c>
      <c r="AU214" s="128" t="s">
        <v>323</v>
      </c>
      <c r="AV214" s="128" t="s">
        <v>11</v>
      </c>
      <c r="AW214" s="128" t="s">
        <v>323</v>
      </c>
      <c r="AX214" s="128" t="s">
        <v>11</v>
      </c>
      <c r="AY214" s="128" t="s">
        <v>323</v>
      </c>
      <c r="AZ214" s="128" t="s">
        <v>11</v>
      </c>
      <c r="BA214" s="128" t="s">
        <v>323</v>
      </c>
      <c r="BB214" s="128" t="s">
        <v>11</v>
      </c>
      <c r="BC214" s="127" t="s">
        <v>11</v>
      </c>
      <c r="BD214" s="128" t="s">
        <v>11</v>
      </c>
      <c r="BE214" s="127" t="s">
        <v>11</v>
      </c>
      <c r="BF214" s="128" t="s">
        <v>11</v>
      </c>
      <c r="BG214" s="127" t="s">
        <v>11</v>
      </c>
      <c r="BH214" s="128" t="s">
        <v>11</v>
      </c>
      <c r="BI214" s="127" t="s">
        <v>11</v>
      </c>
      <c r="BJ214" s="128" t="s">
        <v>11</v>
      </c>
      <c r="BK214" s="127" t="s">
        <v>11</v>
      </c>
      <c r="BL214" s="121" t="str">
        <f>IF(BK214="NA","NA",IF(BK214="Not Reported","Not Reported",IF(BK214&gt;$L$214,"Not Met","Met")))</f>
        <v>NA</v>
      </c>
      <c r="BM214" s="257" t="s">
        <v>11</v>
      </c>
      <c r="BN214" s="121" t="str">
        <f>IF(BM214="NA","NA",IF(BM214="Not Reported","Not Reported",IF(BM214&gt;$L$214,"Not Met","Met")))</f>
        <v>NA</v>
      </c>
      <c r="BO214" s="128" t="s">
        <v>11</v>
      </c>
      <c r="BP214" s="121" t="s">
        <v>11</v>
      </c>
      <c r="BQ214" s="128" t="s">
        <v>11</v>
      </c>
      <c r="BR214" s="121" t="s">
        <v>11</v>
      </c>
      <c r="BS214" s="338" t="s">
        <v>11</v>
      </c>
      <c r="BT214" s="121" t="str">
        <f>IF(BS214="NA","NA",IF(BS214="Not Reported","Not Reported",IF(BS214&gt;$L$214,"Not Met","Met")))</f>
        <v>NA</v>
      </c>
      <c r="BU214" s="338" t="s">
        <v>11</v>
      </c>
      <c r="BV214" s="121" t="str">
        <f>IF(BU214="NA","NA",IF(BU214="Not Reported","Not Reported",IF(BU214&gt;$L$214,"Not Met","Met")))</f>
        <v>NA</v>
      </c>
    </row>
    <row r="215" spans="1:74" x14ac:dyDescent="0.2">
      <c r="A215" s="121">
        <v>214</v>
      </c>
      <c r="B215" s="122" t="s">
        <v>687</v>
      </c>
      <c r="C215" s="122" t="s">
        <v>903</v>
      </c>
      <c r="D215" s="123" t="s">
        <v>111</v>
      </c>
      <c r="E215" s="123" t="s">
        <v>899</v>
      </c>
      <c r="F215" s="123" t="s">
        <v>190</v>
      </c>
      <c r="G215" s="122" t="s">
        <v>191</v>
      </c>
      <c r="H215" s="122" t="s">
        <v>192</v>
      </c>
      <c r="I215" s="124" t="s">
        <v>313</v>
      </c>
      <c r="J215" s="124" t="s">
        <v>313</v>
      </c>
      <c r="K215" s="122" t="s">
        <v>692</v>
      </c>
      <c r="L215" s="178">
        <v>0.8</v>
      </c>
      <c r="M215" s="178">
        <v>0.8</v>
      </c>
      <c r="N215" s="122" t="s">
        <v>693</v>
      </c>
      <c r="O215" s="122" t="s">
        <v>694</v>
      </c>
      <c r="P215" s="122" t="s">
        <v>207</v>
      </c>
      <c r="Q215" s="178" t="s">
        <v>61</v>
      </c>
      <c r="R215" s="178" t="s">
        <v>61</v>
      </c>
      <c r="S215" s="178">
        <v>1</v>
      </c>
      <c r="T215" s="121" t="s">
        <v>198</v>
      </c>
      <c r="U215" s="178">
        <v>1</v>
      </c>
      <c r="V215" s="121" t="s">
        <v>198</v>
      </c>
      <c r="W215" s="121" t="s">
        <v>323</v>
      </c>
      <c r="X215" s="128" t="s">
        <v>11</v>
      </c>
      <c r="Y215" s="128" t="s">
        <v>323</v>
      </c>
      <c r="Z215" s="128" t="s">
        <v>323</v>
      </c>
      <c r="AA215" s="128" t="s">
        <v>11</v>
      </c>
      <c r="AB215" s="128" t="s">
        <v>11</v>
      </c>
      <c r="AC215" s="128" t="s">
        <v>11</v>
      </c>
      <c r="AD215" s="128" t="s">
        <v>11</v>
      </c>
      <c r="AE215" s="128" t="s">
        <v>11</v>
      </c>
      <c r="AF215" s="128" t="s">
        <v>11</v>
      </c>
      <c r="AG215" s="128" t="s">
        <v>11</v>
      </c>
      <c r="AH215" s="128" t="s">
        <v>11</v>
      </c>
      <c r="AI215" s="128" t="s">
        <v>11</v>
      </c>
      <c r="AJ215" s="128" t="s">
        <v>11</v>
      </c>
      <c r="AK215" s="128" t="s">
        <v>11</v>
      </c>
      <c r="AL215" s="128" t="s">
        <v>11</v>
      </c>
      <c r="AM215" s="128" t="s">
        <v>11</v>
      </c>
      <c r="AN215" s="128" t="s">
        <v>11</v>
      </c>
      <c r="AO215" s="128" t="s">
        <v>323</v>
      </c>
      <c r="AP215" s="128" t="s">
        <v>11</v>
      </c>
      <c r="AQ215" s="128" t="s">
        <v>323</v>
      </c>
      <c r="AR215" s="128" t="s">
        <v>11</v>
      </c>
      <c r="AS215" s="128" t="s">
        <v>323</v>
      </c>
      <c r="AT215" s="128" t="s">
        <v>11</v>
      </c>
      <c r="AU215" s="128" t="s">
        <v>323</v>
      </c>
      <c r="AV215" s="128" t="s">
        <v>11</v>
      </c>
      <c r="AW215" s="128" t="s">
        <v>323</v>
      </c>
      <c r="AX215" s="128" t="s">
        <v>11</v>
      </c>
      <c r="AY215" s="128" t="s">
        <v>323</v>
      </c>
      <c r="AZ215" s="128" t="s">
        <v>11</v>
      </c>
      <c r="BA215" s="128" t="s">
        <v>323</v>
      </c>
      <c r="BB215" s="128" t="s">
        <v>11</v>
      </c>
      <c r="BC215" s="127" t="s">
        <v>11</v>
      </c>
      <c r="BD215" s="128" t="s">
        <v>11</v>
      </c>
      <c r="BE215" s="127" t="s">
        <v>11</v>
      </c>
      <c r="BF215" s="128" t="s">
        <v>11</v>
      </c>
      <c r="BG215" s="127" t="s">
        <v>11</v>
      </c>
      <c r="BH215" s="128" t="s">
        <v>11</v>
      </c>
      <c r="BI215" s="127" t="s">
        <v>11</v>
      </c>
      <c r="BJ215" s="128" t="s">
        <v>11</v>
      </c>
      <c r="BK215" s="127" t="s">
        <v>11</v>
      </c>
      <c r="BL215" s="128" t="str">
        <f>IF(BK215="NA","NA",IF(BK215="Not Reported","Not Reported",IF(BK215&lt;$L$215,"Not Met","Met")))</f>
        <v>NA</v>
      </c>
      <c r="BM215" s="257" t="s">
        <v>11</v>
      </c>
      <c r="BN215" s="128" t="str">
        <f>IF(BM215="NA","NA",IF(BM215="Not Reported","Not Reported",IF(BM215&lt;$L$215,"Not Met","Met")))</f>
        <v>NA</v>
      </c>
      <c r="BO215" s="128" t="s">
        <v>11</v>
      </c>
      <c r="BP215" s="128" t="s">
        <v>11</v>
      </c>
      <c r="BQ215" s="128" t="s">
        <v>11</v>
      </c>
      <c r="BR215" s="128" t="s">
        <v>11</v>
      </c>
      <c r="BS215" s="338" t="s">
        <v>11</v>
      </c>
      <c r="BT215" s="128" t="str">
        <f>IF(BS215="NA","NA",IF(BS215="Not Reported","Not Reported",IF(BS215&lt;$L$215,"Not Met","Met")))</f>
        <v>NA</v>
      </c>
      <c r="BU215" s="338" t="s">
        <v>11</v>
      </c>
      <c r="BV215" s="128" t="str">
        <f>IF(BU215="NA","NA",IF(BU215="Not Reported","Not Reported",IF(BU215&lt;$L$215,"Not Met","Met")))</f>
        <v>NA</v>
      </c>
    </row>
    <row r="216" spans="1:74" x14ac:dyDescent="0.2">
      <c r="A216" s="121">
        <v>215</v>
      </c>
      <c r="B216" s="122" t="s">
        <v>687</v>
      </c>
      <c r="C216" s="122" t="s">
        <v>903</v>
      </c>
      <c r="D216" s="123" t="s">
        <v>111</v>
      </c>
      <c r="E216" s="123" t="s">
        <v>899</v>
      </c>
      <c r="F216" s="123" t="s">
        <v>190</v>
      </c>
      <c r="G216" s="122" t="s">
        <v>191</v>
      </c>
      <c r="H216" s="122" t="s">
        <v>192</v>
      </c>
      <c r="I216" s="124" t="s">
        <v>268</v>
      </c>
      <c r="J216" s="124" t="s">
        <v>269</v>
      </c>
      <c r="K216" s="122" t="s">
        <v>695</v>
      </c>
      <c r="L216" s="162">
        <v>7</v>
      </c>
      <c r="M216" s="162">
        <v>7</v>
      </c>
      <c r="N216" s="122" t="s">
        <v>696</v>
      </c>
      <c r="O216" s="122" t="s">
        <v>696</v>
      </c>
      <c r="P216" s="122" t="s">
        <v>207</v>
      </c>
      <c r="Q216" s="178" t="s">
        <v>61</v>
      </c>
      <c r="R216" s="178" t="s">
        <v>61</v>
      </c>
      <c r="S216" s="178" t="s">
        <v>61</v>
      </c>
      <c r="T216" s="131" t="s">
        <v>61</v>
      </c>
      <c r="U216" s="178" t="s">
        <v>6</v>
      </c>
      <c r="V216" s="178" t="s">
        <v>6</v>
      </c>
      <c r="W216" s="121" t="s">
        <v>323</v>
      </c>
      <c r="X216" s="128" t="s">
        <v>11</v>
      </c>
      <c r="Y216" s="128" t="s">
        <v>323</v>
      </c>
      <c r="Z216" s="128" t="s">
        <v>323</v>
      </c>
      <c r="AA216" s="128" t="s">
        <v>11</v>
      </c>
      <c r="AB216" s="128" t="s">
        <v>11</v>
      </c>
      <c r="AC216" s="128" t="s">
        <v>11</v>
      </c>
      <c r="AD216" s="128" t="s">
        <v>11</v>
      </c>
      <c r="AE216" s="128" t="s">
        <v>11</v>
      </c>
      <c r="AF216" s="128" t="s">
        <v>11</v>
      </c>
      <c r="AG216" s="128" t="s">
        <v>11</v>
      </c>
      <c r="AH216" s="128" t="s">
        <v>11</v>
      </c>
      <c r="AI216" s="128" t="s">
        <v>11</v>
      </c>
      <c r="AJ216" s="128" t="s">
        <v>11</v>
      </c>
      <c r="AK216" s="128" t="s">
        <v>11</v>
      </c>
      <c r="AL216" s="128" t="s">
        <v>11</v>
      </c>
      <c r="AM216" s="128" t="s">
        <v>11</v>
      </c>
      <c r="AN216" s="128" t="s">
        <v>11</v>
      </c>
      <c r="AO216" s="128" t="s">
        <v>323</v>
      </c>
      <c r="AP216" s="128" t="s">
        <v>11</v>
      </c>
      <c r="AQ216" s="128" t="s">
        <v>323</v>
      </c>
      <c r="AR216" s="128" t="s">
        <v>11</v>
      </c>
      <c r="AS216" s="128" t="s">
        <v>323</v>
      </c>
      <c r="AT216" s="128" t="s">
        <v>11</v>
      </c>
      <c r="AU216" s="128" t="s">
        <v>323</v>
      </c>
      <c r="AV216" s="128" t="s">
        <v>11</v>
      </c>
      <c r="AW216" s="128" t="s">
        <v>323</v>
      </c>
      <c r="AX216" s="128" t="s">
        <v>11</v>
      </c>
      <c r="AY216" s="128" t="s">
        <v>323</v>
      </c>
      <c r="AZ216" s="128" t="s">
        <v>11</v>
      </c>
      <c r="BA216" s="128" t="s">
        <v>323</v>
      </c>
      <c r="BB216" s="128" t="s">
        <v>11</v>
      </c>
      <c r="BC216" s="127" t="s">
        <v>11</v>
      </c>
      <c r="BD216" s="128" t="s">
        <v>11</v>
      </c>
      <c r="BE216" s="127" t="s">
        <v>11</v>
      </c>
      <c r="BF216" s="128" t="s">
        <v>11</v>
      </c>
      <c r="BG216" s="127" t="s">
        <v>11</v>
      </c>
      <c r="BH216" s="128" t="s">
        <v>11</v>
      </c>
      <c r="BI216" s="127" t="s">
        <v>11</v>
      </c>
      <c r="BJ216" s="128" t="s">
        <v>11</v>
      </c>
      <c r="BK216" s="127" t="s">
        <v>11</v>
      </c>
      <c r="BL216" s="128" t="str">
        <f>IF(BK216="NA","NA",IF(BK216="Not Reported","Not Reported",IF(BK216&lt;$L$216,"Not Met","Met")))</f>
        <v>NA</v>
      </c>
      <c r="BM216" s="257" t="s">
        <v>11</v>
      </c>
      <c r="BN216" s="128" t="str">
        <f>IF(BM216="NA","NA",IF(BM216="Not Reported","Not Reported",IF(BM216&lt;$L$216,"Not Met","Met")))</f>
        <v>NA</v>
      </c>
      <c r="BO216" s="128" t="s">
        <v>11</v>
      </c>
      <c r="BP216" s="128" t="s">
        <v>11</v>
      </c>
      <c r="BQ216" s="128" t="s">
        <v>11</v>
      </c>
      <c r="BR216" s="128" t="s">
        <v>11</v>
      </c>
      <c r="BS216" s="338" t="s">
        <v>11</v>
      </c>
      <c r="BT216" s="128" t="str">
        <f>IF(BS216="NA","NA",IF(BS216="Not Reported","Not Reported",IF(BS216&lt;$L$216,"Not Met","Met")))</f>
        <v>NA</v>
      </c>
      <c r="BU216" s="338" t="s">
        <v>11</v>
      </c>
      <c r="BV216" s="128" t="str">
        <f>IF(BU216="NA","NA",IF(BU216="Not Reported","Not Reported",IF(BU216&lt;$L$216,"Not Met","Met")))</f>
        <v>NA</v>
      </c>
    </row>
    <row r="217" spans="1:74" x14ac:dyDescent="0.2">
      <c r="A217" s="121">
        <v>216</v>
      </c>
      <c r="B217" s="122" t="s">
        <v>697</v>
      </c>
      <c r="C217" s="122" t="s">
        <v>903</v>
      </c>
      <c r="D217" s="123" t="s">
        <v>111</v>
      </c>
      <c r="E217" s="123" t="s">
        <v>899</v>
      </c>
      <c r="F217" s="123" t="s">
        <v>190</v>
      </c>
      <c r="G217" s="122" t="s">
        <v>191</v>
      </c>
      <c r="H217" s="122" t="s">
        <v>212</v>
      </c>
      <c r="I217" s="124" t="s">
        <v>296</v>
      </c>
      <c r="J217" s="124" t="s">
        <v>296</v>
      </c>
      <c r="K217" s="122" t="s">
        <v>688</v>
      </c>
      <c r="L217" s="142">
        <v>0.85</v>
      </c>
      <c r="M217" s="142">
        <v>0.85</v>
      </c>
      <c r="N217" s="122" t="s">
        <v>355</v>
      </c>
      <c r="O217" s="122" t="s">
        <v>355</v>
      </c>
      <c r="P217" s="122" t="s">
        <v>207</v>
      </c>
      <c r="Q217" s="178" t="s">
        <v>61</v>
      </c>
      <c r="R217" s="178" t="s">
        <v>61</v>
      </c>
      <c r="S217" s="178" t="s">
        <v>61</v>
      </c>
      <c r="T217" s="131" t="s">
        <v>61</v>
      </c>
      <c r="U217" s="178">
        <v>0</v>
      </c>
      <c r="V217" s="147" t="s">
        <v>251</v>
      </c>
      <c r="W217" s="121" t="s">
        <v>323</v>
      </c>
      <c r="X217" s="128" t="s">
        <v>11</v>
      </c>
      <c r="Y217" s="128" t="s">
        <v>323</v>
      </c>
      <c r="Z217" s="128" t="s">
        <v>323</v>
      </c>
      <c r="AA217" s="128" t="s">
        <v>11</v>
      </c>
      <c r="AB217" s="128" t="s">
        <v>11</v>
      </c>
      <c r="AC217" s="128" t="s">
        <v>11</v>
      </c>
      <c r="AD217" s="128" t="s">
        <v>11</v>
      </c>
      <c r="AE217" s="128" t="s">
        <v>11</v>
      </c>
      <c r="AF217" s="128" t="s">
        <v>11</v>
      </c>
      <c r="AG217" s="128" t="s">
        <v>11</v>
      </c>
      <c r="AH217" s="128" t="s">
        <v>11</v>
      </c>
      <c r="AI217" s="128" t="s">
        <v>11</v>
      </c>
      <c r="AJ217" s="128" t="s">
        <v>11</v>
      </c>
      <c r="AK217" s="128" t="s">
        <v>11</v>
      </c>
      <c r="AL217" s="128" t="s">
        <v>11</v>
      </c>
      <c r="AM217" s="128" t="s">
        <v>11</v>
      </c>
      <c r="AN217" s="128" t="s">
        <v>11</v>
      </c>
      <c r="AO217" s="128" t="s">
        <v>323</v>
      </c>
      <c r="AP217" s="128" t="s">
        <v>11</v>
      </c>
      <c r="AQ217" s="128" t="s">
        <v>323</v>
      </c>
      <c r="AR217" s="128" t="s">
        <v>11</v>
      </c>
      <c r="AS217" s="128" t="s">
        <v>323</v>
      </c>
      <c r="AT217" s="128" t="s">
        <v>11</v>
      </c>
      <c r="AU217" s="128" t="s">
        <v>323</v>
      </c>
      <c r="AV217" s="128" t="s">
        <v>11</v>
      </c>
      <c r="AW217" s="128" t="s">
        <v>323</v>
      </c>
      <c r="AX217" s="128" t="s">
        <v>11</v>
      </c>
      <c r="AY217" s="128" t="s">
        <v>323</v>
      </c>
      <c r="AZ217" s="128" t="s">
        <v>11</v>
      </c>
      <c r="BA217" s="128" t="s">
        <v>323</v>
      </c>
      <c r="BB217" s="128" t="s">
        <v>11</v>
      </c>
      <c r="BC217" s="127" t="s">
        <v>11</v>
      </c>
      <c r="BD217" s="128" t="s">
        <v>11</v>
      </c>
      <c r="BE217" s="127" t="s">
        <v>11</v>
      </c>
      <c r="BF217" s="128" t="s">
        <v>11</v>
      </c>
      <c r="BG217" s="127" t="s">
        <v>11</v>
      </c>
      <c r="BH217" s="128" t="s">
        <v>11</v>
      </c>
      <c r="BI217" s="127" t="s">
        <v>11</v>
      </c>
      <c r="BJ217" s="128" t="s">
        <v>11</v>
      </c>
      <c r="BK217" s="127" t="s">
        <v>11</v>
      </c>
      <c r="BL217" s="128" t="str">
        <f>IF(BK217="NA","NA",IF(BK217="Not Reported","Not Reported",IF(BK217&lt;$L$217,"Not Met","Met")))</f>
        <v>NA</v>
      </c>
      <c r="BM217" s="257" t="s">
        <v>11</v>
      </c>
      <c r="BN217" s="128" t="str">
        <f>IF(BM217="NA","NA",IF(BM217="Not Reported","Not Reported",IF(BM217&lt;$L$217,"Not Met","Met")))</f>
        <v>NA</v>
      </c>
      <c r="BO217" s="128" t="s">
        <v>11</v>
      </c>
      <c r="BP217" s="128" t="s">
        <v>11</v>
      </c>
      <c r="BQ217" s="128" t="s">
        <v>11</v>
      </c>
      <c r="BR217" s="128" t="s">
        <v>11</v>
      </c>
      <c r="BS217" s="338" t="s">
        <v>11</v>
      </c>
      <c r="BT217" s="128" t="str">
        <f>IF(BS217="NA","NA",IF(BS217="Not Reported","Not Reported",IF(BS217&lt;$L$217,"Not Met","Met")))</f>
        <v>NA</v>
      </c>
      <c r="BU217" s="338" t="s">
        <v>11</v>
      </c>
      <c r="BV217" s="128" t="str">
        <f>IF(BU217="NA","NA",IF(BU217="Not Reported","Not Reported",IF(BU217&lt;$L$217,"Not Met","Met")))</f>
        <v>NA</v>
      </c>
    </row>
    <row r="218" spans="1:74" x14ac:dyDescent="0.2">
      <c r="A218" s="121">
        <v>217</v>
      </c>
      <c r="B218" s="122" t="s">
        <v>697</v>
      </c>
      <c r="C218" s="122" t="s">
        <v>903</v>
      </c>
      <c r="D218" s="123" t="s">
        <v>111</v>
      </c>
      <c r="E218" s="123" t="s">
        <v>899</v>
      </c>
      <c r="F218" s="123" t="s">
        <v>190</v>
      </c>
      <c r="G218" s="122" t="s">
        <v>191</v>
      </c>
      <c r="H218" s="122" t="s">
        <v>212</v>
      </c>
      <c r="I218" s="124" t="s">
        <v>313</v>
      </c>
      <c r="J218" s="124" t="s">
        <v>313</v>
      </c>
      <c r="K218" s="122" t="s">
        <v>314</v>
      </c>
      <c r="L218" s="142">
        <v>0.95</v>
      </c>
      <c r="M218" s="142">
        <v>0.95</v>
      </c>
      <c r="N218" s="122" t="s">
        <v>689</v>
      </c>
      <c r="O218" s="122" t="s">
        <v>690</v>
      </c>
      <c r="P218" s="122" t="s">
        <v>207</v>
      </c>
      <c r="Q218" s="178" t="s">
        <v>61</v>
      </c>
      <c r="R218" s="178" t="s">
        <v>61</v>
      </c>
      <c r="S218" s="178">
        <v>1</v>
      </c>
      <c r="T218" s="121" t="s">
        <v>198</v>
      </c>
      <c r="U218" s="178">
        <v>1</v>
      </c>
      <c r="V218" s="121" t="s">
        <v>198</v>
      </c>
      <c r="W218" s="121" t="s">
        <v>323</v>
      </c>
      <c r="X218" s="128" t="s">
        <v>11</v>
      </c>
      <c r="Y218" s="128" t="s">
        <v>323</v>
      </c>
      <c r="Z218" s="128" t="s">
        <v>323</v>
      </c>
      <c r="AA218" s="128" t="s">
        <v>11</v>
      </c>
      <c r="AB218" s="128" t="s">
        <v>11</v>
      </c>
      <c r="AC218" s="128" t="s">
        <v>11</v>
      </c>
      <c r="AD218" s="128" t="s">
        <v>11</v>
      </c>
      <c r="AE218" s="128" t="s">
        <v>11</v>
      </c>
      <c r="AF218" s="128" t="s">
        <v>11</v>
      </c>
      <c r="AG218" s="128" t="s">
        <v>11</v>
      </c>
      <c r="AH218" s="128" t="s">
        <v>11</v>
      </c>
      <c r="AI218" s="128" t="s">
        <v>11</v>
      </c>
      <c r="AJ218" s="128" t="s">
        <v>11</v>
      </c>
      <c r="AK218" s="128" t="s">
        <v>11</v>
      </c>
      <c r="AL218" s="128" t="s">
        <v>11</v>
      </c>
      <c r="AM218" s="128" t="s">
        <v>11</v>
      </c>
      <c r="AN218" s="128" t="s">
        <v>11</v>
      </c>
      <c r="AO218" s="128" t="s">
        <v>323</v>
      </c>
      <c r="AP218" s="128" t="s">
        <v>11</v>
      </c>
      <c r="AQ218" s="128" t="s">
        <v>323</v>
      </c>
      <c r="AR218" s="128" t="s">
        <v>11</v>
      </c>
      <c r="AS218" s="128" t="s">
        <v>323</v>
      </c>
      <c r="AT218" s="128" t="s">
        <v>11</v>
      </c>
      <c r="AU218" s="128" t="s">
        <v>323</v>
      </c>
      <c r="AV218" s="128" t="s">
        <v>11</v>
      </c>
      <c r="AW218" s="128" t="s">
        <v>323</v>
      </c>
      <c r="AX218" s="128" t="s">
        <v>11</v>
      </c>
      <c r="AY218" s="128" t="s">
        <v>323</v>
      </c>
      <c r="AZ218" s="128" t="s">
        <v>11</v>
      </c>
      <c r="BA218" s="128" t="s">
        <v>323</v>
      </c>
      <c r="BB218" s="128" t="s">
        <v>11</v>
      </c>
      <c r="BC218" s="127" t="s">
        <v>11</v>
      </c>
      <c r="BD218" s="128" t="s">
        <v>11</v>
      </c>
      <c r="BE218" s="127" t="s">
        <v>11</v>
      </c>
      <c r="BF218" s="128" t="s">
        <v>11</v>
      </c>
      <c r="BG218" s="127" t="s">
        <v>11</v>
      </c>
      <c r="BH218" s="128" t="s">
        <v>11</v>
      </c>
      <c r="BI218" s="127" t="s">
        <v>11</v>
      </c>
      <c r="BJ218" s="128" t="s">
        <v>11</v>
      </c>
      <c r="BK218" s="127" t="s">
        <v>11</v>
      </c>
      <c r="BL218" s="121" t="str">
        <f>IF(BK218="NA","NA",IF(BK218="Not Reported","Not Reported",IF(BK218&lt;$L$218,"Not Met","Met")))</f>
        <v>NA</v>
      </c>
      <c r="BM218" s="257" t="s">
        <v>11</v>
      </c>
      <c r="BN218" s="121" t="str">
        <f>IF(BM218="NA","NA",IF(BM218="Not Reported","Not Reported",IF(BM218&lt;$L$218,"Not Met","Met")))</f>
        <v>NA</v>
      </c>
      <c r="BO218" s="128" t="s">
        <v>11</v>
      </c>
      <c r="BP218" s="121" t="s">
        <v>11</v>
      </c>
      <c r="BQ218" s="128" t="s">
        <v>11</v>
      </c>
      <c r="BR218" s="121" t="s">
        <v>11</v>
      </c>
      <c r="BS218" s="338" t="s">
        <v>11</v>
      </c>
      <c r="BT218" s="121" t="str">
        <f>IF(BS218="NA","NA",IF(BS218="Not Reported","Not Reported",IF(BS218&lt;$L$218,"Not Met","Met")))</f>
        <v>NA</v>
      </c>
      <c r="BU218" s="338" t="s">
        <v>11</v>
      </c>
      <c r="BV218" s="121" t="str">
        <f>IF(BU218="NA","NA",IF(BU218="Not Reported","Not Reported",IF(BU218&lt;$L$218,"Not Met","Met")))</f>
        <v>NA</v>
      </c>
    </row>
    <row r="219" spans="1:74" x14ac:dyDescent="0.2">
      <c r="A219" s="121">
        <v>218</v>
      </c>
      <c r="B219" s="122" t="s">
        <v>697</v>
      </c>
      <c r="C219" s="122" t="s">
        <v>903</v>
      </c>
      <c r="D219" s="123" t="s">
        <v>111</v>
      </c>
      <c r="E219" s="123" t="s">
        <v>899</v>
      </c>
      <c r="F219" s="123" t="s">
        <v>190</v>
      </c>
      <c r="G219" s="122" t="s">
        <v>191</v>
      </c>
      <c r="H219" s="122" t="s">
        <v>212</v>
      </c>
      <c r="I219" s="124" t="s">
        <v>213</v>
      </c>
      <c r="J219" s="124" t="s">
        <v>214</v>
      </c>
      <c r="K219" s="129" t="s">
        <v>213</v>
      </c>
      <c r="L219" s="127">
        <v>15</v>
      </c>
      <c r="M219" s="127" t="s">
        <v>691</v>
      </c>
      <c r="N219" s="122" t="s">
        <v>567</v>
      </c>
      <c r="O219" s="122" t="s">
        <v>567</v>
      </c>
      <c r="P219" s="122" t="s">
        <v>207</v>
      </c>
      <c r="Q219" s="178" t="s">
        <v>61</v>
      </c>
      <c r="R219" s="178" t="s">
        <v>61</v>
      </c>
      <c r="S219" s="178" t="s">
        <v>241</v>
      </c>
      <c r="T219" s="121" t="s">
        <v>198</v>
      </c>
      <c r="U219" s="162" t="s">
        <v>323</v>
      </c>
      <c r="V219" s="128" t="s">
        <v>11</v>
      </c>
      <c r="W219" s="121" t="s">
        <v>470</v>
      </c>
      <c r="X219" s="121" t="s">
        <v>251</v>
      </c>
      <c r="Y219" s="128" t="s">
        <v>323</v>
      </c>
      <c r="Z219" s="128" t="s">
        <v>323</v>
      </c>
      <c r="AA219" s="128" t="s">
        <v>11</v>
      </c>
      <c r="AB219" s="128" t="s">
        <v>11</v>
      </c>
      <c r="AC219" s="128" t="s">
        <v>11</v>
      </c>
      <c r="AD219" s="128" t="s">
        <v>11</v>
      </c>
      <c r="AE219" s="128" t="s">
        <v>11</v>
      </c>
      <c r="AF219" s="128" t="s">
        <v>11</v>
      </c>
      <c r="AG219" s="128" t="s">
        <v>11</v>
      </c>
      <c r="AH219" s="128" t="s">
        <v>11</v>
      </c>
      <c r="AI219" s="128" t="s">
        <v>11</v>
      </c>
      <c r="AJ219" s="128" t="s">
        <v>11</v>
      </c>
      <c r="AK219" s="128" t="s">
        <v>11</v>
      </c>
      <c r="AL219" s="128" t="s">
        <v>11</v>
      </c>
      <c r="AM219" s="128" t="s">
        <v>11</v>
      </c>
      <c r="AN219" s="128" t="s">
        <v>11</v>
      </c>
      <c r="AO219" s="128" t="s">
        <v>323</v>
      </c>
      <c r="AP219" s="128" t="s">
        <v>11</v>
      </c>
      <c r="AQ219" s="128" t="s">
        <v>323</v>
      </c>
      <c r="AR219" s="128" t="s">
        <v>11</v>
      </c>
      <c r="AS219" s="128" t="s">
        <v>323</v>
      </c>
      <c r="AT219" s="128" t="s">
        <v>11</v>
      </c>
      <c r="AU219" s="128" t="s">
        <v>323</v>
      </c>
      <c r="AV219" s="128" t="s">
        <v>11</v>
      </c>
      <c r="AW219" s="128" t="s">
        <v>323</v>
      </c>
      <c r="AX219" s="128" t="s">
        <v>11</v>
      </c>
      <c r="AY219" s="128" t="s">
        <v>323</v>
      </c>
      <c r="AZ219" s="128" t="s">
        <v>11</v>
      </c>
      <c r="BA219" s="128" t="s">
        <v>323</v>
      </c>
      <c r="BB219" s="128" t="s">
        <v>11</v>
      </c>
      <c r="BC219" s="127" t="s">
        <v>11</v>
      </c>
      <c r="BD219" s="128" t="s">
        <v>11</v>
      </c>
      <c r="BE219" s="127" t="s">
        <v>11</v>
      </c>
      <c r="BF219" s="128" t="s">
        <v>11</v>
      </c>
      <c r="BG219" s="127" t="s">
        <v>11</v>
      </c>
      <c r="BH219" s="128" t="s">
        <v>11</v>
      </c>
      <c r="BI219" s="127" t="s">
        <v>11</v>
      </c>
      <c r="BJ219" s="128" t="s">
        <v>11</v>
      </c>
      <c r="BK219" s="127" t="s">
        <v>11</v>
      </c>
      <c r="BL219" s="121" t="str">
        <f>IF(BK219="NA","NA",IF(BK219="Not Reported","Not Reported",IF(BK219&gt;$L$219,"Not Met","Met")))</f>
        <v>NA</v>
      </c>
      <c r="BM219" s="257" t="s">
        <v>11</v>
      </c>
      <c r="BN219" s="121" t="str">
        <f>IF(BM219="NA","NA",IF(BM219="Not Reported","Not Reported",IF(BM219&gt;$L$219,"Not Met","Met")))</f>
        <v>NA</v>
      </c>
      <c r="BO219" s="128" t="s">
        <v>11</v>
      </c>
      <c r="BP219" s="121" t="s">
        <v>11</v>
      </c>
      <c r="BQ219" s="128" t="s">
        <v>11</v>
      </c>
      <c r="BR219" s="121" t="s">
        <v>11</v>
      </c>
      <c r="BS219" s="338" t="s">
        <v>11</v>
      </c>
      <c r="BT219" s="121" t="str">
        <f>IF(BS219="NA","NA",IF(BS219="Not Reported","Not Reported",IF(BS219&gt;$L$219,"Not Met","Met")))</f>
        <v>NA</v>
      </c>
      <c r="BU219" s="338" t="s">
        <v>11</v>
      </c>
      <c r="BV219" s="121" t="str">
        <f>IF(BU219="NA","NA",IF(BU219="Not Reported","Not Reported",IF(BU219&gt;$L$219,"Not Met","Met")))</f>
        <v>NA</v>
      </c>
    </row>
    <row r="220" spans="1:74" x14ac:dyDescent="0.2">
      <c r="A220" s="121">
        <v>219</v>
      </c>
      <c r="B220" s="122" t="s">
        <v>697</v>
      </c>
      <c r="C220" s="122" t="s">
        <v>903</v>
      </c>
      <c r="D220" s="123" t="s">
        <v>111</v>
      </c>
      <c r="E220" s="123" t="s">
        <v>899</v>
      </c>
      <c r="F220" s="123" t="s">
        <v>190</v>
      </c>
      <c r="G220" s="122" t="s">
        <v>191</v>
      </c>
      <c r="H220" s="122" t="s">
        <v>192</v>
      </c>
      <c r="I220" s="124" t="s">
        <v>313</v>
      </c>
      <c r="J220" s="124" t="s">
        <v>313</v>
      </c>
      <c r="K220" s="122" t="s">
        <v>692</v>
      </c>
      <c r="L220" s="178">
        <v>0.8</v>
      </c>
      <c r="M220" s="178">
        <v>0.8</v>
      </c>
      <c r="N220" s="122" t="s">
        <v>693</v>
      </c>
      <c r="O220" s="122" t="s">
        <v>694</v>
      </c>
      <c r="P220" s="122" t="s">
        <v>207</v>
      </c>
      <c r="Q220" s="178" t="s">
        <v>61</v>
      </c>
      <c r="R220" s="178" t="s">
        <v>61</v>
      </c>
      <c r="S220" s="178">
        <v>1</v>
      </c>
      <c r="T220" s="121" t="s">
        <v>198</v>
      </c>
      <c r="U220" s="178">
        <v>1</v>
      </c>
      <c r="V220" s="121" t="s">
        <v>198</v>
      </c>
      <c r="W220" s="121" t="s">
        <v>323</v>
      </c>
      <c r="X220" s="128" t="s">
        <v>11</v>
      </c>
      <c r="Y220" s="128" t="s">
        <v>323</v>
      </c>
      <c r="Z220" s="128" t="s">
        <v>323</v>
      </c>
      <c r="AA220" s="128" t="s">
        <v>11</v>
      </c>
      <c r="AB220" s="128" t="s">
        <v>11</v>
      </c>
      <c r="AC220" s="128" t="s">
        <v>11</v>
      </c>
      <c r="AD220" s="128" t="s">
        <v>11</v>
      </c>
      <c r="AE220" s="128" t="s">
        <v>11</v>
      </c>
      <c r="AF220" s="128" t="s">
        <v>11</v>
      </c>
      <c r="AG220" s="128" t="s">
        <v>11</v>
      </c>
      <c r="AH220" s="128" t="s">
        <v>11</v>
      </c>
      <c r="AI220" s="128" t="s">
        <v>11</v>
      </c>
      <c r="AJ220" s="128" t="s">
        <v>11</v>
      </c>
      <c r="AK220" s="128" t="s">
        <v>11</v>
      </c>
      <c r="AL220" s="128" t="s">
        <v>11</v>
      </c>
      <c r="AM220" s="128" t="s">
        <v>11</v>
      </c>
      <c r="AN220" s="128" t="s">
        <v>11</v>
      </c>
      <c r="AO220" s="128" t="s">
        <v>323</v>
      </c>
      <c r="AP220" s="128" t="s">
        <v>11</v>
      </c>
      <c r="AQ220" s="128" t="s">
        <v>323</v>
      </c>
      <c r="AR220" s="128" t="s">
        <v>11</v>
      </c>
      <c r="AS220" s="128" t="s">
        <v>323</v>
      </c>
      <c r="AT220" s="128" t="s">
        <v>11</v>
      </c>
      <c r="AU220" s="128" t="s">
        <v>323</v>
      </c>
      <c r="AV220" s="128" t="s">
        <v>11</v>
      </c>
      <c r="AW220" s="128" t="s">
        <v>323</v>
      </c>
      <c r="AX220" s="128" t="s">
        <v>11</v>
      </c>
      <c r="AY220" s="128" t="s">
        <v>323</v>
      </c>
      <c r="AZ220" s="128" t="s">
        <v>11</v>
      </c>
      <c r="BA220" s="128" t="s">
        <v>323</v>
      </c>
      <c r="BB220" s="128" t="s">
        <v>11</v>
      </c>
      <c r="BC220" s="127" t="s">
        <v>11</v>
      </c>
      <c r="BD220" s="128" t="s">
        <v>11</v>
      </c>
      <c r="BE220" s="127" t="s">
        <v>11</v>
      </c>
      <c r="BF220" s="128" t="s">
        <v>11</v>
      </c>
      <c r="BG220" s="127" t="s">
        <v>11</v>
      </c>
      <c r="BH220" s="128" t="s">
        <v>11</v>
      </c>
      <c r="BI220" s="127" t="s">
        <v>11</v>
      </c>
      <c r="BJ220" s="128" t="s">
        <v>11</v>
      </c>
      <c r="BK220" s="127" t="s">
        <v>11</v>
      </c>
      <c r="BL220" s="121" t="str">
        <f>IF(BK220="NA","NA",IF(BK220="Not Reported","Not Reported",IF(BK220&lt;$L$220,"Not Met","Met")))</f>
        <v>NA</v>
      </c>
      <c r="BM220" s="257" t="s">
        <v>11</v>
      </c>
      <c r="BN220" s="121" t="str">
        <f>IF(BM220="NA","NA",IF(BM220="Not Reported","Not Reported",IF(BM220&lt;$L$220,"Not Met","Met")))</f>
        <v>NA</v>
      </c>
      <c r="BO220" s="128" t="s">
        <v>11</v>
      </c>
      <c r="BP220" s="121" t="s">
        <v>11</v>
      </c>
      <c r="BQ220" s="128" t="s">
        <v>11</v>
      </c>
      <c r="BR220" s="121" t="s">
        <v>11</v>
      </c>
      <c r="BS220" s="338" t="s">
        <v>11</v>
      </c>
      <c r="BT220" s="121" t="str">
        <f>IF(BS220="NA","NA",IF(BS220="Not Reported","Not Reported",IF(BS220&lt;$L$220,"Not Met","Met")))</f>
        <v>NA</v>
      </c>
      <c r="BU220" s="338" t="s">
        <v>11</v>
      </c>
      <c r="BV220" s="121" t="str">
        <f>IF(BU220="NA","NA",IF(BU220="Not Reported","Not Reported",IF(BU220&lt;$L$220,"Not Met","Met")))</f>
        <v>NA</v>
      </c>
    </row>
    <row r="221" spans="1:74" x14ac:dyDescent="0.2">
      <c r="A221" s="121">
        <v>220</v>
      </c>
      <c r="B221" s="122" t="s">
        <v>697</v>
      </c>
      <c r="C221" s="122" t="s">
        <v>903</v>
      </c>
      <c r="D221" s="123" t="s">
        <v>111</v>
      </c>
      <c r="E221" s="123" t="s">
        <v>899</v>
      </c>
      <c r="F221" s="123" t="s">
        <v>190</v>
      </c>
      <c r="G221" s="122" t="s">
        <v>191</v>
      </c>
      <c r="H221" s="122" t="s">
        <v>192</v>
      </c>
      <c r="I221" s="124" t="s">
        <v>268</v>
      </c>
      <c r="J221" s="124" t="s">
        <v>269</v>
      </c>
      <c r="K221" s="122" t="s">
        <v>695</v>
      </c>
      <c r="L221" s="162">
        <v>7</v>
      </c>
      <c r="M221" s="162">
        <v>7</v>
      </c>
      <c r="N221" s="122" t="s">
        <v>696</v>
      </c>
      <c r="O221" s="122" t="s">
        <v>696</v>
      </c>
      <c r="P221" s="122" t="s">
        <v>207</v>
      </c>
      <c r="Q221" s="178" t="s">
        <v>61</v>
      </c>
      <c r="R221" s="178" t="s">
        <v>61</v>
      </c>
      <c r="S221" s="178" t="s">
        <v>61</v>
      </c>
      <c r="T221" s="131" t="s">
        <v>61</v>
      </c>
      <c r="U221" s="178" t="s">
        <v>6</v>
      </c>
      <c r="V221" s="178" t="s">
        <v>6</v>
      </c>
      <c r="W221" s="121" t="s">
        <v>323</v>
      </c>
      <c r="X221" s="128" t="s">
        <v>11</v>
      </c>
      <c r="Y221" s="128" t="s">
        <v>323</v>
      </c>
      <c r="Z221" s="128" t="s">
        <v>323</v>
      </c>
      <c r="AA221" s="128" t="s">
        <v>11</v>
      </c>
      <c r="AB221" s="128" t="s">
        <v>11</v>
      </c>
      <c r="AC221" s="128" t="s">
        <v>11</v>
      </c>
      <c r="AD221" s="128" t="s">
        <v>11</v>
      </c>
      <c r="AE221" s="128" t="s">
        <v>11</v>
      </c>
      <c r="AF221" s="128" t="s">
        <v>11</v>
      </c>
      <c r="AG221" s="128" t="s">
        <v>11</v>
      </c>
      <c r="AH221" s="128" t="s">
        <v>11</v>
      </c>
      <c r="AI221" s="128" t="s">
        <v>11</v>
      </c>
      <c r="AJ221" s="128" t="s">
        <v>11</v>
      </c>
      <c r="AK221" s="128" t="s">
        <v>11</v>
      </c>
      <c r="AL221" s="128" t="s">
        <v>11</v>
      </c>
      <c r="AM221" s="128" t="s">
        <v>11</v>
      </c>
      <c r="AN221" s="128" t="s">
        <v>11</v>
      </c>
      <c r="AO221" s="128" t="s">
        <v>323</v>
      </c>
      <c r="AP221" s="128" t="s">
        <v>11</v>
      </c>
      <c r="AQ221" s="128" t="s">
        <v>323</v>
      </c>
      <c r="AR221" s="128" t="s">
        <v>11</v>
      </c>
      <c r="AS221" s="128" t="s">
        <v>323</v>
      </c>
      <c r="AT221" s="128" t="s">
        <v>11</v>
      </c>
      <c r="AU221" s="128" t="s">
        <v>323</v>
      </c>
      <c r="AV221" s="128" t="s">
        <v>11</v>
      </c>
      <c r="AW221" s="128" t="s">
        <v>323</v>
      </c>
      <c r="AX221" s="128" t="s">
        <v>11</v>
      </c>
      <c r="AY221" s="128" t="s">
        <v>323</v>
      </c>
      <c r="AZ221" s="128" t="s">
        <v>11</v>
      </c>
      <c r="BA221" s="128" t="s">
        <v>323</v>
      </c>
      <c r="BB221" s="128" t="s">
        <v>11</v>
      </c>
      <c r="BC221" s="127" t="s">
        <v>11</v>
      </c>
      <c r="BD221" s="128" t="s">
        <v>11</v>
      </c>
      <c r="BE221" s="127" t="s">
        <v>11</v>
      </c>
      <c r="BF221" s="128" t="s">
        <v>11</v>
      </c>
      <c r="BG221" s="127" t="s">
        <v>11</v>
      </c>
      <c r="BH221" s="128" t="s">
        <v>11</v>
      </c>
      <c r="BI221" s="127" t="s">
        <v>11</v>
      </c>
      <c r="BJ221" s="128" t="s">
        <v>11</v>
      </c>
      <c r="BK221" s="127" t="s">
        <v>11</v>
      </c>
      <c r="BL221" s="121" t="str">
        <f>IF(BK221="NA","NA",IF(BK221="Not Reported","Not Reported",IF(BK221&gt;$L$221,"Not Met","Met")))</f>
        <v>NA</v>
      </c>
      <c r="BM221" s="257" t="s">
        <v>11</v>
      </c>
      <c r="BN221" s="121" t="str">
        <f>IF(BM221="NA","NA",IF(BM221="Not Reported","Not Reported",IF(BM221&gt;$L$221,"Not Met","Met")))</f>
        <v>NA</v>
      </c>
      <c r="BO221" s="128" t="s">
        <v>11</v>
      </c>
      <c r="BP221" s="121" t="s">
        <v>11</v>
      </c>
      <c r="BQ221" s="128" t="s">
        <v>11</v>
      </c>
      <c r="BR221" s="121" t="s">
        <v>11</v>
      </c>
      <c r="BS221" s="338" t="s">
        <v>11</v>
      </c>
      <c r="BT221" s="121" t="str">
        <f>IF(BS221="NA","NA",IF(BS221="Not Reported","Not Reported",IF(BS221&gt;$L$221,"Not Met","Met")))</f>
        <v>NA</v>
      </c>
      <c r="BU221" s="338" t="s">
        <v>11</v>
      </c>
      <c r="BV221" s="121" t="str">
        <f>IF(BU221="NA","NA",IF(BU221="Not Reported","Not Reported",IF(BU221&gt;$L$221,"Not Met","Met")))</f>
        <v>NA</v>
      </c>
    </row>
    <row r="222" spans="1:74" x14ac:dyDescent="0.25">
      <c r="A222" s="121">
        <v>221</v>
      </c>
      <c r="B222" s="122" t="s">
        <v>698</v>
      </c>
      <c r="C222" s="122" t="s">
        <v>903</v>
      </c>
      <c r="D222" s="123" t="s">
        <v>111</v>
      </c>
      <c r="E222" s="123" t="s">
        <v>899</v>
      </c>
      <c r="F222" s="123" t="s">
        <v>190</v>
      </c>
      <c r="G222" s="122" t="s">
        <v>273</v>
      </c>
      <c r="H222" s="122" t="s">
        <v>192</v>
      </c>
      <c r="I222" s="124" t="s">
        <v>274</v>
      </c>
      <c r="J222" s="124" t="s">
        <v>214</v>
      </c>
      <c r="K222" s="145" t="s">
        <v>274</v>
      </c>
      <c r="L222" s="127">
        <v>90</v>
      </c>
      <c r="M222" s="127" t="s">
        <v>329</v>
      </c>
      <c r="N222" s="122" t="s">
        <v>528</v>
      </c>
      <c r="O222" s="122" t="s">
        <v>528</v>
      </c>
      <c r="P222" s="122" t="s">
        <v>207</v>
      </c>
      <c r="Q222" s="127">
        <v>68</v>
      </c>
      <c r="R222" s="121" t="s">
        <v>198</v>
      </c>
      <c r="S222" s="121" t="s">
        <v>699</v>
      </c>
      <c r="T222" s="121" t="s">
        <v>198</v>
      </c>
      <c r="U222" s="121" t="s">
        <v>700</v>
      </c>
      <c r="V222" s="147" t="s">
        <v>251</v>
      </c>
      <c r="W222" s="121" t="s">
        <v>11</v>
      </c>
      <c r="X222" s="128" t="s">
        <v>11</v>
      </c>
      <c r="Y222" s="128" t="s">
        <v>323</v>
      </c>
      <c r="Z222" s="128" t="s">
        <v>323</v>
      </c>
      <c r="AA222" s="128" t="s">
        <v>11</v>
      </c>
      <c r="AB222" s="128" t="s">
        <v>11</v>
      </c>
      <c r="AC222" s="128" t="s">
        <v>11</v>
      </c>
      <c r="AD222" s="128" t="s">
        <v>11</v>
      </c>
      <c r="AE222" s="128" t="s">
        <v>11</v>
      </c>
      <c r="AF222" s="128" t="s">
        <v>11</v>
      </c>
      <c r="AG222" s="128" t="s">
        <v>11</v>
      </c>
      <c r="AH222" s="128" t="s">
        <v>11</v>
      </c>
      <c r="AI222" s="128" t="s">
        <v>11</v>
      </c>
      <c r="AJ222" s="128" t="s">
        <v>11</v>
      </c>
      <c r="AK222" s="128" t="s">
        <v>11</v>
      </c>
      <c r="AL222" s="128" t="s">
        <v>11</v>
      </c>
      <c r="AM222" s="128" t="s">
        <v>11</v>
      </c>
      <c r="AN222" s="128" t="s">
        <v>11</v>
      </c>
      <c r="AO222" s="128" t="s">
        <v>323</v>
      </c>
      <c r="AP222" s="128" t="s">
        <v>11</v>
      </c>
      <c r="AQ222" s="128" t="s">
        <v>323</v>
      </c>
      <c r="AR222" s="128" t="s">
        <v>11</v>
      </c>
      <c r="AS222" s="128" t="s">
        <v>323</v>
      </c>
      <c r="AT222" s="128" t="s">
        <v>11</v>
      </c>
      <c r="AU222" s="128" t="s">
        <v>323</v>
      </c>
      <c r="AV222" s="128" t="s">
        <v>11</v>
      </c>
      <c r="AW222" s="128" t="s">
        <v>323</v>
      </c>
      <c r="AX222" s="128" t="s">
        <v>11</v>
      </c>
      <c r="AY222" s="128" t="s">
        <v>323</v>
      </c>
      <c r="AZ222" s="128" t="s">
        <v>11</v>
      </c>
      <c r="BA222" s="128" t="s">
        <v>323</v>
      </c>
      <c r="BB222" s="128" t="s">
        <v>11</v>
      </c>
      <c r="BC222" s="127" t="s">
        <v>11</v>
      </c>
      <c r="BD222" s="128" t="s">
        <v>11</v>
      </c>
      <c r="BE222" s="127" t="s">
        <v>11</v>
      </c>
      <c r="BF222" s="128" t="s">
        <v>11</v>
      </c>
      <c r="BG222" s="127" t="s">
        <v>11</v>
      </c>
      <c r="BH222" s="128" t="s">
        <v>11</v>
      </c>
      <c r="BI222" s="127" t="s">
        <v>11</v>
      </c>
      <c r="BJ222" s="128" t="s">
        <v>11</v>
      </c>
      <c r="BK222" s="127" t="s">
        <v>11</v>
      </c>
      <c r="BL222" s="121" t="str">
        <f>IF(BK222="NA","NA",IF(BK222="Not Reported","Not Reported",IF(BK222&gt;$L$222,"Not Met","Met")))</f>
        <v>NA</v>
      </c>
      <c r="BM222" s="257" t="s">
        <v>11</v>
      </c>
      <c r="BN222" s="121" t="str">
        <f>IF(BM222="NA","NA",IF(BM222="Not Reported","Not Reported",IF(BM222&gt;$L$222,"Not Met","Met")))</f>
        <v>NA</v>
      </c>
      <c r="BO222" s="128" t="s">
        <v>11</v>
      </c>
      <c r="BP222" s="121" t="s">
        <v>11</v>
      </c>
      <c r="BQ222" s="128" t="s">
        <v>11</v>
      </c>
      <c r="BR222" s="121" t="s">
        <v>11</v>
      </c>
      <c r="BS222" s="338" t="s">
        <v>11</v>
      </c>
      <c r="BT222" s="121" t="str">
        <f>IF(BS222="NA","NA",IF(BS222="Not Reported","Not Reported",IF(BS222&gt;$L$222,"Not Met","Met")))</f>
        <v>NA</v>
      </c>
      <c r="BU222" s="338" t="s">
        <v>11</v>
      </c>
      <c r="BV222" s="121" t="str">
        <f>IF(BU222="NA","NA",IF(BU222="Not Reported","Not Reported",IF(BU222&gt;$L$222,"Not Met","Met")))</f>
        <v>NA</v>
      </c>
    </row>
    <row r="223" spans="1:74" x14ac:dyDescent="0.25">
      <c r="A223" s="121">
        <v>222</v>
      </c>
      <c r="B223" s="122" t="s">
        <v>698</v>
      </c>
      <c r="C223" s="122" t="s">
        <v>903</v>
      </c>
      <c r="D223" s="123" t="s">
        <v>111</v>
      </c>
      <c r="E223" s="123" t="s">
        <v>899</v>
      </c>
      <c r="F223" s="123" t="s">
        <v>190</v>
      </c>
      <c r="G223" s="122" t="s">
        <v>273</v>
      </c>
      <c r="H223" s="122" t="s">
        <v>192</v>
      </c>
      <c r="I223" s="124" t="s">
        <v>289</v>
      </c>
      <c r="J223" s="124" t="s">
        <v>285</v>
      </c>
      <c r="K223" s="145" t="s">
        <v>289</v>
      </c>
      <c r="L223" s="142">
        <v>0.2</v>
      </c>
      <c r="M223" s="142">
        <v>0.2</v>
      </c>
      <c r="N223" s="123" t="s">
        <v>529</v>
      </c>
      <c r="O223" s="123" t="s">
        <v>529</v>
      </c>
      <c r="P223" s="122" t="s">
        <v>207</v>
      </c>
      <c r="Q223" s="142">
        <v>0.09</v>
      </c>
      <c r="R223" s="147" t="s">
        <v>251</v>
      </c>
      <c r="S223" s="146">
        <v>0.09</v>
      </c>
      <c r="T223" s="147" t="s">
        <v>251</v>
      </c>
      <c r="U223" s="146">
        <v>0.03</v>
      </c>
      <c r="V223" s="147" t="s">
        <v>251</v>
      </c>
      <c r="W223" s="126">
        <v>0.03</v>
      </c>
      <c r="X223" s="147" t="s">
        <v>251</v>
      </c>
      <c r="Y223" s="128" t="s">
        <v>323</v>
      </c>
      <c r="Z223" s="128" t="s">
        <v>323</v>
      </c>
      <c r="AA223" s="128" t="s">
        <v>11</v>
      </c>
      <c r="AB223" s="128" t="s">
        <v>11</v>
      </c>
      <c r="AC223" s="128" t="s">
        <v>11</v>
      </c>
      <c r="AD223" s="128" t="s">
        <v>11</v>
      </c>
      <c r="AE223" s="128" t="s">
        <v>11</v>
      </c>
      <c r="AF223" s="128" t="s">
        <v>11</v>
      </c>
      <c r="AG223" s="128" t="s">
        <v>11</v>
      </c>
      <c r="AH223" s="128" t="s">
        <v>11</v>
      </c>
      <c r="AI223" s="128" t="s">
        <v>11</v>
      </c>
      <c r="AJ223" s="128" t="s">
        <v>11</v>
      </c>
      <c r="AK223" s="128" t="s">
        <v>11</v>
      </c>
      <c r="AL223" s="128" t="s">
        <v>11</v>
      </c>
      <c r="AM223" s="128" t="s">
        <v>11</v>
      </c>
      <c r="AN223" s="128" t="s">
        <v>11</v>
      </c>
      <c r="AO223" s="128" t="s">
        <v>323</v>
      </c>
      <c r="AP223" s="128" t="s">
        <v>11</v>
      </c>
      <c r="AQ223" s="128" t="s">
        <v>323</v>
      </c>
      <c r="AR223" s="128" t="s">
        <v>11</v>
      </c>
      <c r="AS223" s="128" t="s">
        <v>323</v>
      </c>
      <c r="AT223" s="128" t="s">
        <v>11</v>
      </c>
      <c r="AU223" s="128" t="s">
        <v>323</v>
      </c>
      <c r="AV223" s="128" t="s">
        <v>11</v>
      </c>
      <c r="AW223" s="128" t="s">
        <v>323</v>
      </c>
      <c r="AX223" s="128" t="s">
        <v>11</v>
      </c>
      <c r="AY223" s="128" t="s">
        <v>323</v>
      </c>
      <c r="AZ223" s="128" t="s">
        <v>11</v>
      </c>
      <c r="BA223" s="128" t="s">
        <v>323</v>
      </c>
      <c r="BB223" s="128" t="s">
        <v>11</v>
      </c>
      <c r="BC223" s="127" t="s">
        <v>11</v>
      </c>
      <c r="BD223" s="128" t="s">
        <v>11</v>
      </c>
      <c r="BE223" s="127" t="s">
        <v>11</v>
      </c>
      <c r="BF223" s="128" t="s">
        <v>11</v>
      </c>
      <c r="BG223" s="127" t="s">
        <v>11</v>
      </c>
      <c r="BH223" s="128" t="s">
        <v>11</v>
      </c>
      <c r="BI223" s="127" t="s">
        <v>11</v>
      </c>
      <c r="BJ223" s="128" t="s">
        <v>11</v>
      </c>
      <c r="BK223" s="127" t="s">
        <v>11</v>
      </c>
      <c r="BL223" s="128" t="str">
        <f>IF(BK223="NA","NA",IF(BK223="Not Reported","Not Reported",IF(BK223&lt;$L$223,"Not Met","Met")))</f>
        <v>NA</v>
      </c>
      <c r="BM223" s="257" t="s">
        <v>11</v>
      </c>
      <c r="BN223" s="128" t="str">
        <f>IF(BM223="NA","NA",IF(BM223="Not Reported","Not Reported",IF(BM223&lt;$L$223,"Not Met","Met")))</f>
        <v>NA</v>
      </c>
      <c r="BO223" s="128" t="s">
        <v>11</v>
      </c>
      <c r="BP223" s="128" t="s">
        <v>11</v>
      </c>
      <c r="BQ223" s="128" t="s">
        <v>11</v>
      </c>
      <c r="BR223" s="128" t="s">
        <v>11</v>
      </c>
      <c r="BS223" s="338" t="s">
        <v>11</v>
      </c>
      <c r="BT223" s="128" t="str">
        <f>IF(BS223="NA","NA",IF(BS223="Not Reported","Not Reported",IF(BS223&lt;$L$223,"Not Met","Met")))</f>
        <v>NA</v>
      </c>
      <c r="BU223" s="338" t="s">
        <v>11</v>
      </c>
      <c r="BV223" s="128" t="str">
        <f>IF(BU223="NA","NA",IF(BU223="Not Reported","Not Reported",IF(BU223&lt;$L$223,"Not Met","Met")))</f>
        <v>NA</v>
      </c>
    </row>
    <row r="224" spans="1:74" x14ac:dyDescent="0.25">
      <c r="A224" s="121">
        <v>223</v>
      </c>
      <c r="B224" s="122" t="s">
        <v>698</v>
      </c>
      <c r="C224" s="122" t="s">
        <v>903</v>
      </c>
      <c r="D224" s="123" t="s">
        <v>111</v>
      </c>
      <c r="E224" s="123" t="s">
        <v>899</v>
      </c>
      <c r="F224" s="123" t="s">
        <v>190</v>
      </c>
      <c r="G224" s="122" t="s">
        <v>273</v>
      </c>
      <c r="H224" s="122" t="s">
        <v>192</v>
      </c>
      <c r="I224" s="124" t="s">
        <v>292</v>
      </c>
      <c r="J224" s="124" t="s">
        <v>293</v>
      </c>
      <c r="K224" s="122" t="s">
        <v>292</v>
      </c>
      <c r="L224" s="142">
        <v>0.05</v>
      </c>
      <c r="M224" s="142">
        <v>0.05</v>
      </c>
      <c r="N224" s="122" t="s">
        <v>294</v>
      </c>
      <c r="O224" s="122" t="s">
        <v>295</v>
      </c>
      <c r="P224" s="122" t="s">
        <v>207</v>
      </c>
      <c r="Q224" s="142">
        <v>0</v>
      </c>
      <c r="R224" s="121" t="s">
        <v>198</v>
      </c>
      <c r="S224" s="126" t="s">
        <v>323</v>
      </c>
      <c r="T224" s="128" t="s">
        <v>11</v>
      </c>
      <c r="U224" s="126">
        <v>1</v>
      </c>
      <c r="V224" s="147" t="s">
        <v>251</v>
      </c>
      <c r="W224" s="126">
        <v>0</v>
      </c>
      <c r="X224" s="121" t="s">
        <v>198</v>
      </c>
      <c r="Y224" s="128" t="s">
        <v>323</v>
      </c>
      <c r="Z224" s="128" t="s">
        <v>323</v>
      </c>
      <c r="AA224" s="128" t="s">
        <v>11</v>
      </c>
      <c r="AB224" s="128" t="s">
        <v>11</v>
      </c>
      <c r="AC224" s="128" t="s">
        <v>11</v>
      </c>
      <c r="AD224" s="128" t="s">
        <v>11</v>
      </c>
      <c r="AE224" s="128" t="s">
        <v>11</v>
      </c>
      <c r="AF224" s="128" t="s">
        <v>11</v>
      </c>
      <c r="AG224" s="128" t="s">
        <v>11</v>
      </c>
      <c r="AH224" s="128" t="s">
        <v>11</v>
      </c>
      <c r="AI224" s="128" t="s">
        <v>11</v>
      </c>
      <c r="AJ224" s="128" t="s">
        <v>11</v>
      </c>
      <c r="AK224" s="128" t="s">
        <v>11</v>
      </c>
      <c r="AL224" s="128" t="s">
        <v>11</v>
      </c>
      <c r="AM224" s="128" t="s">
        <v>11</v>
      </c>
      <c r="AN224" s="128" t="s">
        <v>11</v>
      </c>
      <c r="AO224" s="128" t="s">
        <v>323</v>
      </c>
      <c r="AP224" s="128" t="s">
        <v>11</v>
      </c>
      <c r="AQ224" s="128" t="s">
        <v>323</v>
      </c>
      <c r="AR224" s="128" t="s">
        <v>11</v>
      </c>
      <c r="AS224" s="128" t="s">
        <v>323</v>
      </c>
      <c r="AT224" s="128" t="s">
        <v>11</v>
      </c>
      <c r="AU224" s="128" t="s">
        <v>323</v>
      </c>
      <c r="AV224" s="128" t="s">
        <v>11</v>
      </c>
      <c r="AW224" s="128" t="s">
        <v>323</v>
      </c>
      <c r="AX224" s="128" t="s">
        <v>11</v>
      </c>
      <c r="AY224" s="128" t="s">
        <v>323</v>
      </c>
      <c r="AZ224" s="128" t="s">
        <v>11</v>
      </c>
      <c r="BA224" s="128" t="s">
        <v>323</v>
      </c>
      <c r="BB224" s="128" t="s">
        <v>11</v>
      </c>
      <c r="BC224" s="127" t="s">
        <v>11</v>
      </c>
      <c r="BD224" s="128" t="s">
        <v>11</v>
      </c>
      <c r="BE224" s="127" t="s">
        <v>11</v>
      </c>
      <c r="BF224" s="128" t="s">
        <v>11</v>
      </c>
      <c r="BG224" s="127" t="s">
        <v>11</v>
      </c>
      <c r="BH224" s="128" t="s">
        <v>11</v>
      </c>
      <c r="BI224" s="127" t="s">
        <v>11</v>
      </c>
      <c r="BJ224" s="128" t="s">
        <v>11</v>
      </c>
      <c r="BK224" s="127" t="s">
        <v>11</v>
      </c>
      <c r="BL224" s="128" t="str">
        <f>IF(BK224="NA","NA",IF(BK224="Not Reported","Not Reported",IF(BK224&gt;$L$224,"Not Met","Met")))</f>
        <v>NA</v>
      </c>
      <c r="BM224" s="257" t="s">
        <v>11</v>
      </c>
      <c r="BN224" s="128" t="str">
        <f>IF(BM224="NA","NA",IF(BM224="Not Reported","Not Reported",IF(BM224&gt;$L$224,"Not Met","Met")))</f>
        <v>NA</v>
      </c>
      <c r="BO224" s="128" t="s">
        <v>11</v>
      </c>
      <c r="BP224" s="128" t="s">
        <v>11</v>
      </c>
      <c r="BQ224" s="128" t="s">
        <v>11</v>
      </c>
      <c r="BR224" s="128" t="s">
        <v>11</v>
      </c>
      <c r="BS224" s="338" t="s">
        <v>11</v>
      </c>
      <c r="BT224" s="128" t="str">
        <f>IF(BS224="NA","NA",IF(BS224="Not Reported","Not Reported",IF(BS224&gt;$L$224,"Not Met","Met")))</f>
        <v>NA</v>
      </c>
      <c r="BU224" s="338" t="s">
        <v>11</v>
      </c>
      <c r="BV224" s="128" t="str">
        <f>IF(BU224="NA","NA",IF(BU224="Not Reported","Not Reported",IF(BU224&gt;$L$224,"Not Met","Met")))</f>
        <v>NA</v>
      </c>
    </row>
    <row r="225" spans="1:74" x14ac:dyDescent="0.25">
      <c r="A225" s="121">
        <v>224</v>
      </c>
      <c r="B225" s="122" t="s">
        <v>698</v>
      </c>
      <c r="C225" s="122" t="s">
        <v>903</v>
      </c>
      <c r="D225" s="123" t="s">
        <v>111</v>
      </c>
      <c r="E225" s="123" t="s">
        <v>899</v>
      </c>
      <c r="F225" s="123" t="s">
        <v>190</v>
      </c>
      <c r="G225" s="122" t="s">
        <v>273</v>
      </c>
      <c r="H225" s="122" t="s">
        <v>192</v>
      </c>
      <c r="I225" s="124" t="s">
        <v>284</v>
      </c>
      <c r="J225" s="124" t="s">
        <v>285</v>
      </c>
      <c r="K225" s="145" t="s">
        <v>284</v>
      </c>
      <c r="L225" s="142">
        <v>0.75</v>
      </c>
      <c r="M225" s="142">
        <v>0.75</v>
      </c>
      <c r="N225" s="129" t="s">
        <v>287</v>
      </c>
      <c r="O225" s="129" t="s">
        <v>288</v>
      </c>
      <c r="P225" s="122" t="s">
        <v>207</v>
      </c>
      <c r="Q225" s="142">
        <v>0.91</v>
      </c>
      <c r="R225" s="121" t="s">
        <v>198</v>
      </c>
      <c r="S225" s="126">
        <v>0.09</v>
      </c>
      <c r="T225" s="147" t="s">
        <v>251</v>
      </c>
      <c r="U225" s="146">
        <v>0.5</v>
      </c>
      <c r="V225" s="147" t="s">
        <v>251</v>
      </c>
      <c r="W225" s="126">
        <v>0.57999999999999996</v>
      </c>
      <c r="X225" s="147" t="s">
        <v>251</v>
      </c>
      <c r="Y225" s="128" t="s">
        <v>323</v>
      </c>
      <c r="Z225" s="128" t="s">
        <v>323</v>
      </c>
      <c r="AA225" s="128" t="s">
        <v>11</v>
      </c>
      <c r="AB225" s="128" t="s">
        <v>11</v>
      </c>
      <c r="AC225" s="128" t="s">
        <v>11</v>
      </c>
      <c r="AD225" s="128" t="s">
        <v>11</v>
      </c>
      <c r="AE225" s="128" t="s">
        <v>11</v>
      </c>
      <c r="AF225" s="128" t="s">
        <v>11</v>
      </c>
      <c r="AG225" s="128" t="s">
        <v>11</v>
      </c>
      <c r="AH225" s="128" t="s">
        <v>11</v>
      </c>
      <c r="AI225" s="128" t="s">
        <v>11</v>
      </c>
      <c r="AJ225" s="128" t="s">
        <v>11</v>
      </c>
      <c r="AK225" s="128" t="s">
        <v>11</v>
      </c>
      <c r="AL225" s="128" t="s">
        <v>11</v>
      </c>
      <c r="AM225" s="128" t="s">
        <v>11</v>
      </c>
      <c r="AN225" s="128" t="s">
        <v>11</v>
      </c>
      <c r="AO225" s="128" t="s">
        <v>323</v>
      </c>
      <c r="AP225" s="128" t="s">
        <v>11</v>
      </c>
      <c r="AQ225" s="128" t="s">
        <v>323</v>
      </c>
      <c r="AR225" s="128" t="s">
        <v>11</v>
      </c>
      <c r="AS225" s="128" t="s">
        <v>323</v>
      </c>
      <c r="AT225" s="128" t="s">
        <v>11</v>
      </c>
      <c r="AU225" s="128" t="s">
        <v>323</v>
      </c>
      <c r="AV225" s="128" t="s">
        <v>11</v>
      </c>
      <c r="AW225" s="128" t="s">
        <v>323</v>
      </c>
      <c r="AX225" s="128" t="s">
        <v>11</v>
      </c>
      <c r="AY225" s="128" t="s">
        <v>323</v>
      </c>
      <c r="AZ225" s="128" t="s">
        <v>11</v>
      </c>
      <c r="BA225" s="128" t="s">
        <v>323</v>
      </c>
      <c r="BB225" s="128" t="s">
        <v>11</v>
      </c>
      <c r="BC225" s="127" t="s">
        <v>11</v>
      </c>
      <c r="BD225" s="128" t="s">
        <v>11</v>
      </c>
      <c r="BE225" s="127" t="s">
        <v>11</v>
      </c>
      <c r="BF225" s="128" t="s">
        <v>11</v>
      </c>
      <c r="BG225" s="127" t="s">
        <v>11</v>
      </c>
      <c r="BH225" s="128" t="s">
        <v>11</v>
      </c>
      <c r="BI225" s="127" t="s">
        <v>11</v>
      </c>
      <c r="BJ225" s="128" t="s">
        <v>11</v>
      </c>
      <c r="BK225" s="127" t="s">
        <v>11</v>
      </c>
      <c r="BL225" s="128" t="str">
        <f>IF(BK225="NA","NA",IF(BK225="Not Reported","Not Reported",IF(BK225&lt;$L$225,"Not Met","Met")))</f>
        <v>NA</v>
      </c>
      <c r="BM225" s="257" t="s">
        <v>11</v>
      </c>
      <c r="BN225" s="128" t="str">
        <f>IF(BM225="NA","NA",IF(BM225="Not Reported","Not Reported",IF(BM225&lt;$L$225,"Not Met","Met")))</f>
        <v>NA</v>
      </c>
      <c r="BO225" s="128" t="s">
        <v>11</v>
      </c>
      <c r="BP225" s="128" t="s">
        <v>11</v>
      </c>
      <c r="BQ225" s="128" t="s">
        <v>11</v>
      </c>
      <c r="BR225" s="128" t="s">
        <v>11</v>
      </c>
      <c r="BS225" s="338" t="s">
        <v>11</v>
      </c>
      <c r="BT225" s="128" t="str">
        <f>IF(BS225="NA","NA",IF(BS225="Not Reported","Not Reported",IF(BS225&lt;$L$225,"Not Met","Met")))</f>
        <v>NA</v>
      </c>
      <c r="BU225" s="338" t="s">
        <v>11</v>
      </c>
      <c r="BV225" s="128" t="str">
        <f>IF(BU225="NA","NA",IF(BU225="Not Reported","Not Reported",IF(BU225&lt;$L$225,"Not Met","Met")))</f>
        <v>NA</v>
      </c>
    </row>
    <row r="226" spans="1:74" x14ac:dyDescent="0.25">
      <c r="A226" s="121">
        <v>225</v>
      </c>
      <c r="B226" s="122" t="s">
        <v>698</v>
      </c>
      <c r="C226" s="122" t="s">
        <v>903</v>
      </c>
      <c r="D226" s="123" t="s">
        <v>111</v>
      </c>
      <c r="E226" s="123" t="s">
        <v>899</v>
      </c>
      <c r="F226" s="123" t="s">
        <v>190</v>
      </c>
      <c r="G226" s="122" t="s">
        <v>273</v>
      </c>
      <c r="H226" s="122" t="s">
        <v>192</v>
      </c>
      <c r="I226" s="124" t="s">
        <v>213</v>
      </c>
      <c r="J226" s="124" t="s">
        <v>214</v>
      </c>
      <c r="K226" s="129" t="s">
        <v>213</v>
      </c>
      <c r="L226" s="127">
        <v>30</v>
      </c>
      <c r="M226" s="127" t="s">
        <v>470</v>
      </c>
      <c r="N226" s="129" t="s">
        <v>341</v>
      </c>
      <c r="O226" s="129" t="s">
        <v>342</v>
      </c>
      <c r="P226" s="122" t="s">
        <v>207</v>
      </c>
      <c r="Q226" s="127">
        <v>72</v>
      </c>
      <c r="R226" s="147" t="s">
        <v>251</v>
      </c>
      <c r="S226" s="147" t="s">
        <v>11</v>
      </c>
      <c r="T226" s="128" t="s">
        <v>11</v>
      </c>
      <c r="U226" s="147" t="s">
        <v>323</v>
      </c>
      <c r="V226" s="128" t="s">
        <v>11</v>
      </c>
      <c r="W226" s="147" t="s">
        <v>356</v>
      </c>
      <c r="X226" s="121" t="s">
        <v>198</v>
      </c>
      <c r="Y226" s="128" t="s">
        <v>323</v>
      </c>
      <c r="Z226" s="128" t="s">
        <v>323</v>
      </c>
      <c r="AA226" s="128" t="s">
        <v>11</v>
      </c>
      <c r="AB226" s="128" t="s">
        <v>11</v>
      </c>
      <c r="AC226" s="128" t="s">
        <v>11</v>
      </c>
      <c r="AD226" s="128" t="s">
        <v>11</v>
      </c>
      <c r="AE226" s="128" t="s">
        <v>11</v>
      </c>
      <c r="AF226" s="128" t="s">
        <v>11</v>
      </c>
      <c r="AG226" s="128" t="s">
        <v>11</v>
      </c>
      <c r="AH226" s="128" t="s">
        <v>11</v>
      </c>
      <c r="AI226" s="128" t="s">
        <v>11</v>
      </c>
      <c r="AJ226" s="128" t="s">
        <v>11</v>
      </c>
      <c r="AK226" s="128" t="s">
        <v>11</v>
      </c>
      <c r="AL226" s="128" t="s">
        <v>11</v>
      </c>
      <c r="AM226" s="128" t="s">
        <v>11</v>
      </c>
      <c r="AN226" s="128" t="s">
        <v>11</v>
      </c>
      <c r="AO226" s="128" t="s">
        <v>323</v>
      </c>
      <c r="AP226" s="128" t="s">
        <v>11</v>
      </c>
      <c r="AQ226" s="128" t="s">
        <v>323</v>
      </c>
      <c r="AR226" s="128" t="s">
        <v>11</v>
      </c>
      <c r="AS226" s="128" t="s">
        <v>323</v>
      </c>
      <c r="AT226" s="128" t="s">
        <v>11</v>
      </c>
      <c r="AU226" s="128" t="s">
        <v>323</v>
      </c>
      <c r="AV226" s="128" t="s">
        <v>11</v>
      </c>
      <c r="AW226" s="128" t="s">
        <v>323</v>
      </c>
      <c r="AX226" s="128" t="s">
        <v>11</v>
      </c>
      <c r="AY226" s="128" t="s">
        <v>323</v>
      </c>
      <c r="AZ226" s="128" t="s">
        <v>11</v>
      </c>
      <c r="BA226" s="128" t="s">
        <v>323</v>
      </c>
      <c r="BB226" s="128" t="s">
        <v>11</v>
      </c>
      <c r="BC226" s="127" t="s">
        <v>11</v>
      </c>
      <c r="BD226" s="128" t="s">
        <v>11</v>
      </c>
      <c r="BE226" s="127" t="s">
        <v>11</v>
      </c>
      <c r="BF226" s="128" t="s">
        <v>11</v>
      </c>
      <c r="BG226" s="127" t="s">
        <v>11</v>
      </c>
      <c r="BH226" s="128" t="s">
        <v>11</v>
      </c>
      <c r="BI226" s="127" t="s">
        <v>11</v>
      </c>
      <c r="BJ226" s="128" t="s">
        <v>11</v>
      </c>
      <c r="BK226" s="127" t="s">
        <v>11</v>
      </c>
      <c r="BL226" s="121" t="str">
        <f>IF(BK226="NA","NA",IF(BK226="Not Reported","Not Reported",IF(BK226&gt;$L$226,"Not Met","Met")))</f>
        <v>NA</v>
      </c>
      <c r="BM226" s="257" t="s">
        <v>11</v>
      </c>
      <c r="BN226" s="121" t="str">
        <f>IF(BM226="NA","NA",IF(BM226="Not Reported","Not Reported",IF(BM226&gt;$L$226,"Not Met","Met")))</f>
        <v>NA</v>
      </c>
      <c r="BO226" s="128" t="s">
        <v>11</v>
      </c>
      <c r="BP226" s="121" t="s">
        <v>11</v>
      </c>
      <c r="BQ226" s="128" t="s">
        <v>11</v>
      </c>
      <c r="BR226" s="121" t="s">
        <v>11</v>
      </c>
      <c r="BS226" s="338" t="s">
        <v>11</v>
      </c>
      <c r="BT226" s="121" t="str">
        <f>IF(BS226="NA","NA",IF(BS226="Not Reported","Not Reported",IF(BS226&gt;$L$226,"Not Met","Met")))</f>
        <v>NA</v>
      </c>
      <c r="BU226" s="338" t="s">
        <v>11</v>
      </c>
      <c r="BV226" s="121" t="str">
        <f>IF(BU226="NA","NA",IF(BU226="Not Reported","Not Reported",IF(BU226&gt;$L$226,"Not Met","Met")))</f>
        <v>NA</v>
      </c>
    </row>
    <row r="227" spans="1:74" x14ac:dyDescent="0.2">
      <c r="A227" s="121">
        <v>226</v>
      </c>
      <c r="B227" s="122" t="s">
        <v>698</v>
      </c>
      <c r="C227" s="122" t="s">
        <v>903</v>
      </c>
      <c r="D227" s="123" t="s">
        <v>111</v>
      </c>
      <c r="E227" s="123" t="s">
        <v>899</v>
      </c>
      <c r="F227" s="123" t="s">
        <v>190</v>
      </c>
      <c r="G227" s="122" t="s">
        <v>273</v>
      </c>
      <c r="H227" s="122" t="s">
        <v>192</v>
      </c>
      <c r="I227" s="124" t="s">
        <v>246</v>
      </c>
      <c r="J227" s="124" t="s">
        <v>214</v>
      </c>
      <c r="K227" s="122" t="s">
        <v>326</v>
      </c>
      <c r="L227" s="142">
        <v>0.2</v>
      </c>
      <c r="M227" s="142">
        <v>0.2</v>
      </c>
      <c r="N227" s="122" t="s">
        <v>327</v>
      </c>
      <c r="O227" s="122" t="s">
        <v>328</v>
      </c>
      <c r="P227" s="122" t="s">
        <v>207</v>
      </c>
      <c r="Q227" s="141">
        <v>0.7142857142857143</v>
      </c>
      <c r="R227" s="147" t="s">
        <v>251</v>
      </c>
      <c r="S227" s="146">
        <v>1</v>
      </c>
      <c r="T227" s="147" t="s">
        <v>251</v>
      </c>
      <c r="U227" s="146">
        <v>0.3</v>
      </c>
      <c r="V227" s="147" t="s">
        <v>251</v>
      </c>
      <c r="W227" s="146">
        <v>0.28000000000000003</v>
      </c>
      <c r="X227" s="147" t="s">
        <v>251</v>
      </c>
      <c r="Y227" s="128" t="s">
        <v>323</v>
      </c>
      <c r="Z227" s="128" t="s">
        <v>323</v>
      </c>
      <c r="AA227" s="128" t="s">
        <v>11</v>
      </c>
      <c r="AB227" s="128" t="s">
        <v>11</v>
      </c>
      <c r="AC227" s="128" t="s">
        <v>11</v>
      </c>
      <c r="AD227" s="128" t="s">
        <v>11</v>
      </c>
      <c r="AE227" s="128" t="s">
        <v>11</v>
      </c>
      <c r="AF227" s="128" t="s">
        <v>11</v>
      </c>
      <c r="AG227" s="128" t="s">
        <v>11</v>
      </c>
      <c r="AH227" s="128" t="s">
        <v>11</v>
      </c>
      <c r="AI227" s="128" t="s">
        <v>11</v>
      </c>
      <c r="AJ227" s="128" t="s">
        <v>11</v>
      </c>
      <c r="AK227" s="128" t="s">
        <v>11</v>
      </c>
      <c r="AL227" s="128" t="s">
        <v>11</v>
      </c>
      <c r="AM227" s="128" t="s">
        <v>11</v>
      </c>
      <c r="AN227" s="128" t="s">
        <v>11</v>
      </c>
      <c r="AO227" s="128" t="s">
        <v>323</v>
      </c>
      <c r="AP227" s="128" t="s">
        <v>11</v>
      </c>
      <c r="AQ227" s="128" t="s">
        <v>323</v>
      </c>
      <c r="AR227" s="128" t="s">
        <v>11</v>
      </c>
      <c r="AS227" s="128" t="s">
        <v>323</v>
      </c>
      <c r="AT227" s="128" t="s">
        <v>11</v>
      </c>
      <c r="AU227" s="128" t="s">
        <v>323</v>
      </c>
      <c r="AV227" s="128" t="s">
        <v>11</v>
      </c>
      <c r="AW227" s="128" t="s">
        <v>323</v>
      </c>
      <c r="AX227" s="128" t="s">
        <v>11</v>
      </c>
      <c r="AY227" s="128" t="s">
        <v>323</v>
      </c>
      <c r="AZ227" s="128" t="s">
        <v>11</v>
      </c>
      <c r="BA227" s="128" t="s">
        <v>323</v>
      </c>
      <c r="BB227" s="128" t="s">
        <v>11</v>
      </c>
      <c r="BC227" s="127" t="s">
        <v>11</v>
      </c>
      <c r="BD227" s="128" t="s">
        <v>11</v>
      </c>
      <c r="BE227" s="127" t="s">
        <v>11</v>
      </c>
      <c r="BF227" s="128" t="s">
        <v>11</v>
      </c>
      <c r="BG227" s="127" t="s">
        <v>11</v>
      </c>
      <c r="BH227" s="128" t="s">
        <v>11</v>
      </c>
      <c r="BI227" s="127" t="s">
        <v>11</v>
      </c>
      <c r="BJ227" s="128" t="s">
        <v>11</v>
      </c>
      <c r="BK227" s="127" t="s">
        <v>11</v>
      </c>
      <c r="BL227" s="174" t="str">
        <f>IF(BK227="NA","NA",IF(BK227="Not Reported","Not Reported",IF(BK227&gt;$L$227,"Not Met","Met")))</f>
        <v>NA</v>
      </c>
      <c r="BM227" s="257" t="s">
        <v>11</v>
      </c>
      <c r="BN227" s="162" t="str">
        <f>IF(BM227="NA","NA",IF(BM227="Not Reported","Not Reported",IF(BM227&gt;$L$227,"Not Met","Met")))</f>
        <v>NA</v>
      </c>
      <c r="BO227" s="128" t="s">
        <v>11</v>
      </c>
      <c r="BP227" s="162" t="s">
        <v>11</v>
      </c>
      <c r="BQ227" s="128" t="s">
        <v>11</v>
      </c>
      <c r="BR227" s="162" t="s">
        <v>11</v>
      </c>
      <c r="BS227" s="338" t="s">
        <v>11</v>
      </c>
      <c r="BT227" s="162" t="str">
        <f>IF(BS227="NA","NA",IF(BS227="Not Reported","Not Reported",IF(BS227&gt;$L$227,"Not Met","Met")))</f>
        <v>NA</v>
      </c>
      <c r="BU227" s="338" t="s">
        <v>11</v>
      </c>
      <c r="BV227" s="162" t="str">
        <f>IF(BU227="NA","NA",IF(BU227="Not Reported","Not Reported",IF(BU227&gt;$L$227,"Not Met","Met")))</f>
        <v>NA</v>
      </c>
    </row>
    <row r="228" spans="1:74" x14ac:dyDescent="0.25">
      <c r="A228" s="121">
        <v>227</v>
      </c>
      <c r="B228" s="122" t="s">
        <v>698</v>
      </c>
      <c r="C228" s="122" t="s">
        <v>903</v>
      </c>
      <c r="D228" s="123" t="s">
        <v>111</v>
      </c>
      <c r="E228" s="123" t="s">
        <v>899</v>
      </c>
      <c r="F228" s="123" t="s">
        <v>190</v>
      </c>
      <c r="G228" s="122" t="s">
        <v>273</v>
      </c>
      <c r="H228" s="122" t="s">
        <v>192</v>
      </c>
      <c r="I228" s="123" t="s">
        <v>296</v>
      </c>
      <c r="J228" s="123" t="s">
        <v>296</v>
      </c>
      <c r="K228" s="145" t="s">
        <v>296</v>
      </c>
      <c r="L228" s="142">
        <v>0.95</v>
      </c>
      <c r="M228" s="142">
        <v>0.95</v>
      </c>
      <c r="N228" s="129" t="s">
        <v>297</v>
      </c>
      <c r="O228" s="129" t="s">
        <v>298</v>
      </c>
      <c r="P228" s="122" t="s">
        <v>207</v>
      </c>
      <c r="Q228" s="141">
        <v>1</v>
      </c>
      <c r="R228" s="121" t="s">
        <v>198</v>
      </c>
      <c r="S228" s="126">
        <v>0.6</v>
      </c>
      <c r="T228" s="147" t="s">
        <v>251</v>
      </c>
      <c r="U228" s="146">
        <v>0.5</v>
      </c>
      <c r="V228" s="147" t="s">
        <v>251</v>
      </c>
      <c r="W228" s="146">
        <v>0</v>
      </c>
      <c r="X228" s="147" t="s">
        <v>251</v>
      </c>
      <c r="Y228" s="128" t="s">
        <v>323</v>
      </c>
      <c r="Z228" s="128" t="s">
        <v>323</v>
      </c>
      <c r="AA228" s="128" t="s">
        <v>11</v>
      </c>
      <c r="AB228" s="128" t="s">
        <v>11</v>
      </c>
      <c r="AC228" s="128" t="s">
        <v>11</v>
      </c>
      <c r="AD228" s="128" t="s">
        <v>11</v>
      </c>
      <c r="AE228" s="128" t="s">
        <v>11</v>
      </c>
      <c r="AF228" s="128" t="s">
        <v>11</v>
      </c>
      <c r="AG228" s="128" t="s">
        <v>11</v>
      </c>
      <c r="AH228" s="128" t="s">
        <v>11</v>
      </c>
      <c r="AI228" s="128" t="s">
        <v>11</v>
      </c>
      <c r="AJ228" s="128" t="s">
        <v>11</v>
      </c>
      <c r="AK228" s="128" t="s">
        <v>11</v>
      </c>
      <c r="AL228" s="128" t="s">
        <v>11</v>
      </c>
      <c r="AM228" s="128" t="s">
        <v>11</v>
      </c>
      <c r="AN228" s="128" t="s">
        <v>11</v>
      </c>
      <c r="AO228" s="128" t="s">
        <v>323</v>
      </c>
      <c r="AP228" s="128" t="s">
        <v>11</v>
      </c>
      <c r="AQ228" s="128" t="s">
        <v>323</v>
      </c>
      <c r="AR228" s="128" t="s">
        <v>11</v>
      </c>
      <c r="AS228" s="128" t="s">
        <v>323</v>
      </c>
      <c r="AT228" s="128" t="s">
        <v>11</v>
      </c>
      <c r="AU228" s="128" t="s">
        <v>323</v>
      </c>
      <c r="AV228" s="128" t="s">
        <v>11</v>
      </c>
      <c r="AW228" s="128" t="s">
        <v>323</v>
      </c>
      <c r="AX228" s="128" t="s">
        <v>11</v>
      </c>
      <c r="AY228" s="128" t="s">
        <v>323</v>
      </c>
      <c r="AZ228" s="128" t="s">
        <v>11</v>
      </c>
      <c r="BA228" s="128" t="s">
        <v>323</v>
      </c>
      <c r="BB228" s="128" t="s">
        <v>11</v>
      </c>
      <c r="BC228" s="127" t="s">
        <v>11</v>
      </c>
      <c r="BD228" s="128" t="s">
        <v>11</v>
      </c>
      <c r="BE228" s="127" t="s">
        <v>11</v>
      </c>
      <c r="BF228" s="128" t="s">
        <v>11</v>
      </c>
      <c r="BG228" s="127" t="s">
        <v>11</v>
      </c>
      <c r="BH228" s="128" t="s">
        <v>11</v>
      </c>
      <c r="BI228" s="127" t="s">
        <v>11</v>
      </c>
      <c r="BJ228" s="128" t="s">
        <v>11</v>
      </c>
      <c r="BK228" s="127" t="s">
        <v>11</v>
      </c>
      <c r="BL228" s="128" t="str">
        <f>IF(BK228="NA","NA",IF(BK228="Not Reported","Not Reported",IF(BK228&lt;$L$228,"Not Met","Met")))</f>
        <v>NA</v>
      </c>
      <c r="BM228" s="257" t="s">
        <v>11</v>
      </c>
      <c r="BN228" s="128" t="str">
        <f>IF(BM228="NA","NA",IF(BM228="Not Reported","Not Reported",IF(BM228&lt;$L$228,"Not Met","Met")))</f>
        <v>NA</v>
      </c>
      <c r="BO228" s="128" t="s">
        <v>11</v>
      </c>
      <c r="BP228" s="128" t="s">
        <v>11</v>
      </c>
      <c r="BQ228" s="128" t="s">
        <v>11</v>
      </c>
      <c r="BR228" s="128" t="s">
        <v>11</v>
      </c>
      <c r="BS228" s="338" t="s">
        <v>11</v>
      </c>
      <c r="BT228" s="128" t="str">
        <f>IF(BS228="NA","NA",IF(BS228="Not Reported","Not Reported",IF(BS228&lt;$L$228,"Not Met","Met")))</f>
        <v>NA</v>
      </c>
      <c r="BU228" s="338" t="s">
        <v>11</v>
      </c>
      <c r="BV228" s="128" t="str">
        <f>IF(BU228="NA","NA",IF(BU228="Not Reported","Not Reported",IF(BU228&lt;$L$228,"Not Met","Met")))</f>
        <v>NA</v>
      </c>
    </row>
    <row r="229" spans="1:74" ht="24" x14ac:dyDescent="0.25">
      <c r="A229" s="121">
        <v>228</v>
      </c>
      <c r="B229" s="122" t="s">
        <v>18</v>
      </c>
      <c r="C229" s="122" t="s">
        <v>903</v>
      </c>
      <c r="D229" s="123" t="s">
        <v>133</v>
      </c>
      <c r="E229" s="123" t="s">
        <v>899</v>
      </c>
      <c r="F229" s="123" t="s">
        <v>300</v>
      </c>
      <c r="G229" s="122" t="s">
        <v>273</v>
      </c>
      <c r="H229" s="122" t="s">
        <v>192</v>
      </c>
      <c r="I229" s="124" t="s">
        <v>274</v>
      </c>
      <c r="J229" s="124" t="s">
        <v>214</v>
      </c>
      <c r="K229" s="145" t="s">
        <v>274</v>
      </c>
      <c r="L229" s="147">
        <v>90</v>
      </c>
      <c r="M229" s="147" t="s">
        <v>370</v>
      </c>
      <c r="N229" s="145" t="s">
        <v>276</v>
      </c>
      <c r="O229" s="145" t="s">
        <v>277</v>
      </c>
      <c r="P229" s="123" t="s">
        <v>207</v>
      </c>
      <c r="Q229" s="127" t="s">
        <v>523</v>
      </c>
      <c r="R229" s="127" t="s">
        <v>251</v>
      </c>
      <c r="S229" s="127">
        <v>84</v>
      </c>
      <c r="T229" s="121" t="s">
        <v>198</v>
      </c>
      <c r="U229" s="127" t="s">
        <v>61</v>
      </c>
      <c r="V229" s="127" t="s">
        <v>61</v>
      </c>
      <c r="W229" s="121" t="s">
        <v>437</v>
      </c>
      <c r="X229" s="121" t="s">
        <v>198</v>
      </c>
      <c r="Y229" s="121" t="s">
        <v>506</v>
      </c>
      <c r="Z229" s="121" t="s">
        <v>198</v>
      </c>
      <c r="AA229" s="121" t="s">
        <v>601</v>
      </c>
      <c r="AB229" s="121" t="s">
        <v>198</v>
      </c>
      <c r="AC229" s="121" t="s">
        <v>604</v>
      </c>
      <c r="AD229" s="121" t="s">
        <v>198</v>
      </c>
      <c r="AE229" s="121" t="s">
        <v>549</v>
      </c>
      <c r="AF229" s="121" t="s">
        <v>198</v>
      </c>
      <c r="AG229" s="127" t="s">
        <v>61</v>
      </c>
      <c r="AH229" s="127" t="s">
        <v>61</v>
      </c>
      <c r="AI229" s="127" t="s">
        <v>701</v>
      </c>
      <c r="AJ229" s="121" t="s">
        <v>198</v>
      </c>
      <c r="AK229" s="127" t="s">
        <v>702</v>
      </c>
      <c r="AL229" s="121" t="s">
        <v>198</v>
      </c>
      <c r="AM229" s="127" t="s">
        <v>479</v>
      </c>
      <c r="AN229" s="121" t="s">
        <v>198</v>
      </c>
      <c r="AO229" s="215" t="s">
        <v>703</v>
      </c>
      <c r="AP229" s="121" t="s">
        <v>198</v>
      </c>
      <c r="AQ229" s="215" t="s">
        <v>61</v>
      </c>
      <c r="AR229" s="121" t="s">
        <v>61</v>
      </c>
      <c r="AS229" s="215" t="s">
        <v>61</v>
      </c>
      <c r="AT229" s="215" t="s">
        <v>61</v>
      </c>
      <c r="AU229" s="215" t="s">
        <v>336</v>
      </c>
      <c r="AV229" s="121" t="s">
        <v>198</v>
      </c>
      <c r="AW229" s="127" t="s">
        <v>484</v>
      </c>
      <c r="AX229" s="121" t="s">
        <v>198</v>
      </c>
      <c r="AY229" s="127" t="s">
        <v>704</v>
      </c>
      <c r="AZ229" s="121" t="s">
        <v>198</v>
      </c>
      <c r="BA229" s="127" t="s">
        <v>552</v>
      </c>
      <c r="BB229" s="121" t="s">
        <v>198</v>
      </c>
      <c r="BC229" s="127" t="s">
        <v>606</v>
      </c>
      <c r="BD229" s="121" t="s">
        <v>198</v>
      </c>
      <c r="BE229" s="121" t="s">
        <v>61</v>
      </c>
      <c r="BF229" s="121" t="s">
        <v>61</v>
      </c>
      <c r="BG229" s="121" t="s">
        <v>61</v>
      </c>
      <c r="BH229" s="121" t="s">
        <v>61</v>
      </c>
      <c r="BI229" s="121" t="s">
        <v>61</v>
      </c>
      <c r="BJ229" s="121" t="s">
        <v>61</v>
      </c>
      <c r="BK229" s="80">
        <v>53</v>
      </c>
      <c r="BL229" s="121" t="str">
        <f>IF(BK229="NA","NA",IF(BK229="Not Reported","Not Reported",IF(BK229&gt;$L$229,"Not Met","Met")))</f>
        <v>Met</v>
      </c>
      <c r="BM229" s="274">
        <v>62</v>
      </c>
      <c r="BN229" s="121" t="str">
        <f>IF(BM229="NA","NA",IF(BM229="Not Reported","Not Reported",IF(BM229&gt;$L$229,"Not Met","Met")))</f>
        <v>Met</v>
      </c>
      <c r="BO229" s="121">
        <v>50</v>
      </c>
      <c r="BP229" s="121" t="s">
        <v>198</v>
      </c>
      <c r="BQ229" s="121">
        <v>54</v>
      </c>
      <c r="BR229" s="121" t="s">
        <v>198</v>
      </c>
      <c r="BS229" s="26">
        <v>63</v>
      </c>
      <c r="BT229" s="121" t="str">
        <f>IF(BS229="NA","NA",IF(BS229="Not Reported","Not Reported",IF(BS229&gt;$L$229,"Not Met","Met")))</f>
        <v>Met</v>
      </c>
      <c r="BU229" s="418">
        <v>55</v>
      </c>
      <c r="BV229" s="121" t="str">
        <f>IF(BU229="NA","NA",IF(BU229="Not Reported","Not Reported",IF(BU229&gt;$L$229,"Not Met","Met")))</f>
        <v>Met</v>
      </c>
    </row>
    <row r="230" spans="1:74" ht="24" x14ac:dyDescent="0.25">
      <c r="A230" s="121">
        <v>229</v>
      </c>
      <c r="B230" s="122" t="s">
        <v>18</v>
      </c>
      <c r="C230" s="122" t="s">
        <v>903</v>
      </c>
      <c r="D230" s="123" t="s">
        <v>133</v>
      </c>
      <c r="E230" s="123" t="s">
        <v>899</v>
      </c>
      <c r="F230" s="123" t="s">
        <v>300</v>
      </c>
      <c r="G230" s="122" t="s">
        <v>273</v>
      </c>
      <c r="H230" s="122" t="s">
        <v>192</v>
      </c>
      <c r="I230" s="124" t="s">
        <v>213</v>
      </c>
      <c r="J230" s="124" t="s">
        <v>214</v>
      </c>
      <c r="K230" s="129" t="s">
        <v>213</v>
      </c>
      <c r="L230" s="147">
        <v>40</v>
      </c>
      <c r="M230" s="146" t="s">
        <v>478</v>
      </c>
      <c r="N230" s="145" t="s">
        <v>341</v>
      </c>
      <c r="O230" s="145" t="s">
        <v>342</v>
      </c>
      <c r="P230" s="123" t="s">
        <v>207</v>
      </c>
      <c r="Q230" s="127" t="s">
        <v>335</v>
      </c>
      <c r="R230" s="127" t="s">
        <v>251</v>
      </c>
      <c r="S230" s="127">
        <v>56</v>
      </c>
      <c r="T230" s="147" t="s">
        <v>251</v>
      </c>
      <c r="U230" s="127" t="s">
        <v>61</v>
      </c>
      <c r="V230" s="127" t="s">
        <v>61</v>
      </c>
      <c r="W230" s="121" t="s">
        <v>456</v>
      </c>
      <c r="X230" s="121" t="s">
        <v>198</v>
      </c>
      <c r="Y230" s="121" t="s">
        <v>439</v>
      </c>
      <c r="Z230" s="121" t="s">
        <v>198</v>
      </c>
      <c r="AA230" s="121" t="s">
        <v>362</v>
      </c>
      <c r="AB230" s="121" t="s">
        <v>198</v>
      </c>
      <c r="AC230" s="121" t="s">
        <v>447</v>
      </c>
      <c r="AD230" s="121" t="s">
        <v>198</v>
      </c>
      <c r="AE230" s="121" t="s">
        <v>243</v>
      </c>
      <c r="AF230" s="121" t="s">
        <v>198</v>
      </c>
      <c r="AG230" s="127" t="s">
        <v>61</v>
      </c>
      <c r="AH230" s="127" t="s">
        <v>61</v>
      </c>
      <c r="AI230" s="147" t="s">
        <v>500</v>
      </c>
      <c r="AJ230" s="121" t="s">
        <v>198</v>
      </c>
      <c r="AK230" s="147" t="s">
        <v>500</v>
      </c>
      <c r="AL230" s="121" t="s">
        <v>198</v>
      </c>
      <c r="AM230" s="147" t="s">
        <v>470</v>
      </c>
      <c r="AN230" s="121" t="s">
        <v>198</v>
      </c>
      <c r="AO230" s="127" t="s">
        <v>346</v>
      </c>
      <c r="AP230" s="121" t="s">
        <v>198</v>
      </c>
      <c r="AQ230" s="215" t="s">
        <v>61</v>
      </c>
      <c r="AR230" s="121" t="s">
        <v>61</v>
      </c>
      <c r="AS230" s="215" t="s">
        <v>61</v>
      </c>
      <c r="AT230" s="215" t="s">
        <v>61</v>
      </c>
      <c r="AU230" s="215" t="s">
        <v>500</v>
      </c>
      <c r="AV230" s="121" t="s">
        <v>198</v>
      </c>
      <c r="AW230" s="127" t="s">
        <v>549</v>
      </c>
      <c r="AX230" s="121" t="s">
        <v>198</v>
      </c>
      <c r="AY230" s="127" t="s">
        <v>605</v>
      </c>
      <c r="AZ230" s="121" t="s">
        <v>251</v>
      </c>
      <c r="BA230" s="127" t="s">
        <v>555</v>
      </c>
      <c r="BB230" s="121" t="s">
        <v>198</v>
      </c>
      <c r="BC230" s="127" t="s">
        <v>605</v>
      </c>
      <c r="BD230" s="121" t="s">
        <v>251</v>
      </c>
      <c r="BE230" s="121" t="s">
        <v>61</v>
      </c>
      <c r="BF230" s="121" t="s">
        <v>61</v>
      </c>
      <c r="BG230" s="121" t="s">
        <v>61</v>
      </c>
      <c r="BH230" s="121" t="s">
        <v>61</v>
      </c>
      <c r="BI230" s="121" t="s">
        <v>61</v>
      </c>
      <c r="BJ230" s="121" t="s">
        <v>61</v>
      </c>
      <c r="BK230" s="80" t="s">
        <v>360</v>
      </c>
      <c r="BL230" s="121" t="str">
        <f>IF(BK230="NA","NA",IF(BK230="Not Reported","Not Reported",IF(BK230&gt;$L$230,"Not Met","Met")))</f>
        <v>Not Met</v>
      </c>
      <c r="BM230" s="274">
        <v>37</v>
      </c>
      <c r="BN230" s="121" t="str">
        <f>IF(BM230="NA","NA",IF(BM230="Not Reported","Not Reported",IF(BM230&gt;$L$230,"Not Met","Met")))</f>
        <v>Met</v>
      </c>
      <c r="BO230" s="121">
        <v>32</v>
      </c>
      <c r="BP230" s="121" t="s">
        <v>198</v>
      </c>
      <c r="BQ230" s="121">
        <v>34</v>
      </c>
      <c r="BR230" s="121" t="s">
        <v>198</v>
      </c>
      <c r="BS230" s="26">
        <v>37</v>
      </c>
      <c r="BT230" s="121" t="str">
        <f>IF(BS230="NA","NA",IF(BS230="Not Reported","Not Reported",IF(BS230&gt;$L$230,"Not Met","Met")))</f>
        <v>Met</v>
      </c>
      <c r="BU230" s="418">
        <v>35</v>
      </c>
      <c r="BV230" s="121" t="str">
        <f>IF(BU230="NA","NA",IF(BU230="Not Reported","Not Reported",IF(BU230&gt;$L$230,"Not Met","Met")))</f>
        <v>Met</v>
      </c>
    </row>
    <row r="231" spans="1:74" ht="24" x14ac:dyDescent="0.2">
      <c r="A231" s="121">
        <v>230</v>
      </c>
      <c r="B231" s="122" t="s">
        <v>18</v>
      </c>
      <c r="C231" s="122" t="s">
        <v>903</v>
      </c>
      <c r="D231" s="123" t="s">
        <v>133</v>
      </c>
      <c r="E231" s="123" t="s">
        <v>899</v>
      </c>
      <c r="F231" s="123" t="s">
        <v>300</v>
      </c>
      <c r="G231" s="122" t="s">
        <v>273</v>
      </c>
      <c r="H231" s="122" t="s">
        <v>192</v>
      </c>
      <c r="I231" s="124" t="s">
        <v>246</v>
      </c>
      <c r="J231" s="124" t="s">
        <v>214</v>
      </c>
      <c r="K231" s="122" t="s">
        <v>326</v>
      </c>
      <c r="L231" s="146">
        <v>0.3</v>
      </c>
      <c r="M231" s="146">
        <v>0.3</v>
      </c>
      <c r="N231" s="145" t="s">
        <v>368</v>
      </c>
      <c r="O231" s="145" t="s">
        <v>369</v>
      </c>
      <c r="P231" s="123" t="s">
        <v>207</v>
      </c>
      <c r="Q231" s="141">
        <f>13/36</f>
        <v>0.3611111111111111</v>
      </c>
      <c r="R231" s="127" t="s">
        <v>251</v>
      </c>
      <c r="S231" s="142">
        <v>0.08</v>
      </c>
      <c r="T231" s="121" t="s">
        <v>198</v>
      </c>
      <c r="U231" s="127" t="s">
        <v>61</v>
      </c>
      <c r="V231" s="127" t="s">
        <v>61</v>
      </c>
      <c r="W231" s="126">
        <v>0.2</v>
      </c>
      <c r="X231" s="121" t="s">
        <v>198</v>
      </c>
      <c r="Y231" s="126">
        <v>0.16</v>
      </c>
      <c r="Z231" s="121" t="s">
        <v>198</v>
      </c>
      <c r="AA231" s="126">
        <v>0.27</v>
      </c>
      <c r="AB231" s="121" t="s">
        <v>198</v>
      </c>
      <c r="AC231" s="143">
        <f>13/49</f>
        <v>0.26530612244897961</v>
      </c>
      <c r="AD231" s="121" t="s">
        <v>198</v>
      </c>
      <c r="AE231" s="126">
        <v>0.43</v>
      </c>
      <c r="AF231" s="147" t="s">
        <v>251</v>
      </c>
      <c r="AG231" s="127" t="s">
        <v>61</v>
      </c>
      <c r="AH231" s="127" t="s">
        <v>61</v>
      </c>
      <c r="AI231" s="142">
        <v>0.39</v>
      </c>
      <c r="AJ231" s="147" t="s">
        <v>251</v>
      </c>
      <c r="AK231" s="142">
        <v>0.39</v>
      </c>
      <c r="AL231" s="147" t="s">
        <v>251</v>
      </c>
      <c r="AM231" s="142">
        <v>0.48</v>
      </c>
      <c r="AN231" s="121" t="s">
        <v>251</v>
      </c>
      <c r="AO231" s="141">
        <f>27/73</f>
        <v>0.36986301369863012</v>
      </c>
      <c r="AP231" s="121" t="s">
        <v>251</v>
      </c>
      <c r="AQ231" s="215" t="s">
        <v>61</v>
      </c>
      <c r="AR231" s="121" t="s">
        <v>61</v>
      </c>
      <c r="AS231" s="215" t="s">
        <v>61</v>
      </c>
      <c r="AT231" s="215" t="s">
        <v>61</v>
      </c>
      <c r="AU231" s="141">
        <f>16/35</f>
        <v>0.45714285714285713</v>
      </c>
      <c r="AV231" s="121" t="s">
        <v>251</v>
      </c>
      <c r="AW231" s="141">
        <f>12/40</f>
        <v>0.3</v>
      </c>
      <c r="AX231" s="121" t="s">
        <v>198</v>
      </c>
      <c r="AY231" s="141">
        <f>8/41</f>
        <v>0.1951219512195122</v>
      </c>
      <c r="AZ231" s="121" t="s">
        <v>198</v>
      </c>
      <c r="BA231" s="141">
        <f>8/41</f>
        <v>0.1951219512195122</v>
      </c>
      <c r="BB231" s="121" t="s">
        <v>198</v>
      </c>
      <c r="BC231" s="141">
        <f>9/47</f>
        <v>0.19148936170212766</v>
      </c>
      <c r="BD231" s="121" t="s">
        <v>198</v>
      </c>
      <c r="BE231" s="121" t="s">
        <v>61</v>
      </c>
      <c r="BF231" s="121" t="s">
        <v>61</v>
      </c>
      <c r="BG231" s="121" t="s">
        <v>61</v>
      </c>
      <c r="BH231" s="121" t="s">
        <v>61</v>
      </c>
      <c r="BI231" s="121" t="s">
        <v>61</v>
      </c>
      <c r="BJ231" s="121" t="s">
        <v>61</v>
      </c>
      <c r="BK231" s="82">
        <f>14/41</f>
        <v>0.34146341463414637</v>
      </c>
      <c r="BL231" s="174" t="str">
        <f>IF(BK231="NA","NA",IF(BK231="Not Reported","Not Reported",IF(BK231&gt;$L$231,"Not Met","Met")))</f>
        <v>Not Met</v>
      </c>
      <c r="BM231" s="268">
        <f>17/47</f>
        <v>0.36170212765957449</v>
      </c>
      <c r="BN231" s="162" t="str">
        <f>IF(BM231="NA","NA",IF(BM231="Not Reported","Not Reported",IF(BM231&gt;$L$231,"Not Met","Met")))</f>
        <v>Not Met</v>
      </c>
      <c r="BO231" s="178">
        <v>0.49</v>
      </c>
      <c r="BP231" s="162" t="s">
        <v>251</v>
      </c>
      <c r="BQ231" s="178">
        <v>0.49</v>
      </c>
      <c r="BR231" s="162" t="s">
        <v>251</v>
      </c>
      <c r="BS231" s="315">
        <v>0.46</v>
      </c>
      <c r="BT231" s="162" t="str">
        <f>IF(BS231="NA","NA",IF(BS231="Not Reported","Not Reported",IF(BS231&gt;$L$231,"Not Met","Met")))</f>
        <v>Not Met</v>
      </c>
      <c r="BU231" s="419">
        <v>0.49</v>
      </c>
      <c r="BV231" s="162" t="str">
        <f>IF(BU231="NA","NA",IF(BU231="Not Reported","Not Reported",IF(BU231&gt;$L$231,"Not Met","Met")))</f>
        <v>Not Met</v>
      </c>
    </row>
    <row r="232" spans="1:74" ht="24" x14ac:dyDescent="0.25">
      <c r="A232" s="121">
        <v>231</v>
      </c>
      <c r="B232" s="122" t="s">
        <v>18</v>
      </c>
      <c r="C232" s="122" t="s">
        <v>903</v>
      </c>
      <c r="D232" s="123" t="s">
        <v>133</v>
      </c>
      <c r="E232" s="123" t="s">
        <v>899</v>
      </c>
      <c r="F232" s="123" t="s">
        <v>300</v>
      </c>
      <c r="G232" s="122" t="s">
        <v>273</v>
      </c>
      <c r="H232" s="122" t="s">
        <v>192</v>
      </c>
      <c r="I232" s="124" t="s">
        <v>284</v>
      </c>
      <c r="J232" s="124" t="s">
        <v>285</v>
      </c>
      <c r="K232" s="145" t="s">
        <v>284</v>
      </c>
      <c r="L232" s="128">
        <v>0.6</v>
      </c>
      <c r="M232" s="128">
        <v>0.6</v>
      </c>
      <c r="N232" s="145" t="s">
        <v>287</v>
      </c>
      <c r="O232" s="145" t="s">
        <v>288</v>
      </c>
      <c r="P232" s="123" t="s">
        <v>207</v>
      </c>
      <c r="Q232" s="141">
        <v>0.59</v>
      </c>
      <c r="R232" s="127" t="s">
        <v>251</v>
      </c>
      <c r="S232" s="142">
        <v>0.72</v>
      </c>
      <c r="T232" s="121" t="s">
        <v>198</v>
      </c>
      <c r="U232" s="127" t="s">
        <v>61</v>
      </c>
      <c r="V232" s="127" t="s">
        <v>61</v>
      </c>
      <c r="W232" s="126">
        <v>0.66</v>
      </c>
      <c r="X232" s="121" t="s">
        <v>198</v>
      </c>
      <c r="Y232" s="126">
        <v>0.77</v>
      </c>
      <c r="Z232" s="121" t="s">
        <v>198</v>
      </c>
      <c r="AA232" s="126">
        <v>0.79</v>
      </c>
      <c r="AB232" s="121" t="s">
        <v>198</v>
      </c>
      <c r="AC232" s="143">
        <f>646/920</f>
        <v>0.70217391304347831</v>
      </c>
      <c r="AD232" s="121" t="s">
        <v>198</v>
      </c>
      <c r="AE232" s="141">
        <v>0.82181818181818178</v>
      </c>
      <c r="AF232" s="121" t="s">
        <v>198</v>
      </c>
      <c r="AG232" s="127" t="s">
        <v>61</v>
      </c>
      <c r="AH232" s="127" t="s">
        <v>61</v>
      </c>
      <c r="AI232" s="142">
        <v>0.68</v>
      </c>
      <c r="AJ232" s="121" t="s">
        <v>198</v>
      </c>
      <c r="AK232" s="142">
        <v>0.71</v>
      </c>
      <c r="AL232" s="121" t="s">
        <v>198</v>
      </c>
      <c r="AM232" s="142">
        <v>0.75</v>
      </c>
      <c r="AN232" s="121" t="s">
        <v>198</v>
      </c>
      <c r="AO232" s="141">
        <f>194/248</f>
        <v>0.782258064516129</v>
      </c>
      <c r="AP232" s="121" t="s">
        <v>198</v>
      </c>
      <c r="AQ232" s="215" t="s">
        <v>61</v>
      </c>
      <c r="AR232" s="121" t="s">
        <v>61</v>
      </c>
      <c r="AS232" s="215" t="s">
        <v>61</v>
      </c>
      <c r="AT232" s="215" t="s">
        <v>61</v>
      </c>
      <c r="AU232" s="141">
        <f>238/304</f>
        <v>0.78289473684210531</v>
      </c>
      <c r="AV232" s="121" t="s">
        <v>198</v>
      </c>
      <c r="AW232" s="141">
        <v>0.77</v>
      </c>
      <c r="AX232" s="121" t="s">
        <v>198</v>
      </c>
      <c r="AY232" s="141">
        <v>0.59</v>
      </c>
      <c r="AZ232" s="121" t="s">
        <v>251</v>
      </c>
      <c r="BA232" s="141">
        <v>0.73</v>
      </c>
      <c r="BB232" s="121" t="s">
        <v>198</v>
      </c>
      <c r="BC232" s="141">
        <v>0.78</v>
      </c>
      <c r="BD232" s="121" t="s">
        <v>198</v>
      </c>
      <c r="BE232" s="121" t="s">
        <v>61</v>
      </c>
      <c r="BF232" s="121" t="s">
        <v>61</v>
      </c>
      <c r="BG232" s="121" t="s">
        <v>61</v>
      </c>
      <c r="BH232" s="121" t="s">
        <v>61</v>
      </c>
      <c r="BI232" s="121" t="s">
        <v>61</v>
      </c>
      <c r="BJ232" s="121" t="s">
        <v>61</v>
      </c>
      <c r="BK232" s="82">
        <f>112/134</f>
        <v>0.83582089552238803</v>
      </c>
      <c r="BL232" s="128" t="str">
        <f>IF(BK232="NA","NA",IF(BK232="Not Reported","Not Reported",IF(BK232&lt;$L$232,"Not Met","Met")))</f>
        <v>Met</v>
      </c>
      <c r="BM232" s="268">
        <f>224/265</f>
        <v>0.84528301886792456</v>
      </c>
      <c r="BN232" s="128" t="str">
        <f>IF(BM232="NA","NA",IF(BM232="Not Reported","Not Reported",IF(BM232&lt;$L$232,"Not Met","Met")))</f>
        <v>Met</v>
      </c>
      <c r="BO232" s="128">
        <v>0.79</v>
      </c>
      <c r="BP232" s="128" t="s">
        <v>198</v>
      </c>
      <c r="BQ232" s="128">
        <v>0.82</v>
      </c>
      <c r="BR232" s="128" t="s">
        <v>198</v>
      </c>
      <c r="BS232" s="315">
        <v>0.83</v>
      </c>
      <c r="BT232" s="128" t="str">
        <f>IF(BS232="NA","NA",IF(BS232="Not Reported","Not Reported",IF(BS232&lt;$L$232,"Not Met","Met")))</f>
        <v>Met</v>
      </c>
      <c r="BU232" s="419">
        <v>0.76</v>
      </c>
      <c r="BV232" s="128" t="str">
        <f>IF(BU232="NA","NA",IF(BU232="Not Reported","Not Reported",IF(BU232&lt;$L$232,"Not Met","Met")))</f>
        <v>Met</v>
      </c>
    </row>
    <row r="233" spans="1:74" ht="24" x14ac:dyDescent="0.25">
      <c r="A233" s="121">
        <v>232</v>
      </c>
      <c r="B233" s="122" t="s">
        <v>18</v>
      </c>
      <c r="C233" s="122" t="s">
        <v>903</v>
      </c>
      <c r="D233" s="123" t="s">
        <v>133</v>
      </c>
      <c r="E233" s="123" t="s">
        <v>899</v>
      </c>
      <c r="F233" s="123" t="s">
        <v>300</v>
      </c>
      <c r="G233" s="122" t="s">
        <v>273</v>
      </c>
      <c r="H233" s="122" t="s">
        <v>192</v>
      </c>
      <c r="I233" s="124" t="s">
        <v>289</v>
      </c>
      <c r="J233" s="124" t="s">
        <v>285</v>
      </c>
      <c r="K233" s="145" t="s">
        <v>289</v>
      </c>
      <c r="L233" s="128">
        <v>0.2</v>
      </c>
      <c r="M233" s="128">
        <v>0.2</v>
      </c>
      <c r="N233" s="145" t="s">
        <v>290</v>
      </c>
      <c r="O233" s="145" t="s">
        <v>291</v>
      </c>
      <c r="P233" s="123" t="s">
        <v>207</v>
      </c>
      <c r="Q233" s="141">
        <f>35/674</f>
        <v>5.192878338278932E-2</v>
      </c>
      <c r="R233" s="121" t="s">
        <v>251</v>
      </c>
      <c r="S233" s="126">
        <v>0.1</v>
      </c>
      <c r="T233" s="147" t="s">
        <v>251</v>
      </c>
      <c r="U233" s="127" t="s">
        <v>61</v>
      </c>
      <c r="V233" s="127" t="s">
        <v>61</v>
      </c>
      <c r="W233" s="126">
        <v>0.09</v>
      </c>
      <c r="X233" s="147" t="s">
        <v>251</v>
      </c>
      <c r="Y233" s="146">
        <v>0.14000000000000001</v>
      </c>
      <c r="Z233" s="121" t="s">
        <v>251</v>
      </c>
      <c r="AA233" s="126">
        <v>0.11</v>
      </c>
      <c r="AB233" s="147" t="s">
        <v>251</v>
      </c>
      <c r="AC233" s="143">
        <f>99/909</f>
        <v>0.10891089108910891</v>
      </c>
      <c r="AD233" s="121" t="s">
        <v>251</v>
      </c>
      <c r="AE233" s="141">
        <v>0.10545454545454545</v>
      </c>
      <c r="AF233" s="147" t="s">
        <v>251</v>
      </c>
      <c r="AG233" s="127" t="s">
        <v>61</v>
      </c>
      <c r="AH233" s="127" t="s">
        <v>61</v>
      </c>
      <c r="AI233" s="142">
        <v>0.1</v>
      </c>
      <c r="AJ233" s="147" t="s">
        <v>251</v>
      </c>
      <c r="AK233" s="142">
        <v>0.12</v>
      </c>
      <c r="AL233" s="147" t="s">
        <v>251</v>
      </c>
      <c r="AM233" s="142">
        <v>0.21134020618556701</v>
      </c>
      <c r="AN233" s="121" t="s">
        <v>198</v>
      </c>
      <c r="AO233" s="141">
        <f>47/194</f>
        <v>0.2422680412371134</v>
      </c>
      <c r="AP233" s="121" t="s">
        <v>198</v>
      </c>
      <c r="AQ233" s="215" t="s">
        <v>61</v>
      </c>
      <c r="AR233" s="121" t="s">
        <v>61</v>
      </c>
      <c r="AS233" s="215" t="s">
        <v>61</v>
      </c>
      <c r="AT233" s="215" t="s">
        <v>61</v>
      </c>
      <c r="AU233" s="141">
        <f>38/304</f>
        <v>0.125</v>
      </c>
      <c r="AV233" s="121" t="s">
        <v>251</v>
      </c>
      <c r="AW233" s="141">
        <f>32/292</f>
        <v>0.1095890410958904</v>
      </c>
      <c r="AX233" s="121" t="s">
        <v>251</v>
      </c>
      <c r="AY233" s="141">
        <v>0.19</v>
      </c>
      <c r="AZ233" s="121" t="s">
        <v>251</v>
      </c>
      <c r="BA233" s="141">
        <v>0.16</v>
      </c>
      <c r="BB233" s="121" t="s">
        <v>251</v>
      </c>
      <c r="BC233" s="141">
        <v>0.19</v>
      </c>
      <c r="BD233" s="121" t="s">
        <v>251</v>
      </c>
      <c r="BE233" s="121" t="s">
        <v>61</v>
      </c>
      <c r="BF233" s="121" t="s">
        <v>61</v>
      </c>
      <c r="BG233" s="121" t="s">
        <v>61</v>
      </c>
      <c r="BH233" s="121" t="s">
        <v>61</v>
      </c>
      <c r="BI233" s="121" t="s">
        <v>61</v>
      </c>
      <c r="BJ233" s="121" t="s">
        <v>61</v>
      </c>
      <c r="BK233" s="82">
        <f>22/134</f>
        <v>0.16417910447761194</v>
      </c>
      <c r="BL233" s="128" t="str">
        <f>IF(BK233="NA","NA",IF(BK233="Not Reported","Not Reported",IF(BK233&lt;$L$233,"Not Met","Met")))</f>
        <v>Not Met</v>
      </c>
      <c r="BM233" s="268">
        <f>25/264</f>
        <v>9.4696969696969696E-2</v>
      </c>
      <c r="BN233" s="128" t="str">
        <f>IF(BM233="NA","NA",IF(BM233="Not Reported","Not Reported",IF(BM233&lt;$L$233,"Not Met","Met")))</f>
        <v>Not Met</v>
      </c>
      <c r="BO233" s="128">
        <v>0.13</v>
      </c>
      <c r="BP233" s="128" t="s">
        <v>251</v>
      </c>
      <c r="BQ233" s="128">
        <v>0.13</v>
      </c>
      <c r="BR233" s="128" t="s">
        <v>251</v>
      </c>
      <c r="BS233" s="315">
        <v>0.11</v>
      </c>
      <c r="BT233" s="128" t="str">
        <f>IF(BS233="NA","NA",IF(BS233="Not Reported","Not Reported",IF(BS233&lt;$L$233,"Not Met","Met")))</f>
        <v>Not Met</v>
      </c>
      <c r="BU233" s="419">
        <v>0.21</v>
      </c>
      <c r="BV233" s="128" t="str">
        <f>IF(BU233="NA","NA",IF(BU233="Not Reported","Not Reported",IF(BU233&lt;$L$233,"Not Met","Met")))</f>
        <v>Met</v>
      </c>
    </row>
    <row r="234" spans="1:74" ht="24" x14ac:dyDescent="0.25">
      <c r="A234" s="121">
        <v>233</v>
      </c>
      <c r="B234" s="122" t="s">
        <v>18</v>
      </c>
      <c r="C234" s="122" t="s">
        <v>903</v>
      </c>
      <c r="D234" s="123" t="s">
        <v>133</v>
      </c>
      <c r="E234" s="123" t="s">
        <v>899</v>
      </c>
      <c r="F234" s="123" t="s">
        <v>300</v>
      </c>
      <c r="G234" s="122" t="s">
        <v>273</v>
      </c>
      <c r="H234" s="122" t="s">
        <v>192</v>
      </c>
      <c r="I234" s="124" t="s">
        <v>292</v>
      </c>
      <c r="J234" s="124" t="s">
        <v>293</v>
      </c>
      <c r="K234" s="122" t="s">
        <v>292</v>
      </c>
      <c r="L234" s="128">
        <v>0.15</v>
      </c>
      <c r="M234" s="128">
        <v>0.15</v>
      </c>
      <c r="N234" s="216" t="s">
        <v>294</v>
      </c>
      <c r="O234" s="145" t="s">
        <v>611</v>
      </c>
      <c r="P234" s="123" t="s">
        <v>207</v>
      </c>
      <c r="Q234" s="142">
        <f>5/33</f>
        <v>0.15151515151515152</v>
      </c>
      <c r="R234" s="121" t="s">
        <v>198</v>
      </c>
      <c r="S234" s="126">
        <v>0</v>
      </c>
      <c r="T234" s="121" t="s">
        <v>198</v>
      </c>
      <c r="U234" s="127" t="s">
        <v>61</v>
      </c>
      <c r="V234" s="127" t="s">
        <v>61</v>
      </c>
      <c r="W234" s="126">
        <v>0.27</v>
      </c>
      <c r="X234" s="147" t="s">
        <v>251</v>
      </c>
      <c r="Y234" s="146">
        <v>0.17</v>
      </c>
      <c r="Z234" s="121" t="s">
        <v>251</v>
      </c>
      <c r="AA234" s="126">
        <v>0.15</v>
      </c>
      <c r="AB234" s="121" t="s">
        <v>198</v>
      </c>
      <c r="AC234" s="143">
        <f>19/99</f>
        <v>0.19191919191919191</v>
      </c>
      <c r="AD234" s="121" t="s">
        <v>251</v>
      </c>
      <c r="AE234" s="142">
        <v>0.2413793103448276</v>
      </c>
      <c r="AF234" s="147" t="s">
        <v>251</v>
      </c>
      <c r="AG234" s="127" t="s">
        <v>61</v>
      </c>
      <c r="AH234" s="127" t="s">
        <v>61</v>
      </c>
      <c r="AI234" s="142">
        <v>0.19</v>
      </c>
      <c r="AJ234" s="147" t="s">
        <v>251</v>
      </c>
      <c r="AK234" s="142">
        <v>0.22</v>
      </c>
      <c r="AL234" s="147" t="s">
        <v>251</v>
      </c>
      <c r="AM234" s="142">
        <v>0.12195121951219512</v>
      </c>
      <c r="AN234" s="121" t="s">
        <v>198</v>
      </c>
      <c r="AO234" s="142">
        <f>5/47</f>
        <v>0.10638297872340426</v>
      </c>
      <c r="AP234" s="121" t="s">
        <v>198</v>
      </c>
      <c r="AQ234" s="215" t="s">
        <v>61</v>
      </c>
      <c r="AR234" s="121" t="s">
        <v>61</v>
      </c>
      <c r="AS234" s="215" t="s">
        <v>61</v>
      </c>
      <c r="AT234" s="215" t="s">
        <v>61</v>
      </c>
      <c r="AU234" s="142">
        <f>6/38</f>
        <v>0.15789473684210525</v>
      </c>
      <c r="AV234" s="121" t="s">
        <v>251</v>
      </c>
      <c r="AW234" s="142">
        <f>5/32</f>
        <v>0.15625</v>
      </c>
      <c r="AX234" s="121" t="s">
        <v>251</v>
      </c>
      <c r="AY234" s="142">
        <f>3/22</f>
        <v>0.13636363636363635</v>
      </c>
      <c r="AZ234" s="121" t="s">
        <v>198</v>
      </c>
      <c r="BA234" s="142">
        <f>(6+5+3)/(38+32+22)</f>
        <v>0.15217391304347827</v>
      </c>
      <c r="BB234" s="121" t="s">
        <v>198</v>
      </c>
      <c r="BC234" s="142">
        <f>5/50</f>
        <v>0.1</v>
      </c>
      <c r="BD234" s="121" t="s">
        <v>198</v>
      </c>
      <c r="BE234" s="121" t="s">
        <v>61</v>
      </c>
      <c r="BF234" s="121" t="s">
        <v>61</v>
      </c>
      <c r="BG234" s="121" t="s">
        <v>61</v>
      </c>
      <c r="BH234" s="121" t="s">
        <v>61</v>
      </c>
      <c r="BI234" s="121" t="s">
        <v>61</v>
      </c>
      <c r="BJ234" s="121" t="s">
        <v>61</v>
      </c>
      <c r="BK234" s="217">
        <f>3/22</f>
        <v>0.13636363636363635</v>
      </c>
      <c r="BL234" s="128" t="str">
        <f>IF(BK234="NA","NA",IF(BK234="Not Reported","Not Reported",IF(BK234&gt;$L$234,"Not Met","Met")))</f>
        <v>Met</v>
      </c>
      <c r="BM234" s="268">
        <f>1/18</f>
        <v>5.5555555555555552E-2</v>
      </c>
      <c r="BN234" s="128" t="str">
        <f>IF(BM234="NA","NA",IF(BM234="Not Reported","Not Reported",IF(BM234&gt;$L$234,"Not Met","Met")))</f>
        <v>Met</v>
      </c>
      <c r="BO234" s="128">
        <v>0.06</v>
      </c>
      <c r="BP234" s="128" t="s">
        <v>198</v>
      </c>
      <c r="BQ234" s="128">
        <v>0.15</v>
      </c>
      <c r="BR234" s="128" t="s">
        <v>198</v>
      </c>
      <c r="BS234" s="315">
        <v>0</v>
      </c>
      <c r="BT234" s="128" t="str">
        <f>IF(BS234="NA","NA",IF(BS234="Not Reported","Not Reported",IF(BS234&gt;$L$234,"Not Met","Met")))</f>
        <v>Met</v>
      </c>
      <c r="BU234" s="420">
        <v>0.1</v>
      </c>
      <c r="BV234" s="128" t="str">
        <f>IF(BU234="NA","NA",IF(BU234="Not Reported","Not Reported",IF(BU234&gt;$L$234,"Not Met","Met")))</f>
        <v>Met</v>
      </c>
    </row>
    <row r="235" spans="1:74" ht="24" x14ac:dyDescent="0.25">
      <c r="A235" s="121">
        <v>234</v>
      </c>
      <c r="B235" s="122" t="s">
        <v>18</v>
      </c>
      <c r="C235" s="122" t="s">
        <v>903</v>
      </c>
      <c r="D235" s="123" t="s">
        <v>133</v>
      </c>
      <c r="E235" s="123" t="s">
        <v>899</v>
      </c>
      <c r="F235" s="123" t="s">
        <v>300</v>
      </c>
      <c r="G235" s="122" t="s">
        <v>273</v>
      </c>
      <c r="H235" s="122" t="s">
        <v>192</v>
      </c>
      <c r="I235" s="123" t="s">
        <v>296</v>
      </c>
      <c r="J235" s="123" t="s">
        <v>296</v>
      </c>
      <c r="K235" s="145" t="s">
        <v>296</v>
      </c>
      <c r="L235" s="128">
        <v>0.8</v>
      </c>
      <c r="M235" s="128">
        <v>0.8</v>
      </c>
      <c r="N235" s="145" t="s">
        <v>297</v>
      </c>
      <c r="O235" s="145" t="s">
        <v>298</v>
      </c>
      <c r="P235" s="123" t="s">
        <v>207</v>
      </c>
      <c r="Q235" s="142">
        <f>28/36</f>
        <v>0.77777777777777779</v>
      </c>
      <c r="R235" s="121" t="s">
        <v>251</v>
      </c>
      <c r="S235" s="126">
        <v>0.82</v>
      </c>
      <c r="T235" s="121" t="s">
        <v>198</v>
      </c>
      <c r="U235" s="127" t="s">
        <v>61</v>
      </c>
      <c r="V235" s="127" t="s">
        <v>61</v>
      </c>
      <c r="W235" s="126">
        <v>0.52</v>
      </c>
      <c r="X235" s="147" t="s">
        <v>251</v>
      </c>
      <c r="Y235" s="146">
        <v>0.46</v>
      </c>
      <c r="Z235" s="121" t="s">
        <v>251</v>
      </c>
      <c r="AA235" s="126">
        <v>0.37</v>
      </c>
      <c r="AB235" s="147" t="s">
        <v>251</v>
      </c>
      <c r="AC235" s="143">
        <v>0.45</v>
      </c>
      <c r="AD235" s="121" t="s">
        <v>251</v>
      </c>
      <c r="AE235" s="142">
        <v>0.17</v>
      </c>
      <c r="AF235" s="147" t="s">
        <v>251</v>
      </c>
      <c r="AG235" s="127" t="s">
        <v>61</v>
      </c>
      <c r="AH235" s="127" t="s">
        <v>61</v>
      </c>
      <c r="AI235" s="142">
        <v>0.33</v>
      </c>
      <c r="AJ235" s="147" t="s">
        <v>251</v>
      </c>
      <c r="AK235" s="142">
        <v>0.33</v>
      </c>
      <c r="AL235" s="147" t="s">
        <v>251</v>
      </c>
      <c r="AM235" s="142">
        <v>0.42</v>
      </c>
      <c r="AN235" s="121" t="s">
        <v>251</v>
      </c>
      <c r="AO235" s="142">
        <v>0.36</v>
      </c>
      <c r="AP235" s="121" t="s">
        <v>251</v>
      </c>
      <c r="AQ235" s="215" t="s">
        <v>61</v>
      </c>
      <c r="AR235" s="121" t="s">
        <v>61</v>
      </c>
      <c r="AS235" s="215" t="s">
        <v>61</v>
      </c>
      <c r="AT235" s="215" t="s">
        <v>61</v>
      </c>
      <c r="AU235" s="142">
        <v>0.49</v>
      </c>
      <c r="AV235" s="121" t="s">
        <v>251</v>
      </c>
      <c r="AW235" s="142">
        <v>0.33</v>
      </c>
      <c r="AX235" s="121" t="s">
        <v>251</v>
      </c>
      <c r="AY235" s="142">
        <v>0.76</v>
      </c>
      <c r="AZ235" s="121" t="s">
        <v>251</v>
      </c>
      <c r="BA235" s="142">
        <v>0.55000000000000004</v>
      </c>
      <c r="BB235" s="121" t="s">
        <v>251</v>
      </c>
      <c r="BC235" s="142">
        <v>0.71</v>
      </c>
      <c r="BD235" s="121" t="s">
        <v>251</v>
      </c>
      <c r="BE235" s="121" t="s">
        <v>61</v>
      </c>
      <c r="BF235" s="121" t="s">
        <v>61</v>
      </c>
      <c r="BG235" s="121" t="s">
        <v>61</v>
      </c>
      <c r="BH235" s="121" t="s">
        <v>61</v>
      </c>
      <c r="BI235" s="121" t="s">
        <v>61</v>
      </c>
      <c r="BJ235" s="121" t="s">
        <v>61</v>
      </c>
      <c r="BK235" s="217">
        <v>0.86</v>
      </c>
      <c r="BL235" s="128" t="str">
        <f>IF(BK235="NA","NA",IF(BK235="Not Reported","Not Reported",IF(BK235&lt;$L$235,"Not Met","Met")))</f>
        <v>Met</v>
      </c>
      <c r="BM235" s="268">
        <f>15/34</f>
        <v>0.44117647058823528</v>
      </c>
      <c r="BN235" s="128" t="str">
        <f>IF(BM235="NA","NA",IF(BM235="Not Reported","Not Reported",IF(BM235&lt;$L$235,"Not Met","Met")))</f>
        <v>Not Met</v>
      </c>
      <c r="BO235" s="128">
        <v>0.23</v>
      </c>
      <c r="BP235" s="128" t="s">
        <v>251</v>
      </c>
      <c r="BQ235" s="128">
        <v>0.54</v>
      </c>
      <c r="BR235" s="128" t="s">
        <v>251</v>
      </c>
      <c r="BS235" s="315">
        <v>0.46</v>
      </c>
      <c r="BT235" s="128" t="str">
        <f>IF(BS235="NA","NA",IF(BS235="Not Reported","Not Reported",IF(BS235&lt;$L$235,"Not Met","Met")))</f>
        <v>Not Met</v>
      </c>
      <c r="BU235" s="420">
        <v>0.75</v>
      </c>
      <c r="BV235" s="128" t="str">
        <f>IF(BU235="NA","NA",IF(BU235="Not Reported","Not Reported",IF(BU235&lt;$L$235,"Not Met","Met")))</f>
        <v>Not Met</v>
      </c>
    </row>
    <row r="236" spans="1:74" x14ac:dyDescent="0.25">
      <c r="A236" s="121">
        <v>235</v>
      </c>
      <c r="B236" s="122" t="s">
        <v>14</v>
      </c>
      <c r="C236" s="122" t="s">
        <v>901</v>
      </c>
      <c r="D236" s="123" t="s">
        <v>102</v>
      </c>
      <c r="E236" s="123" t="s">
        <v>900</v>
      </c>
      <c r="F236" s="123" t="s">
        <v>300</v>
      </c>
      <c r="G236" s="122" t="s">
        <v>273</v>
      </c>
      <c r="H236" s="122" t="s">
        <v>192</v>
      </c>
      <c r="I236" s="124" t="s">
        <v>213</v>
      </c>
      <c r="J236" s="124" t="s">
        <v>214</v>
      </c>
      <c r="K236" s="129" t="s">
        <v>213</v>
      </c>
      <c r="L236" s="130">
        <v>50</v>
      </c>
      <c r="M236" s="128" t="s">
        <v>275</v>
      </c>
      <c r="N236" s="145" t="s">
        <v>341</v>
      </c>
      <c r="O236" s="145" t="s">
        <v>342</v>
      </c>
      <c r="P236" s="122" t="s">
        <v>207</v>
      </c>
      <c r="Q236" s="147" t="s">
        <v>11</v>
      </c>
      <c r="R236" s="147" t="s">
        <v>11</v>
      </c>
      <c r="S236" s="131" t="s">
        <v>11</v>
      </c>
      <c r="T236" s="131" t="s">
        <v>11</v>
      </c>
      <c r="U236" s="131" t="s">
        <v>705</v>
      </c>
      <c r="V236" s="147" t="s">
        <v>251</v>
      </c>
      <c r="W236" s="131" t="s">
        <v>238</v>
      </c>
      <c r="X236" s="121" t="s">
        <v>198</v>
      </c>
      <c r="Y236" s="131" t="s">
        <v>256</v>
      </c>
      <c r="Z236" s="131" t="s">
        <v>61</v>
      </c>
      <c r="AA236" s="131" t="s">
        <v>11</v>
      </c>
      <c r="AB236" s="128" t="s">
        <v>11</v>
      </c>
      <c r="AC236" s="131" t="s">
        <v>61</v>
      </c>
      <c r="AD236" s="121" t="s">
        <v>61</v>
      </c>
      <c r="AE236" s="127" t="s">
        <v>61</v>
      </c>
      <c r="AF236" s="127" t="s">
        <v>61</v>
      </c>
      <c r="AG236" s="131" t="s">
        <v>583</v>
      </c>
      <c r="AH236" s="147" t="s">
        <v>251</v>
      </c>
      <c r="AI236" s="147" t="s">
        <v>61</v>
      </c>
      <c r="AJ236" s="121" t="s">
        <v>61</v>
      </c>
      <c r="AK236" s="147" t="s">
        <v>61</v>
      </c>
      <c r="AL236" s="121" t="s">
        <v>61</v>
      </c>
      <c r="AM236" s="127" t="s">
        <v>61</v>
      </c>
      <c r="AN236" s="121" t="s">
        <v>61</v>
      </c>
      <c r="AO236" s="127" t="s">
        <v>61</v>
      </c>
      <c r="AP236" s="121" t="s">
        <v>61</v>
      </c>
      <c r="AQ236" s="127" t="s">
        <v>61</v>
      </c>
      <c r="AR236" s="121" t="s">
        <v>61</v>
      </c>
      <c r="AS236" s="127" t="s">
        <v>61</v>
      </c>
      <c r="AT236" s="121" t="s">
        <v>61</v>
      </c>
      <c r="AU236" s="127" t="s">
        <v>61</v>
      </c>
      <c r="AV236" s="121" t="s">
        <v>61</v>
      </c>
      <c r="AW236" s="127" t="s">
        <v>61</v>
      </c>
      <c r="AX236" s="121" t="s">
        <v>61</v>
      </c>
      <c r="AY236" s="127" t="s">
        <v>61</v>
      </c>
      <c r="AZ236" s="121" t="s">
        <v>61</v>
      </c>
      <c r="BA236" s="127" t="s">
        <v>61</v>
      </c>
      <c r="BB236" s="121" t="s">
        <v>61</v>
      </c>
      <c r="BC236" s="121" t="s">
        <v>61</v>
      </c>
      <c r="BD236" s="121" t="s">
        <v>6</v>
      </c>
      <c r="BE236" s="121" t="s">
        <v>61</v>
      </c>
      <c r="BF236" s="121" t="s">
        <v>61</v>
      </c>
      <c r="BG236" s="121" t="s">
        <v>61</v>
      </c>
      <c r="BH236" s="121" t="s">
        <v>61</v>
      </c>
      <c r="BI236" s="121" t="s">
        <v>61</v>
      </c>
      <c r="BJ236" s="121" t="s">
        <v>61</v>
      </c>
      <c r="BK236" s="121" t="s">
        <v>11</v>
      </c>
      <c r="BL236" s="121" t="str">
        <f>IF(BK236="NA","NA",IF(BK236="Not Reported","Not Reported",IF(BK236&gt;$L$236,"Not Met","Met")))</f>
        <v>NA</v>
      </c>
      <c r="BM236" s="258" t="s">
        <v>11</v>
      </c>
      <c r="BN236" s="121" t="str">
        <f>IF(BM236="NA","NA",IF(BM236="Not Reported","Not Reported",IF(BM236&gt;$L$236,"Not Met","Met")))</f>
        <v>NA</v>
      </c>
      <c r="BO236" s="326" t="str">
        <f>IF(BN236="NA","NA",IF(BN236="Not Reported","Not Reported",IF(BN236&gt;$L$237,"Not Met","Met")))</f>
        <v>NA</v>
      </c>
      <c r="BP236" s="121" t="s">
        <v>11</v>
      </c>
      <c r="BQ236" s="326" t="str">
        <f>IF(BP236="NA","NA",IF(BP236="Not Reported","Not Reported",IF(BP236&gt;$L$237,"Not Met","Met")))</f>
        <v>NA</v>
      </c>
      <c r="BR236" s="121" t="s">
        <v>11</v>
      </c>
      <c r="BS236" s="26" t="s">
        <v>11</v>
      </c>
      <c r="BT236" s="121" t="str">
        <f>IF(BS236="NA","NA",IF(BS236="Not Reported","Not Reported",IF(BS236&gt;$L$236,"Not Met","Met")))</f>
        <v>NA</v>
      </c>
      <c r="BU236" s="26" t="s">
        <v>11</v>
      </c>
      <c r="BV236" s="121" t="str">
        <f>IF(BU236="NA","NA",IF(BU236="Not Reported","Not Reported",IF(BU236&gt;$L$236,"Not Met","Met")))</f>
        <v>NA</v>
      </c>
    </row>
    <row r="237" spans="1:74" x14ac:dyDescent="0.2">
      <c r="A237" s="121">
        <v>236</v>
      </c>
      <c r="B237" s="122" t="s">
        <v>14</v>
      </c>
      <c r="C237" s="122" t="s">
        <v>901</v>
      </c>
      <c r="D237" s="123" t="s">
        <v>102</v>
      </c>
      <c r="E237" s="123" t="s">
        <v>900</v>
      </c>
      <c r="F237" s="123" t="s">
        <v>300</v>
      </c>
      <c r="G237" s="122" t="s">
        <v>273</v>
      </c>
      <c r="H237" s="122" t="s">
        <v>192</v>
      </c>
      <c r="I237" s="124" t="s">
        <v>246</v>
      </c>
      <c r="J237" s="124" t="s">
        <v>214</v>
      </c>
      <c r="K237" s="122" t="s">
        <v>326</v>
      </c>
      <c r="L237" s="128">
        <v>0.4</v>
      </c>
      <c r="M237" s="128">
        <v>0.4</v>
      </c>
      <c r="N237" s="145" t="s">
        <v>368</v>
      </c>
      <c r="O237" s="145" t="s">
        <v>369</v>
      </c>
      <c r="P237" s="123" t="s">
        <v>207</v>
      </c>
      <c r="Q237" s="146">
        <v>0.5</v>
      </c>
      <c r="R237" s="121" t="s">
        <v>251</v>
      </c>
      <c r="S237" s="142">
        <v>0.18</v>
      </c>
      <c r="T237" s="121" t="s">
        <v>198</v>
      </c>
      <c r="U237" s="142">
        <v>0.33</v>
      </c>
      <c r="V237" s="121" t="s">
        <v>198</v>
      </c>
      <c r="W237" s="142">
        <v>0.5</v>
      </c>
      <c r="X237" s="147" t="s">
        <v>251</v>
      </c>
      <c r="Y237" s="131" t="s">
        <v>256</v>
      </c>
      <c r="Z237" s="131" t="s">
        <v>61</v>
      </c>
      <c r="AA237" s="142">
        <v>0.2</v>
      </c>
      <c r="AB237" s="121" t="s">
        <v>198</v>
      </c>
      <c r="AC237" s="131" t="s">
        <v>61</v>
      </c>
      <c r="AD237" s="121" t="s">
        <v>61</v>
      </c>
      <c r="AE237" s="127" t="s">
        <v>61</v>
      </c>
      <c r="AF237" s="127" t="s">
        <v>61</v>
      </c>
      <c r="AG237" s="142">
        <v>0.33</v>
      </c>
      <c r="AH237" s="121" t="s">
        <v>198</v>
      </c>
      <c r="AI237" s="147" t="s">
        <v>61</v>
      </c>
      <c r="AJ237" s="121" t="s">
        <v>61</v>
      </c>
      <c r="AK237" s="147" t="s">
        <v>61</v>
      </c>
      <c r="AL237" s="121" t="s">
        <v>61</v>
      </c>
      <c r="AM237" s="127" t="s">
        <v>61</v>
      </c>
      <c r="AN237" s="121" t="s">
        <v>61</v>
      </c>
      <c r="AO237" s="127" t="s">
        <v>61</v>
      </c>
      <c r="AP237" s="121" t="s">
        <v>61</v>
      </c>
      <c r="AQ237" s="127" t="s">
        <v>61</v>
      </c>
      <c r="AR237" s="121" t="s">
        <v>61</v>
      </c>
      <c r="AS237" s="127" t="s">
        <v>61</v>
      </c>
      <c r="AT237" s="121" t="s">
        <v>61</v>
      </c>
      <c r="AU237" s="127" t="s">
        <v>61</v>
      </c>
      <c r="AV237" s="121" t="s">
        <v>61</v>
      </c>
      <c r="AW237" s="127" t="s">
        <v>61</v>
      </c>
      <c r="AX237" s="121" t="s">
        <v>61</v>
      </c>
      <c r="AY237" s="127" t="s">
        <v>61</v>
      </c>
      <c r="AZ237" s="121" t="s">
        <v>61</v>
      </c>
      <c r="BA237" s="127" t="s">
        <v>61</v>
      </c>
      <c r="BB237" s="121" t="s">
        <v>61</v>
      </c>
      <c r="BC237" s="121" t="s">
        <v>61</v>
      </c>
      <c r="BD237" s="121" t="s">
        <v>6</v>
      </c>
      <c r="BE237" s="121" t="s">
        <v>61</v>
      </c>
      <c r="BF237" s="121" t="s">
        <v>61</v>
      </c>
      <c r="BG237" s="121" t="s">
        <v>61</v>
      </c>
      <c r="BH237" s="121" t="s">
        <v>61</v>
      </c>
      <c r="BI237" s="121" t="s">
        <v>61</v>
      </c>
      <c r="BJ237" s="121" t="s">
        <v>61</v>
      </c>
      <c r="BK237" s="121" t="s">
        <v>11</v>
      </c>
      <c r="BL237" s="174" t="str">
        <f>IF(BK237="NA","NA",IF(BK237="Not Reported","Not Reported",IF(BK237&gt;$L$237,"Not Met","Met")))</f>
        <v>NA</v>
      </c>
      <c r="BM237" s="258" t="s">
        <v>11</v>
      </c>
      <c r="BN237" s="121" t="str">
        <f>IF(BM237="NA","NA",IF(BM237="Not Reported","Not Reported",IF(BM237&gt;$L$237,"Not Met","Met")))</f>
        <v>NA</v>
      </c>
      <c r="BO237" s="326" t="str">
        <f t="shared" ref="BO237:BQ242" si="2">IF(BN237="NA","NA",IF(BN237="Not Reported","Not Reported",IF(BN237&gt;$L$237,"Not Met","Met")))</f>
        <v>NA</v>
      </c>
      <c r="BP237" s="121" t="s">
        <v>11</v>
      </c>
      <c r="BQ237" s="326" t="str">
        <f t="shared" si="2"/>
        <v>NA</v>
      </c>
      <c r="BR237" s="121" t="s">
        <v>11</v>
      </c>
      <c r="BS237" s="26" t="s">
        <v>11</v>
      </c>
      <c r="BT237" s="121" t="str">
        <f>IF(BS237="NA","NA",IF(BS237="Not Reported","Not Reported",IF(BS237&gt;$L$237,"Not Met","Met")))</f>
        <v>NA</v>
      </c>
      <c r="BU237" s="26" t="s">
        <v>11</v>
      </c>
      <c r="BV237" s="121" t="str">
        <f>IF(BU237="NA","NA",IF(BU237="Not Reported","Not Reported",IF(BU237&gt;$L$237,"Not Met","Met")))</f>
        <v>NA</v>
      </c>
    </row>
    <row r="238" spans="1:74" x14ac:dyDescent="0.25">
      <c r="A238" s="121">
        <v>237</v>
      </c>
      <c r="B238" s="122" t="s">
        <v>14</v>
      </c>
      <c r="C238" s="122" t="s">
        <v>901</v>
      </c>
      <c r="D238" s="123" t="s">
        <v>102</v>
      </c>
      <c r="E238" s="123" t="s">
        <v>900</v>
      </c>
      <c r="F238" s="123" t="s">
        <v>300</v>
      </c>
      <c r="G238" s="122" t="s">
        <v>273</v>
      </c>
      <c r="H238" s="122" t="s">
        <v>192</v>
      </c>
      <c r="I238" s="124" t="s">
        <v>284</v>
      </c>
      <c r="J238" s="124" t="s">
        <v>285</v>
      </c>
      <c r="K238" s="145" t="s">
        <v>284</v>
      </c>
      <c r="L238" s="128">
        <v>0.2</v>
      </c>
      <c r="M238" s="128">
        <v>0.2</v>
      </c>
      <c r="N238" s="145" t="s">
        <v>287</v>
      </c>
      <c r="O238" s="145" t="s">
        <v>288</v>
      </c>
      <c r="P238" s="123" t="s">
        <v>207</v>
      </c>
      <c r="Q238" s="146">
        <v>0.67</v>
      </c>
      <c r="R238" s="121" t="s">
        <v>198</v>
      </c>
      <c r="S238" s="142">
        <v>0.56999999999999995</v>
      </c>
      <c r="T238" s="121" t="s">
        <v>198</v>
      </c>
      <c r="U238" s="142">
        <v>0.42</v>
      </c>
      <c r="V238" s="121" t="s">
        <v>198</v>
      </c>
      <c r="W238" s="142">
        <v>0.53</v>
      </c>
      <c r="X238" s="121" t="s">
        <v>198</v>
      </c>
      <c r="Y238" s="131" t="s">
        <v>256</v>
      </c>
      <c r="Z238" s="131" t="s">
        <v>61</v>
      </c>
      <c r="AA238" s="142">
        <v>0.6</v>
      </c>
      <c r="AB238" s="121" t="s">
        <v>198</v>
      </c>
      <c r="AC238" s="131" t="s">
        <v>61</v>
      </c>
      <c r="AD238" s="121" t="s">
        <v>61</v>
      </c>
      <c r="AE238" s="127" t="s">
        <v>61</v>
      </c>
      <c r="AF238" s="127" t="s">
        <v>61</v>
      </c>
      <c r="AG238" s="142">
        <v>0.63</v>
      </c>
      <c r="AH238" s="121" t="s">
        <v>198</v>
      </c>
      <c r="AI238" s="147" t="s">
        <v>61</v>
      </c>
      <c r="AJ238" s="121" t="s">
        <v>61</v>
      </c>
      <c r="AK238" s="147" t="s">
        <v>61</v>
      </c>
      <c r="AL238" s="121" t="s">
        <v>61</v>
      </c>
      <c r="AM238" s="127" t="s">
        <v>61</v>
      </c>
      <c r="AN238" s="121" t="s">
        <v>61</v>
      </c>
      <c r="AO238" s="127" t="s">
        <v>61</v>
      </c>
      <c r="AP238" s="121" t="s">
        <v>61</v>
      </c>
      <c r="AQ238" s="127" t="s">
        <v>61</v>
      </c>
      <c r="AR238" s="121" t="s">
        <v>61</v>
      </c>
      <c r="AS238" s="127" t="s">
        <v>61</v>
      </c>
      <c r="AT238" s="121" t="s">
        <v>61</v>
      </c>
      <c r="AU238" s="127" t="s">
        <v>61</v>
      </c>
      <c r="AV238" s="121" t="s">
        <v>61</v>
      </c>
      <c r="AW238" s="127" t="s">
        <v>61</v>
      </c>
      <c r="AX238" s="121" t="s">
        <v>61</v>
      </c>
      <c r="AY238" s="127" t="s">
        <v>61</v>
      </c>
      <c r="AZ238" s="121" t="s">
        <v>61</v>
      </c>
      <c r="BA238" s="127" t="s">
        <v>61</v>
      </c>
      <c r="BB238" s="121" t="s">
        <v>61</v>
      </c>
      <c r="BC238" s="121" t="s">
        <v>61</v>
      </c>
      <c r="BD238" s="121" t="s">
        <v>6</v>
      </c>
      <c r="BE238" s="121" t="s">
        <v>61</v>
      </c>
      <c r="BF238" s="121" t="s">
        <v>61</v>
      </c>
      <c r="BG238" s="121" t="s">
        <v>61</v>
      </c>
      <c r="BH238" s="121" t="s">
        <v>61</v>
      </c>
      <c r="BI238" s="121" t="s">
        <v>61</v>
      </c>
      <c r="BJ238" s="121" t="s">
        <v>61</v>
      </c>
      <c r="BK238" s="121" t="s">
        <v>11</v>
      </c>
      <c r="BL238" s="128" t="str">
        <f>IF(BK238="NA","NA",IF(BK238="Not Reported","Not Reported",IF(BK238&lt;$L$238,"Not Met","Met")))</f>
        <v>NA</v>
      </c>
      <c r="BM238" s="258" t="s">
        <v>11</v>
      </c>
      <c r="BN238" s="121" t="str">
        <f>IF(BM238="NA","NA",IF(BM238="Not Reported","Not Reported",IF(BM238&lt;$L$238,"Not Met","Met")))</f>
        <v>NA</v>
      </c>
      <c r="BO238" s="326" t="str">
        <f t="shared" si="2"/>
        <v>NA</v>
      </c>
      <c r="BP238" s="121" t="s">
        <v>11</v>
      </c>
      <c r="BQ238" s="326" t="str">
        <f t="shared" si="2"/>
        <v>NA</v>
      </c>
      <c r="BR238" s="121" t="s">
        <v>11</v>
      </c>
      <c r="BS238" s="26" t="s">
        <v>11</v>
      </c>
      <c r="BT238" s="121" t="str">
        <f>IF(BS238="NA","NA",IF(BS238="Not Reported","Not Reported",IF(BS238&lt;$L$238,"Not Met","Met")))</f>
        <v>NA</v>
      </c>
      <c r="BU238" s="26" t="s">
        <v>11</v>
      </c>
      <c r="BV238" s="121" t="str">
        <f>IF(BU238="NA","NA",IF(BU238="Not Reported","Not Reported",IF(BU238&lt;$L$238,"Not Met","Met")))</f>
        <v>NA</v>
      </c>
    </row>
    <row r="239" spans="1:74" x14ac:dyDescent="0.25">
      <c r="A239" s="121">
        <v>238</v>
      </c>
      <c r="B239" s="122" t="s">
        <v>14</v>
      </c>
      <c r="C239" s="122" t="s">
        <v>901</v>
      </c>
      <c r="D239" s="123" t="s">
        <v>102</v>
      </c>
      <c r="E239" s="123" t="s">
        <v>900</v>
      </c>
      <c r="F239" s="123" t="s">
        <v>300</v>
      </c>
      <c r="G239" s="122" t="s">
        <v>273</v>
      </c>
      <c r="H239" s="122" t="s">
        <v>192</v>
      </c>
      <c r="I239" s="123" t="s">
        <v>296</v>
      </c>
      <c r="J239" s="123" t="s">
        <v>296</v>
      </c>
      <c r="K239" s="145" t="s">
        <v>296</v>
      </c>
      <c r="L239" s="128">
        <v>0.9</v>
      </c>
      <c r="M239" s="128">
        <v>0.9</v>
      </c>
      <c r="N239" s="145" t="s">
        <v>297</v>
      </c>
      <c r="O239" s="145" t="s">
        <v>298</v>
      </c>
      <c r="P239" s="123" t="s">
        <v>207</v>
      </c>
      <c r="Q239" s="146">
        <v>0</v>
      </c>
      <c r="R239" s="121" t="s">
        <v>251</v>
      </c>
      <c r="S239" s="131" t="s">
        <v>11</v>
      </c>
      <c r="T239" s="128" t="s">
        <v>11</v>
      </c>
      <c r="U239" s="131" t="s">
        <v>11</v>
      </c>
      <c r="V239" s="128" t="s">
        <v>11</v>
      </c>
      <c r="W239" s="142">
        <v>0.5</v>
      </c>
      <c r="X239" s="147" t="s">
        <v>251</v>
      </c>
      <c r="Y239" s="131" t="s">
        <v>256</v>
      </c>
      <c r="Z239" s="131" t="s">
        <v>61</v>
      </c>
      <c r="AA239" s="142">
        <v>0.3</v>
      </c>
      <c r="AB239" s="147" t="s">
        <v>251</v>
      </c>
      <c r="AC239" s="131" t="s">
        <v>61</v>
      </c>
      <c r="AD239" s="121" t="s">
        <v>61</v>
      </c>
      <c r="AE239" s="127" t="s">
        <v>61</v>
      </c>
      <c r="AF239" s="127" t="s">
        <v>61</v>
      </c>
      <c r="AG239" s="142">
        <v>0.14000000000000001</v>
      </c>
      <c r="AH239" s="147" t="s">
        <v>251</v>
      </c>
      <c r="AI239" s="147" t="s">
        <v>61</v>
      </c>
      <c r="AJ239" s="121" t="s">
        <v>61</v>
      </c>
      <c r="AK239" s="147" t="s">
        <v>61</v>
      </c>
      <c r="AL239" s="121" t="s">
        <v>61</v>
      </c>
      <c r="AM239" s="127" t="s">
        <v>61</v>
      </c>
      <c r="AN239" s="121" t="s">
        <v>61</v>
      </c>
      <c r="AO239" s="127" t="s">
        <v>61</v>
      </c>
      <c r="AP239" s="121" t="s">
        <v>61</v>
      </c>
      <c r="AQ239" s="127" t="s">
        <v>61</v>
      </c>
      <c r="AR239" s="121" t="s">
        <v>61</v>
      </c>
      <c r="AS239" s="127" t="s">
        <v>61</v>
      </c>
      <c r="AT239" s="121" t="s">
        <v>61</v>
      </c>
      <c r="AU239" s="127" t="s">
        <v>61</v>
      </c>
      <c r="AV239" s="121" t="s">
        <v>61</v>
      </c>
      <c r="AW239" s="127" t="s">
        <v>61</v>
      </c>
      <c r="AX239" s="121" t="s">
        <v>61</v>
      </c>
      <c r="AY239" s="127" t="s">
        <v>61</v>
      </c>
      <c r="AZ239" s="121" t="s">
        <v>61</v>
      </c>
      <c r="BA239" s="127" t="s">
        <v>61</v>
      </c>
      <c r="BB239" s="121" t="s">
        <v>61</v>
      </c>
      <c r="BC239" s="121" t="s">
        <v>61</v>
      </c>
      <c r="BD239" s="121" t="s">
        <v>6</v>
      </c>
      <c r="BE239" s="121" t="s">
        <v>61</v>
      </c>
      <c r="BF239" s="121" t="s">
        <v>61</v>
      </c>
      <c r="BG239" s="121" t="s">
        <v>61</v>
      </c>
      <c r="BH239" s="121" t="s">
        <v>61</v>
      </c>
      <c r="BI239" s="121" t="s">
        <v>61</v>
      </c>
      <c r="BJ239" s="121" t="s">
        <v>61</v>
      </c>
      <c r="BK239" s="121" t="s">
        <v>11</v>
      </c>
      <c r="BL239" s="128" t="str">
        <f>IF(BK239="NA","NA",IF(BK239="Not Reported","Not Reported",IF(BK239&lt;$L$239,"Not Met","Met")))</f>
        <v>NA</v>
      </c>
      <c r="BM239" s="258" t="s">
        <v>11</v>
      </c>
      <c r="BN239" s="121" t="str">
        <f>IF(BM239="NA","NA",IF(BM239="Not Reported","Not Reported",IF(BM239&lt;$L$239,"Not Met","Met")))</f>
        <v>NA</v>
      </c>
      <c r="BO239" s="326" t="str">
        <f t="shared" si="2"/>
        <v>NA</v>
      </c>
      <c r="BP239" s="121" t="s">
        <v>11</v>
      </c>
      <c r="BQ239" s="326" t="str">
        <f t="shared" si="2"/>
        <v>NA</v>
      </c>
      <c r="BR239" s="121" t="s">
        <v>11</v>
      </c>
      <c r="BS239" s="26" t="s">
        <v>11</v>
      </c>
      <c r="BT239" s="121" t="str">
        <f>IF(BS239="NA","NA",IF(BS239="Not Reported","Not Reported",IF(BS239&lt;$L$239,"Not Met","Met")))</f>
        <v>NA</v>
      </c>
      <c r="BU239" s="26" t="s">
        <v>11</v>
      </c>
      <c r="BV239" s="121" t="str">
        <f>IF(BU239="NA","NA",IF(BU239="Not Reported","Not Reported",IF(BU239&lt;$L$239,"Not Met","Met")))</f>
        <v>NA</v>
      </c>
    </row>
    <row r="240" spans="1:74" x14ac:dyDescent="0.25">
      <c r="A240" s="121">
        <v>239</v>
      </c>
      <c r="B240" s="122" t="s">
        <v>14</v>
      </c>
      <c r="C240" s="122" t="s">
        <v>901</v>
      </c>
      <c r="D240" s="123" t="s">
        <v>102</v>
      </c>
      <c r="E240" s="123" t="s">
        <v>900</v>
      </c>
      <c r="F240" s="123" t="s">
        <v>300</v>
      </c>
      <c r="G240" s="122" t="s">
        <v>273</v>
      </c>
      <c r="H240" s="122" t="s">
        <v>192</v>
      </c>
      <c r="I240" s="124" t="s">
        <v>274</v>
      </c>
      <c r="J240" s="124" t="s">
        <v>214</v>
      </c>
      <c r="K240" s="145" t="s">
        <v>274</v>
      </c>
      <c r="L240" s="130">
        <v>140</v>
      </c>
      <c r="M240" s="128" t="s">
        <v>880</v>
      </c>
      <c r="N240" s="145" t="s">
        <v>276</v>
      </c>
      <c r="O240" s="145" t="s">
        <v>277</v>
      </c>
      <c r="P240" s="122" t="s">
        <v>207</v>
      </c>
      <c r="Q240" s="147" t="s">
        <v>11</v>
      </c>
      <c r="R240" s="147" t="s">
        <v>11</v>
      </c>
      <c r="S240" s="131" t="s">
        <v>11</v>
      </c>
      <c r="T240" s="131" t="s">
        <v>11</v>
      </c>
      <c r="U240" s="131" t="s">
        <v>11</v>
      </c>
      <c r="V240" s="128" t="s">
        <v>11</v>
      </c>
      <c r="W240" s="131" t="s">
        <v>561</v>
      </c>
      <c r="X240" s="121" t="s">
        <v>198</v>
      </c>
      <c r="Y240" s="131" t="s">
        <v>256</v>
      </c>
      <c r="Z240" s="131" t="s">
        <v>61</v>
      </c>
      <c r="AA240" s="131">
        <v>92</v>
      </c>
      <c r="AB240" s="121" t="s">
        <v>198</v>
      </c>
      <c r="AC240" s="131" t="s">
        <v>61</v>
      </c>
      <c r="AD240" s="121" t="s">
        <v>61</v>
      </c>
      <c r="AE240" s="127" t="s">
        <v>61</v>
      </c>
      <c r="AF240" s="127" t="s">
        <v>61</v>
      </c>
      <c r="AG240" s="131" t="s">
        <v>648</v>
      </c>
      <c r="AH240" s="121" t="s">
        <v>198</v>
      </c>
      <c r="AI240" s="147" t="s">
        <v>61</v>
      </c>
      <c r="AJ240" s="121" t="s">
        <v>61</v>
      </c>
      <c r="AK240" s="147" t="s">
        <v>61</v>
      </c>
      <c r="AL240" s="121" t="s">
        <v>61</v>
      </c>
      <c r="AM240" s="127" t="s">
        <v>61</v>
      </c>
      <c r="AN240" s="121" t="s">
        <v>61</v>
      </c>
      <c r="AO240" s="127" t="s">
        <v>61</v>
      </c>
      <c r="AP240" s="121" t="s">
        <v>61</v>
      </c>
      <c r="AQ240" s="127" t="s">
        <v>61</v>
      </c>
      <c r="AR240" s="121" t="s">
        <v>61</v>
      </c>
      <c r="AS240" s="127" t="s">
        <v>61</v>
      </c>
      <c r="AT240" s="121" t="s">
        <v>61</v>
      </c>
      <c r="AU240" s="127" t="s">
        <v>61</v>
      </c>
      <c r="AV240" s="121" t="s">
        <v>61</v>
      </c>
      <c r="AW240" s="127" t="s">
        <v>61</v>
      </c>
      <c r="AX240" s="121" t="s">
        <v>61</v>
      </c>
      <c r="AY240" s="127" t="s">
        <v>61</v>
      </c>
      <c r="AZ240" s="121" t="s">
        <v>61</v>
      </c>
      <c r="BA240" s="127" t="s">
        <v>61</v>
      </c>
      <c r="BB240" s="121" t="s">
        <v>61</v>
      </c>
      <c r="BC240" s="121" t="s">
        <v>61</v>
      </c>
      <c r="BD240" s="121" t="s">
        <v>6</v>
      </c>
      <c r="BE240" s="121" t="s">
        <v>61</v>
      </c>
      <c r="BF240" s="121" t="s">
        <v>61</v>
      </c>
      <c r="BG240" s="121" t="s">
        <v>61</v>
      </c>
      <c r="BH240" s="121" t="s">
        <v>61</v>
      </c>
      <c r="BI240" s="121" t="s">
        <v>61</v>
      </c>
      <c r="BJ240" s="121" t="s">
        <v>61</v>
      </c>
      <c r="BK240" s="121" t="s">
        <v>11</v>
      </c>
      <c r="BL240" s="121" t="str">
        <f>IF(BK240="NA","NA",IF(BK240="Not Reported","Not Reported",IF(BK240&gt;$L$240,"Not Met","Met")))</f>
        <v>NA</v>
      </c>
      <c r="BM240" s="258" t="s">
        <v>11</v>
      </c>
      <c r="BN240" s="121" t="str">
        <f>IF(BM240="NA","NA",IF(BM240="Not Reported","Not Reported",IF(BM240&gt;$L$240,"Not Met","Met")))</f>
        <v>NA</v>
      </c>
      <c r="BO240" s="326" t="str">
        <f t="shared" si="2"/>
        <v>NA</v>
      </c>
      <c r="BP240" s="121" t="s">
        <v>11</v>
      </c>
      <c r="BQ240" s="326" t="str">
        <f t="shared" si="2"/>
        <v>NA</v>
      </c>
      <c r="BR240" s="121" t="s">
        <v>11</v>
      </c>
      <c r="BS240" s="26" t="s">
        <v>11</v>
      </c>
      <c r="BT240" s="121" t="str">
        <f>IF(BS240="NA","NA",IF(BS240="Not Reported","Not Reported",IF(BS240&gt;$L$240,"Not Met","Met")))</f>
        <v>NA</v>
      </c>
      <c r="BU240" s="26" t="s">
        <v>11</v>
      </c>
      <c r="BV240" s="121" t="str">
        <f>IF(BU240="NA","NA",IF(BU240="Not Reported","Not Reported",IF(BU240&gt;$L$240,"Not Met","Met")))</f>
        <v>NA</v>
      </c>
    </row>
    <row r="241" spans="1:74" x14ac:dyDescent="0.25">
      <c r="A241" s="121">
        <v>240</v>
      </c>
      <c r="B241" s="122" t="s">
        <v>14</v>
      </c>
      <c r="C241" s="122" t="s">
        <v>901</v>
      </c>
      <c r="D241" s="123" t="s">
        <v>102</v>
      </c>
      <c r="E241" s="123" t="s">
        <v>900</v>
      </c>
      <c r="F241" s="123" t="s">
        <v>300</v>
      </c>
      <c r="G241" s="122" t="s">
        <v>273</v>
      </c>
      <c r="H241" s="122" t="s">
        <v>192</v>
      </c>
      <c r="I241" s="124" t="s">
        <v>289</v>
      </c>
      <c r="J241" s="124" t="s">
        <v>285</v>
      </c>
      <c r="K241" s="145" t="s">
        <v>289</v>
      </c>
      <c r="L241" s="128">
        <v>0.2</v>
      </c>
      <c r="M241" s="128">
        <v>0.2</v>
      </c>
      <c r="N241" s="145" t="s">
        <v>290</v>
      </c>
      <c r="O241" s="145" t="s">
        <v>291</v>
      </c>
      <c r="P241" s="122" t="s">
        <v>207</v>
      </c>
      <c r="Q241" s="146">
        <v>0.06</v>
      </c>
      <c r="R241" s="121" t="s">
        <v>251</v>
      </c>
      <c r="S241" s="146">
        <v>0.06</v>
      </c>
      <c r="T241" s="121" t="s">
        <v>251</v>
      </c>
      <c r="U241" s="142">
        <v>0.06</v>
      </c>
      <c r="V241" s="147" t="s">
        <v>251</v>
      </c>
      <c r="W241" s="142">
        <v>0</v>
      </c>
      <c r="X241" s="147" t="s">
        <v>251</v>
      </c>
      <c r="Y241" s="131" t="s">
        <v>256</v>
      </c>
      <c r="Z241" s="131" t="s">
        <v>61</v>
      </c>
      <c r="AA241" s="142">
        <v>0.1</v>
      </c>
      <c r="AB241" s="147" t="s">
        <v>251</v>
      </c>
      <c r="AC241" s="131" t="s">
        <v>61</v>
      </c>
      <c r="AD241" s="121" t="s">
        <v>61</v>
      </c>
      <c r="AE241" s="127" t="s">
        <v>61</v>
      </c>
      <c r="AF241" s="127" t="s">
        <v>61</v>
      </c>
      <c r="AG241" s="142">
        <v>0.1</v>
      </c>
      <c r="AH241" s="147" t="s">
        <v>251</v>
      </c>
      <c r="AI241" s="147" t="s">
        <v>61</v>
      </c>
      <c r="AJ241" s="121" t="s">
        <v>61</v>
      </c>
      <c r="AK241" s="147" t="s">
        <v>61</v>
      </c>
      <c r="AL241" s="121" t="s">
        <v>61</v>
      </c>
      <c r="AM241" s="127" t="s">
        <v>61</v>
      </c>
      <c r="AN241" s="121" t="s">
        <v>61</v>
      </c>
      <c r="AO241" s="127" t="s">
        <v>61</v>
      </c>
      <c r="AP241" s="121" t="s">
        <v>61</v>
      </c>
      <c r="AQ241" s="127" t="s">
        <v>61</v>
      </c>
      <c r="AR241" s="121" t="s">
        <v>61</v>
      </c>
      <c r="AS241" s="127" t="s">
        <v>61</v>
      </c>
      <c r="AT241" s="121" t="s">
        <v>61</v>
      </c>
      <c r="AU241" s="127" t="s">
        <v>61</v>
      </c>
      <c r="AV241" s="121" t="s">
        <v>61</v>
      </c>
      <c r="AW241" s="127" t="s">
        <v>61</v>
      </c>
      <c r="AX241" s="121" t="s">
        <v>61</v>
      </c>
      <c r="AY241" s="127" t="s">
        <v>61</v>
      </c>
      <c r="AZ241" s="121" t="s">
        <v>61</v>
      </c>
      <c r="BA241" s="127" t="s">
        <v>61</v>
      </c>
      <c r="BB241" s="121" t="s">
        <v>61</v>
      </c>
      <c r="BC241" s="121" t="s">
        <v>61</v>
      </c>
      <c r="BD241" s="121" t="s">
        <v>6</v>
      </c>
      <c r="BE241" s="121" t="s">
        <v>61</v>
      </c>
      <c r="BF241" s="121" t="s">
        <v>61</v>
      </c>
      <c r="BG241" s="121" t="s">
        <v>61</v>
      </c>
      <c r="BH241" s="121" t="s">
        <v>61</v>
      </c>
      <c r="BI241" s="121" t="s">
        <v>61</v>
      </c>
      <c r="BJ241" s="121" t="s">
        <v>61</v>
      </c>
      <c r="BK241" s="121" t="s">
        <v>11</v>
      </c>
      <c r="BL241" s="128" t="str">
        <f>IF(BK241="NA","NA",IF(BK241="Not Reported","Not Reported",IF(BK241&lt;$L$241,"Not Met","Met")))</f>
        <v>NA</v>
      </c>
      <c r="BM241" s="258" t="s">
        <v>11</v>
      </c>
      <c r="BN241" s="121" t="str">
        <f>IF(BM241="NA","NA",IF(BM241="Not Reported","Not Reported",IF(BM241&lt;$L$241,"Not Met","Met")))</f>
        <v>NA</v>
      </c>
      <c r="BO241" s="326" t="str">
        <f t="shared" si="2"/>
        <v>NA</v>
      </c>
      <c r="BP241" s="121" t="s">
        <v>11</v>
      </c>
      <c r="BQ241" s="326" t="str">
        <f t="shared" si="2"/>
        <v>NA</v>
      </c>
      <c r="BR241" s="121" t="s">
        <v>11</v>
      </c>
      <c r="BS241" s="26" t="s">
        <v>11</v>
      </c>
      <c r="BT241" s="121" t="str">
        <f>IF(BS241="NA","NA",IF(BS241="Not Reported","Not Reported",IF(BS241&lt;$L$241,"Not Met","Met")))</f>
        <v>NA</v>
      </c>
      <c r="BU241" s="26" t="s">
        <v>11</v>
      </c>
      <c r="BV241" s="121" t="str">
        <f>IF(BU241="NA","NA",IF(BU241="Not Reported","Not Reported",IF(BU241&lt;$L$241,"Not Met","Met")))</f>
        <v>NA</v>
      </c>
    </row>
    <row r="242" spans="1:74" x14ac:dyDescent="0.25">
      <c r="A242" s="121">
        <v>241</v>
      </c>
      <c r="B242" s="122" t="s">
        <v>14</v>
      </c>
      <c r="C242" s="122" t="s">
        <v>901</v>
      </c>
      <c r="D242" s="123" t="s">
        <v>102</v>
      </c>
      <c r="E242" s="123" t="s">
        <v>900</v>
      </c>
      <c r="F242" s="123" t="s">
        <v>300</v>
      </c>
      <c r="G242" s="122" t="s">
        <v>273</v>
      </c>
      <c r="H242" s="122" t="s">
        <v>192</v>
      </c>
      <c r="I242" s="124" t="s">
        <v>292</v>
      </c>
      <c r="J242" s="124" t="s">
        <v>293</v>
      </c>
      <c r="K242" s="122" t="s">
        <v>292</v>
      </c>
      <c r="L242" s="128">
        <v>0.25</v>
      </c>
      <c r="M242" s="128">
        <v>0.25</v>
      </c>
      <c r="N242" s="216" t="s">
        <v>294</v>
      </c>
      <c r="O242" s="145" t="s">
        <v>611</v>
      </c>
      <c r="P242" s="122" t="s">
        <v>207</v>
      </c>
      <c r="Q242" s="146">
        <v>1</v>
      </c>
      <c r="R242" s="121" t="s">
        <v>251</v>
      </c>
      <c r="S242" s="131" t="s">
        <v>11</v>
      </c>
      <c r="T242" s="128" t="s">
        <v>11</v>
      </c>
      <c r="U242" s="141">
        <v>0</v>
      </c>
      <c r="V242" s="121" t="s">
        <v>198</v>
      </c>
      <c r="W242" s="142">
        <v>0</v>
      </c>
      <c r="X242" s="121" t="s">
        <v>198</v>
      </c>
      <c r="Y242" s="131" t="s">
        <v>256</v>
      </c>
      <c r="Z242" s="131" t="s">
        <v>61</v>
      </c>
      <c r="AA242" s="142">
        <v>0</v>
      </c>
      <c r="AB242" s="121" t="s">
        <v>198</v>
      </c>
      <c r="AC242" s="131" t="s">
        <v>61</v>
      </c>
      <c r="AD242" s="121" t="s">
        <v>61</v>
      </c>
      <c r="AE242" s="127" t="s">
        <v>61</v>
      </c>
      <c r="AF242" s="127" t="s">
        <v>61</v>
      </c>
      <c r="AG242" s="142">
        <v>0.5</v>
      </c>
      <c r="AH242" s="147" t="s">
        <v>251</v>
      </c>
      <c r="AI242" s="147" t="s">
        <v>61</v>
      </c>
      <c r="AJ242" s="121" t="s">
        <v>61</v>
      </c>
      <c r="AK242" s="147" t="s">
        <v>61</v>
      </c>
      <c r="AL242" s="121" t="s">
        <v>61</v>
      </c>
      <c r="AM242" s="127" t="s">
        <v>61</v>
      </c>
      <c r="AN242" s="121" t="s">
        <v>61</v>
      </c>
      <c r="AO242" s="127" t="s">
        <v>61</v>
      </c>
      <c r="AP242" s="121" t="s">
        <v>61</v>
      </c>
      <c r="AQ242" s="127" t="s">
        <v>61</v>
      </c>
      <c r="AR242" s="121" t="s">
        <v>61</v>
      </c>
      <c r="AS242" s="127" t="s">
        <v>61</v>
      </c>
      <c r="AT242" s="121" t="s">
        <v>61</v>
      </c>
      <c r="AU242" s="127" t="s">
        <v>61</v>
      </c>
      <c r="AV242" s="121" t="s">
        <v>61</v>
      </c>
      <c r="AW242" s="127" t="s">
        <v>61</v>
      </c>
      <c r="AX242" s="121" t="s">
        <v>61</v>
      </c>
      <c r="AY242" s="127" t="s">
        <v>61</v>
      </c>
      <c r="AZ242" s="121" t="s">
        <v>61</v>
      </c>
      <c r="BA242" s="127" t="s">
        <v>61</v>
      </c>
      <c r="BB242" s="121" t="s">
        <v>61</v>
      </c>
      <c r="BC242" s="121" t="s">
        <v>61</v>
      </c>
      <c r="BD242" s="121" t="s">
        <v>6</v>
      </c>
      <c r="BE242" s="121" t="s">
        <v>61</v>
      </c>
      <c r="BF242" s="121" t="s">
        <v>61</v>
      </c>
      <c r="BG242" s="121" t="s">
        <v>61</v>
      </c>
      <c r="BH242" s="121" t="s">
        <v>61</v>
      </c>
      <c r="BI242" s="121" t="s">
        <v>61</v>
      </c>
      <c r="BJ242" s="121" t="s">
        <v>61</v>
      </c>
      <c r="BK242" s="121" t="s">
        <v>11</v>
      </c>
      <c r="BL242" s="128" t="str">
        <f>IF(BK242="NA","NA",IF(BK242="Not Reported","Not Reported",IF(BK242&gt;$L$242,"Not Met","Met")))</f>
        <v>NA</v>
      </c>
      <c r="BM242" s="258" t="s">
        <v>11</v>
      </c>
      <c r="BN242" s="121" t="str">
        <f>IF(BM242="NA","NA",IF(BM242="Not Reported","Not Reported",IF(BM242&gt;$L$242,"Not Met","Met")))</f>
        <v>NA</v>
      </c>
      <c r="BO242" s="326" t="str">
        <f t="shared" si="2"/>
        <v>NA</v>
      </c>
      <c r="BP242" s="121" t="s">
        <v>11</v>
      </c>
      <c r="BQ242" s="326" t="str">
        <f t="shared" si="2"/>
        <v>NA</v>
      </c>
      <c r="BR242" s="121" t="s">
        <v>11</v>
      </c>
      <c r="BS242" s="26" t="s">
        <v>11</v>
      </c>
      <c r="BT242" s="121" t="str">
        <f>IF(BS242="NA","NA",IF(BS242="Not Reported","Not Reported",IF(BS242&gt;$L$242,"Not Met","Met")))</f>
        <v>NA</v>
      </c>
      <c r="BU242" s="26" t="s">
        <v>11</v>
      </c>
      <c r="BV242" s="121" t="str">
        <f>IF(BU242="NA","NA",IF(BU242="Not Reported","Not Reported",IF(BU242&gt;$L$242,"Not Met","Met")))</f>
        <v>NA</v>
      </c>
    </row>
    <row r="243" spans="1:74" x14ac:dyDescent="0.25">
      <c r="A243" s="121">
        <v>242</v>
      </c>
      <c r="B243" s="122" t="s">
        <v>706</v>
      </c>
      <c r="C243" s="122" t="s">
        <v>904</v>
      </c>
      <c r="D243" s="123" t="s">
        <v>109</v>
      </c>
      <c r="E243" s="123" t="s">
        <v>900</v>
      </c>
      <c r="F243" s="123" t="s">
        <v>190</v>
      </c>
      <c r="G243" s="122" t="s">
        <v>191</v>
      </c>
      <c r="H243" s="122" t="s">
        <v>212</v>
      </c>
      <c r="I243" s="124" t="s">
        <v>274</v>
      </c>
      <c r="J243" s="124" t="s">
        <v>214</v>
      </c>
      <c r="K243" s="145" t="s">
        <v>274</v>
      </c>
      <c r="L243" s="147" t="s">
        <v>855</v>
      </c>
      <c r="M243" s="147" t="s">
        <v>881</v>
      </c>
      <c r="N243" s="122" t="s">
        <v>528</v>
      </c>
      <c r="O243" s="123" t="s">
        <v>528</v>
      </c>
      <c r="P243" s="122" t="s">
        <v>207</v>
      </c>
      <c r="Q243" s="127" t="s">
        <v>11</v>
      </c>
      <c r="R243" s="128" t="s">
        <v>11</v>
      </c>
      <c r="S243" s="127" t="s">
        <v>11</v>
      </c>
      <c r="T243" s="128" t="s">
        <v>11</v>
      </c>
      <c r="U243" s="127" t="s">
        <v>11</v>
      </c>
      <c r="V243" s="128" t="s">
        <v>11</v>
      </c>
      <c r="W243" s="127" t="s">
        <v>11</v>
      </c>
      <c r="X243" s="128" t="s">
        <v>11</v>
      </c>
      <c r="Y243" s="127" t="s">
        <v>11</v>
      </c>
      <c r="Z243" s="128" t="s">
        <v>11</v>
      </c>
      <c r="AA243" s="127" t="s">
        <v>11</v>
      </c>
      <c r="AB243" s="128" t="s">
        <v>11</v>
      </c>
      <c r="AC243" s="127" t="s">
        <v>11</v>
      </c>
      <c r="AD243" s="128" t="s">
        <v>11</v>
      </c>
      <c r="AE243" s="127" t="s">
        <v>11</v>
      </c>
      <c r="AF243" s="128" t="s">
        <v>11</v>
      </c>
      <c r="AG243" s="127" t="s">
        <v>11</v>
      </c>
      <c r="AH243" s="128" t="s">
        <v>11</v>
      </c>
      <c r="AI243" s="127" t="s">
        <v>11</v>
      </c>
      <c r="AJ243" s="128" t="s">
        <v>11</v>
      </c>
      <c r="AK243" s="127" t="s">
        <v>11</v>
      </c>
      <c r="AL243" s="128" t="s">
        <v>11</v>
      </c>
      <c r="AM243" s="121" t="s">
        <v>11</v>
      </c>
      <c r="AN243" s="128" t="s">
        <v>11</v>
      </c>
      <c r="AO243" s="121" t="s">
        <v>11</v>
      </c>
      <c r="AP243" s="128" t="s">
        <v>11</v>
      </c>
      <c r="AQ243" s="121" t="s">
        <v>11</v>
      </c>
      <c r="AR243" s="128" t="s">
        <v>11</v>
      </c>
      <c r="AS243" s="121" t="s">
        <v>11</v>
      </c>
      <c r="AT243" s="128" t="s">
        <v>11</v>
      </c>
      <c r="AU243" s="121" t="s">
        <v>11</v>
      </c>
      <c r="AV243" s="128" t="s">
        <v>11</v>
      </c>
      <c r="AW243" s="121" t="s">
        <v>11</v>
      </c>
      <c r="AX243" s="128" t="s">
        <v>11</v>
      </c>
      <c r="AY243" s="121" t="s">
        <v>11</v>
      </c>
      <c r="AZ243" s="128" t="s">
        <v>11</v>
      </c>
      <c r="BA243" s="121" t="s">
        <v>11</v>
      </c>
      <c r="BB243" s="128" t="s">
        <v>11</v>
      </c>
      <c r="BC243" s="127" t="s">
        <v>11</v>
      </c>
      <c r="BD243" s="128" t="s">
        <v>11</v>
      </c>
      <c r="BE243" s="127" t="s">
        <v>11</v>
      </c>
      <c r="BF243" s="128" t="s">
        <v>11</v>
      </c>
      <c r="BG243" s="127" t="s">
        <v>11</v>
      </c>
      <c r="BH243" s="128" t="s">
        <v>11</v>
      </c>
      <c r="BI243" s="127" t="s">
        <v>11</v>
      </c>
      <c r="BJ243" s="128" t="s">
        <v>11</v>
      </c>
      <c r="BK243" s="127" t="s">
        <v>11</v>
      </c>
      <c r="BL243" s="121" t="str">
        <f>IF(BK243="NA","NA",IF(BK243="Not Reported","Not Reported",IF(BK243&gt;$L$243,"Not Met","Met")))</f>
        <v>NA</v>
      </c>
      <c r="BM243" s="257" t="s">
        <v>11</v>
      </c>
      <c r="BN243" s="121" t="str">
        <f>IF(BM243="NA","NA",IF(BM243="Not Reported","Not Reported",IF(BM243&gt;$L$243,"Not Met","Met")))</f>
        <v>NA</v>
      </c>
      <c r="BO243" s="121" t="s">
        <v>11</v>
      </c>
      <c r="BP243" s="121" t="s">
        <v>11</v>
      </c>
      <c r="BQ243" s="128" t="s">
        <v>11</v>
      </c>
      <c r="BR243" s="121" t="s">
        <v>11</v>
      </c>
      <c r="BS243" s="338" t="s">
        <v>11</v>
      </c>
      <c r="BT243" s="121" t="str">
        <f>IF(BS243="NA","NA",IF(BS243="Not Reported","Not Reported",IF(BS243&gt;$L$243,"Not Met","Met")))</f>
        <v>NA</v>
      </c>
      <c r="BU243" s="338" t="s">
        <v>11</v>
      </c>
      <c r="BV243" s="121" t="str">
        <f>IF(BU243="NA","NA",IF(BU243="Not Reported","Not Reported",IF(BU243&gt;$L$243,"Not Met","Met")))</f>
        <v>NA</v>
      </c>
    </row>
    <row r="244" spans="1:74" x14ac:dyDescent="0.25">
      <c r="A244" s="121">
        <v>243</v>
      </c>
      <c r="B244" s="122" t="s">
        <v>706</v>
      </c>
      <c r="C244" s="122" t="s">
        <v>904</v>
      </c>
      <c r="D244" s="123" t="s">
        <v>109</v>
      </c>
      <c r="E244" s="123" t="s">
        <v>900</v>
      </c>
      <c r="F244" s="123" t="s">
        <v>190</v>
      </c>
      <c r="G244" s="122" t="s">
        <v>191</v>
      </c>
      <c r="H244" s="122" t="s">
        <v>212</v>
      </c>
      <c r="I244" s="124" t="s">
        <v>274</v>
      </c>
      <c r="J244" s="124" t="s">
        <v>214</v>
      </c>
      <c r="K244" s="145" t="s">
        <v>274</v>
      </c>
      <c r="L244" s="147" t="s">
        <v>856</v>
      </c>
      <c r="M244" s="147" t="s">
        <v>882</v>
      </c>
      <c r="N244" s="122" t="s">
        <v>528</v>
      </c>
      <c r="O244" s="123" t="s">
        <v>528</v>
      </c>
      <c r="P244" s="122" t="s">
        <v>207</v>
      </c>
      <c r="Q244" s="127" t="s">
        <v>11</v>
      </c>
      <c r="R244" s="128" t="s">
        <v>11</v>
      </c>
      <c r="S244" s="127" t="s">
        <v>11</v>
      </c>
      <c r="T244" s="128" t="s">
        <v>11</v>
      </c>
      <c r="U244" s="127" t="s">
        <v>11</v>
      </c>
      <c r="V244" s="128" t="s">
        <v>11</v>
      </c>
      <c r="W244" s="127" t="s">
        <v>11</v>
      </c>
      <c r="X244" s="128" t="s">
        <v>11</v>
      </c>
      <c r="Y244" s="127" t="s">
        <v>11</v>
      </c>
      <c r="Z244" s="128" t="s">
        <v>11</v>
      </c>
      <c r="AA244" s="127" t="s">
        <v>11</v>
      </c>
      <c r="AB244" s="128" t="s">
        <v>11</v>
      </c>
      <c r="AC244" s="127" t="s">
        <v>11</v>
      </c>
      <c r="AD244" s="128" t="s">
        <v>11</v>
      </c>
      <c r="AE244" s="127" t="s">
        <v>11</v>
      </c>
      <c r="AF244" s="128" t="s">
        <v>11</v>
      </c>
      <c r="AG244" s="127" t="s">
        <v>11</v>
      </c>
      <c r="AH244" s="128" t="s">
        <v>11</v>
      </c>
      <c r="AI244" s="127" t="s">
        <v>11</v>
      </c>
      <c r="AJ244" s="128" t="s">
        <v>11</v>
      </c>
      <c r="AK244" s="127" t="s">
        <v>11</v>
      </c>
      <c r="AL244" s="128" t="s">
        <v>11</v>
      </c>
      <c r="AM244" s="121" t="s">
        <v>11</v>
      </c>
      <c r="AN244" s="128" t="s">
        <v>11</v>
      </c>
      <c r="AO244" s="121" t="s">
        <v>11</v>
      </c>
      <c r="AP244" s="128" t="s">
        <v>11</v>
      </c>
      <c r="AQ244" s="121" t="s">
        <v>11</v>
      </c>
      <c r="AR244" s="128" t="s">
        <v>11</v>
      </c>
      <c r="AS244" s="121" t="s">
        <v>11</v>
      </c>
      <c r="AT244" s="128" t="s">
        <v>11</v>
      </c>
      <c r="AU244" s="121" t="s">
        <v>11</v>
      </c>
      <c r="AV244" s="128" t="s">
        <v>11</v>
      </c>
      <c r="AW244" s="121" t="s">
        <v>11</v>
      </c>
      <c r="AX244" s="128" t="s">
        <v>11</v>
      </c>
      <c r="AY244" s="121" t="s">
        <v>11</v>
      </c>
      <c r="AZ244" s="128" t="s">
        <v>11</v>
      </c>
      <c r="BA244" s="121" t="s">
        <v>11</v>
      </c>
      <c r="BB244" s="128" t="s">
        <v>11</v>
      </c>
      <c r="BC244" s="127" t="s">
        <v>11</v>
      </c>
      <c r="BD244" s="128" t="s">
        <v>11</v>
      </c>
      <c r="BE244" s="127" t="s">
        <v>11</v>
      </c>
      <c r="BF244" s="128" t="s">
        <v>11</v>
      </c>
      <c r="BG244" s="127" t="s">
        <v>11</v>
      </c>
      <c r="BH244" s="128" t="s">
        <v>11</v>
      </c>
      <c r="BI244" s="127" t="s">
        <v>11</v>
      </c>
      <c r="BJ244" s="128" t="s">
        <v>11</v>
      </c>
      <c r="BK244" s="127" t="s">
        <v>11</v>
      </c>
      <c r="BL244" s="121" t="str">
        <f>IF(BK244="NA","NA",IF(BK244="Not Reported","Not Reported",IF(BK244&gt;$L$244,"Not Met","Met")))</f>
        <v>NA</v>
      </c>
      <c r="BM244" s="257" t="s">
        <v>11</v>
      </c>
      <c r="BN244" s="121" t="str">
        <f>IF(BM244="NA","NA",IF(BM244="Not Reported","Not Reported",IF(BM244&gt;$L$244,"Not Met","Met")))</f>
        <v>NA</v>
      </c>
      <c r="BO244" s="121" t="s">
        <v>11</v>
      </c>
      <c r="BP244" s="121" t="s">
        <v>11</v>
      </c>
      <c r="BQ244" s="128" t="s">
        <v>11</v>
      </c>
      <c r="BR244" s="121" t="s">
        <v>11</v>
      </c>
      <c r="BS244" s="338" t="s">
        <v>11</v>
      </c>
      <c r="BT244" s="121" t="str">
        <f>IF(BS244="NA","NA",IF(BS244="Not Reported","Not Reported",IF(BS244&gt;$L$244,"Not Met","Met")))</f>
        <v>NA</v>
      </c>
      <c r="BU244" s="338" t="s">
        <v>11</v>
      </c>
      <c r="BV244" s="121" t="str">
        <f>IF(BU244="NA","NA",IF(BU244="Not Reported","Not Reported",IF(BU244&gt;$L$244,"Not Met","Met")))</f>
        <v>NA</v>
      </c>
    </row>
    <row r="245" spans="1:74" x14ac:dyDescent="0.25">
      <c r="A245" s="121">
        <v>244</v>
      </c>
      <c r="B245" s="122" t="s">
        <v>706</v>
      </c>
      <c r="C245" s="122" t="s">
        <v>904</v>
      </c>
      <c r="D245" s="123" t="s">
        <v>109</v>
      </c>
      <c r="E245" s="123" t="s">
        <v>900</v>
      </c>
      <c r="F245" s="123" t="s">
        <v>190</v>
      </c>
      <c r="G245" s="122" t="s">
        <v>191</v>
      </c>
      <c r="H245" s="122" t="s">
        <v>212</v>
      </c>
      <c r="I245" s="124" t="s">
        <v>274</v>
      </c>
      <c r="J245" s="124" t="s">
        <v>214</v>
      </c>
      <c r="K245" s="145" t="s">
        <v>274</v>
      </c>
      <c r="L245" s="147" t="s">
        <v>857</v>
      </c>
      <c r="M245" s="147" t="s">
        <v>883</v>
      </c>
      <c r="N245" s="122" t="s">
        <v>528</v>
      </c>
      <c r="O245" s="123" t="s">
        <v>528</v>
      </c>
      <c r="P245" s="122" t="s">
        <v>207</v>
      </c>
      <c r="Q245" s="127" t="s">
        <v>11</v>
      </c>
      <c r="R245" s="128" t="s">
        <v>11</v>
      </c>
      <c r="S245" s="127" t="s">
        <v>11</v>
      </c>
      <c r="T245" s="128" t="s">
        <v>11</v>
      </c>
      <c r="U245" s="127" t="s">
        <v>11</v>
      </c>
      <c r="V245" s="128" t="s">
        <v>11</v>
      </c>
      <c r="W245" s="127" t="s">
        <v>11</v>
      </c>
      <c r="X245" s="128" t="s">
        <v>11</v>
      </c>
      <c r="Y245" s="127" t="s">
        <v>11</v>
      </c>
      <c r="Z245" s="128" t="s">
        <v>11</v>
      </c>
      <c r="AA245" s="127" t="s">
        <v>11</v>
      </c>
      <c r="AB245" s="128" t="s">
        <v>11</v>
      </c>
      <c r="AC245" s="127" t="s">
        <v>11</v>
      </c>
      <c r="AD245" s="128" t="s">
        <v>11</v>
      </c>
      <c r="AE245" s="127" t="s">
        <v>11</v>
      </c>
      <c r="AF245" s="128" t="s">
        <v>11</v>
      </c>
      <c r="AG245" s="127" t="s">
        <v>11</v>
      </c>
      <c r="AH245" s="128" t="s">
        <v>11</v>
      </c>
      <c r="AI245" s="127" t="s">
        <v>11</v>
      </c>
      <c r="AJ245" s="128" t="s">
        <v>11</v>
      </c>
      <c r="AK245" s="127" t="s">
        <v>11</v>
      </c>
      <c r="AL245" s="128" t="s">
        <v>11</v>
      </c>
      <c r="AM245" s="121" t="s">
        <v>11</v>
      </c>
      <c r="AN245" s="128" t="s">
        <v>11</v>
      </c>
      <c r="AO245" s="121" t="s">
        <v>11</v>
      </c>
      <c r="AP245" s="128" t="s">
        <v>11</v>
      </c>
      <c r="AQ245" s="121" t="s">
        <v>11</v>
      </c>
      <c r="AR245" s="128" t="s">
        <v>11</v>
      </c>
      <c r="AS245" s="121" t="s">
        <v>11</v>
      </c>
      <c r="AT245" s="128" t="s">
        <v>11</v>
      </c>
      <c r="AU245" s="121" t="s">
        <v>11</v>
      </c>
      <c r="AV245" s="128" t="s">
        <v>11</v>
      </c>
      <c r="AW245" s="121" t="s">
        <v>11</v>
      </c>
      <c r="AX245" s="128" t="s">
        <v>11</v>
      </c>
      <c r="AY245" s="121" t="s">
        <v>11</v>
      </c>
      <c r="AZ245" s="128" t="s">
        <v>11</v>
      </c>
      <c r="BA245" s="121" t="s">
        <v>11</v>
      </c>
      <c r="BB245" s="128" t="s">
        <v>11</v>
      </c>
      <c r="BC245" s="127" t="s">
        <v>11</v>
      </c>
      <c r="BD245" s="128" t="s">
        <v>11</v>
      </c>
      <c r="BE245" s="127" t="s">
        <v>11</v>
      </c>
      <c r="BF245" s="128" t="s">
        <v>11</v>
      </c>
      <c r="BG245" s="127" t="s">
        <v>11</v>
      </c>
      <c r="BH245" s="128" t="s">
        <v>11</v>
      </c>
      <c r="BI245" s="127" t="s">
        <v>11</v>
      </c>
      <c r="BJ245" s="128" t="s">
        <v>11</v>
      </c>
      <c r="BK245" s="127" t="s">
        <v>11</v>
      </c>
      <c r="BL245" s="121" t="str">
        <f>IF(BK245="NA","NA",IF(BK245="Not Reported","Not Reported",IF(BK245&gt;$L$245,"Not Met","Met")))</f>
        <v>NA</v>
      </c>
      <c r="BM245" s="257" t="s">
        <v>11</v>
      </c>
      <c r="BN245" s="121" t="str">
        <f>IF(BM245="NA","NA",IF(BM245="Not Reported","Not Reported",IF(BM245&gt;$L$245,"Not Met","Met")))</f>
        <v>NA</v>
      </c>
      <c r="BO245" s="121" t="s">
        <v>11</v>
      </c>
      <c r="BP245" s="121" t="s">
        <v>11</v>
      </c>
      <c r="BQ245" s="128" t="s">
        <v>11</v>
      </c>
      <c r="BR245" s="121" t="s">
        <v>11</v>
      </c>
      <c r="BS245" s="338" t="s">
        <v>11</v>
      </c>
      <c r="BT245" s="121" t="str">
        <f>IF(BS245="NA","NA",IF(BS245="Not Reported","Not Reported",IF(BS245&gt;$L$245,"Not Met","Met")))</f>
        <v>NA</v>
      </c>
      <c r="BU245" s="338" t="s">
        <v>11</v>
      </c>
      <c r="BV245" s="121" t="str">
        <f>IF(BU245="NA","NA",IF(BU245="Not Reported","Not Reported",IF(BU245&gt;$L$245,"Not Met","Met")))</f>
        <v>NA</v>
      </c>
    </row>
    <row r="246" spans="1:74" x14ac:dyDescent="0.25">
      <c r="A246" s="121">
        <v>245</v>
      </c>
      <c r="B246" s="122" t="s">
        <v>706</v>
      </c>
      <c r="C246" s="122" t="s">
        <v>904</v>
      </c>
      <c r="D246" s="123" t="s">
        <v>109</v>
      </c>
      <c r="E246" s="123" t="s">
        <v>900</v>
      </c>
      <c r="F246" s="123" t="s">
        <v>190</v>
      </c>
      <c r="G246" s="122" t="s">
        <v>191</v>
      </c>
      <c r="H246" s="122" t="s">
        <v>212</v>
      </c>
      <c r="I246" s="124" t="s">
        <v>292</v>
      </c>
      <c r="J246" s="124" t="s">
        <v>293</v>
      </c>
      <c r="K246" s="122" t="s">
        <v>292</v>
      </c>
      <c r="L246" s="146">
        <v>0.1</v>
      </c>
      <c r="M246" s="147" t="s">
        <v>668</v>
      </c>
      <c r="N246" s="122" t="s">
        <v>294</v>
      </c>
      <c r="O246" s="122" t="s">
        <v>295</v>
      </c>
      <c r="P246" s="122" t="s">
        <v>207</v>
      </c>
      <c r="Q246" s="127" t="s">
        <v>11</v>
      </c>
      <c r="R246" s="128" t="s">
        <v>11</v>
      </c>
      <c r="S246" s="127" t="s">
        <v>11</v>
      </c>
      <c r="T246" s="128" t="s">
        <v>11</v>
      </c>
      <c r="U246" s="127" t="s">
        <v>11</v>
      </c>
      <c r="V246" s="128" t="s">
        <v>11</v>
      </c>
      <c r="W246" s="127" t="s">
        <v>11</v>
      </c>
      <c r="X246" s="128" t="s">
        <v>11</v>
      </c>
      <c r="Y246" s="127" t="s">
        <v>11</v>
      </c>
      <c r="Z246" s="128" t="s">
        <v>11</v>
      </c>
      <c r="AA246" s="127" t="s">
        <v>11</v>
      </c>
      <c r="AB246" s="128" t="s">
        <v>11</v>
      </c>
      <c r="AC246" s="127" t="s">
        <v>11</v>
      </c>
      <c r="AD246" s="128" t="s">
        <v>11</v>
      </c>
      <c r="AE246" s="127" t="s">
        <v>11</v>
      </c>
      <c r="AF246" s="128" t="s">
        <v>11</v>
      </c>
      <c r="AG246" s="127" t="s">
        <v>11</v>
      </c>
      <c r="AH246" s="128" t="s">
        <v>11</v>
      </c>
      <c r="AI246" s="127" t="s">
        <v>11</v>
      </c>
      <c r="AJ246" s="128" t="s">
        <v>11</v>
      </c>
      <c r="AK246" s="127" t="s">
        <v>11</v>
      </c>
      <c r="AL246" s="128" t="s">
        <v>11</v>
      </c>
      <c r="AM246" s="121" t="s">
        <v>11</v>
      </c>
      <c r="AN246" s="128" t="s">
        <v>11</v>
      </c>
      <c r="AO246" s="121" t="s">
        <v>11</v>
      </c>
      <c r="AP246" s="128" t="s">
        <v>11</v>
      </c>
      <c r="AQ246" s="121" t="s">
        <v>11</v>
      </c>
      <c r="AR246" s="128" t="s">
        <v>11</v>
      </c>
      <c r="AS246" s="121" t="s">
        <v>11</v>
      </c>
      <c r="AT246" s="128" t="s">
        <v>11</v>
      </c>
      <c r="AU246" s="121" t="s">
        <v>11</v>
      </c>
      <c r="AV246" s="128" t="s">
        <v>11</v>
      </c>
      <c r="AW246" s="121" t="s">
        <v>11</v>
      </c>
      <c r="AX246" s="128" t="s">
        <v>11</v>
      </c>
      <c r="AY246" s="121" t="s">
        <v>11</v>
      </c>
      <c r="AZ246" s="128" t="s">
        <v>11</v>
      </c>
      <c r="BA246" s="121" t="s">
        <v>11</v>
      </c>
      <c r="BB246" s="128" t="s">
        <v>11</v>
      </c>
      <c r="BC246" s="127" t="s">
        <v>11</v>
      </c>
      <c r="BD246" s="128" t="s">
        <v>11</v>
      </c>
      <c r="BE246" s="127" t="s">
        <v>11</v>
      </c>
      <c r="BF246" s="128" t="s">
        <v>11</v>
      </c>
      <c r="BG246" s="127" t="s">
        <v>11</v>
      </c>
      <c r="BH246" s="128" t="s">
        <v>11</v>
      </c>
      <c r="BI246" s="127" t="s">
        <v>11</v>
      </c>
      <c r="BJ246" s="128" t="s">
        <v>11</v>
      </c>
      <c r="BK246" s="127" t="s">
        <v>11</v>
      </c>
      <c r="BL246" s="128" t="str">
        <f>IF(BK246="NA","NA",IF(BK246="Not Reported","Not Reported",IF(BK246&gt;$L$246,"Not Met","Met")))</f>
        <v>NA</v>
      </c>
      <c r="BM246" s="257" t="s">
        <v>11</v>
      </c>
      <c r="BN246" s="128" t="str">
        <f>IF(BM246="NA","NA",IF(BM246="Not Reported","Not Reported",IF(BM246&gt;$L$246,"Not Met","Met")))</f>
        <v>NA</v>
      </c>
      <c r="BO246" s="121" t="s">
        <v>11</v>
      </c>
      <c r="BP246" s="128" t="s">
        <v>11</v>
      </c>
      <c r="BQ246" s="128" t="s">
        <v>11</v>
      </c>
      <c r="BR246" s="128" t="s">
        <v>11</v>
      </c>
      <c r="BS246" s="338" t="s">
        <v>11</v>
      </c>
      <c r="BT246" s="128" t="str">
        <f>IF(BS246="NA","NA",IF(BS246="Not Reported","Not Reported",IF(BS246&gt;$L$246,"Not Met","Met")))</f>
        <v>NA</v>
      </c>
      <c r="BU246" s="338" t="s">
        <v>11</v>
      </c>
      <c r="BV246" s="128" t="str">
        <f>IF(BU246="NA","NA",IF(BU246="Not Reported","Not Reported",IF(BU246&gt;$L$246,"Not Met","Met")))</f>
        <v>NA</v>
      </c>
    </row>
    <row r="247" spans="1:74" x14ac:dyDescent="0.25">
      <c r="A247" s="121">
        <v>246</v>
      </c>
      <c r="B247" s="122" t="s">
        <v>706</v>
      </c>
      <c r="C247" s="122" t="s">
        <v>904</v>
      </c>
      <c r="D247" s="123" t="s">
        <v>109</v>
      </c>
      <c r="E247" s="123" t="s">
        <v>900</v>
      </c>
      <c r="F247" s="123" t="s">
        <v>190</v>
      </c>
      <c r="G247" s="122" t="s">
        <v>273</v>
      </c>
      <c r="H247" s="122" t="s">
        <v>192</v>
      </c>
      <c r="I247" s="124"/>
      <c r="J247" s="124"/>
      <c r="K247" s="122" t="s">
        <v>527</v>
      </c>
      <c r="L247" s="146">
        <v>0.05</v>
      </c>
      <c r="M247" s="147" t="s">
        <v>672</v>
      </c>
      <c r="N247" s="122" t="s">
        <v>707</v>
      </c>
      <c r="O247" s="122" t="s">
        <v>707</v>
      </c>
      <c r="P247" s="122" t="s">
        <v>207</v>
      </c>
      <c r="Q247" s="127" t="s">
        <v>11</v>
      </c>
      <c r="R247" s="128" t="s">
        <v>11</v>
      </c>
      <c r="S247" s="127" t="s">
        <v>11</v>
      </c>
      <c r="T247" s="128" t="s">
        <v>11</v>
      </c>
      <c r="U247" s="127" t="s">
        <v>11</v>
      </c>
      <c r="V247" s="128" t="s">
        <v>11</v>
      </c>
      <c r="W247" s="127" t="s">
        <v>11</v>
      </c>
      <c r="X247" s="128" t="s">
        <v>11</v>
      </c>
      <c r="Y247" s="127" t="s">
        <v>11</v>
      </c>
      <c r="Z247" s="128" t="s">
        <v>11</v>
      </c>
      <c r="AA247" s="127" t="s">
        <v>11</v>
      </c>
      <c r="AB247" s="128" t="s">
        <v>11</v>
      </c>
      <c r="AC247" s="127" t="s">
        <v>11</v>
      </c>
      <c r="AD247" s="128" t="s">
        <v>11</v>
      </c>
      <c r="AE247" s="127" t="s">
        <v>11</v>
      </c>
      <c r="AF247" s="128" t="s">
        <v>11</v>
      </c>
      <c r="AG247" s="127" t="s">
        <v>11</v>
      </c>
      <c r="AH247" s="128" t="s">
        <v>11</v>
      </c>
      <c r="AI247" s="127" t="s">
        <v>11</v>
      </c>
      <c r="AJ247" s="128" t="s">
        <v>11</v>
      </c>
      <c r="AK247" s="127" t="s">
        <v>11</v>
      </c>
      <c r="AL247" s="128" t="s">
        <v>11</v>
      </c>
      <c r="AM247" s="121" t="s">
        <v>11</v>
      </c>
      <c r="AN247" s="128" t="s">
        <v>11</v>
      </c>
      <c r="AO247" s="121" t="s">
        <v>11</v>
      </c>
      <c r="AP247" s="128" t="s">
        <v>11</v>
      </c>
      <c r="AQ247" s="121" t="s">
        <v>11</v>
      </c>
      <c r="AR247" s="128" t="s">
        <v>11</v>
      </c>
      <c r="AS247" s="121" t="s">
        <v>11</v>
      </c>
      <c r="AT247" s="128" t="s">
        <v>11</v>
      </c>
      <c r="AU247" s="121" t="s">
        <v>11</v>
      </c>
      <c r="AV247" s="128" t="s">
        <v>11</v>
      </c>
      <c r="AW247" s="121" t="s">
        <v>11</v>
      </c>
      <c r="AX247" s="128" t="s">
        <v>11</v>
      </c>
      <c r="AY247" s="121" t="s">
        <v>11</v>
      </c>
      <c r="AZ247" s="128" t="s">
        <v>11</v>
      </c>
      <c r="BA247" s="121" t="s">
        <v>11</v>
      </c>
      <c r="BB247" s="128" t="s">
        <v>11</v>
      </c>
      <c r="BC247" s="127" t="s">
        <v>11</v>
      </c>
      <c r="BD247" s="128" t="s">
        <v>11</v>
      </c>
      <c r="BE247" s="127" t="s">
        <v>11</v>
      </c>
      <c r="BF247" s="128" t="s">
        <v>11</v>
      </c>
      <c r="BG247" s="127" t="s">
        <v>11</v>
      </c>
      <c r="BH247" s="128" t="s">
        <v>11</v>
      </c>
      <c r="BI247" s="127" t="s">
        <v>11</v>
      </c>
      <c r="BJ247" s="128" t="s">
        <v>11</v>
      </c>
      <c r="BK247" s="127" t="s">
        <v>11</v>
      </c>
      <c r="BL247" s="121" t="str">
        <f>IF(BK247="NA","NA",IF(BK247="Not Reported","Not Reported",IF(BK247&gt;$L$247,"Not Met","Met")))</f>
        <v>NA</v>
      </c>
      <c r="BM247" s="257" t="s">
        <v>11</v>
      </c>
      <c r="BN247" s="121" t="str">
        <f>IF(BM247="NA","NA",IF(BM247="Not Reported","Not Reported",IF(BM247&gt;$L$247,"Not Met","Met")))</f>
        <v>NA</v>
      </c>
      <c r="BO247" s="121" t="s">
        <v>11</v>
      </c>
      <c r="BP247" s="121" t="s">
        <v>11</v>
      </c>
      <c r="BQ247" s="128" t="s">
        <v>11</v>
      </c>
      <c r="BR247" s="121" t="s">
        <v>11</v>
      </c>
      <c r="BS247" s="338" t="s">
        <v>11</v>
      </c>
      <c r="BT247" s="121" t="str">
        <f>IF(BS247="NA","NA",IF(BS247="Not Reported","Not Reported",IF(BS247&gt;$L$247,"Not Met","Met")))</f>
        <v>NA</v>
      </c>
      <c r="BU247" s="338" t="s">
        <v>11</v>
      </c>
      <c r="BV247" s="121" t="str">
        <f>IF(BU247="NA","NA",IF(BU247="Not Reported","Not Reported",IF(BU247&gt;$L$247,"Not Met","Met")))</f>
        <v>NA</v>
      </c>
    </row>
    <row r="248" spans="1:74" x14ac:dyDescent="0.25">
      <c r="A248" s="121">
        <v>247</v>
      </c>
      <c r="B248" s="122" t="s">
        <v>706</v>
      </c>
      <c r="C248" s="122" t="s">
        <v>904</v>
      </c>
      <c r="D248" s="123" t="s">
        <v>109</v>
      </c>
      <c r="E248" s="123" t="s">
        <v>900</v>
      </c>
      <c r="F248" s="123" t="s">
        <v>190</v>
      </c>
      <c r="G248" s="122" t="s">
        <v>273</v>
      </c>
      <c r="H248" s="122" t="s">
        <v>192</v>
      </c>
      <c r="I248" s="124"/>
      <c r="J248" s="124"/>
      <c r="K248" s="122" t="s">
        <v>708</v>
      </c>
      <c r="L248" s="146">
        <v>0.99</v>
      </c>
      <c r="M248" s="146">
        <v>0.99</v>
      </c>
      <c r="N248" s="122" t="s">
        <v>709</v>
      </c>
      <c r="O248" s="122" t="s">
        <v>709</v>
      </c>
      <c r="P248" s="122" t="s">
        <v>207</v>
      </c>
      <c r="Q248" s="127" t="s">
        <v>11</v>
      </c>
      <c r="R248" s="128" t="s">
        <v>11</v>
      </c>
      <c r="S248" s="127" t="s">
        <v>11</v>
      </c>
      <c r="T248" s="128" t="s">
        <v>11</v>
      </c>
      <c r="U248" s="127" t="s">
        <v>11</v>
      </c>
      <c r="V248" s="128" t="s">
        <v>11</v>
      </c>
      <c r="W248" s="127" t="s">
        <v>11</v>
      </c>
      <c r="X248" s="128" t="s">
        <v>11</v>
      </c>
      <c r="Y248" s="127" t="s">
        <v>11</v>
      </c>
      <c r="Z248" s="128" t="s">
        <v>11</v>
      </c>
      <c r="AA248" s="127" t="s">
        <v>11</v>
      </c>
      <c r="AB248" s="128" t="s">
        <v>11</v>
      </c>
      <c r="AC248" s="127" t="s">
        <v>11</v>
      </c>
      <c r="AD248" s="128" t="s">
        <v>11</v>
      </c>
      <c r="AE248" s="127" t="s">
        <v>11</v>
      </c>
      <c r="AF248" s="128" t="s">
        <v>11</v>
      </c>
      <c r="AG248" s="127" t="s">
        <v>11</v>
      </c>
      <c r="AH248" s="128" t="s">
        <v>11</v>
      </c>
      <c r="AI248" s="127" t="s">
        <v>11</v>
      </c>
      <c r="AJ248" s="128" t="s">
        <v>11</v>
      </c>
      <c r="AK248" s="127" t="s">
        <v>11</v>
      </c>
      <c r="AL248" s="128" t="s">
        <v>11</v>
      </c>
      <c r="AM248" s="121" t="s">
        <v>11</v>
      </c>
      <c r="AN248" s="128" t="s">
        <v>11</v>
      </c>
      <c r="AO248" s="121" t="s">
        <v>11</v>
      </c>
      <c r="AP248" s="128" t="s">
        <v>11</v>
      </c>
      <c r="AQ248" s="121" t="s">
        <v>11</v>
      </c>
      <c r="AR248" s="128" t="s">
        <v>11</v>
      </c>
      <c r="AS248" s="121" t="s">
        <v>11</v>
      </c>
      <c r="AT248" s="128" t="s">
        <v>11</v>
      </c>
      <c r="AU248" s="121" t="s">
        <v>11</v>
      </c>
      <c r="AV248" s="128" t="s">
        <v>11</v>
      </c>
      <c r="AW248" s="121" t="s">
        <v>11</v>
      </c>
      <c r="AX248" s="128" t="s">
        <v>11</v>
      </c>
      <c r="AY248" s="121" t="s">
        <v>11</v>
      </c>
      <c r="AZ248" s="128" t="s">
        <v>11</v>
      </c>
      <c r="BA248" s="121" t="s">
        <v>11</v>
      </c>
      <c r="BB248" s="128" t="s">
        <v>11</v>
      </c>
      <c r="BC248" s="127" t="s">
        <v>11</v>
      </c>
      <c r="BD248" s="128" t="s">
        <v>11</v>
      </c>
      <c r="BE248" s="127" t="s">
        <v>11</v>
      </c>
      <c r="BF248" s="128" t="s">
        <v>11</v>
      </c>
      <c r="BG248" s="127" t="s">
        <v>11</v>
      </c>
      <c r="BH248" s="128" t="s">
        <v>11</v>
      </c>
      <c r="BI248" s="127" t="s">
        <v>11</v>
      </c>
      <c r="BJ248" s="128" t="s">
        <v>11</v>
      </c>
      <c r="BK248" s="127" t="s">
        <v>11</v>
      </c>
      <c r="BL248" s="121" t="str">
        <f>IF(BK248="NA","NA",IF(BK248="Not Reported","Not Reported",IF(BK248&gt;$L$248,"Not Met","Met")))</f>
        <v>NA</v>
      </c>
      <c r="BM248" s="257" t="s">
        <v>11</v>
      </c>
      <c r="BN248" s="121" t="str">
        <f>IF(BM248="NA","NA",IF(BM248="Not Reported","Not Reported",IF(BM248&gt;$L$248,"Not Met","Met")))</f>
        <v>NA</v>
      </c>
      <c r="BO248" s="121" t="s">
        <v>11</v>
      </c>
      <c r="BP248" s="121" t="s">
        <v>11</v>
      </c>
      <c r="BQ248" s="128" t="s">
        <v>11</v>
      </c>
      <c r="BR248" s="121" t="s">
        <v>11</v>
      </c>
      <c r="BS248" s="338" t="s">
        <v>11</v>
      </c>
      <c r="BT248" s="121" t="str">
        <f>IF(BS248="NA","NA",IF(BS248="Not Reported","Not Reported",IF(BS248&gt;$L$248,"Not Met","Met")))</f>
        <v>NA</v>
      </c>
      <c r="BU248" s="338" t="s">
        <v>11</v>
      </c>
      <c r="BV248" s="121" t="str">
        <f>IF(BU248="NA","NA",IF(BU248="Not Reported","Not Reported",IF(BU248&gt;$L$248,"Not Met","Met")))</f>
        <v>NA</v>
      </c>
    </row>
    <row r="249" spans="1:74" x14ac:dyDescent="0.25">
      <c r="A249" s="121">
        <v>248</v>
      </c>
      <c r="B249" s="122" t="s">
        <v>706</v>
      </c>
      <c r="C249" s="122" t="s">
        <v>904</v>
      </c>
      <c r="D249" s="123" t="s">
        <v>109</v>
      </c>
      <c r="E249" s="123" t="s">
        <v>900</v>
      </c>
      <c r="F249" s="123" t="s">
        <v>190</v>
      </c>
      <c r="G249" s="122" t="s">
        <v>191</v>
      </c>
      <c r="H249" s="122" t="s">
        <v>212</v>
      </c>
      <c r="I249" s="124" t="s">
        <v>257</v>
      </c>
      <c r="J249" s="124" t="s">
        <v>258</v>
      </c>
      <c r="K249" s="123" t="s">
        <v>259</v>
      </c>
      <c r="L249" s="146">
        <v>0.2</v>
      </c>
      <c r="M249" s="146">
        <v>0.2</v>
      </c>
      <c r="N249" s="122" t="s">
        <v>710</v>
      </c>
      <c r="O249" s="122" t="s">
        <v>711</v>
      </c>
      <c r="P249" s="122" t="s">
        <v>207</v>
      </c>
      <c r="Q249" s="127" t="s">
        <v>11</v>
      </c>
      <c r="R249" s="128" t="s">
        <v>11</v>
      </c>
      <c r="S249" s="127" t="s">
        <v>11</v>
      </c>
      <c r="T249" s="128" t="s">
        <v>11</v>
      </c>
      <c r="U249" s="127" t="s">
        <v>11</v>
      </c>
      <c r="V249" s="128" t="s">
        <v>11</v>
      </c>
      <c r="W249" s="127" t="s">
        <v>11</v>
      </c>
      <c r="X249" s="128" t="s">
        <v>11</v>
      </c>
      <c r="Y249" s="127" t="s">
        <v>11</v>
      </c>
      <c r="Z249" s="128" t="s">
        <v>11</v>
      </c>
      <c r="AA249" s="127" t="s">
        <v>11</v>
      </c>
      <c r="AB249" s="128" t="s">
        <v>11</v>
      </c>
      <c r="AC249" s="127" t="s">
        <v>11</v>
      </c>
      <c r="AD249" s="128" t="s">
        <v>11</v>
      </c>
      <c r="AE249" s="127" t="s">
        <v>11</v>
      </c>
      <c r="AF249" s="128" t="s">
        <v>11</v>
      </c>
      <c r="AG249" s="127" t="s">
        <v>11</v>
      </c>
      <c r="AH249" s="128" t="s">
        <v>11</v>
      </c>
      <c r="AI249" s="127" t="s">
        <v>11</v>
      </c>
      <c r="AJ249" s="128" t="s">
        <v>11</v>
      </c>
      <c r="AK249" s="127" t="s">
        <v>11</v>
      </c>
      <c r="AL249" s="128" t="s">
        <v>11</v>
      </c>
      <c r="AM249" s="121" t="s">
        <v>11</v>
      </c>
      <c r="AN249" s="128" t="s">
        <v>11</v>
      </c>
      <c r="AO249" s="121" t="s">
        <v>11</v>
      </c>
      <c r="AP249" s="128" t="s">
        <v>11</v>
      </c>
      <c r="AQ249" s="121" t="s">
        <v>11</v>
      </c>
      <c r="AR249" s="128" t="s">
        <v>11</v>
      </c>
      <c r="AS249" s="121" t="s">
        <v>11</v>
      </c>
      <c r="AT249" s="128" t="s">
        <v>11</v>
      </c>
      <c r="AU249" s="121" t="s">
        <v>11</v>
      </c>
      <c r="AV249" s="128" t="s">
        <v>11</v>
      </c>
      <c r="AW249" s="121" t="s">
        <v>11</v>
      </c>
      <c r="AX249" s="128" t="s">
        <v>11</v>
      </c>
      <c r="AY249" s="121" t="s">
        <v>11</v>
      </c>
      <c r="AZ249" s="128" t="s">
        <v>11</v>
      </c>
      <c r="BA249" s="121" t="s">
        <v>11</v>
      </c>
      <c r="BB249" s="128" t="s">
        <v>11</v>
      </c>
      <c r="BC249" s="127" t="s">
        <v>11</v>
      </c>
      <c r="BD249" s="128" t="s">
        <v>11</v>
      </c>
      <c r="BE249" s="127" t="s">
        <v>11</v>
      </c>
      <c r="BF249" s="128" t="s">
        <v>11</v>
      </c>
      <c r="BG249" s="127" t="s">
        <v>11</v>
      </c>
      <c r="BH249" s="128" t="s">
        <v>11</v>
      </c>
      <c r="BI249" s="127" t="s">
        <v>11</v>
      </c>
      <c r="BJ249" s="128" t="s">
        <v>11</v>
      </c>
      <c r="BK249" s="127" t="s">
        <v>11</v>
      </c>
      <c r="BL249" s="121" t="str">
        <f>IF(BK249="NA","NA",IF(BK249="Not Reported","Not Reported",IF(BK249&lt;$L$249,"Not Met","Met")))</f>
        <v>NA</v>
      </c>
      <c r="BM249" s="257" t="s">
        <v>11</v>
      </c>
      <c r="BN249" s="121" t="str">
        <f>IF(BM249="NA","NA",IF(BM249="Not Reported","Not Reported",IF(BM249&lt;$L$249,"Not Met","Met")))</f>
        <v>NA</v>
      </c>
      <c r="BO249" s="121" t="s">
        <v>11</v>
      </c>
      <c r="BP249" s="121" t="s">
        <v>11</v>
      </c>
      <c r="BQ249" s="128" t="s">
        <v>11</v>
      </c>
      <c r="BR249" s="121" t="s">
        <v>11</v>
      </c>
      <c r="BS249" s="338" t="s">
        <v>11</v>
      </c>
      <c r="BT249" s="121" t="str">
        <f>IF(BS249="NA","NA",IF(BS249="Not Reported","Not Reported",IF(BS249&lt;$L$249,"Not Met","Met")))</f>
        <v>NA</v>
      </c>
      <c r="BU249" s="338" t="s">
        <v>11</v>
      </c>
      <c r="BV249" s="121" t="str">
        <f>IF(BU249="NA","NA",IF(BU249="Not Reported","Not Reported",IF(BU249&lt;$L$249,"Not Met","Met")))</f>
        <v>NA</v>
      </c>
    </row>
    <row r="250" spans="1:74" x14ac:dyDescent="0.25">
      <c r="A250" s="121">
        <v>249</v>
      </c>
      <c r="B250" s="122" t="s">
        <v>706</v>
      </c>
      <c r="C250" s="122" t="s">
        <v>904</v>
      </c>
      <c r="D250" s="123" t="s">
        <v>109</v>
      </c>
      <c r="E250" s="123" t="s">
        <v>900</v>
      </c>
      <c r="F250" s="123" t="s">
        <v>190</v>
      </c>
      <c r="G250" s="122" t="s">
        <v>273</v>
      </c>
      <c r="H250" s="122" t="s">
        <v>192</v>
      </c>
      <c r="I250" s="123" t="s">
        <v>268</v>
      </c>
      <c r="J250" s="123" t="s">
        <v>269</v>
      </c>
      <c r="K250" s="218" t="s">
        <v>712</v>
      </c>
      <c r="L250" s="146">
        <v>0.8</v>
      </c>
      <c r="M250" s="147" t="s">
        <v>713</v>
      </c>
      <c r="N250" s="122" t="s">
        <v>714</v>
      </c>
      <c r="O250" s="122" t="s">
        <v>715</v>
      </c>
      <c r="P250" s="122" t="s">
        <v>207</v>
      </c>
      <c r="Q250" s="127" t="s">
        <v>11</v>
      </c>
      <c r="R250" s="128" t="s">
        <v>11</v>
      </c>
      <c r="S250" s="127" t="s">
        <v>11</v>
      </c>
      <c r="T250" s="128" t="s">
        <v>11</v>
      </c>
      <c r="U250" s="127" t="s">
        <v>11</v>
      </c>
      <c r="V250" s="128" t="s">
        <v>11</v>
      </c>
      <c r="W250" s="127" t="s">
        <v>11</v>
      </c>
      <c r="X250" s="128" t="s">
        <v>11</v>
      </c>
      <c r="Y250" s="127" t="s">
        <v>11</v>
      </c>
      <c r="Z250" s="128" t="s">
        <v>11</v>
      </c>
      <c r="AA250" s="127" t="s">
        <v>11</v>
      </c>
      <c r="AB250" s="128" t="s">
        <v>11</v>
      </c>
      <c r="AC250" s="127" t="s">
        <v>11</v>
      </c>
      <c r="AD250" s="128" t="s">
        <v>11</v>
      </c>
      <c r="AE250" s="127" t="s">
        <v>11</v>
      </c>
      <c r="AF250" s="128" t="s">
        <v>11</v>
      </c>
      <c r="AG250" s="127" t="s">
        <v>11</v>
      </c>
      <c r="AH250" s="128" t="s">
        <v>11</v>
      </c>
      <c r="AI250" s="127" t="s">
        <v>11</v>
      </c>
      <c r="AJ250" s="128" t="s">
        <v>11</v>
      </c>
      <c r="AK250" s="127" t="s">
        <v>11</v>
      </c>
      <c r="AL250" s="128" t="s">
        <v>11</v>
      </c>
      <c r="AM250" s="121" t="s">
        <v>11</v>
      </c>
      <c r="AN250" s="128" t="s">
        <v>11</v>
      </c>
      <c r="AO250" s="121" t="s">
        <v>11</v>
      </c>
      <c r="AP250" s="128" t="s">
        <v>11</v>
      </c>
      <c r="AQ250" s="121" t="s">
        <v>11</v>
      </c>
      <c r="AR250" s="128" t="s">
        <v>11</v>
      </c>
      <c r="AS250" s="121" t="s">
        <v>11</v>
      </c>
      <c r="AT250" s="128" t="s">
        <v>11</v>
      </c>
      <c r="AU250" s="121" t="s">
        <v>11</v>
      </c>
      <c r="AV250" s="128" t="s">
        <v>11</v>
      </c>
      <c r="AW250" s="121" t="s">
        <v>11</v>
      </c>
      <c r="AX250" s="128" t="s">
        <v>11</v>
      </c>
      <c r="AY250" s="121" t="s">
        <v>11</v>
      </c>
      <c r="AZ250" s="128" t="s">
        <v>11</v>
      </c>
      <c r="BA250" s="121" t="s">
        <v>11</v>
      </c>
      <c r="BB250" s="128" t="s">
        <v>11</v>
      </c>
      <c r="BC250" s="127" t="s">
        <v>11</v>
      </c>
      <c r="BD250" s="128" t="s">
        <v>11</v>
      </c>
      <c r="BE250" s="127" t="s">
        <v>11</v>
      </c>
      <c r="BF250" s="128" t="s">
        <v>11</v>
      </c>
      <c r="BG250" s="127" t="s">
        <v>11</v>
      </c>
      <c r="BH250" s="128" t="s">
        <v>11</v>
      </c>
      <c r="BI250" s="127" t="s">
        <v>11</v>
      </c>
      <c r="BJ250" s="128" t="s">
        <v>11</v>
      </c>
      <c r="BK250" s="127" t="s">
        <v>11</v>
      </c>
      <c r="BL250" s="121" t="str">
        <f>IF(BK250="NA","NA",IF(BK250="Not Reported","Not Reported",IF(BK250&lt;$L$250,"Not Met","Met")))</f>
        <v>NA</v>
      </c>
      <c r="BM250" s="257" t="s">
        <v>11</v>
      </c>
      <c r="BN250" s="121" t="str">
        <f>IF(BM250="NA","NA",IF(BM250="Not Reported","Not Reported",IF(BM250&lt;$L$250,"Not Met","Met")))</f>
        <v>NA</v>
      </c>
      <c r="BO250" s="121" t="s">
        <v>11</v>
      </c>
      <c r="BP250" s="121" t="s">
        <v>11</v>
      </c>
      <c r="BQ250" s="128" t="s">
        <v>11</v>
      </c>
      <c r="BR250" s="121" t="s">
        <v>11</v>
      </c>
      <c r="BS250" s="338" t="s">
        <v>11</v>
      </c>
      <c r="BT250" s="121" t="str">
        <f>IF(BS250="NA","NA",IF(BS250="Not Reported","Not Reported",IF(BS250&lt;$L$250,"Not Met","Met")))</f>
        <v>NA</v>
      </c>
      <c r="BU250" s="338" t="s">
        <v>11</v>
      </c>
      <c r="BV250" s="121" t="str">
        <f>IF(BU250="NA","NA",IF(BU250="Not Reported","Not Reported",IF(BU250&lt;$L$250,"Not Met","Met")))</f>
        <v>NA</v>
      </c>
    </row>
    <row r="251" spans="1:74" x14ac:dyDescent="0.25">
      <c r="A251" s="121">
        <v>250</v>
      </c>
      <c r="B251" s="122" t="s">
        <v>706</v>
      </c>
      <c r="C251" s="122" t="s">
        <v>904</v>
      </c>
      <c r="D251" s="123" t="s">
        <v>109</v>
      </c>
      <c r="E251" s="123" t="s">
        <v>900</v>
      </c>
      <c r="F251" s="123" t="s">
        <v>190</v>
      </c>
      <c r="G251" s="122" t="s">
        <v>273</v>
      </c>
      <c r="H251" s="122" t="s">
        <v>192</v>
      </c>
      <c r="I251" s="123" t="s">
        <v>262</v>
      </c>
      <c r="J251" s="123" t="s">
        <v>263</v>
      </c>
      <c r="K251" s="123" t="s">
        <v>264</v>
      </c>
      <c r="L251" s="146">
        <v>0.8</v>
      </c>
      <c r="M251" s="147" t="s">
        <v>713</v>
      </c>
      <c r="N251" s="122" t="s">
        <v>716</v>
      </c>
      <c r="O251" s="122" t="s">
        <v>717</v>
      </c>
      <c r="P251" s="122" t="s">
        <v>207</v>
      </c>
      <c r="Q251" s="127" t="s">
        <v>11</v>
      </c>
      <c r="R251" s="128" t="s">
        <v>11</v>
      </c>
      <c r="S251" s="127" t="s">
        <v>11</v>
      </c>
      <c r="T251" s="128" t="s">
        <v>11</v>
      </c>
      <c r="U251" s="127" t="s">
        <v>11</v>
      </c>
      <c r="V251" s="128" t="s">
        <v>11</v>
      </c>
      <c r="W251" s="127" t="s">
        <v>11</v>
      </c>
      <c r="X251" s="128" t="s">
        <v>11</v>
      </c>
      <c r="Y251" s="127" t="s">
        <v>11</v>
      </c>
      <c r="Z251" s="128" t="s">
        <v>11</v>
      </c>
      <c r="AA251" s="127" t="s">
        <v>11</v>
      </c>
      <c r="AB251" s="128" t="s">
        <v>11</v>
      </c>
      <c r="AC251" s="127" t="s">
        <v>11</v>
      </c>
      <c r="AD251" s="128" t="s">
        <v>11</v>
      </c>
      <c r="AE251" s="127" t="s">
        <v>11</v>
      </c>
      <c r="AF251" s="128" t="s">
        <v>11</v>
      </c>
      <c r="AG251" s="127" t="s">
        <v>11</v>
      </c>
      <c r="AH251" s="128" t="s">
        <v>11</v>
      </c>
      <c r="AI251" s="127" t="s">
        <v>11</v>
      </c>
      <c r="AJ251" s="128" t="s">
        <v>11</v>
      </c>
      <c r="AK251" s="127" t="s">
        <v>11</v>
      </c>
      <c r="AL251" s="128" t="s">
        <v>11</v>
      </c>
      <c r="AM251" s="121" t="s">
        <v>11</v>
      </c>
      <c r="AN251" s="128" t="s">
        <v>11</v>
      </c>
      <c r="AO251" s="121" t="s">
        <v>11</v>
      </c>
      <c r="AP251" s="128" t="s">
        <v>11</v>
      </c>
      <c r="AQ251" s="121" t="s">
        <v>11</v>
      </c>
      <c r="AR251" s="128" t="s">
        <v>11</v>
      </c>
      <c r="AS251" s="121" t="s">
        <v>11</v>
      </c>
      <c r="AT251" s="128" t="s">
        <v>11</v>
      </c>
      <c r="AU251" s="121" t="s">
        <v>11</v>
      </c>
      <c r="AV251" s="128" t="s">
        <v>11</v>
      </c>
      <c r="AW251" s="121" t="s">
        <v>11</v>
      </c>
      <c r="AX251" s="128" t="s">
        <v>11</v>
      </c>
      <c r="AY251" s="121" t="s">
        <v>11</v>
      </c>
      <c r="AZ251" s="128" t="s">
        <v>11</v>
      </c>
      <c r="BA251" s="121" t="s">
        <v>11</v>
      </c>
      <c r="BB251" s="128" t="s">
        <v>11</v>
      </c>
      <c r="BC251" s="127" t="s">
        <v>11</v>
      </c>
      <c r="BD251" s="128" t="s">
        <v>11</v>
      </c>
      <c r="BE251" s="127" t="s">
        <v>11</v>
      </c>
      <c r="BF251" s="128" t="s">
        <v>11</v>
      </c>
      <c r="BG251" s="127" t="s">
        <v>11</v>
      </c>
      <c r="BH251" s="128" t="s">
        <v>11</v>
      </c>
      <c r="BI251" s="127" t="s">
        <v>11</v>
      </c>
      <c r="BJ251" s="128" t="s">
        <v>11</v>
      </c>
      <c r="BK251" s="127" t="s">
        <v>11</v>
      </c>
      <c r="BL251" s="121" t="str">
        <f>IF(BK251="NA","NA",IF(BK251="Not Reported","Not Reported",IF(BK251&lt;$L$251,"Not Met","Met")))</f>
        <v>NA</v>
      </c>
      <c r="BM251" s="257" t="s">
        <v>11</v>
      </c>
      <c r="BN251" s="121" t="str">
        <f>IF(BM251="NA","NA",IF(BM251="Not Reported","Not Reported",IF(BM251&lt;$L$251,"Not Met","Met")))</f>
        <v>NA</v>
      </c>
      <c r="BO251" s="121" t="s">
        <v>11</v>
      </c>
      <c r="BP251" s="121" t="s">
        <v>11</v>
      </c>
      <c r="BQ251" s="128" t="s">
        <v>11</v>
      </c>
      <c r="BR251" s="121" t="s">
        <v>11</v>
      </c>
      <c r="BS251" s="338" t="s">
        <v>11</v>
      </c>
      <c r="BT251" s="121" t="str">
        <f>IF(BS251="NA","NA",IF(BS251="Not Reported","Not Reported",IF(BS251&lt;$L$251,"Not Met","Met")))</f>
        <v>NA</v>
      </c>
      <c r="BU251" s="338" t="s">
        <v>11</v>
      </c>
      <c r="BV251" s="121" t="str">
        <f>IF(BU251="NA","NA",IF(BU251="Not Reported","Not Reported",IF(BU251&lt;$L$251,"Not Met","Met")))</f>
        <v>NA</v>
      </c>
    </row>
    <row r="252" spans="1:74" x14ac:dyDescent="0.25">
      <c r="A252" s="121">
        <v>251</v>
      </c>
      <c r="B252" s="122" t="s">
        <v>706</v>
      </c>
      <c r="C252" s="122" t="s">
        <v>904</v>
      </c>
      <c r="D252" s="123" t="s">
        <v>109</v>
      </c>
      <c r="E252" s="123" t="s">
        <v>900</v>
      </c>
      <c r="F252" s="123" t="s">
        <v>190</v>
      </c>
      <c r="G252" s="122" t="s">
        <v>273</v>
      </c>
      <c r="H252" s="122" t="s">
        <v>192</v>
      </c>
      <c r="I252" s="124" t="s">
        <v>213</v>
      </c>
      <c r="J252" s="124" t="s">
        <v>214</v>
      </c>
      <c r="K252" s="129" t="s">
        <v>213</v>
      </c>
      <c r="L252" s="130" t="s">
        <v>286</v>
      </c>
      <c r="M252" s="128" t="s">
        <v>286</v>
      </c>
      <c r="N252" s="145" t="s">
        <v>341</v>
      </c>
      <c r="O252" s="145" t="s">
        <v>342</v>
      </c>
      <c r="P252" s="123" t="s">
        <v>207</v>
      </c>
      <c r="Q252" s="127" t="s">
        <v>11</v>
      </c>
      <c r="R252" s="128" t="s">
        <v>11</v>
      </c>
      <c r="S252" s="127" t="s">
        <v>11</v>
      </c>
      <c r="T252" s="128" t="s">
        <v>11</v>
      </c>
      <c r="U252" s="127" t="s">
        <v>11</v>
      </c>
      <c r="V252" s="128" t="s">
        <v>11</v>
      </c>
      <c r="W252" s="127" t="s">
        <v>11</v>
      </c>
      <c r="X252" s="128" t="s">
        <v>11</v>
      </c>
      <c r="Y252" s="127" t="s">
        <v>11</v>
      </c>
      <c r="Z252" s="128" t="s">
        <v>11</v>
      </c>
      <c r="AA252" s="127" t="s">
        <v>11</v>
      </c>
      <c r="AB252" s="128" t="s">
        <v>11</v>
      </c>
      <c r="AC252" s="127" t="s">
        <v>11</v>
      </c>
      <c r="AD252" s="128" t="s">
        <v>11</v>
      </c>
      <c r="AE252" s="127" t="s">
        <v>11</v>
      </c>
      <c r="AF252" s="128" t="s">
        <v>11</v>
      </c>
      <c r="AG252" s="127" t="s">
        <v>11</v>
      </c>
      <c r="AH252" s="128" t="s">
        <v>11</v>
      </c>
      <c r="AI252" s="127" t="s">
        <v>11</v>
      </c>
      <c r="AJ252" s="128" t="s">
        <v>11</v>
      </c>
      <c r="AK252" s="127" t="s">
        <v>11</v>
      </c>
      <c r="AL252" s="128" t="s">
        <v>11</v>
      </c>
      <c r="AM252" s="121" t="s">
        <v>11</v>
      </c>
      <c r="AN252" s="128" t="s">
        <v>11</v>
      </c>
      <c r="AO252" s="121" t="s">
        <v>11</v>
      </c>
      <c r="AP252" s="128" t="s">
        <v>11</v>
      </c>
      <c r="AQ252" s="121" t="s">
        <v>11</v>
      </c>
      <c r="AR252" s="128" t="s">
        <v>11</v>
      </c>
      <c r="AS252" s="121" t="s">
        <v>11</v>
      </c>
      <c r="AT252" s="128" t="s">
        <v>11</v>
      </c>
      <c r="AU252" s="121" t="s">
        <v>11</v>
      </c>
      <c r="AV252" s="128" t="s">
        <v>11</v>
      </c>
      <c r="AW252" s="121" t="s">
        <v>11</v>
      </c>
      <c r="AX252" s="128" t="s">
        <v>11</v>
      </c>
      <c r="AY252" s="121" t="s">
        <v>11</v>
      </c>
      <c r="AZ252" s="128" t="s">
        <v>11</v>
      </c>
      <c r="BA252" s="121" t="s">
        <v>11</v>
      </c>
      <c r="BB252" s="128" t="s">
        <v>11</v>
      </c>
      <c r="BC252" s="127" t="s">
        <v>11</v>
      </c>
      <c r="BD252" s="128" t="s">
        <v>11</v>
      </c>
      <c r="BE252" s="127" t="s">
        <v>11</v>
      </c>
      <c r="BF252" s="128" t="s">
        <v>11</v>
      </c>
      <c r="BG252" s="127" t="s">
        <v>11</v>
      </c>
      <c r="BH252" s="128" t="s">
        <v>11</v>
      </c>
      <c r="BI252" s="127" t="s">
        <v>11</v>
      </c>
      <c r="BJ252" s="128" t="s">
        <v>11</v>
      </c>
      <c r="BK252" s="127" t="s">
        <v>11</v>
      </c>
      <c r="BL252" s="121" t="str">
        <f>IF(BK252="NA","NA",IF(BK252="Not Reported","Not Reported",IF(BK252&gt;$L$15,"Not Met","Met")))</f>
        <v>NA</v>
      </c>
      <c r="BM252" s="257" t="s">
        <v>11</v>
      </c>
      <c r="BN252" s="121" t="str">
        <f>IF(BM252="NA","NA",IF(BM252="Not Reported","Not Reported",IF(BM252&gt;$L$252,"Not Met","Met")))</f>
        <v>NA</v>
      </c>
      <c r="BO252" s="121" t="s">
        <v>11</v>
      </c>
      <c r="BP252" s="121" t="s">
        <v>11</v>
      </c>
      <c r="BQ252" s="128" t="s">
        <v>11</v>
      </c>
      <c r="BR252" s="121" t="s">
        <v>11</v>
      </c>
      <c r="BS252" s="338" t="s">
        <v>11</v>
      </c>
      <c r="BT252" s="121" t="str">
        <f>IF(BS252="NA","NA",IF(BS252="Not Reported","Not Reported",IF(BS252&gt;$L$252,"Not Met","Met")))</f>
        <v>NA</v>
      </c>
      <c r="BU252" s="338" t="s">
        <v>11</v>
      </c>
      <c r="BV252" s="121" t="str">
        <f>IF(BU252="NA","NA",IF(BU252="Not Reported","Not Reported",IF(BU252&gt;$L$252,"Not Met","Met")))</f>
        <v>NA</v>
      </c>
    </row>
    <row r="253" spans="1:74" x14ac:dyDescent="0.2">
      <c r="A253" s="121">
        <v>252</v>
      </c>
      <c r="B253" s="122" t="s">
        <v>706</v>
      </c>
      <c r="C253" s="122" t="s">
        <v>904</v>
      </c>
      <c r="D253" s="123" t="s">
        <v>109</v>
      </c>
      <c r="E253" s="123" t="s">
        <v>900</v>
      </c>
      <c r="F253" s="123" t="s">
        <v>190</v>
      </c>
      <c r="G253" s="122" t="s">
        <v>273</v>
      </c>
      <c r="H253" s="122" t="s">
        <v>192</v>
      </c>
      <c r="I253" s="124" t="s">
        <v>246</v>
      </c>
      <c r="J253" s="124" t="s">
        <v>214</v>
      </c>
      <c r="K253" s="122" t="s">
        <v>326</v>
      </c>
      <c r="L253" s="128" t="s">
        <v>286</v>
      </c>
      <c r="M253" s="128" t="s">
        <v>286</v>
      </c>
      <c r="N253" s="145" t="s">
        <v>368</v>
      </c>
      <c r="O253" s="145" t="s">
        <v>369</v>
      </c>
      <c r="P253" s="123" t="s">
        <v>207</v>
      </c>
      <c r="Q253" s="127" t="s">
        <v>11</v>
      </c>
      <c r="R253" s="128" t="s">
        <v>11</v>
      </c>
      <c r="S253" s="127" t="s">
        <v>11</v>
      </c>
      <c r="T253" s="128" t="s">
        <v>11</v>
      </c>
      <c r="U253" s="127" t="s">
        <v>11</v>
      </c>
      <c r="V253" s="128" t="s">
        <v>11</v>
      </c>
      <c r="W253" s="127" t="s">
        <v>11</v>
      </c>
      <c r="X253" s="128" t="s">
        <v>11</v>
      </c>
      <c r="Y253" s="127" t="s">
        <v>11</v>
      </c>
      <c r="Z253" s="128" t="s">
        <v>11</v>
      </c>
      <c r="AA253" s="127" t="s">
        <v>11</v>
      </c>
      <c r="AB253" s="128" t="s">
        <v>11</v>
      </c>
      <c r="AC253" s="127" t="s">
        <v>11</v>
      </c>
      <c r="AD253" s="128" t="s">
        <v>11</v>
      </c>
      <c r="AE253" s="127" t="s">
        <v>11</v>
      </c>
      <c r="AF253" s="128" t="s">
        <v>11</v>
      </c>
      <c r="AG253" s="127" t="s">
        <v>11</v>
      </c>
      <c r="AH253" s="128" t="s">
        <v>11</v>
      </c>
      <c r="AI253" s="127" t="s">
        <v>11</v>
      </c>
      <c r="AJ253" s="128" t="s">
        <v>11</v>
      </c>
      <c r="AK253" s="127" t="s">
        <v>11</v>
      </c>
      <c r="AL253" s="128" t="s">
        <v>11</v>
      </c>
      <c r="AM253" s="121" t="s">
        <v>11</v>
      </c>
      <c r="AN253" s="128" t="s">
        <v>11</v>
      </c>
      <c r="AO253" s="121" t="s">
        <v>11</v>
      </c>
      <c r="AP253" s="128" t="s">
        <v>11</v>
      </c>
      <c r="AQ253" s="121" t="s">
        <v>11</v>
      </c>
      <c r="AR253" s="128" t="s">
        <v>11</v>
      </c>
      <c r="AS253" s="121" t="s">
        <v>11</v>
      </c>
      <c r="AT253" s="128" t="s">
        <v>11</v>
      </c>
      <c r="AU253" s="121" t="s">
        <v>11</v>
      </c>
      <c r="AV253" s="128" t="s">
        <v>11</v>
      </c>
      <c r="AW253" s="121" t="s">
        <v>11</v>
      </c>
      <c r="AX253" s="128" t="s">
        <v>11</v>
      </c>
      <c r="AY253" s="121" t="s">
        <v>11</v>
      </c>
      <c r="AZ253" s="128" t="s">
        <v>11</v>
      </c>
      <c r="BA253" s="121" t="s">
        <v>11</v>
      </c>
      <c r="BB253" s="128" t="s">
        <v>11</v>
      </c>
      <c r="BC253" s="127" t="s">
        <v>11</v>
      </c>
      <c r="BD253" s="128" t="s">
        <v>11</v>
      </c>
      <c r="BE253" s="127" t="s">
        <v>11</v>
      </c>
      <c r="BF253" s="128" t="s">
        <v>11</v>
      </c>
      <c r="BG253" s="127" t="s">
        <v>11</v>
      </c>
      <c r="BH253" s="128" t="s">
        <v>11</v>
      </c>
      <c r="BI253" s="127" t="s">
        <v>11</v>
      </c>
      <c r="BJ253" s="128" t="s">
        <v>11</v>
      </c>
      <c r="BK253" s="127" t="s">
        <v>11</v>
      </c>
      <c r="BL253" s="174" t="str">
        <f>IF(BK253="NA","NA",IF(BK253="Not Reported","Not Reported",IF(BK253&gt;$L$253,"Not Met","Met")))</f>
        <v>NA</v>
      </c>
      <c r="BM253" s="257" t="s">
        <v>11</v>
      </c>
      <c r="BN253" s="162" t="str">
        <f>IF(BM253="NA","NA",IF(BM253="Not Reported","Not Reported",IF(BM253&gt;$L$253,"Not Met","Met")))</f>
        <v>NA</v>
      </c>
      <c r="BO253" s="121" t="s">
        <v>11</v>
      </c>
      <c r="BP253" s="162" t="s">
        <v>11</v>
      </c>
      <c r="BQ253" s="128" t="s">
        <v>11</v>
      </c>
      <c r="BR253" s="162" t="s">
        <v>11</v>
      </c>
      <c r="BS253" s="338" t="s">
        <v>11</v>
      </c>
      <c r="BT253" s="162" t="str">
        <f>IF(BS253="NA","NA",IF(BS253="Not Reported","Not Reported",IF(BS253&gt;$L$253,"Not Met","Met")))</f>
        <v>NA</v>
      </c>
      <c r="BU253" s="338" t="s">
        <v>11</v>
      </c>
      <c r="BV253" s="162" t="str">
        <f>IF(BU253="NA","NA",IF(BU253="Not Reported","Not Reported",IF(BU253&gt;$L$253,"Not Met","Met")))</f>
        <v>NA</v>
      </c>
    </row>
    <row r="254" spans="1:74" x14ac:dyDescent="0.25">
      <c r="A254" s="121">
        <v>253</v>
      </c>
      <c r="B254" s="122" t="s">
        <v>706</v>
      </c>
      <c r="C254" s="122" t="s">
        <v>904</v>
      </c>
      <c r="D254" s="123" t="s">
        <v>109</v>
      </c>
      <c r="E254" s="123" t="s">
        <v>900</v>
      </c>
      <c r="F254" s="123" t="s">
        <v>190</v>
      </c>
      <c r="G254" s="122" t="s">
        <v>273</v>
      </c>
      <c r="H254" s="122" t="s">
        <v>192</v>
      </c>
      <c r="I254" s="124" t="s">
        <v>284</v>
      </c>
      <c r="J254" s="124" t="s">
        <v>285</v>
      </c>
      <c r="K254" s="145" t="s">
        <v>284</v>
      </c>
      <c r="L254" s="128" t="s">
        <v>286</v>
      </c>
      <c r="M254" s="128" t="s">
        <v>286</v>
      </c>
      <c r="N254" s="145" t="s">
        <v>287</v>
      </c>
      <c r="O254" s="145" t="s">
        <v>288</v>
      </c>
      <c r="P254" s="123" t="s">
        <v>207</v>
      </c>
      <c r="Q254" s="127" t="s">
        <v>11</v>
      </c>
      <c r="R254" s="128" t="s">
        <v>11</v>
      </c>
      <c r="S254" s="127" t="s">
        <v>11</v>
      </c>
      <c r="T254" s="128" t="s">
        <v>11</v>
      </c>
      <c r="U254" s="127" t="s">
        <v>11</v>
      </c>
      <c r="V254" s="128" t="s">
        <v>11</v>
      </c>
      <c r="W254" s="127" t="s">
        <v>11</v>
      </c>
      <c r="X254" s="128" t="s">
        <v>11</v>
      </c>
      <c r="Y254" s="127" t="s">
        <v>11</v>
      </c>
      <c r="Z254" s="128" t="s">
        <v>11</v>
      </c>
      <c r="AA254" s="127" t="s">
        <v>11</v>
      </c>
      <c r="AB254" s="128" t="s">
        <v>11</v>
      </c>
      <c r="AC254" s="127" t="s">
        <v>11</v>
      </c>
      <c r="AD254" s="128" t="s">
        <v>11</v>
      </c>
      <c r="AE254" s="127" t="s">
        <v>11</v>
      </c>
      <c r="AF254" s="128" t="s">
        <v>11</v>
      </c>
      <c r="AG254" s="127" t="s">
        <v>11</v>
      </c>
      <c r="AH254" s="128" t="s">
        <v>11</v>
      </c>
      <c r="AI254" s="127" t="s">
        <v>11</v>
      </c>
      <c r="AJ254" s="128" t="s">
        <v>11</v>
      </c>
      <c r="AK254" s="127" t="s">
        <v>11</v>
      </c>
      <c r="AL254" s="128" t="s">
        <v>11</v>
      </c>
      <c r="AM254" s="121" t="s">
        <v>11</v>
      </c>
      <c r="AN254" s="128" t="s">
        <v>11</v>
      </c>
      <c r="AO254" s="121" t="s">
        <v>11</v>
      </c>
      <c r="AP254" s="128" t="s">
        <v>11</v>
      </c>
      <c r="AQ254" s="121" t="s">
        <v>11</v>
      </c>
      <c r="AR254" s="128" t="s">
        <v>11</v>
      </c>
      <c r="AS254" s="121" t="s">
        <v>11</v>
      </c>
      <c r="AT254" s="128" t="s">
        <v>11</v>
      </c>
      <c r="AU254" s="121" t="s">
        <v>11</v>
      </c>
      <c r="AV254" s="128" t="s">
        <v>11</v>
      </c>
      <c r="AW254" s="121" t="s">
        <v>11</v>
      </c>
      <c r="AX254" s="128" t="s">
        <v>11</v>
      </c>
      <c r="AY254" s="121" t="s">
        <v>11</v>
      </c>
      <c r="AZ254" s="128" t="s">
        <v>11</v>
      </c>
      <c r="BA254" s="121" t="s">
        <v>11</v>
      </c>
      <c r="BB254" s="128" t="s">
        <v>11</v>
      </c>
      <c r="BC254" s="127" t="s">
        <v>11</v>
      </c>
      <c r="BD254" s="128" t="s">
        <v>11</v>
      </c>
      <c r="BE254" s="127" t="s">
        <v>11</v>
      </c>
      <c r="BF254" s="128" t="s">
        <v>11</v>
      </c>
      <c r="BG254" s="127" t="s">
        <v>11</v>
      </c>
      <c r="BH254" s="128" t="s">
        <v>11</v>
      </c>
      <c r="BI254" s="127" t="s">
        <v>11</v>
      </c>
      <c r="BJ254" s="128" t="s">
        <v>11</v>
      </c>
      <c r="BK254" s="127" t="s">
        <v>11</v>
      </c>
      <c r="BL254" s="128" t="str">
        <f>IF(BK254="NA","NA",IF(BK254="Not Reported","Not Reported",IF(BK254&lt;$L$254,"Not Met","Met")))</f>
        <v>NA</v>
      </c>
      <c r="BM254" s="257" t="s">
        <v>11</v>
      </c>
      <c r="BN254" s="128" t="str">
        <f>IF(BM254="NA","NA",IF(BM254="Not Reported","Not Reported",IF(BM254&lt;$L$254,"Not Met","Met")))</f>
        <v>NA</v>
      </c>
      <c r="BO254" s="121" t="s">
        <v>11</v>
      </c>
      <c r="BP254" s="128" t="s">
        <v>11</v>
      </c>
      <c r="BQ254" s="128" t="s">
        <v>11</v>
      </c>
      <c r="BR254" s="128" t="s">
        <v>11</v>
      </c>
      <c r="BS254" s="338" t="s">
        <v>11</v>
      </c>
      <c r="BT254" s="128" t="str">
        <f>IF(BS254="NA","NA",IF(BS254="Not Reported","Not Reported",IF(BS254&lt;$L$254,"Not Met","Met")))</f>
        <v>NA</v>
      </c>
      <c r="BU254" s="338" t="s">
        <v>11</v>
      </c>
      <c r="BV254" s="128" t="str">
        <f>IF(BU254="NA","NA",IF(BU254="Not Reported","Not Reported",IF(BU254&lt;$L$254,"Not Met","Met")))</f>
        <v>NA</v>
      </c>
    </row>
    <row r="255" spans="1:74" x14ac:dyDescent="0.25">
      <c r="A255" s="121">
        <v>254</v>
      </c>
      <c r="B255" s="122" t="s">
        <v>706</v>
      </c>
      <c r="C255" s="122" t="s">
        <v>904</v>
      </c>
      <c r="D255" s="123" t="s">
        <v>109</v>
      </c>
      <c r="E255" s="123" t="s">
        <v>900</v>
      </c>
      <c r="F255" s="123" t="s">
        <v>190</v>
      </c>
      <c r="G255" s="122" t="s">
        <v>273</v>
      </c>
      <c r="H255" s="122" t="s">
        <v>192</v>
      </c>
      <c r="I255" s="124" t="s">
        <v>289</v>
      </c>
      <c r="J255" s="124" t="s">
        <v>285</v>
      </c>
      <c r="K255" s="145" t="s">
        <v>289</v>
      </c>
      <c r="L255" s="128" t="s">
        <v>286</v>
      </c>
      <c r="M255" s="128" t="s">
        <v>286</v>
      </c>
      <c r="N255" s="145" t="s">
        <v>290</v>
      </c>
      <c r="O255" s="145" t="s">
        <v>291</v>
      </c>
      <c r="P255" s="123" t="s">
        <v>207</v>
      </c>
      <c r="Q255" s="127" t="s">
        <v>11</v>
      </c>
      <c r="R255" s="128" t="s">
        <v>11</v>
      </c>
      <c r="S255" s="127" t="s">
        <v>11</v>
      </c>
      <c r="T255" s="128" t="s">
        <v>11</v>
      </c>
      <c r="U255" s="127" t="s">
        <v>11</v>
      </c>
      <c r="V255" s="128" t="s">
        <v>11</v>
      </c>
      <c r="W255" s="127" t="s">
        <v>11</v>
      </c>
      <c r="X255" s="128" t="s">
        <v>11</v>
      </c>
      <c r="Y255" s="127" t="s">
        <v>11</v>
      </c>
      <c r="Z255" s="128" t="s">
        <v>11</v>
      </c>
      <c r="AA255" s="127" t="s">
        <v>11</v>
      </c>
      <c r="AB255" s="128" t="s">
        <v>11</v>
      </c>
      <c r="AC255" s="127" t="s">
        <v>11</v>
      </c>
      <c r="AD255" s="128" t="s">
        <v>11</v>
      </c>
      <c r="AE255" s="127" t="s">
        <v>11</v>
      </c>
      <c r="AF255" s="128" t="s">
        <v>11</v>
      </c>
      <c r="AG255" s="127" t="s">
        <v>11</v>
      </c>
      <c r="AH255" s="128" t="s">
        <v>11</v>
      </c>
      <c r="AI255" s="127" t="s">
        <v>11</v>
      </c>
      <c r="AJ255" s="128" t="s">
        <v>11</v>
      </c>
      <c r="AK255" s="127" t="s">
        <v>11</v>
      </c>
      <c r="AL255" s="128" t="s">
        <v>11</v>
      </c>
      <c r="AM255" s="121" t="s">
        <v>11</v>
      </c>
      <c r="AN255" s="128" t="s">
        <v>11</v>
      </c>
      <c r="AO255" s="121" t="s">
        <v>11</v>
      </c>
      <c r="AP255" s="128" t="s">
        <v>11</v>
      </c>
      <c r="AQ255" s="121" t="s">
        <v>11</v>
      </c>
      <c r="AR255" s="128" t="s">
        <v>11</v>
      </c>
      <c r="AS255" s="121" t="s">
        <v>11</v>
      </c>
      <c r="AT255" s="128" t="s">
        <v>11</v>
      </c>
      <c r="AU255" s="121" t="s">
        <v>11</v>
      </c>
      <c r="AV255" s="128" t="s">
        <v>11</v>
      </c>
      <c r="AW255" s="121" t="s">
        <v>11</v>
      </c>
      <c r="AX255" s="128" t="s">
        <v>11</v>
      </c>
      <c r="AY255" s="121" t="s">
        <v>11</v>
      </c>
      <c r="AZ255" s="128" t="s">
        <v>11</v>
      </c>
      <c r="BA255" s="121" t="s">
        <v>11</v>
      </c>
      <c r="BB255" s="128" t="s">
        <v>11</v>
      </c>
      <c r="BC255" s="127" t="s">
        <v>11</v>
      </c>
      <c r="BD255" s="128" t="s">
        <v>11</v>
      </c>
      <c r="BE255" s="127" t="s">
        <v>11</v>
      </c>
      <c r="BF255" s="128" t="s">
        <v>11</v>
      </c>
      <c r="BG255" s="127" t="s">
        <v>11</v>
      </c>
      <c r="BH255" s="128" t="s">
        <v>11</v>
      </c>
      <c r="BI255" s="127" t="s">
        <v>11</v>
      </c>
      <c r="BJ255" s="128" t="s">
        <v>11</v>
      </c>
      <c r="BK255" s="127" t="s">
        <v>11</v>
      </c>
      <c r="BL255" s="128" t="str">
        <f>IF(BK255="NA","NA",IF(BK255="Not Reported","Not Reported",IF(BK255&lt;$L$255,"Not Met","Met")))</f>
        <v>NA</v>
      </c>
      <c r="BM255" s="257" t="s">
        <v>11</v>
      </c>
      <c r="BN255" s="128" t="str">
        <f>IF(BM255="NA","NA",IF(BM255="Not Reported","Not Reported",IF(BM255&lt;$L$255,"Not Met","Met")))</f>
        <v>NA</v>
      </c>
      <c r="BO255" s="121" t="s">
        <v>11</v>
      </c>
      <c r="BP255" s="128" t="s">
        <v>11</v>
      </c>
      <c r="BQ255" s="128" t="s">
        <v>11</v>
      </c>
      <c r="BR255" s="128" t="s">
        <v>11</v>
      </c>
      <c r="BS255" s="338" t="s">
        <v>11</v>
      </c>
      <c r="BT255" s="128" t="str">
        <f>IF(BS255="NA","NA",IF(BS255="Not Reported","Not Reported",IF(BS255&lt;$L$255,"Not Met","Met")))</f>
        <v>NA</v>
      </c>
      <c r="BU255" s="338" t="s">
        <v>11</v>
      </c>
      <c r="BV255" s="128" t="str">
        <f>IF(BU255="NA","NA",IF(BU255="Not Reported","Not Reported",IF(BU255&lt;$L$255,"Not Met","Met")))</f>
        <v>NA</v>
      </c>
    </row>
    <row r="256" spans="1:74" x14ac:dyDescent="0.25">
      <c r="A256" s="121">
        <v>255</v>
      </c>
      <c r="B256" s="122" t="s">
        <v>706</v>
      </c>
      <c r="C256" s="122" t="s">
        <v>904</v>
      </c>
      <c r="D256" s="123" t="s">
        <v>109</v>
      </c>
      <c r="E256" s="123" t="s">
        <v>900</v>
      </c>
      <c r="F256" s="123" t="s">
        <v>190</v>
      </c>
      <c r="G256" s="122" t="s">
        <v>273</v>
      </c>
      <c r="H256" s="122" t="s">
        <v>192</v>
      </c>
      <c r="I256" s="123" t="s">
        <v>296</v>
      </c>
      <c r="J256" s="123" t="s">
        <v>296</v>
      </c>
      <c r="K256" s="145" t="s">
        <v>296</v>
      </c>
      <c r="L256" s="128" t="s">
        <v>286</v>
      </c>
      <c r="M256" s="128" t="s">
        <v>286</v>
      </c>
      <c r="N256" s="145" t="s">
        <v>297</v>
      </c>
      <c r="O256" s="145" t="s">
        <v>298</v>
      </c>
      <c r="P256" s="123" t="s">
        <v>207</v>
      </c>
      <c r="Q256" s="127" t="s">
        <v>11</v>
      </c>
      <c r="R256" s="128" t="s">
        <v>11</v>
      </c>
      <c r="S256" s="127" t="s">
        <v>11</v>
      </c>
      <c r="T256" s="128" t="s">
        <v>11</v>
      </c>
      <c r="U256" s="127" t="s">
        <v>11</v>
      </c>
      <c r="V256" s="128" t="s">
        <v>11</v>
      </c>
      <c r="W256" s="127" t="s">
        <v>11</v>
      </c>
      <c r="X256" s="128" t="s">
        <v>11</v>
      </c>
      <c r="Y256" s="127" t="s">
        <v>11</v>
      </c>
      <c r="Z256" s="128" t="s">
        <v>11</v>
      </c>
      <c r="AA256" s="127" t="s">
        <v>11</v>
      </c>
      <c r="AB256" s="128" t="s">
        <v>11</v>
      </c>
      <c r="AC256" s="127" t="s">
        <v>11</v>
      </c>
      <c r="AD256" s="128" t="s">
        <v>11</v>
      </c>
      <c r="AE256" s="127" t="s">
        <v>11</v>
      </c>
      <c r="AF256" s="128" t="s">
        <v>11</v>
      </c>
      <c r="AG256" s="127" t="s">
        <v>11</v>
      </c>
      <c r="AH256" s="128" t="s">
        <v>11</v>
      </c>
      <c r="AI256" s="127" t="s">
        <v>11</v>
      </c>
      <c r="AJ256" s="128" t="s">
        <v>11</v>
      </c>
      <c r="AK256" s="127" t="s">
        <v>11</v>
      </c>
      <c r="AL256" s="128" t="s">
        <v>11</v>
      </c>
      <c r="AM256" s="121" t="s">
        <v>11</v>
      </c>
      <c r="AN256" s="128" t="s">
        <v>11</v>
      </c>
      <c r="AO256" s="121" t="s">
        <v>11</v>
      </c>
      <c r="AP256" s="128" t="s">
        <v>11</v>
      </c>
      <c r="AQ256" s="121" t="s">
        <v>11</v>
      </c>
      <c r="AR256" s="128" t="s">
        <v>11</v>
      </c>
      <c r="AS256" s="121" t="s">
        <v>11</v>
      </c>
      <c r="AT256" s="128" t="s">
        <v>11</v>
      </c>
      <c r="AU256" s="121" t="s">
        <v>11</v>
      </c>
      <c r="AV256" s="128" t="s">
        <v>11</v>
      </c>
      <c r="AW256" s="121" t="s">
        <v>11</v>
      </c>
      <c r="AX256" s="128" t="s">
        <v>11</v>
      </c>
      <c r="AY256" s="121" t="s">
        <v>11</v>
      </c>
      <c r="AZ256" s="128" t="s">
        <v>11</v>
      </c>
      <c r="BA256" s="121" t="s">
        <v>11</v>
      </c>
      <c r="BB256" s="128" t="s">
        <v>11</v>
      </c>
      <c r="BC256" s="127" t="s">
        <v>11</v>
      </c>
      <c r="BD256" s="128" t="s">
        <v>11</v>
      </c>
      <c r="BE256" s="127" t="s">
        <v>11</v>
      </c>
      <c r="BF256" s="128" t="s">
        <v>11</v>
      </c>
      <c r="BG256" s="127" t="s">
        <v>11</v>
      </c>
      <c r="BH256" s="128" t="s">
        <v>11</v>
      </c>
      <c r="BI256" s="127" t="s">
        <v>11</v>
      </c>
      <c r="BJ256" s="128" t="s">
        <v>11</v>
      </c>
      <c r="BK256" s="127" t="s">
        <v>11</v>
      </c>
      <c r="BL256" s="128" t="str">
        <f>IF(BK256="NA","NA",IF(BK256="Not Reported","Not Reported",IF(BK256&lt;$L$256,"Not Met","Met")))</f>
        <v>NA</v>
      </c>
      <c r="BM256" s="257" t="s">
        <v>11</v>
      </c>
      <c r="BN256" s="128" t="str">
        <f>IF(BM256="NA","NA",IF(BM256="Not Reported","Not Reported",IF(BM256&lt;$L$256,"Not Met","Met")))</f>
        <v>NA</v>
      </c>
      <c r="BO256" s="121" t="s">
        <v>11</v>
      </c>
      <c r="BP256" s="128" t="s">
        <v>11</v>
      </c>
      <c r="BQ256" s="128" t="s">
        <v>11</v>
      </c>
      <c r="BR256" s="128" t="s">
        <v>11</v>
      </c>
      <c r="BS256" s="338" t="s">
        <v>11</v>
      </c>
      <c r="BT256" s="128" t="str">
        <f>IF(BS256="NA","NA",IF(BS256="Not Reported","Not Reported",IF(BS256&lt;$L$256,"Not Met","Met")))</f>
        <v>NA</v>
      </c>
      <c r="BU256" s="338" t="s">
        <v>11</v>
      </c>
      <c r="BV256" s="128" t="str">
        <f>IF(BU256="NA","NA",IF(BU256="Not Reported","Not Reported",IF(BU256&lt;$L$256,"Not Met","Met")))</f>
        <v>NA</v>
      </c>
    </row>
    <row r="257" spans="1:74" x14ac:dyDescent="0.25">
      <c r="A257" s="121">
        <v>256</v>
      </c>
      <c r="B257" s="122" t="s">
        <v>19</v>
      </c>
      <c r="C257" s="122" t="s">
        <v>902</v>
      </c>
      <c r="D257" s="123" t="s">
        <v>105</v>
      </c>
      <c r="E257" s="123" t="s">
        <v>132</v>
      </c>
      <c r="F257" s="123" t="s">
        <v>190</v>
      </c>
      <c r="G257" s="122" t="s">
        <v>191</v>
      </c>
      <c r="H257" s="122" t="s">
        <v>192</v>
      </c>
      <c r="I257" s="124" t="s">
        <v>213</v>
      </c>
      <c r="J257" s="124" t="s">
        <v>214</v>
      </c>
      <c r="K257" s="129" t="s">
        <v>213</v>
      </c>
      <c r="L257" s="147">
        <v>30</v>
      </c>
      <c r="M257" s="147" t="s">
        <v>356</v>
      </c>
      <c r="N257" s="122" t="s">
        <v>567</v>
      </c>
      <c r="O257" s="122" t="s">
        <v>567</v>
      </c>
      <c r="P257" s="122" t="s">
        <v>207</v>
      </c>
      <c r="Q257" s="131" t="s">
        <v>61</v>
      </c>
      <c r="R257" s="131" t="s">
        <v>61</v>
      </c>
      <c r="S257" s="131" t="s">
        <v>61</v>
      </c>
      <c r="T257" s="131" t="s">
        <v>61</v>
      </c>
      <c r="U257" s="147" t="s">
        <v>501</v>
      </c>
      <c r="V257" s="131" t="s">
        <v>251</v>
      </c>
      <c r="W257" s="147" t="s">
        <v>429</v>
      </c>
      <c r="X257" s="121" t="s">
        <v>198</v>
      </c>
      <c r="Y257" s="121" t="s">
        <v>434</v>
      </c>
      <c r="Z257" s="121" t="s">
        <v>198</v>
      </c>
      <c r="AA257" s="121" t="s">
        <v>231</v>
      </c>
      <c r="AB257" s="121" t="s">
        <v>198</v>
      </c>
      <c r="AC257" s="121" t="s">
        <v>61</v>
      </c>
      <c r="AD257" s="121" t="s">
        <v>61</v>
      </c>
      <c r="AE257" s="121" t="s">
        <v>448</v>
      </c>
      <c r="AF257" s="121" t="s">
        <v>198</v>
      </c>
      <c r="AG257" s="121" t="s">
        <v>231</v>
      </c>
      <c r="AH257" s="121" t="s">
        <v>198</v>
      </c>
      <c r="AI257" s="121" t="s">
        <v>241</v>
      </c>
      <c r="AJ257" s="121" t="s">
        <v>198</v>
      </c>
      <c r="AK257" s="121" t="s">
        <v>61</v>
      </c>
      <c r="AL257" s="121" t="s">
        <v>61</v>
      </c>
      <c r="AM257" s="121" t="s">
        <v>718</v>
      </c>
      <c r="AN257" s="121" t="s">
        <v>198</v>
      </c>
      <c r="AO257" s="219">
        <v>15</v>
      </c>
      <c r="AP257" s="121" t="s">
        <v>198</v>
      </c>
      <c r="AQ257" s="219" t="s">
        <v>454</v>
      </c>
      <c r="AR257" s="121" t="s">
        <v>198</v>
      </c>
      <c r="AS257" s="219" t="s">
        <v>448</v>
      </c>
      <c r="AT257" s="121" t="s">
        <v>198</v>
      </c>
      <c r="AU257" s="121" t="s">
        <v>61</v>
      </c>
      <c r="AV257" s="121" t="s">
        <v>61</v>
      </c>
      <c r="AW257" s="219">
        <v>21</v>
      </c>
      <c r="AX257" s="121" t="s">
        <v>198</v>
      </c>
      <c r="AY257" s="121">
        <v>28</v>
      </c>
      <c r="AZ257" s="121" t="s">
        <v>198</v>
      </c>
      <c r="BA257" s="219">
        <v>16</v>
      </c>
      <c r="BB257" s="121" t="s">
        <v>198</v>
      </c>
      <c r="BC257" s="127" t="s">
        <v>11</v>
      </c>
      <c r="BD257" s="128" t="s">
        <v>11</v>
      </c>
      <c r="BE257" s="127" t="s">
        <v>11</v>
      </c>
      <c r="BF257" s="128" t="s">
        <v>11</v>
      </c>
      <c r="BG257" s="128" t="s">
        <v>61</v>
      </c>
      <c r="BH257" s="121" t="s">
        <v>61</v>
      </c>
      <c r="BI257" s="128" t="s">
        <v>61</v>
      </c>
      <c r="BJ257" s="121" t="s">
        <v>61</v>
      </c>
      <c r="BK257" s="121" t="s">
        <v>61</v>
      </c>
      <c r="BL257" s="121" t="str">
        <f>IF(BK257="NA","NA",IF(BK257="Not Reported","Not Reported",IF(BK257&gt;$L$257,"Not Met","Met")))</f>
        <v>Not Reported</v>
      </c>
      <c r="BM257" s="258">
        <v>280</v>
      </c>
      <c r="BN257" s="121" t="str">
        <f>IF(BM257="NA","NA",IF(BM257="Not Reported","Not Reported",IF(BM257&gt;$L$257,"Not Met","Met")))</f>
        <v>Not Met</v>
      </c>
      <c r="BO257" s="121" t="s">
        <v>61</v>
      </c>
      <c r="BP257" s="121" t="s">
        <v>61</v>
      </c>
      <c r="BQ257" s="121" t="s">
        <v>61</v>
      </c>
      <c r="BR257" s="121" t="s">
        <v>61</v>
      </c>
      <c r="BS257" s="26">
        <v>408</v>
      </c>
      <c r="BT257" s="121" t="str">
        <f>IF(BS257="NA","NA",IF(BS257="Not Reported","Not Reported",IF(BS257&gt;$L$257,"Not Met","Met")))</f>
        <v>Not Met</v>
      </c>
      <c r="BU257" s="26" t="s">
        <v>61</v>
      </c>
      <c r="BV257" s="121" t="str">
        <f>IF(BU257="NA","NA",IF(BU257="Not Reported","Not Reported",IF(BU257&gt;$L$257,"Not Met","Met")))</f>
        <v>Not Reported</v>
      </c>
    </row>
    <row r="258" spans="1:74" x14ac:dyDescent="0.25">
      <c r="A258" s="121">
        <v>257</v>
      </c>
      <c r="B258" s="122" t="s">
        <v>19</v>
      </c>
      <c r="C258" s="122" t="s">
        <v>902</v>
      </c>
      <c r="D258" s="123" t="s">
        <v>105</v>
      </c>
      <c r="E258" s="123" t="s">
        <v>132</v>
      </c>
      <c r="F258" s="123" t="s">
        <v>190</v>
      </c>
      <c r="G258" s="122" t="s">
        <v>191</v>
      </c>
      <c r="H258" s="122" t="s">
        <v>192</v>
      </c>
      <c r="I258" s="124" t="s">
        <v>274</v>
      </c>
      <c r="J258" s="124" t="s">
        <v>214</v>
      </c>
      <c r="K258" s="145" t="s">
        <v>274</v>
      </c>
      <c r="L258" s="147">
        <v>120</v>
      </c>
      <c r="M258" s="147" t="s">
        <v>876</v>
      </c>
      <c r="N258" s="122" t="s">
        <v>528</v>
      </c>
      <c r="O258" s="123" t="s">
        <v>528</v>
      </c>
      <c r="P258" s="122" t="s">
        <v>207</v>
      </c>
      <c r="Q258" s="131" t="s">
        <v>61</v>
      </c>
      <c r="R258" s="131" t="s">
        <v>61</v>
      </c>
      <c r="S258" s="131" t="s">
        <v>61</v>
      </c>
      <c r="T258" s="131" t="s">
        <v>61</v>
      </c>
      <c r="U258" s="131" t="s">
        <v>464</v>
      </c>
      <c r="V258" s="131" t="s">
        <v>251</v>
      </c>
      <c r="W258" s="131" t="s">
        <v>478</v>
      </c>
      <c r="X258" s="147" t="s">
        <v>198</v>
      </c>
      <c r="Y258" s="147" t="s">
        <v>719</v>
      </c>
      <c r="Z258" s="121" t="s">
        <v>198</v>
      </c>
      <c r="AA258" s="147" t="s">
        <v>553</v>
      </c>
      <c r="AB258" s="121" t="s">
        <v>198</v>
      </c>
      <c r="AC258" s="121" t="s">
        <v>61</v>
      </c>
      <c r="AD258" s="121" t="s">
        <v>61</v>
      </c>
      <c r="AE258" s="147" t="s">
        <v>478</v>
      </c>
      <c r="AF258" s="121" t="s">
        <v>198</v>
      </c>
      <c r="AG258" s="121" t="s">
        <v>478</v>
      </c>
      <c r="AH258" s="121" t="s">
        <v>198</v>
      </c>
      <c r="AI258" s="121" t="s">
        <v>478</v>
      </c>
      <c r="AJ258" s="121" t="s">
        <v>198</v>
      </c>
      <c r="AK258" s="121" t="s">
        <v>61</v>
      </c>
      <c r="AL258" s="121" t="s">
        <v>61</v>
      </c>
      <c r="AM258" s="121" t="s">
        <v>626</v>
      </c>
      <c r="AN258" s="121" t="s">
        <v>198</v>
      </c>
      <c r="AO258" s="219">
        <v>55</v>
      </c>
      <c r="AP258" s="121" t="s">
        <v>198</v>
      </c>
      <c r="AQ258" s="219" t="s">
        <v>552</v>
      </c>
      <c r="AR258" s="121" t="s">
        <v>198</v>
      </c>
      <c r="AS258" s="219" t="s">
        <v>626</v>
      </c>
      <c r="AT258" s="121" t="s">
        <v>198</v>
      </c>
      <c r="AU258" s="121" t="s">
        <v>61</v>
      </c>
      <c r="AV258" s="121" t="s">
        <v>61</v>
      </c>
      <c r="AW258" s="219">
        <v>72</v>
      </c>
      <c r="AX258" s="121" t="s">
        <v>198</v>
      </c>
      <c r="AY258" s="121">
        <v>70</v>
      </c>
      <c r="AZ258" s="121" t="s">
        <v>198</v>
      </c>
      <c r="BA258" s="219">
        <v>57</v>
      </c>
      <c r="BB258" s="121" t="s">
        <v>198</v>
      </c>
      <c r="BC258" s="127" t="s">
        <v>11</v>
      </c>
      <c r="BD258" s="128" t="s">
        <v>11</v>
      </c>
      <c r="BE258" s="127" t="s">
        <v>11</v>
      </c>
      <c r="BF258" s="128" t="s">
        <v>11</v>
      </c>
      <c r="BG258" s="128" t="s">
        <v>61</v>
      </c>
      <c r="BH258" s="121" t="s">
        <v>61</v>
      </c>
      <c r="BI258" s="128" t="s">
        <v>61</v>
      </c>
      <c r="BJ258" s="121" t="s">
        <v>61</v>
      </c>
      <c r="BK258" s="121" t="s">
        <v>61</v>
      </c>
      <c r="BL258" s="121" t="str">
        <f>IF(BK258="NA","NA",IF(BK258="Not Reported","Not Reported",IF(BK258&gt;$L$258,"Not Met","Met")))</f>
        <v>Not Reported</v>
      </c>
      <c r="BM258" s="258">
        <v>122</v>
      </c>
      <c r="BN258" s="121" t="str">
        <f>IF(BM258="NA","NA",IF(BM258="Not Reported","Not Reported",IF(BM258&gt;$L$258,"Not Met","Met")))</f>
        <v>Not Met</v>
      </c>
      <c r="BO258" s="121" t="s">
        <v>61</v>
      </c>
      <c r="BP258" s="121" t="s">
        <v>61</v>
      </c>
      <c r="BQ258" s="121" t="s">
        <v>61</v>
      </c>
      <c r="BR258" s="121" t="s">
        <v>61</v>
      </c>
      <c r="BS258" s="26">
        <v>402</v>
      </c>
      <c r="BT258" s="121" t="str">
        <f>IF(BS258="NA","NA",IF(BS258="Not Reported","Not Reported",IF(BS258&gt;$L$258,"Not Met","Met")))</f>
        <v>Not Met</v>
      </c>
      <c r="BU258" s="26" t="s">
        <v>61</v>
      </c>
      <c r="BV258" s="121" t="str">
        <f>IF(BU258="NA","NA",IF(BU258="Not Reported","Not Reported",IF(BU258&gt;$L$258,"Not Met","Met")))</f>
        <v>Not Reported</v>
      </c>
    </row>
    <row r="259" spans="1:74" x14ac:dyDescent="0.25">
      <c r="A259" s="121">
        <v>258</v>
      </c>
      <c r="B259" s="122" t="s">
        <v>19</v>
      </c>
      <c r="C259" s="122" t="s">
        <v>902</v>
      </c>
      <c r="D259" s="123" t="s">
        <v>105</v>
      </c>
      <c r="E259" s="123" t="s">
        <v>132</v>
      </c>
      <c r="F259" s="123" t="s">
        <v>190</v>
      </c>
      <c r="G259" s="122" t="s">
        <v>191</v>
      </c>
      <c r="H259" s="122" t="s">
        <v>192</v>
      </c>
      <c r="I259" s="124" t="s">
        <v>289</v>
      </c>
      <c r="J259" s="124" t="s">
        <v>285</v>
      </c>
      <c r="K259" s="145" t="s">
        <v>289</v>
      </c>
      <c r="L259" s="146">
        <v>0.2</v>
      </c>
      <c r="M259" s="146">
        <v>0.2</v>
      </c>
      <c r="N259" s="122" t="s">
        <v>529</v>
      </c>
      <c r="O259" s="122" t="s">
        <v>529</v>
      </c>
      <c r="P259" s="122" t="s">
        <v>207</v>
      </c>
      <c r="Q259" s="131" t="s">
        <v>61</v>
      </c>
      <c r="R259" s="131" t="s">
        <v>61</v>
      </c>
      <c r="S259" s="131" t="s">
        <v>61</v>
      </c>
      <c r="T259" s="131" t="s">
        <v>61</v>
      </c>
      <c r="U259" s="131" t="s">
        <v>11</v>
      </c>
      <c r="V259" s="131" t="s">
        <v>11</v>
      </c>
      <c r="W259" s="131" t="s">
        <v>11</v>
      </c>
      <c r="X259" s="131" t="s">
        <v>11</v>
      </c>
      <c r="Y259" s="131" t="s">
        <v>11</v>
      </c>
      <c r="Z259" s="131" t="s">
        <v>11</v>
      </c>
      <c r="AA259" s="131" t="s">
        <v>11</v>
      </c>
      <c r="AB259" s="128" t="s">
        <v>11</v>
      </c>
      <c r="AC259" s="121" t="s">
        <v>61</v>
      </c>
      <c r="AD259" s="121" t="s">
        <v>61</v>
      </c>
      <c r="AE259" s="131" t="s">
        <v>11</v>
      </c>
      <c r="AF259" s="128" t="s">
        <v>11</v>
      </c>
      <c r="AG259" s="131" t="s">
        <v>11</v>
      </c>
      <c r="AH259" s="128" t="s">
        <v>11</v>
      </c>
      <c r="AI259" s="131" t="s">
        <v>11</v>
      </c>
      <c r="AJ259" s="128" t="s">
        <v>11</v>
      </c>
      <c r="AK259" s="121" t="s">
        <v>61</v>
      </c>
      <c r="AL259" s="121" t="s">
        <v>61</v>
      </c>
      <c r="AM259" s="131" t="s">
        <v>11</v>
      </c>
      <c r="AN259" s="128" t="s">
        <v>11</v>
      </c>
      <c r="AO259" s="121" t="s">
        <v>61</v>
      </c>
      <c r="AP259" s="121" t="s">
        <v>61</v>
      </c>
      <c r="AQ259" s="121" t="s">
        <v>61</v>
      </c>
      <c r="AR259" s="121" t="s">
        <v>61</v>
      </c>
      <c r="AS259" s="121" t="s">
        <v>61</v>
      </c>
      <c r="AT259" s="121" t="s">
        <v>61</v>
      </c>
      <c r="AU259" s="121" t="s">
        <v>61</v>
      </c>
      <c r="AV259" s="121" t="s">
        <v>61</v>
      </c>
      <c r="AW259" s="121" t="s">
        <v>61</v>
      </c>
      <c r="AX259" s="121" t="s">
        <v>61</v>
      </c>
      <c r="AY259" s="121" t="s">
        <v>61</v>
      </c>
      <c r="AZ259" s="121" t="s">
        <v>61</v>
      </c>
      <c r="BA259" s="121" t="s">
        <v>61</v>
      </c>
      <c r="BB259" s="121" t="s">
        <v>61</v>
      </c>
      <c r="BC259" s="127" t="s">
        <v>11</v>
      </c>
      <c r="BD259" s="128" t="s">
        <v>11</v>
      </c>
      <c r="BE259" s="127" t="s">
        <v>11</v>
      </c>
      <c r="BF259" s="128" t="s">
        <v>11</v>
      </c>
      <c r="BG259" s="128" t="s">
        <v>61</v>
      </c>
      <c r="BH259" s="121" t="s">
        <v>61</v>
      </c>
      <c r="BI259" s="128" t="s">
        <v>61</v>
      </c>
      <c r="BJ259" s="121" t="s">
        <v>61</v>
      </c>
      <c r="BK259" s="121" t="s">
        <v>61</v>
      </c>
      <c r="BL259" s="128" t="str">
        <f>IF(BK259="NA","NA",IF(BK259="Not Reported","Not Reported",IF(BK259&lt;$L$259,"Not Met","Met")))</f>
        <v>Not Reported</v>
      </c>
      <c r="BM259" s="262">
        <v>0.08</v>
      </c>
      <c r="BN259" s="128" t="str">
        <f>IF(BM259="NA","NA",IF(BM259="Not Reported","Not Reported",IF(BM259&lt;$L$259,"Not Met","Met")))</f>
        <v>Not Met</v>
      </c>
      <c r="BO259" s="310">
        <v>0.2</v>
      </c>
      <c r="BP259" s="128" t="s">
        <v>198</v>
      </c>
      <c r="BQ259" s="121" t="s">
        <v>61</v>
      </c>
      <c r="BR259" s="128" t="s">
        <v>61</v>
      </c>
      <c r="BS259" s="315">
        <v>0.25</v>
      </c>
      <c r="BT259" s="128" t="str">
        <f>IF(BS259="NA","NA",IF(BS259="Not Reported","Not Reported",IF(BS259&lt;$L$259,"Not Met","Met")))</f>
        <v>Met</v>
      </c>
      <c r="BU259" s="26" t="s">
        <v>61</v>
      </c>
      <c r="BV259" s="128" t="str">
        <f>IF(BU259="NA","NA",IF(BU259="Not Reported","Not Reported",IF(BU259&lt;$L$259,"Not Met","Met")))</f>
        <v>Not Reported</v>
      </c>
    </row>
    <row r="260" spans="1:74" x14ac:dyDescent="0.25">
      <c r="A260" s="121">
        <v>259</v>
      </c>
      <c r="B260" s="122" t="s">
        <v>19</v>
      </c>
      <c r="C260" s="122" t="s">
        <v>902</v>
      </c>
      <c r="D260" s="123" t="s">
        <v>105</v>
      </c>
      <c r="E260" s="123" t="s">
        <v>132</v>
      </c>
      <c r="F260" s="123" t="s">
        <v>190</v>
      </c>
      <c r="G260" s="122" t="s">
        <v>191</v>
      </c>
      <c r="H260" s="122" t="s">
        <v>192</v>
      </c>
      <c r="I260" s="124" t="s">
        <v>292</v>
      </c>
      <c r="J260" s="124" t="s">
        <v>293</v>
      </c>
      <c r="K260" s="122" t="s">
        <v>292</v>
      </c>
      <c r="L260" s="146">
        <v>0.15</v>
      </c>
      <c r="M260" s="146">
        <v>0.15</v>
      </c>
      <c r="N260" s="122" t="s">
        <v>294</v>
      </c>
      <c r="O260" s="122" t="s">
        <v>295</v>
      </c>
      <c r="P260" s="122" t="s">
        <v>207</v>
      </c>
      <c r="Q260" s="131" t="s">
        <v>61</v>
      </c>
      <c r="R260" s="131" t="s">
        <v>61</v>
      </c>
      <c r="S260" s="131" t="s">
        <v>61</v>
      </c>
      <c r="T260" s="131" t="s">
        <v>61</v>
      </c>
      <c r="U260" s="131" t="s">
        <v>11</v>
      </c>
      <c r="V260" s="131" t="s">
        <v>11</v>
      </c>
      <c r="W260" s="141">
        <v>0.11</v>
      </c>
      <c r="X260" s="121" t="s">
        <v>198</v>
      </c>
      <c r="Y260" s="126">
        <v>0.18</v>
      </c>
      <c r="Z260" s="121" t="s">
        <v>251</v>
      </c>
      <c r="AA260" s="126">
        <v>7.0000000000000007E-2</v>
      </c>
      <c r="AB260" s="121" t="s">
        <v>198</v>
      </c>
      <c r="AC260" s="121" t="s">
        <v>61</v>
      </c>
      <c r="AD260" s="121" t="s">
        <v>61</v>
      </c>
      <c r="AE260" s="126">
        <v>0.17</v>
      </c>
      <c r="AF260" s="147" t="s">
        <v>251</v>
      </c>
      <c r="AG260" s="126">
        <v>0</v>
      </c>
      <c r="AH260" s="121" t="s">
        <v>198</v>
      </c>
      <c r="AI260" s="126">
        <v>0.21</v>
      </c>
      <c r="AJ260" s="147" t="s">
        <v>251</v>
      </c>
      <c r="AK260" s="121" t="s">
        <v>61</v>
      </c>
      <c r="AL260" s="121" t="s">
        <v>61</v>
      </c>
      <c r="AM260" s="126">
        <v>0.18</v>
      </c>
      <c r="AN260" s="121" t="s">
        <v>251</v>
      </c>
      <c r="AO260" s="126">
        <v>0.09</v>
      </c>
      <c r="AP260" s="121" t="s">
        <v>198</v>
      </c>
      <c r="AQ260" s="126">
        <v>0.06</v>
      </c>
      <c r="AR260" s="121" t="s">
        <v>198</v>
      </c>
      <c r="AS260" s="126">
        <v>0.12</v>
      </c>
      <c r="AT260" s="121" t="s">
        <v>198</v>
      </c>
      <c r="AU260" s="121" t="s">
        <v>61</v>
      </c>
      <c r="AV260" s="121" t="s">
        <v>61</v>
      </c>
      <c r="AW260" s="126">
        <v>0.18</v>
      </c>
      <c r="AX260" s="121" t="s">
        <v>251</v>
      </c>
      <c r="AY260" s="121" t="s">
        <v>61</v>
      </c>
      <c r="AZ260" s="121" t="s">
        <v>61</v>
      </c>
      <c r="BA260" s="126">
        <v>0.13730000000000001</v>
      </c>
      <c r="BB260" s="121" t="s">
        <v>198</v>
      </c>
      <c r="BC260" s="127" t="s">
        <v>11</v>
      </c>
      <c r="BD260" s="128" t="s">
        <v>11</v>
      </c>
      <c r="BE260" s="127" t="s">
        <v>11</v>
      </c>
      <c r="BF260" s="128" t="s">
        <v>11</v>
      </c>
      <c r="BG260" s="128" t="s">
        <v>61</v>
      </c>
      <c r="BH260" s="121" t="s">
        <v>61</v>
      </c>
      <c r="BI260" s="128" t="s">
        <v>61</v>
      </c>
      <c r="BJ260" s="121" t="s">
        <v>61</v>
      </c>
      <c r="BK260" s="121" t="s">
        <v>61</v>
      </c>
      <c r="BL260" s="128" t="str">
        <f>IF(BK260="NA","NA",IF(BK260="Not Reported","Not Reported",IF(BK260&gt;$L$260,"Not Met","Met")))</f>
        <v>Not Reported</v>
      </c>
      <c r="BM260" s="262">
        <v>0.86</v>
      </c>
      <c r="BN260" s="128" t="str">
        <f>IF(BM260="NA","NA",IF(BM260="Not Reported","Not Reported",IF(BM260&gt;$L$260,"Not Met","Met")))</f>
        <v>Not Met</v>
      </c>
      <c r="BO260" s="310">
        <v>0.15</v>
      </c>
      <c r="BP260" s="128" t="s">
        <v>198</v>
      </c>
      <c r="BQ260" s="121" t="s">
        <v>61</v>
      </c>
      <c r="BR260" s="128" t="s">
        <v>61</v>
      </c>
      <c r="BS260" s="315">
        <v>0.17</v>
      </c>
      <c r="BT260" s="128" t="str">
        <f>IF(BS260="NA","NA",IF(BS260="Not Reported","Not Reported",IF(BS260&gt;$L$260,"Not Met","Met")))</f>
        <v>Not Met</v>
      </c>
      <c r="BU260" s="26" t="s">
        <v>61</v>
      </c>
      <c r="BV260" s="128" t="str">
        <f>IF(BU260="NA","NA",IF(BU260="Not Reported","Not Reported",IF(BU260&gt;$L$260,"Not Met","Met")))</f>
        <v>Not Reported</v>
      </c>
    </row>
    <row r="261" spans="1:74" x14ac:dyDescent="0.25">
      <c r="A261" s="121">
        <v>260</v>
      </c>
      <c r="B261" s="122" t="s">
        <v>19</v>
      </c>
      <c r="C261" s="122" t="s">
        <v>902</v>
      </c>
      <c r="D261" s="123" t="s">
        <v>105</v>
      </c>
      <c r="E261" s="123" t="s">
        <v>132</v>
      </c>
      <c r="F261" s="123" t="s">
        <v>190</v>
      </c>
      <c r="G261" s="122" t="s">
        <v>191</v>
      </c>
      <c r="H261" s="122" t="s">
        <v>192</v>
      </c>
      <c r="I261" s="124" t="s">
        <v>284</v>
      </c>
      <c r="J261" s="124" t="s">
        <v>285</v>
      </c>
      <c r="K261" s="122" t="s">
        <v>720</v>
      </c>
      <c r="L261" s="146">
        <v>0.6</v>
      </c>
      <c r="M261" s="146">
        <v>0.6</v>
      </c>
      <c r="N261" s="122" t="s">
        <v>622</v>
      </c>
      <c r="O261" s="122" t="s">
        <v>622</v>
      </c>
      <c r="P261" s="122" t="s">
        <v>207</v>
      </c>
      <c r="Q261" s="131" t="s">
        <v>61</v>
      </c>
      <c r="R261" s="131" t="s">
        <v>61</v>
      </c>
      <c r="S261" s="131" t="s">
        <v>61</v>
      </c>
      <c r="T261" s="131" t="s">
        <v>61</v>
      </c>
      <c r="U261" s="131" t="s">
        <v>11</v>
      </c>
      <c r="V261" s="131" t="s">
        <v>11</v>
      </c>
      <c r="W261" s="131" t="s">
        <v>11</v>
      </c>
      <c r="X261" s="131" t="s">
        <v>11</v>
      </c>
      <c r="Y261" s="131" t="s">
        <v>11</v>
      </c>
      <c r="Z261" s="131" t="s">
        <v>11</v>
      </c>
      <c r="AA261" s="131" t="s">
        <v>11</v>
      </c>
      <c r="AB261" s="128" t="s">
        <v>11</v>
      </c>
      <c r="AC261" s="121" t="s">
        <v>61</v>
      </c>
      <c r="AD261" s="121" t="s">
        <v>61</v>
      </c>
      <c r="AE261" s="131" t="s">
        <v>11</v>
      </c>
      <c r="AF261" s="128" t="s">
        <v>11</v>
      </c>
      <c r="AG261" s="131" t="s">
        <v>11</v>
      </c>
      <c r="AH261" s="128" t="s">
        <v>11</v>
      </c>
      <c r="AI261" s="131" t="s">
        <v>11</v>
      </c>
      <c r="AJ261" s="128" t="s">
        <v>11</v>
      </c>
      <c r="AK261" s="121" t="s">
        <v>61</v>
      </c>
      <c r="AL261" s="121" t="s">
        <v>61</v>
      </c>
      <c r="AM261" s="131" t="s">
        <v>11</v>
      </c>
      <c r="AN261" s="128" t="s">
        <v>11</v>
      </c>
      <c r="AO261" s="121" t="s">
        <v>61</v>
      </c>
      <c r="AP261" s="121" t="s">
        <v>61</v>
      </c>
      <c r="AQ261" s="121" t="s">
        <v>61</v>
      </c>
      <c r="AR261" s="121" t="s">
        <v>61</v>
      </c>
      <c r="AS261" s="121" t="s">
        <v>61</v>
      </c>
      <c r="AT261" s="121" t="s">
        <v>61</v>
      </c>
      <c r="AU261" s="121" t="s">
        <v>61</v>
      </c>
      <c r="AV261" s="121" t="s">
        <v>61</v>
      </c>
      <c r="AW261" s="121" t="s">
        <v>61</v>
      </c>
      <c r="AX261" s="121" t="s">
        <v>61</v>
      </c>
      <c r="AY261" s="121" t="s">
        <v>61</v>
      </c>
      <c r="AZ261" s="121" t="s">
        <v>61</v>
      </c>
      <c r="BA261" s="121" t="s">
        <v>61</v>
      </c>
      <c r="BB261" s="121" t="s">
        <v>61</v>
      </c>
      <c r="BC261" s="127" t="s">
        <v>11</v>
      </c>
      <c r="BD261" s="128" t="s">
        <v>11</v>
      </c>
      <c r="BE261" s="127" t="s">
        <v>11</v>
      </c>
      <c r="BF261" s="128" t="s">
        <v>11</v>
      </c>
      <c r="BG261" s="128" t="s">
        <v>61</v>
      </c>
      <c r="BH261" s="121" t="s">
        <v>61</v>
      </c>
      <c r="BI261" s="128" t="s">
        <v>61</v>
      </c>
      <c r="BJ261" s="121" t="s">
        <v>61</v>
      </c>
      <c r="BK261" s="121" t="s">
        <v>61</v>
      </c>
      <c r="BL261" s="128" t="str">
        <f>IF(BK261="NA","NA",IF(BK261="Not Reported","Not Reported",IF(BK261&lt;$L$261,"Not Met","Met")))</f>
        <v>Not Reported</v>
      </c>
      <c r="BM261" s="262">
        <v>0.67</v>
      </c>
      <c r="BN261" s="128" t="str">
        <f>IF(BM261="NA","NA",IF(BM261="Not Reported","Not Reported",IF(BM261&lt;$L$261,"Not Met","Met")))</f>
        <v>Met</v>
      </c>
      <c r="BO261" s="310">
        <v>0.6</v>
      </c>
      <c r="BP261" s="128" t="s">
        <v>198</v>
      </c>
      <c r="BQ261" s="121" t="s">
        <v>61</v>
      </c>
      <c r="BR261" s="128" t="s">
        <v>61</v>
      </c>
      <c r="BS261" s="315">
        <v>0.5</v>
      </c>
      <c r="BT261" s="128" t="str">
        <f>IF(BS261="NA","NA",IF(BS261="Not Reported","Not Reported",IF(BS261&lt;$L$261,"Not Met","Met")))</f>
        <v>Not Met</v>
      </c>
      <c r="BU261" s="26" t="s">
        <v>61</v>
      </c>
      <c r="BV261" s="128" t="str">
        <f>IF(BU261="NA","NA",IF(BU261="Not Reported","Not Reported",IF(BU261&lt;$L$261,"Not Met","Met")))</f>
        <v>Not Reported</v>
      </c>
    </row>
    <row r="262" spans="1:74" x14ac:dyDescent="0.25">
      <c r="A262" s="121">
        <v>261</v>
      </c>
      <c r="B262" s="122" t="s">
        <v>19</v>
      </c>
      <c r="C262" s="122" t="s">
        <v>902</v>
      </c>
      <c r="D262" s="123" t="s">
        <v>105</v>
      </c>
      <c r="E262" s="123" t="s">
        <v>132</v>
      </c>
      <c r="F262" s="123" t="s">
        <v>190</v>
      </c>
      <c r="G262" s="122" t="s">
        <v>191</v>
      </c>
      <c r="H262" s="122" t="s">
        <v>192</v>
      </c>
      <c r="I262" s="124"/>
      <c r="J262" s="124"/>
      <c r="K262" s="122" t="s">
        <v>721</v>
      </c>
      <c r="L262" s="147" t="s">
        <v>11</v>
      </c>
      <c r="M262" s="147" t="s">
        <v>11</v>
      </c>
      <c r="N262" s="122" t="s">
        <v>722</v>
      </c>
      <c r="O262" s="122" t="s">
        <v>723</v>
      </c>
      <c r="P262" s="122" t="s">
        <v>207</v>
      </c>
      <c r="Q262" s="131" t="s">
        <v>61</v>
      </c>
      <c r="R262" s="131" t="s">
        <v>61</v>
      </c>
      <c r="S262" s="131" t="s">
        <v>61</v>
      </c>
      <c r="T262" s="131" t="s">
        <v>61</v>
      </c>
      <c r="U262" s="131" t="s">
        <v>11</v>
      </c>
      <c r="V262" s="131" t="s">
        <v>11</v>
      </c>
      <c r="W262" s="131" t="s">
        <v>11</v>
      </c>
      <c r="X262" s="128" t="s">
        <v>11</v>
      </c>
      <c r="Y262" s="131" t="s">
        <v>11</v>
      </c>
      <c r="Z262" s="128" t="s">
        <v>11</v>
      </c>
      <c r="AA262" s="131" t="s">
        <v>11</v>
      </c>
      <c r="AB262" s="128" t="s">
        <v>11</v>
      </c>
      <c r="AC262" s="121" t="s">
        <v>61</v>
      </c>
      <c r="AD262" s="121" t="s">
        <v>61</v>
      </c>
      <c r="AE262" s="131" t="s">
        <v>11</v>
      </c>
      <c r="AF262" s="128" t="s">
        <v>11</v>
      </c>
      <c r="AG262" s="131" t="s">
        <v>11</v>
      </c>
      <c r="AH262" s="128" t="s">
        <v>11</v>
      </c>
      <c r="AI262" s="131" t="s">
        <v>11</v>
      </c>
      <c r="AJ262" s="128" t="s">
        <v>11</v>
      </c>
      <c r="AK262" s="121" t="s">
        <v>61</v>
      </c>
      <c r="AL262" s="121" t="s">
        <v>61</v>
      </c>
      <c r="AM262" s="131" t="s">
        <v>11</v>
      </c>
      <c r="AN262" s="128" t="s">
        <v>11</v>
      </c>
      <c r="AO262" s="121" t="s">
        <v>61</v>
      </c>
      <c r="AP262" s="121" t="s">
        <v>61</v>
      </c>
      <c r="AQ262" s="121" t="s">
        <v>61</v>
      </c>
      <c r="AR262" s="121" t="s">
        <v>61</v>
      </c>
      <c r="AS262" s="121" t="s">
        <v>61</v>
      </c>
      <c r="AT262" s="121" t="s">
        <v>61</v>
      </c>
      <c r="AU262" s="121" t="s">
        <v>61</v>
      </c>
      <c r="AV262" s="121" t="s">
        <v>61</v>
      </c>
      <c r="AW262" s="121" t="s">
        <v>61</v>
      </c>
      <c r="AX262" s="121" t="s">
        <v>61</v>
      </c>
      <c r="AY262" s="121" t="s">
        <v>61</v>
      </c>
      <c r="AZ262" s="121" t="s">
        <v>61</v>
      </c>
      <c r="BA262" s="121" t="s">
        <v>61</v>
      </c>
      <c r="BB262" s="121" t="s">
        <v>61</v>
      </c>
      <c r="BC262" s="127" t="s">
        <v>11</v>
      </c>
      <c r="BD262" s="128" t="s">
        <v>11</v>
      </c>
      <c r="BE262" s="127" t="s">
        <v>11</v>
      </c>
      <c r="BF262" s="128" t="s">
        <v>11</v>
      </c>
      <c r="BG262" s="128" t="s">
        <v>61</v>
      </c>
      <c r="BH262" s="121" t="s">
        <v>61</v>
      </c>
      <c r="BI262" s="128" t="s">
        <v>61</v>
      </c>
      <c r="BJ262" s="121" t="s">
        <v>61</v>
      </c>
      <c r="BK262" s="121" t="s">
        <v>61</v>
      </c>
      <c r="BL262" s="128" t="str">
        <f>IF(BK262="NA","NA",IF(BK262="Not Reported","Not Reported",IF(BK262&lt;$L$262,"Not Met","Met")))</f>
        <v>Not Reported</v>
      </c>
      <c r="BM262" s="89" t="s">
        <v>11</v>
      </c>
      <c r="BN262" s="128" t="str">
        <f>IF(BM262="NA","NA",IF(BM262="Not Reported","Not Reported",IF(BM262&lt;$L$262,"Not Met","Met")))</f>
        <v>NA</v>
      </c>
      <c r="BO262" s="128" t="s">
        <v>11</v>
      </c>
      <c r="BP262" s="128" t="s">
        <v>11</v>
      </c>
      <c r="BQ262" s="121" t="s">
        <v>61</v>
      </c>
      <c r="BR262" s="128" t="s">
        <v>61</v>
      </c>
      <c r="BS262" s="26" t="s">
        <v>61</v>
      </c>
      <c r="BT262" s="128" t="str">
        <f>IF(BS262="NA","NA",IF(BS262="Not Reported","Not Reported",IF(BS262&lt;$L$262,"Not Met","Met")))</f>
        <v>Not Reported</v>
      </c>
      <c r="BU262" s="26" t="s">
        <v>61</v>
      </c>
      <c r="BV262" s="128" t="str">
        <f>IF(BU262="NA","NA",IF(BU262="Not Reported","Not Reported",IF(BU262&lt;$L$262,"Not Met","Met")))</f>
        <v>Not Reported</v>
      </c>
    </row>
    <row r="263" spans="1:74" x14ac:dyDescent="0.25">
      <c r="A263" s="121">
        <v>262</v>
      </c>
      <c r="B263" s="122" t="s">
        <v>19</v>
      </c>
      <c r="C263" s="122" t="s">
        <v>902</v>
      </c>
      <c r="D263" s="123" t="s">
        <v>105</v>
      </c>
      <c r="E263" s="123" t="s">
        <v>132</v>
      </c>
      <c r="F263" s="123" t="s">
        <v>190</v>
      </c>
      <c r="G263" s="122" t="s">
        <v>191</v>
      </c>
      <c r="H263" s="122" t="s">
        <v>192</v>
      </c>
      <c r="I263" s="124" t="s">
        <v>257</v>
      </c>
      <c r="J263" s="124" t="s">
        <v>258</v>
      </c>
      <c r="K263" s="123" t="s">
        <v>259</v>
      </c>
      <c r="L263" s="146">
        <v>0.1</v>
      </c>
      <c r="M263" s="146">
        <v>0.1</v>
      </c>
      <c r="N263" s="122" t="s">
        <v>710</v>
      </c>
      <c r="O263" s="122" t="s">
        <v>711</v>
      </c>
      <c r="P263" s="122" t="s">
        <v>207</v>
      </c>
      <c r="Q263" s="131" t="s">
        <v>61</v>
      </c>
      <c r="R263" s="131" t="s">
        <v>61</v>
      </c>
      <c r="S263" s="131" t="s">
        <v>61</v>
      </c>
      <c r="T263" s="131" t="s">
        <v>61</v>
      </c>
      <c r="U263" s="131" t="s">
        <v>11</v>
      </c>
      <c r="V263" s="131" t="s">
        <v>11</v>
      </c>
      <c r="W263" s="131" t="s">
        <v>11</v>
      </c>
      <c r="X263" s="128" t="s">
        <v>11</v>
      </c>
      <c r="Y263" s="131" t="s">
        <v>11</v>
      </c>
      <c r="Z263" s="128" t="s">
        <v>11</v>
      </c>
      <c r="AA263" s="131" t="s">
        <v>11</v>
      </c>
      <c r="AB263" s="128" t="s">
        <v>11</v>
      </c>
      <c r="AC263" s="121" t="s">
        <v>61</v>
      </c>
      <c r="AD263" s="121" t="s">
        <v>61</v>
      </c>
      <c r="AE263" s="131" t="s">
        <v>11</v>
      </c>
      <c r="AF263" s="128" t="s">
        <v>11</v>
      </c>
      <c r="AG263" s="131" t="s">
        <v>11</v>
      </c>
      <c r="AH263" s="128" t="s">
        <v>11</v>
      </c>
      <c r="AI263" s="131" t="s">
        <v>11</v>
      </c>
      <c r="AJ263" s="128" t="s">
        <v>11</v>
      </c>
      <c r="AK263" s="121" t="s">
        <v>61</v>
      </c>
      <c r="AL263" s="121" t="s">
        <v>61</v>
      </c>
      <c r="AM263" s="131" t="s">
        <v>11</v>
      </c>
      <c r="AN263" s="128" t="s">
        <v>11</v>
      </c>
      <c r="AO263" s="121" t="s">
        <v>61</v>
      </c>
      <c r="AP263" s="121" t="s">
        <v>61</v>
      </c>
      <c r="AQ263" s="121" t="s">
        <v>61</v>
      </c>
      <c r="AR263" s="121" t="s">
        <v>61</v>
      </c>
      <c r="AS263" s="121" t="s">
        <v>61</v>
      </c>
      <c r="AT263" s="121" t="s">
        <v>61</v>
      </c>
      <c r="AU263" s="121" t="s">
        <v>61</v>
      </c>
      <c r="AV263" s="121" t="s">
        <v>61</v>
      </c>
      <c r="AW263" s="121" t="s">
        <v>61</v>
      </c>
      <c r="AX263" s="121" t="s">
        <v>61</v>
      </c>
      <c r="AY263" s="126">
        <v>0.16669999999999999</v>
      </c>
      <c r="AZ263" s="121" t="s">
        <v>198</v>
      </c>
      <c r="BA263" s="126">
        <v>0.22</v>
      </c>
      <c r="BB263" s="121" t="s">
        <v>198</v>
      </c>
      <c r="BC263" s="127" t="s">
        <v>11</v>
      </c>
      <c r="BD263" s="128" t="s">
        <v>11</v>
      </c>
      <c r="BE263" s="127" t="s">
        <v>11</v>
      </c>
      <c r="BF263" s="128" t="s">
        <v>11</v>
      </c>
      <c r="BG263" s="128" t="s">
        <v>61</v>
      </c>
      <c r="BH263" s="121" t="s">
        <v>61</v>
      </c>
      <c r="BI263" s="128" t="s">
        <v>61</v>
      </c>
      <c r="BJ263" s="121" t="s">
        <v>61</v>
      </c>
      <c r="BK263" s="121" t="s">
        <v>61</v>
      </c>
      <c r="BL263" s="121" t="str">
        <f>IF(BK263="NA","NA",IF(BK263="Not Reported","Not Reported",IF(BK263&lt;$L$263,"Not Met","Met")))</f>
        <v>Not Reported</v>
      </c>
      <c r="BM263" s="262">
        <v>0.5</v>
      </c>
      <c r="BN263" s="121" t="str">
        <f>IF(BM263="NA","NA",IF(BM263="Not Reported","Not Reported",IF(BM263&lt;$L$263,"Not Met","Met")))</f>
        <v>Met</v>
      </c>
      <c r="BO263" s="315">
        <v>0</v>
      </c>
      <c r="BP263" s="121" t="s">
        <v>251</v>
      </c>
      <c r="BQ263" s="121" t="s">
        <v>61</v>
      </c>
      <c r="BR263" s="121" t="s">
        <v>61</v>
      </c>
      <c r="BS263" s="315">
        <v>0</v>
      </c>
      <c r="BT263" s="121" t="str">
        <f>IF(BS263="NA","NA",IF(BS263="Not Reported","Not Reported",IF(BS263&lt;$L$263,"Not Met","Met")))</f>
        <v>Not Met</v>
      </c>
      <c r="BU263" s="26" t="s">
        <v>61</v>
      </c>
      <c r="BV263" s="121" t="str">
        <f>IF(BU263="NA","NA",IF(BU263="Not Reported","Not Reported",IF(BU263&lt;$L$263,"Not Met","Met")))</f>
        <v>Not Reported</v>
      </c>
    </row>
    <row r="264" spans="1:74" x14ac:dyDescent="0.2">
      <c r="A264" s="121">
        <v>263</v>
      </c>
      <c r="B264" s="122" t="s">
        <v>19</v>
      </c>
      <c r="C264" s="122" t="s">
        <v>902</v>
      </c>
      <c r="D264" s="123" t="s">
        <v>105</v>
      </c>
      <c r="E264" s="123" t="s">
        <v>132</v>
      </c>
      <c r="F264" s="123" t="s">
        <v>300</v>
      </c>
      <c r="G264" s="129" t="s">
        <v>273</v>
      </c>
      <c r="H264" s="122" t="s">
        <v>192</v>
      </c>
      <c r="I264" s="124" t="s">
        <v>246</v>
      </c>
      <c r="J264" s="124" t="s">
        <v>214</v>
      </c>
      <c r="K264" s="122" t="s">
        <v>326</v>
      </c>
      <c r="L264" s="128">
        <v>0.2</v>
      </c>
      <c r="M264" s="128">
        <v>0.2</v>
      </c>
      <c r="N264" s="122" t="s">
        <v>368</v>
      </c>
      <c r="O264" s="122" t="s">
        <v>369</v>
      </c>
      <c r="P264" s="122" t="s">
        <v>207</v>
      </c>
      <c r="Q264" s="131" t="s">
        <v>61</v>
      </c>
      <c r="R264" s="131" t="s">
        <v>61</v>
      </c>
      <c r="S264" s="131" t="s">
        <v>61</v>
      </c>
      <c r="T264" s="131" t="s">
        <v>61</v>
      </c>
      <c r="U264" s="131" t="s">
        <v>11</v>
      </c>
      <c r="V264" s="131" t="s">
        <v>11</v>
      </c>
      <c r="W264" s="131" t="s">
        <v>11</v>
      </c>
      <c r="X264" s="131" t="s">
        <v>11</v>
      </c>
      <c r="Y264" s="131" t="s">
        <v>11</v>
      </c>
      <c r="Z264" s="131" t="s">
        <v>11</v>
      </c>
      <c r="AA264" s="131" t="s">
        <v>11</v>
      </c>
      <c r="AB264" s="128" t="s">
        <v>11</v>
      </c>
      <c r="AC264" s="121" t="s">
        <v>61</v>
      </c>
      <c r="AD264" s="121" t="s">
        <v>61</v>
      </c>
      <c r="AE264" s="131" t="s">
        <v>11</v>
      </c>
      <c r="AF264" s="128" t="s">
        <v>11</v>
      </c>
      <c r="AG264" s="131" t="s">
        <v>11</v>
      </c>
      <c r="AH264" s="128" t="s">
        <v>11</v>
      </c>
      <c r="AI264" s="131" t="s">
        <v>11</v>
      </c>
      <c r="AJ264" s="128" t="s">
        <v>11</v>
      </c>
      <c r="AK264" s="121" t="s">
        <v>61</v>
      </c>
      <c r="AL264" s="121" t="s">
        <v>61</v>
      </c>
      <c r="AM264" s="131" t="s">
        <v>11</v>
      </c>
      <c r="AN264" s="128" t="s">
        <v>11</v>
      </c>
      <c r="AO264" s="121" t="s">
        <v>61</v>
      </c>
      <c r="AP264" s="121" t="s">
        <v>61</v>
      </c>
      <c r="AQ264" s="121" t="s">
        <v>61</v>
      </c>
      <c r="AR264" s="121" t="s">
        <v>61</v>
      </c>
      <c r="AS264" s="121" t="s">
        <v>61</v>
      </c>
      <c r="AT264" s="121" t="s">
        <v>61</v>
      </c>
      <c r="AU264" s="121" t="s">
        <v>61</v>
      </c>
      <c r="AV264" s="121" t="s">
        <v>61</v>
      </c>
      <c r="AW264" s="121" t="s">
        <v>61</v>
      </c>
      <c r="AX264" s="121" t="s">
        <v>61</v>
      </c>
      <c r="AY264" s="121" t="s">
        <v>61</v>
      </c>
      <c r="AZ264" s="121" t="s">
        <v>61</v>
      </c>
      <c r="BA264" s="121" t="s">
        <v>61</v>
      </c>
      <c r="BB264" s="121" t="s">
        <v>61</v>
      </c>
      <c r="BC264" s="127" t="s">
        <v>11</v>
      </c>
      <c r="BD264" s="128" t="s">
        <v>11</v>
      </c>
      <c r="BE264" s="127" t="s">
        <v>11</v>
      </c>
      <c r="BF264" s="128" t="s">
        <v>11</v>
      </c>
      <c r="BG264" s="128" t="s">
        <v>61</v>
      </c>
      <c r="BH264" s="121" t="s">
        <v>61</v>
      </c>
      <c r="BI264" s="128" t="s">
        <v>61</v>
      </c>
      <c r="BJ264" s="121" t="s">
        <v>61</v>
      </c>
      <c r="BK264" s="121" t="s">
        <v>61</v>
      </c>
      <c r="BL264" s="174" t="str">
        <f>IF(BK264="NA","NA",IF(BK264="Not Reported","Not Reported",IF(BK264&gt;$L$264,"Not Met","Met")))</f>
        <v>Not Reported</v>
      </c>
      <c r="BM264" s="262">
        <v>1</v>
      </c>
      <c r="BN264" s="162" t="str">
        <f>IF(BM264="NA","NA",IF(BM264="Not Reported","Not Reported",IF(BM264&gt;$L$264,"Not Met","Met")))</f>
        <v>Not Met</v>
      </c>
      <c r="BO264" s="315">
        <v>1</v>
      </c>
      <c r="BP264" s="162" t="s">
        <v>251</v>
      </c>
      <c r="BQ264" s="121" t="s">
        <v>61</v>
      </c>
      <c r="BR264" s="162" t="s">
        <v>61</v>
      </c>
      <c r="BS264" s="315">
        <v>1</v>
      </c>
      <c r="BT264" s="162" t="str">
        <f>IF(BS264="NA","NA",IF(BS264="Not Reported","Not Reported",IF(BS264&gt;$L$264,"Not Met","Met")))</f>
        <v>Not Met</v>
      </c>
      <c r="BU264" s="26" t="s">
        <v>61</v>
      </c>
      <c r="BV264" s="162" t="str">
        <f>IF(BU264="NA","NA",IF(BU264="Not Reported","Not Reported",IF(BU264&gt;$L$264,"Not Met","Met")))</f>
        <v>Not Reported</v>
      </c>
    </row>
    <row r="265" spans="1:74" x14ac:dyDescent="0.25">
      <c r="A265" s="121">
        <v>264</v>
      </c>
      <c r="B265" s="122" t="s">
        <v>19</v>
      </c>
      <c r="C265" s="122" t="s">
        <v>902</v>
      </c>
      <c r="D265" s="123" t="s">
        <v>105</v>
      </c>
      <c r="E265" s="123" t="s">
        <v>132</v>
      </c>
      <c r="F265" s="123" t="s">
        <v>300</v>
      </c>
      <c r="G265" s="129" t="s">
        <v>273</v>
      </c>
      <c r="H265" s="122" t="s">
        <v>192</v>
      </c>
      <c r="I265" s="123" t="s">
        <v>296</v>
      </c>
      <c r="J265" s="123" t="s">
        <v>296</v>
      </c>
      <c r="K265" s="145" t="s">
        <v>296</v>
      </c>
      <c r="L265" s="128">
        <v>0.9</v>
      </c>
      <c r="M265" s="128">
        <v>0.9</v>
      </c>
      <c r="N265" s="145" t="s">
        <v>297</v>
      </c>
      <c r="O265" s="145" t="s">
        <v>298</v>
      </c>
      <c r="P265" s="122" t="s">
        <v>207</v>
      </c>
      <c r="Q265" s="131" t="s">
        <v>61</v>
      </c>
      <c r="R265" s="131" t="s">
        <v>61</v>
      </c>
      <c r="S265" s="131" t="s">
        <v>61</v>
      </c>
      <c r="T265" s="131" t="s">
        <v>61</v>
      </c>
      <c r="U265" s="131" t="s">
        <v>11</v>
      </c>
      <c r="V265" s="131" t="s">
        <v>11</v>
      </c>
      <c r="W265" s="141">
        <v>0.53</v>
      </c>
      <c r="X265" s="147" t="s">
        <v>251</v>
      </c>
      <c r="Y265" s="126">
        <v>1.02</v>
      </c>
      <c r="Z265" s="121" t="s">
        <v>198</v>
      </c>
      <c r="AA265" s="126">
        <v>0.56000000000000005</v>
      </c>
      <c r="AB265" s="147" t="s">
        <v>251</v>
      </c>
      <c r="AC265" s="121" t="s">
        <v>61</v>
      </c>
      <c r="AD265" s="121" t="s">
        <v>61</v>
      </c>
      <c r="AE265" s="126">
        <v>0.22</v>
      </c>
      <c r="AF265" s="147" t="s">
        <v>251</v>
      </c>
      <c r="AG265" s="126">
        <v>0.44</v>
      </c>
      <c r="AH265" s="147" t="s">
        <v>251</v>
      </c>
      <c r="AI265" s="126">
        <v>0.24</v>
      </c>
      <c r="AJ265" s="147" t="s">
        <v>251</v>
      </c>
      <c r="AK265" s="121" t="s">
        <v>61</v>
      </c>
      <c r="AL265" s="121" t="s">
        <v>61</v>
      </c>
      <c r="AM265" s="126">
        <v>0.2</v>
      </c>
      <c r="AN265" s="121" t="s">
        <v>251</v>
      </c>
      <c r="AO265" s="220">
        <f>10/45</f>
        <v>0.22222222222222221</v>
      </c>
      <c r="AP265" s="121" t="s">
        <v>251</v>
      </c>
      <c r="AQ265" s="220">
        <v>0.36</v>
      </c>
      <c r="AR265" s="121" t="s">
        <v>251</v>
      </c>
      <c r="AS265" s="220">
        <v>0.26</v>
      </c>
      <c r="AT265" s="121" t="s">
        <v>251</v>
      </c>
      <c r="AU265" s="121" t="s">
        <v>61</v>
      </c>
      <c r="AV265" s="121" t="s">
        <v>61</v>
      </c>
      <c r="AW265" s="126">
        <v>0.2</v>
      </c>
      <c r="AX265" s="121" t="s">
        <v>251</v>
      </c>
      <c r="AY265" s="126">
        <v>0.13</v>
      </c>
      <c r="AZ265" s="121" t="s">
        <v>251</v>
      </c>
      <c r="BA265" s="126">
        <v>0.50209999999999999</v>
      </c>
      <c r="BB265" s="121" t="s">
        <v>251</v>
      </c>
      <c r="BC265" s="127" t="s">
        <v>11</v>
      </c>
      <c r="BD265" s="128" t="s">
        <v>11</v>
      </c>
      <c r="BE265" s="127" t="s">
        <v>11</v>
      </c>
      <c r="BF265" s="128" t="s">
        <v>11</v>
      </c>
      <c r="BG265" s="128" t="s">
        <v>61</v>
      </c>
      <c r="BH265" s="121" t="s">
        <v>61</v>
      </c>
      <c r="BI265" s="128" t="s">
        <v>61</v>
      </c>
      <c r="BJ265" s="121" t="s">
        <v>61</v>
      </c>
      <c r="BK265" s="121" t="s">
        <v>61</v>
      </c>
      <c r="BL265" s="128" t="str">
        <f>IF(BK265="NA","NA",IF(BK265="Not Reported","Not Reported",IF(BK265&lt;$L$265,"Not Met","Met")))</f>
        <v>Not Reported</v>
      </c>
      <c r="BM265" s="262">
        <v>0.11</v>
      </c>
      <c r="BN265" s="128" t="str">
        <f>IF(BM265="NA","NA",IF(BM265="Not Reported","Not Reported",IF(BM265&lt;$L$265,"Not Met","Met")))</f>
        <v>Not Met</v>
      </c>
      <c r="BO265" s="315">
        <v>0.11</v>
      </c>
      <c r="BP265" s="128" t="s">
        <v>251</v>
      </c>
      <c r="BQ265" s="121" t="s">
        <v>61</v>
      </c>
      <c r="BR265" s="128" t="s">
        <v>61</v>
      </c>
      <c r="BS265" s="315">
        <v>0.04</v>
      </c>
      <c r="BT265" s="128" t="str">
        <f>IF(BS265="NA","NA",IF(BS265="Not Reported","Not Reported",IF(BS265&lt;$L$265,"Not Met","Met")))</f>
        <v>Not Met</v>
      </c>
      <c r="BU265" s="26" t="s">
        <v>61</v>
      </c>
      <c r="BV265" s="128" t="str">
        <f>IF(BU265="NA","NA",IF(BU265="Not Reported","Not Reported",IF(BU265&lt;$L$265,"Not Met","Met")))</f>
        <v>Not Reported</v>
      </c>
    </row>
    <row r="266" spans="1:74" x14ac:dyDescent="0.25">
      <c r="A266" s="121">
        <v>265</v>
      </c>
      <c r="B266" s="122" t="s">
        <v>41</v>
      </c>
      <c r="C266" s="122" t="s">
        <v>903</v>
      </c>
      <c r="D266" s="123" t="s">
        <v>112</v>
      </c>
      <c r="E266" s="123" t="s">
        <v>899</v>
      </c>
      <c r="F266" s="123" t="s">
        <v>190</v>
      </c>
      <c r="G266" s="122" t="s">
        <v>191</v>
      </c>
      <c r="H266" s="122" t="s">
        <v>192</v>
      </c>
      <c r="I266" s="124" t="s">
        <v>213</v>
      </c>
      <c r="J266" s="124" t="s">
        <v>214</v>
      </c>
      <c r="K266" s="129" t="s">
        <v>213</v>
      </c>
      <c r="L266" s="147">
        <v>45</v>
      </c>
      <c r="M266" s="147" t="s">
        <v>361</v>
      </c>
      <c r="N266" s="122" t="s">
        <v>567</v>
      </c>
      <c r="O266" s="122" t="s">
        <v>567</v>
      </c>
      <c r="P266" s="122" t="s">
        <v>207</v>
      </c>
      <c r="Q266" s="147" t="s">
        <v>625</v>
      </c>
      <c r="R266" s="121" t="s">
        <v>251</v>
      </c>
      <c r="S266" s="121" t="s">
        <v>463</v>
      </c>
      <c r="T266" s="147" t="s">
        <v>251</v>
      </c>
      <c r="U266" s="121" t="s">
        <v>524</v>
      </c>
      <c r="V266" s="147" t="s">
        <v>251</v>
      </c>
      <c r="W266" s="121" t="s">
        <v>724</v>
      </c>
      <c r="X266" s="147" t="s">
        <v>251</v>
      </c>
      <c r="Y266" s="147" t="s">
        <v>725</v>
      </c>
      <c r="Z266" s="121" t="s">
        <v>251</v>
      </c>
      <c r="AA266" s="121" t="s">
        <v>726</v>
      </c>
      <c r="AB266" s="147" t="s">
        <v>251</v>
      </c>
      <c r="AC266" s="121" t="s">
        <v>6</v>
      </c>
      <c r="AD266" s="121" t="s">
        <v>61</v>
      </c>
      <c r="AE266" s="121" t="s">
        <v>727</v>
      </c>
      <c r="AF266" s="147" t="s">
        <v>251</v>
      </c>
      <c r="AG266" s="147" t="s">
        <v>728</v>
      </c>
      <c r="AH266" s="147" t="s">
        <v>251</v>
      </c>
      <c r="AI266" s="147" t="s">
        <v>729</v>
      </c>
      <c r="AJ266" s="147" t="s">
        <v>251</v>
      </c>
      <c r="AK266" s="147" t="s">
        <v>730</v>
      </c>
      <c r="AL266" s="147" t="s">
        <v>251</v>
      </c>
      <c r="AM266" s="147" t="s">
        <v>329</v>
      </c>
      <c r="AN266" s="121" t="s">
        <v>251</v>
      </c>
      <c r="AO266" s="147" t="s">
        <v>465</v>
      </c>
      <c r="AP266" s="121" t="s">
        <v>251</v>
      </c>
      <c r="AQ266" s="147" t="s">
        <v>329</v>
      </c>
      <c r="AR266" s="121" t="s">
        <v>251</v>
      </c>
      <c r="AS266" s="121" t="s">
        <v>520</v>
      </c>
      <c r="AT266" s="121" t="s">
        <v>251</v>
      </c>
      <c r="AU266" s="121" t="s">
        <v>460</v>
      </c>
      <c r="AV266" s="121" t="s">
        <v>251</v>
      </c>
      <c r="AW266" s="121" t="s">
        <v>323</v>
      </c>
      <c r="AX266" s="128" t="s">
        <v>11</v>
      </c>
      <c r="AY266" s="121" t="s">
        <v>323</v>
      </c>
      <c r="AZ266" s="128" t="s">
        <v>11</v>
      </c>
      <c r="BA266" s="121" t="s">
        <v>323</v>
      </c>
      <c r="BB266" s="128" t="s">
        <v>11</v>
      </c>
      <c r="BC266" s="127" t="s">
        <v>11</v>
      </c>
      <c r="BD266" s="128" t="s">
        <v>11</v>
      </c>
      <c r="BE266" s="127" t="s">
        <v>11</v>
      </c>
      <c r="BF266" s="128" t="s">
        <v>11</v>
      </c>
      <c r="BG266" s="127" t="s">
        <v>11</v>
      </c>
      <c r="BH266" s="128" t="s">
        <v>11</v>
      </c>
      <c r="BI266" s="127" t="s">
        <v>11</v>
      </c>
      <c r="BJ266" s="128" t="s">
        <v>11</v>
      </c>
      <c r="BK266" s="127" t="s">
        <v>11</v>
      </c>
      <c r="BL266" s="121" t="str">
        <f>IF(BK266="NA","NA",IF(BK266="Not Reported","Not Reported",IF(BK266&gt;$L$266,"Not Met","Met")))</f>
        <v>NA</v>
      </c>
      <c r="BM266" s="258" t="s">
        <v>11</v>
      </c>
      <c r="BN266" s="121" t="str">
        <f>IF(BM266="NA","NA",IF(BM266="Not Reported","Not Reported",IF(BM266&gt;$L$266,"Not Met","Met")))</f>
        <v>NA</v>
      </c>
      <c r="BO266" s="121" t="s">
        <v>11</v>
      </c>
      <c r="BP266" s="121" t="s">
        <v>11</v>
      </c>
      <c r="BQ266" s="121" t="s">
        <v>11</v>
      </c>
      <c r="BR266" s="121" t="s">
        <v>11</v>
      </c>
      <c r="BS266" s="26" t="s">
        <v>11</v>
      </c>
      <c r="BT266" s="121" t="str">
        <f>IF(BS266="NA","NA",IF(BS266="Not Reported","Not Reported",IF(BS266&gt;$L$266,"Not Met","Met")))</f>
        <v>NA</v>
      </c>
      <c r="BU266" s="26">
        <v>86</v>
      </c>
      <c r="BV266" s="121" t="str">
        <f>IF(BU266="NA","NA",IF(BU266="Not Reported","Not Reported",IF(BU266&gt;$L$266,"Not Met","Met")))</f>
        <v>Not Met</v>
      </c>
    </row>
    <row r="267" spans="1:74" x14ac:dyDescent="0.25">
      <c r="A267" s="121">
        <v>266</v>
      </c>
      <c r="B267" s="122" t="s">
        <v>41</v>
      </c>
      <c r="C267" s="122" t="s">
        <v>903</v>
      </c>
      <c r="D267" s="123" t="s">
        <v>112</v>
      </c>
      <c r="E267" s="123" t="s">
        <v>899</v>
      </c>
      <c r="F267" s="123" t="s">
        <v>190</v>
      </c>
      <c r="G267" s="122" t="s">
        <v>191</v>
      </c>
      <c r="H267" s="122" t="s">
        <v>192</v>
      </c>
      <c r="I267" s="124" t="s">
        <v>274</v>
      </c>
      <c r="J267" s="124" t="s">
        <v>214</v>
      </c>
      <c r="K267" s="145" t="s">
        <v>274</v>
      </c>
      <c r="L267" s="147">
        <v>105</v>
      </c>
      <c r="M267" s="147" t="s">
        <v>731</v>
      </c>
      <c r="N267" s="122" t="s">
        <v>528</v>
      </c>
      <c r="O267" s="123" t="s">
        <v>528</v>
      </c>
      <c r="P267" s="122" t="s">
        <v>207</v>
      </c>
      <c r="Q267" s="147" t="s">
        <v>732</v>
      </c>
      <c r="R267" s="121" t="s">
        <v>251</v>
      </c>
      <c r="S267" s="121" t="s">
        <v>733</v>
      </c>
      <c r="T267" s="121" t="s">
        <v>198</v>
      </c>
      <c r="U267" s="121" t="s">
        <v>734</v>
      </c>
      <c r="V267" s="147" t="s">
        <v>251</v>
      </c>
      <c r="W267" s="121" t="s">
        <v>735</v>
      </c>
      <c r="X267" s="147" t="s">
        <v>251</v>
      </c>
      <c r="Y267" s="147" t="s">
        <v>736</v>
      </c>
      <c r="Z267" s="121" t="s">
        <v>251</v>
      </c>
      <c r="AA267" s="121" t="s">
        <v>737</v>
      </c>
      <c r="AB267" s="147" t="s">
        <v>251</v>
      </c>
      <c r="AC267" s="121" t="s">
        <v>6</v>
      </c>
      <c r="AD267" s="121" t="s">
        <v>61</v>
      </c>
      <c r="AE267" s="121" t="s">
        <v>738</v>
      </c>
      <c r="AF267" s="147" t="s">
        <v>251</v>
      </c>
      <c r="AG267" s="147" t="s">
        <v>739</v>
      </c>
      <c r="AH267" s="147" t="s">
        <v>251</v>
      </c>
      <c r="AI267" s="147" t="s">
        <v>740</v>
      </c>
      <c r="AJ267" s="147" t="s">
        <v>251</v>
      </c>
      <c r="AK267" s="147" t="s">
        <v>739</v>
      </c>
      <c r="AL267" s="147" t="s">
        <v>251</v>
      </c>
      <c r="AM267" s="147" t="s">
        <v>741</v>
      </c>
      <c r="AN267" s="121" t="s">
        <v>251</v>
      </c>
      <c r="AO267" s="147" t="s">
        <v>742</v>
      </c>
      <c r="AP267" s="121" t="s">
        <v>251</v>
      </c>
      <c r="AQ267" s="147" t="s">
        <v>743</v>
      </c>
      <c r="AR267" s="121" t="s">
        <v>251</v>
      </c>
      <c r="AS267" s="121" t="s">
        <v>744</v>
      </c>
      <c r="AT267" s="121" t="s">
        <v>251</v>
      </c>
      <c r="AU267" s="121" t="s">
        <v>745</v>
      </c>
      <c r="AV267" s="121" t="s">
        <v>251</v>
      </c>
      <c r="AW267" s="121" t="s">
        <v>323</v>
      </c>
      <c r="AX267" s="128" t="s">
        <v>11</v>
      </c>
      <c r="AY267" s="121" t="s">
        <v>323</v>
      </c>
      <c r="AZ267" s="128" t="s">
        <v>11</v>
      </c>
      <c r="BA267" s="121" t="s">
        <v>323</v>
      </c>
      <c r="BB267" s="128" t="s">
        <v>11</v>
      </c>
      <c r="BC267" s="127" t="s">
        <v>11</v>
      </c>
      <c r="BD267" s="128" t="s">
        <v>11</v>
      </c>
      <c r="BE267" s="127" t="s">
        <v>11</v>
      </c>
      <c r="BF267" s="128" t="s">
        <v>11</v>
      </c>
      <c r="BG267" s="127" t="s">
        <v>11</v>
      </c>
      <c r="BH267" s="128" t="s">
        <v>11</v>
      </c>
      <c r="BI267" s="127" t="s">
        <v>11</v>
      </c>
      <c r="BJ267" s="128" t="s">
        <v>11</v>
      </c>
      <c r="BK267" s="127" t="s">
        <v>11</v>
      </c>
      <c r="BL267" s="121" t="str">
        <f>IF(BK267="NA","NA",IF(BK267="Not Reported","Not Reported",IF(BK267&gt;$L$267,"Not Met","Met")))</f>
        <v>NA</v>
      </c>
      <c r="BM267" s="258" t="s">
        <v>11</v>
      </c>
      <c r="BN267" s="121" t="str">
        <f>IF(BM267="NA","NA",IF(BM267="Not Reported","Not Reported",IF(BM267&gt;$L$267,"Not Met","Met")))</f>
        <v>NA</v>
      </c>
      <c r="BO267" s="121" t="s">
        <v>11</v>
      </c>
      <c r="BP267" s="121" t="s">
        <v>11</v>
      </c>
      <c r="BQ267" s="121" t="s">
        <v>11</v>
      </c>
      <c r="BR267" s="121" t="s">
        <v>11</v>
      </c>
      <c r="BS267" s="26" t="s">
        <v>11</v>
      </c>
      <c r="BT267" s="121" t="str">
        <f>IF(BS267="NA","NA",IF(BS267="Not Reported","Not Reported",IF(BS267&gt;$L$267,"Not Met","Met")))</f>
        <v>NA</v>
      </c>
      <c r="BU267" s="26">
        <v>146</v>
      </c>
      <c r="BV267" s="121" t="str">
        <f>IF(BU267="NA","NA",IF(BU267="Not Reported","Not Reported",IF(BU267&gt;$L$267,"Not Met","Met")))</f>
        <v>Not Met</v>
      </c>
    </row>
    <row r="268" spans="1:74" x14ac:dyDescent="0.25">
      <c r="A268" s="121">
        <v>267</v>
      </c>
      <c r="B268" s="122" t="s">
        <v>41</v>
      </c>
      <c r="C268" s="122" t="s">
        <v>903</v>
      </c>
      <c r="D268" s="123" t="s">
        <v>112</v>
      </c>
      <c r="E268" s="123" t="s">
        <v>899</v>
      </c>
      <c r="F268" s="123" t="s">
        <v>190</v>
      </c>
      <c r="G268" s="122" t="s">
        <v>191</v>
      </c>
      <c r="H268" s="122" t="s">
        <v>192</v>
      </c>
      <c r="I268" s="124" t="s">
        <v>292</v>
      </c>
      <c r="J268" s="124" t="s">
        <v>293</v>
      </c>
      <c r="K268" s="122" t="s">
        <v>292</v>
      </c>
      <c r="L268" s="146">
        <v>0.3</v>
      </c>
      <c r="M268" s="146">
        <v>0.3</v>
      </c>
      <c r="N268" s="122" t="s">
        <v>294</v>
      </c>
      <c r="O268" s="122" t="s">
        <v>295</v>
      </c>
      <c r="P268" s="122" t="s">
        <v>207</v>
      </c>
      <c r="Q268" s="146">
        <v>0.05</v>
      </c>
      <c r="R268" s="121" t="s">
        <v>198</v>
      </c>
      <c r="S268" s="126">
        <v>0.04</v>
      </c>
      <c r="T268" s="121" t="s">
        <v>198</v>
      </c>
      <c r="U268" s="126">
        <v>0.03</v>
      </c>
      <c r="V268" s="121" t="s">
        <v>198</v>
      </c>
      <c r="W268" s="126">
        <v>0.03</v>
      </c>
      <c r="X268" s="121" t="s">
        <v>198</v>
      </c>
      <c r="Y268" s="126">
        <v>7.0000000000000007E-2</v>
      </c>
      <c r="Z268" s="121" t="s">
        <v>198</v>
      </c>
      <c r="AA268" s="126">
        <v>0.06</v>
      </c>
      <c r="AB268" s="121" t="s">
        <v>198</v>
      </c>
      <c r="AC268" s="121" t="s">
        <v>6</v>
      </c>
      <c r="AD268" s="121" t="s">
        <v>61</v>
      </c>
      <c r="AE268" s="126">
        <v>7.0000000000000007E-2</v>
      </c>
      <c r="AF268" s="121" t="s">
        <v>198</v>
      </c>
      <c r="AG268" s="126">
        <v>0.05</v>
      </c>
      <c r="AH268" s="121" t="s">
        <v>198</v>
      </c>
      <c r="AI268" s="126">
        <v>0.08</v>
      </c>
      <c r="AJ268" s="121" t="s">
        <v>198</v>
      </c>
      <c r="AK268" s="126">
        <v>0.08</v>
      </c>
      <c r="AL268" s="121" t="s">
        <v>198</v>
      </c>
      <c r="AM268" s="126">
        <v>0.04</v>
      </c>
      <c r="AN268" s="121" t="s">
        <v>198</v>
      </c>
      <c r="AO268" s="126">
        <v>0.06</v>
      </c>
      <c r="AP268" s="121" t="s">
        <v>198</v>
      </c>
      <c r="AQ268" s="126">
        <v>0.05</v>
      </c>
      <c r="AR268" s="121" t="s">
        <v>198</v>
      </c>
      <c r="AS268" s="126">
        <v>0.05</v>
      </c>
      <c r="AT268" s="121" t="s">
        <v>198</v>
      </c>
      <c r="AU268" s="126">
        <v>0.06</v>
      </c>
      <c r="AV268" s="121" t="s">
        <v>198</v>
      </c>
      <c r="AW268" s="121" t="s">
        <v>323</v>
      </c>
      <c r="AX268" s="128" t="s">
        <v>11</v>
      </c>
      <c r="AY268" s="121" t="s">
        <v>323</v>
      </c>
      <c r="AZ268" s="128" t="s">
        <v>11</v>
      </c>
      <c r="BA268" s="121" t="s">
        <v>323</v>
      </c>
      <c r="BB268" s="128" t="s">
        <v>11</v>
      </c>
      <c r="BC268" s="127" t="s">
        <v>11</v>
      </c>
      <c r="BD268" s="128" t="s">
        <v>11</v>
      </c>
      <c r="BE268" s="127" t="s">
        <v>11</v>
      </c>
      <c r="BF268" s="128" t="s">
        <v>11</v>
      </c>
      <c r="BG268" s="127" t="s">
        <v>11</v>
      </c>
      <c r="BH268" s="128" t="s">
        <v>11</v>
      </c>
      <c r="BI268" s="127" t="s">
        <v>11</v>
      </c>
      <c r="BJ268" s="128" t="s">
        <v>11</v>
      </c>
      <c r="BK268" s="127" t="s">
        <v>11</v>
      </c>
      <c r="BL268" s="128" t="str">
        <f>IF(BK268="NA","NA",IF(BK268="Not Reported","Not Reported",IF(BK268&gt;$L$268,"Not Met","Met")))</f>
        <v>NA</v>
      </c>
      <c r="BM268" s="258" t="s">
        <v>11</v>
      </c>
      <c r="BN268" s="121" t="str">
        <f>IF(BM268="NA","NA",IF(BM268="Not Reported","Not Reported",IF(BM268&gt;$L$268,"Not Met","Met")))</f>
        <v>NA</v>
      </c>
      <c r="BO268" s="121" t="s">
        <v>11</v>
      </c>
      <c r="BP268" s="121" t="s">
        <v>11</v>
      </c>
      <c r="BQ268" s="121" t="s">
        <v>11</v>
      </c>
      <c r="BR268" s="121" t="s">
        <v>11</v>
      </c>
      <c r="BS268" s="26" t="s">
        <v>11</v>
      </c>
      <c r="BT268" s="121" t="str">
        <f>IF(BS268="NA","NA",IF(BS268="Not Reported","Not Reported",IF(BS268&gt;$L$268,"Not Met","Met")))</f>
        <v>NA</v>
      </c>
      <c r="BU268" s="315">
        <v>0.06</v>
      </c>
      <c r="BV268" s="121" t="str">
        <f>IF(BU268="NA","NA",IF(BU268="Not Reported","Not Reported",IF(BU268&gt;$L$268,"Not Met","Met")))</f>
        <v>Met</v>
      </c>
    </row>
    <row r="269" spans="1:74" x14ac:dyDescent="0.25">
      <c r="A269" s="121">
        <v>268</v>
      </c>
      <c r="B269" s="122" t="s">
        <v>41</v>
      </c>
      <c r="C269" s="122" t="s">
        <v>903</v>
      </c>
      <c r="D269" s="123" t="s">
        <v>112</v>
      </c>
      <c r="E269" s="123" t="s">
        <v>899</v>
      </c>
      <c r="F269" s="123" t="s">
        <v>190</v>
      </c>
      <c r="G269" s="122" t="s">
        <v>191</v>
      </c>
      <c r="H269" s="122" t="s">
        <v>192</v>
      </c>
      <c r="I269" s="124" t="s">
        <v>284</v>
      </c>
      <c r="J269" s="124" t="s">
        <v>285</v>
      </c>
      <c r="K269" s="122" t="s">
        <v>720</v>
      </c>
      <c r="L269" s="146">
        <v>0.6</v>
      </c>
      <c r="M269" s="146">
        <v>0.6</v>
      </c>
      <c r="N269" s="122" t="s">
        <v>622</v>
      </c>
      <c r="O269" s="122" t="s">
        <v>622</v>
      </c>
      <c r="P269" s="122" t="s">
        <v>207</v>
      </c>
      <c r="Q269" s="146">
        <v>0.71</v>
      </c>
      <c r="R269" s="121" t="s">
        <v>198</v>
      </c>
      <c r="S269" s="126">
        <v>0.63</v>
      </c>
      <c r="T269" s="121" t="s">
        <v>198</v>
      </c>
      <c r="U269" s="126">
        <v>0.69</v>
      </c>
      <c r="V269" s="121" t="s">
        <v>198</v>
      </c>
      <c r="W269" s="126">
        <v>0.69</v>
      </c>
      <c r="X269" s="121" t="s">
        <v>198</v>
      </c>
      <c r="Y269" s="126">
        <v>0.62</v>
      </c>
      <c r="Z269" s="121" t="s">
        <v>198</v>
      </c>
      <c r="AA269" s="126">
        <v>0.63</v>
      </c>
      <c r="AB269" s="121" t="s">
        <v>198</v>
      </c>
      <c r="AC269" s="121" t="s">
        <v>6</v>
      </c>
      <c r="AD269" s="121" t="s">
        <v>61</v>
      </c>
      <c r="AE269" s="126">
        <v>0.61</v>
      </c>
      <c r="AF269" s="121" t="s">
        <v>198</v>
      </c>
      <c r="AG269" s="126">
        <v>0.62</v>
      </c>
      <c r="AH269" s="121" t="s">
        <v>198</v>
      </c>
      <c r="AI269" s="126">
        <v>0.62</v>
      </c>
      <c r="AJ269" s="121" t="s">
        <v>198</v>
      </c>
      <c r="AK269" s="126">
        <v>0.61</v>
      </c>
      <c r="AL269" s="121" t="s">
        <v>198</v>
      </c>
      <c r="AM269" s="126">
        <v>0.62</v>
      </c>
      <c r="AN269" s="121" t="s">
        <v>198</v>
      </c>
      <c r="AO269" s="126">
        <v>0.56999999999999995</v>
      </c>
      <c r="AP269" s="121" t="s">
        <v>251</v>
      </c>
      <c r="AQ269" s="126">
        <v>0.65</v>
      </c>
      <c r="AR269" s="121" t="s">
        <v>198</v>
      </c>
      <c r="AS269" s="126">
        <v>0.62</v>
      </c>
      <c r="AT269" s="121" t="s">
        <v>198</v>
      </c>
      <c r="AU269" s="126">
        <v>0.71</v>
      </c>
      <c r="AV269" s="121" t="s">
        <v>198</v>
      </c>
      <c r="AW269" s="121" t="s">
        <v>323</v>
      </c>
      <c r="AX269" s="128" t="s">
        <v>11</v>
      </c>
      <c r="AY269" s="121" t="s">
        <v>323</v>
      </c>
      <c r="AZ269" s="128" t="s">
        <v>11</v>
      </c>
      <c r="BA269" s="121" t="s">
        <v>323</v>
      </c>
      <c r="BB269" s="128" t="s">
        <v>11</v>
      </c>
      <c r="BC269" s="127" t="s">
        <v>11</v>
      </c>
      <c r="BD269" s="128" t="s">
        <v>11</v>
      </c>
      <c r="BE269" s="127" t="s">
        <v>11</v>
      </c>
      <c r="BF269" s="128" t="s">
        <v>11</v>
      </c>
      <c r="BG269" s="127" t="s">
        <v>11</v>
      </c>
      <c r="BH269" s="128" t="s">
        <v>11</v>
      </c>
      <c r="BI269" s="127" t="s">
        <v>11</v>
      </c>
      <c r="BJ269" s="128" t="s">
        <v>11</v>
      </c>
      <c r="BK269" s="127" t="s">
        <v>11</v>
      </c>
      <c r="BL269" s="128" t="str">
        <f>IF(BK269="NA","NA",IF(BK269="Not Reported","Not Reported",IF(BK269&lt;$L$269,"Not Met","Met")))</f>
        <v>NA</v>
      </c>
      <c r="BM269" s="258" t="s">
        <v>11</v>
      </c>
      <c r="BN269" s="121" t="str">
        <f>IF(BM269="NA","NA",IF(BM269="Not Reported","Not Reported",IF(BM269&lt;$L$269,"Not Met","Met")))</f>
        <v>NA</v>
      </c>
      <c r="BO269" s="121" t="s">
        <v>11</v>
      </c>
      <c r="BP269" s="121" t="s">
        <v>11</v>
      </c>
      <c r="BQ269" s="121" t="s">
        <v>11</v>
      </c>
      <c r="BR269" s="121" t="s">
        <v>11</v>
      </c>
      <c r="BS269" s="26" t="s">
        <v>11</v>
      </c>
      <c r="BT269" s="121" t="str">
        <f>IF(BS269="NA","NA",IF(BS269="Not Reported","Not Reported",IF(BS269&lt;$L$269,"Not Met","Met")))</f>
        <v>NA</v>
      </c>
      <c r="BU269" s="315">
        <v>0.71</v>
      </c>
      <c r="BV269" s="121" t="str">
        <f>IF(BU269="NA","NA",IF(BU269="Not Reported","Not Reported",IF(BU269&lt;$L$269,"Not Met","Met")))</f>
        <v>Met</v>
      </c>
    </row>
    <row r="270" spans="1:74" x14ac:dyDescent="0.2">
      <c r="A270" s="121">
        <v>269</v>
      </c>
      <c r="B270" s="122" t="s">
        <v>41</v>
      </c>
      <c r="C270" s="122" t="s">
        <v>903</v>
      </c>
      <c r="D270" s="123" t="s">
        <v>112</v>
      </c>
      <c r="E270" s="123" t="s">
        <v>899</v>
      </c>
      <c r="F270" s="123" t="s">
        <v>300</v>
      </c>
      <c r="G270" s="129" t="s">
        <v>273</v>
      </c>
      <c r="H270" s="122" t="s">
        <v>192</v>
      </c>
      <c r="I270" s="124" t="s">
        <v>246</v>
      </c>
      <c r="J270" s="124" t="s">
        <v>214</v>
      </c>
      <c r="K270" s="122" t="s">
        <v>326</v>
      </c>
      <c r="L270" s="146">
        <v>0.2</v>
      </c>
      <c r="M270" s="146" t="s">
        <v>627</v>
      </c>
      <c r="N270" s="145" t="s">
        <v>368</v>
      </c>
      <c r="O270" s="145" t="s">
        <v>369</v>
      </c>
      <c r="P270" s="123" t="s">
        <v>207</v>
      </c>
      <c r="Q270" s="146">
        <v>0.2</v>
      </c>
      <c r="R270" s="121" t="s">
        <v>198</v>
      </c>
      <c r="S270" s="126">
        <v>0.23</v>
      </c>
      <c r="T270" s="147" t="s">
        <v>251</v>
      </c>
      <c r="U270" s="126">
        <v>0.28999999999999998</v>
      </c>
      <c r="V270" s="147" t="s">
        <v>251</v>
      </c>
      <c r="W270" s="126">
        <v>0.25</v>
      </c>
      <c r="X270" s="147" t="s">
        <v>251</v>
      </c>
      <c r="Y270" s="146">
        <v>0.2</v>
      </c>
      <c r="Z270" s="121" t="s">
        <v>198</v>
      </c>
      <c r="AA270" s="126">
        <v>0.18</v>
      </c>
      <c r="AB270" s="121" t="s">
        <v>198</v>
      </c>
      <c r="AC270" s="121" t="s">
        <v>6</v>
      </c>
      <c r="AD270" s="121" t="s">
        <v>61</v>
      </c>
      <c r="AE270" s="126">
        <v>0.22</v>
      </c>
      <c r="AF270" s="147" t="s">
        <v>251</v>
      </c>
      <c r="AG270" s="146">
        <v>0.2</v>
      </c>
      <c r="AH270" s="121" t="s">
        <v>198</v>
      </c>
      <c r="AI270" s="126">
        <v>0.22</v>
      </c>
      <c r="AJ270" s="147" t="s">
        <v>251</v>
      </c>
      <c r="AK270" s="126">
        <v>0.22</v>
      </c>
      <c r="AL270" s="147" t="s">
        <v>251</v>
      </c>
      <c r="AM270" s="126">
        <v>0.23</v>
      </c>
      <c r="AN270" s="121" t="s">
        <v>251</v>
      </c>
      <c r="AO270" s="126">
        <v>0.21</v>
      </c>
      <c r="AP270" s="121" t="s">
        <v>251</v>
      </c>
      <c r="AQ270" s="126">
        <v>0.26</v>
      </c>
      <c r="AR270" s="121" t="s">
        <v>251</v>
      </c>
      <c r="AS270" s="126">
        <v>0.26</v>
      </c>
      <c r="AT270" s="121" t="s">
        <v>251</v>
      </c>
      <c r="AU270" s="126">
        <v>0.35</v>
      </c>
      <c r="AV270" s="121" t="s">
        <v>251</v>
      </c>
      <c r="AW270" s="121" t="s">
        <v>323</v>
      </c>
      <c r="AX270" s="128" t="s">
        <v>11</v>
      </c>
      <c r="AY270" s="121" t="s">
        <v>323</v>
      </c>
      <c r="AZ270" s="128" t="s">
        <v>11</v>
      </c>
      <c r="BA270" s="121" t="s">
        <v>323</v>
      </c>
      <c r="BB270" s="128" t="s">
        <v>11</v>
      </c>
      <c r="BC270" s="127" t="s">
        <v>11</v>
      </c>
      <c r="BD270" s="128" t="s">
        <v>11</v>
      </c>
      <c r="BE270" s="127" t="s">
        <v>11</v>
      </c>
      <c r="BF270" s="128" t="s">
        <v>11</v>
      </c>
      <c r="BG270" s="127" t="s">
        <v>11</v>
      </c>
      <c r="BH270" s="128" t="s">
        <v>11</v>
      </c>
      <c r="BI270" s="127" t="s">
        <v>11</v>
      </c>
      <c r="BJ270" s="128" t="s">
        <v>11</v>
      </c>
      <c r="BK270" s="127" t="s">
        <v>11</v>
      </c>
      <c r="BL270" s="174" t="str">
        <f>IF(BK270="NA","NA",IF(BK270="Not Reported","Not Reported",IF(BK270&gt;$L$270,"Not Met","Met")))</f>
        <v>NA</v>
      </c>
      <c r="BM270" s="258" t="s">
        <v>11</v>
      </c>
      <c r="BN270" s="121" t="str">
        <f>IF(BM270="NA","NA",IF(BM270="Not Reported","Not Reported",IF(BM270&gt;$L$270,"Not Met","Met")))</f>
        <v>NA</v>
      </c>
      <c r="BO270" s="121" t="s">
        <v>11</v>
      </c>
      <c r="BP270" s="121" t="s">
        <v>11</v>
      </c>
      <c r="BQ270" s="121" t="s">
        <v>11</v>
      </c>
      <c r="BR270" s="121" t="s">
        <v>11</v>
      </c>
      <c r="BS270" s="26" t="s">
        <v>11</v>
      </c>
      <c r="BT270" s="121" t="str">
        <f>IF(BS270="NA","NA",IF(BS270="Not Reported","Not Reported",IF(BS270&gt;$L$270,"Not Met","Met")))</f>
        <v>NA</v>
      </c>
      <c r="BU270" s="315">
        <v>0.35</v>
      </c>
      <c r="BV270" s="121" t="str">
        <f>IF(BU270="NA","NA",IF(BU270="Not Reported","Not Reported",IF(BU270&gt;$L$270,"Not Met","Met")))</f>
        <v>Not Met</v>
      </c>
    </row>
    <row r="271" spans="1:74" x14ac:dyDescent="0.25">
      <c r="A271" s="121">
        <v>270</v>
      </c>
      <c r="B271" s="122" t="s">
        <v>41</v>
      </c>
      <c r="C271" s="122" t="s">
        <v>903</v>
      </c>
      <c r="D271" s="123" t="s">
        <v>112</v>
      </c>
      <c r="E271" s="123" t="s">
        <v>899</v>
      </c>
      <c r="F271" s="123" t="s">
        <v>300</v>
      </c>
      <c r="G271" s="129" t="s">
        <v>273</v>
      </c>
      <c r="H271" s="122" t="s">
        <v>192</v>
      </c>
      <c r="I271" s="123" t="s">
        <v>296</v>
      </c>
      <c r="J271" s="123" t="s">
        <v>296</v>
      </c>
      <c r="K271" s="145" t="s">
        <v>296</v>
      </c>
      <c r="L271" s="146">
        <v>0.8</v>
      </c>
      <c r="M271" s="146">
        <v>0.8</v>
      </c>
      <c r="N271" s="145" t="s">
        <v>297</v>
      </c>
      <c r="O271" s="145" t="s">
        <v>298</v>
      </c>
      <c r="P271" s="123" t="s">
        <v>207</v>
      </c>
      <c r="Q271" s="146">
        <v>0.81</v>
      </c>
      <c r="R271" s="121" t="s">
        <v>198</v>
      </c>
      <c r="S271" s="126">
        <v>0.56000000000000005</v>
      </c>
      <c r="T271" s="147" t="s">
        <v>251</v>
      </c>
      <c r="U271" s="126">
        <v>0.7</v>
      </c>
      <c r="V271" s="147" t="s">
        <v>251</v>
      </c>
      <c r="W271" s="126">
        <v>0.84</v>
      </c>
      <c r="X271" s="121" t="s">
        <v>198</v>
      </c>
      <c r="Y271" s="126">
        <v>0.72</v>
      </c>
      <c r="Z271" s="121" t="s">
        <v>251</v>
      </c>
      <c r="AA271" s="126">
        <v>0.85</v>
      </c>
      <c r="AB271" s="121" t="s">
        <v>198</v>
      </c>
      <c r="AC271" s="121" t="s">
        <v>6</v>
      </c>
      <c r="AD271" s="121" t="s">
        <v>61</v>
      </c>
      <c r="AE271" s="126">
        <v>0.48</v>
      </c>
      <c r="AF271" s="147" t="s">
        <v>251</v>
      </c>
      <c r="AG271" s="146">
        <v>0.53</v>
      </c>
      <c r="AH271" s="147" t="s">
        <v>251</v>
      </c>
      <c r="AI271" s="146">
        <v>0.55000000000000004</v>
      </c>
      <c r="AJ271" s="147" t="s">
        <v>251</v>
      </c>
      <c r="AK271" s="146">
        <v>0.46</v>
      </c>
      <c r="AL271" s="147" t="s">
        <v>251</v>
      </c>
      <c r="AM271" s="146">
        <v>0.17</v>
      </c>
      <c r="AN271" s="121" t="s">
        <v>251</v>
      </c>
      <c r="AO271" s="146">
        <v>0.65</v>
      </c>
      <c r="AP271" s="121" t="s">
        <v>251</v>
      </c>
      <c r="AQ271" s="146">
        <v>0.65</v>
      </c>
      <c r="AR271" s="121" t="s">
        <v>251</v>
      </c>
      <c r="AS271" s="126">
        <v>0.46</v>
      </c>
      <c r="AT271" s="121" t="s">
        <v>251</v>
      </c>
      <c r="AU271" s="126">
        <v>0.34</v>
      </c>
      <c r="AV271" s="121" t="s">
        <v>251</v>
      </c>
      <c r="AW271" s="121" t="s">
        <v>323</v>
      </c>
      <c r="AX271" s="128" t="s">
        <v>11</v>
      </c>
      <c r="AY271" s="121" t="s">
        <v>323</v>
      </c>
      <c r="AZ271" s="128" t="s">
        <v>11</v>
      </c>
      <c r="BA271" s="121" t="s">
        <v>323</v>
      </c>
      <c r="BB271" s="128" t="s">
        <v>11</v>
      </c>
      <c r="BC271" s="127" t="s">
        <v>11</v>
      </c>
      <c r="BD271" s="128" t="s">
        <v>11</v>
      </c>
      <c r="BE271" s="127" t="s">
        <v>11</v>
      </c>
      <c r="BF271" s="128" t="s">
        <v>11</v>
      </c>
      <c r="BG271" s="127" t="s">
        <v>11</v>
      </c>
      <c r="BH271" s="128" t="s">
        <v>11</v>
      </c>
      <c r="BI271" s="127" t="s">
        <v>11</v>
      </c>
      <c r="BJ271" s="128" t="s">
        <v>11</v>
      </c>
      <c r="BK271" s="127" t="s">
        <v>11</v>
      </c>
      <c r="BL271" s="128" t="str">
        <f>IF(BK271="NA","NA",IF(BK271="Not Reported","Not Reported",IF(BK271&lt;$L$271,"Not Met","Met")))</f>
        <v>NA</v>
      </c>
      <c r="BM271" s="258" t="s">
        <v>11</v>
      </c>
      <c r="BN271" s="121" t="str">
        <f>IF(BM271="NA","NA",IF(BM271="Not Reported","Not Reported",IF(BM271&lt;$L$271,"Not Met","Met")))</f>
        <v>NA</v>
      </c>
      <c r="BO271" s="121" t="s">
        <v>11</v>
      </c>
      <c r="BP271" s="121" t="s">
        <v>11</v>
      </c>
      <c r="BQ271" s="121" t="s">
        <v>11</v>
      </c>
      <c r="BR271" s="121" t="s">
        <v>11</v>
      </c>
      <c r="BS271" s="26" t="s">
        <v>11</v>
      </c>
      <c r="BT271" s="121" t="str">
        <f>IF(BS271="NA","NA",IF(BS271="Not Reported","Not Reported",IF(BS271&lt;$L$271,"Not Met","Met")))</f>
        <v>NA</v>
      </c>
      <c r="BU271" s="315">
        <v>0.34</v>
      </c>
      <c r="BV271" s="121" t="str">
        <f>IF(BU271="NA","NA",IF(BU271="Not Reported","Not Reported",IF(BU271&lt;$L$271,"Not Met","Met")))</f>
        <v>Not Met</v>
      </c>
    </row>
    <row r="272" spans="1:74" x14ac:dyDescent="0.25">
      <c r="A272" s="121">
        <v>271</v>
      </c>
      <c r="B272" s="122" t="s">
        <v>41</v>
      </c>
      <c r="C272" s="122" t="s">
        <v>903</v>
      </c>
      <c r="D272" s="123" t="s">
        <v>112</v>
      </c>
      <c r="E272" s="123" t="s">
        <v>899</v>
      </c>
      <c r="F272" s="123" t="s">
        <v>300</v>
      </c>
      <c r="G272" s="129" t="s">
        <v>273</v>
      </c>
      <c r="H272" s="122" t="s">
        <v>192</v>
      </c>
      <c r="I272" s="124" t="s">
        <v>289</v>
      </c>
      <c r="J272" s="124" t="s">
        <v>285</v>
      </c>
      <c r="K272" s="145" t="s">
        <v>289</v>
      </c>
      <c r="L272" s="128">
        <v>0.2</v>
      </c>
      <c r="M272" s="128">
        <v>0.2</v>
      </c>
      <c r="N272" s="145" t="s">
        <v>290</v>
      </c>
      <c r="O272" s="145" t="s">
        <v>291</v>
      </c>
      <c r="P272" s="123" t="s">
        <v>207</v>
      </c>
      <c r="Q272" s="146">
        <v>0.11</v>
      </c>
      <c r="R272" s="121" t="s">
        <v>251</v>
      </c>
      <c r="S272" s="126">
        <v>0.19</v>
      </c>
      <c r="T272" s="147" t="s">
        <v>251</v>
      </c>
      <c r="U272" s="126">
        <v>0.15</v>
      </c>
      <c r="V272" s="147" t="s">
        <v>251</v>
      </c>
      <c r="W272" s="126">
        <v>0.15</v>
      </c>
      <c r="X272" s="147" t="s">
        <v>251</v>
      </c>
      <c r="Y272" s="146">
        <v>0.1</v>
      </c>
      <c r="Z272" s="121" t="s">
        <v>251</v>
      </c>
      <c r="AA272" s="126">
        <v>0.12</v>
      </c>
      <c r="AB272" s="147" t="s">
        <v>251</v>
      </c>
      <c r="AC272" s="121" t="s">
        <v>6</v>
      </c>
      <c r="AD272" s="121" t="s">
        <v>61</v>
      </c>
      <c r="AE272" s="126">
        <v>0.08</v>
      </c>
      <c r="AF272" s="147" t="s">
        <v>251</v>
      </c>
      <c r="AG272" s="146">
        <v>0.09</v>
      </c>
      <c r="AH272" s="147" t="s">
        <v>251</v>
      </c>
      <c r="AI272" s="146">
        <v>7.0000000000000007E-2</v>
      </c>
      <c r="AJ272" s="147" t="s">
        <v>251</v>
      </c>
      <c r="AK272" s="146">
        <v>0.08</v>
      </c>
      <c r="AL272" s="147" t="s">
        <v>251</v>
      </c>
      <c r="AM272" s="146">
        <v>0.09</v>
      </c>
      <c r="AN272" s="121" t="s">
        <v>251</v>
      </c>
      <c r="AO272" s="146">
        <v>0.08</v>
      </c>
      <c r="AP272" s="121" t="s">
        <v>251</v>
      </c>
      <c r="AQ272" s="146">
        <v>0.08</v>
      </c>
      <c r="AR272" s="121" t="s">
        <v>251</v>
      </c>
      <c r="AS272" s="126">
        <v>0.08</v>
      </c>
      <c r="AT272" s="121" t="s">
        <v>251</v>
      </c>
      <c r="AU272" s="126">
        <v>0.11</v>
      </c>
      <c r="AV272" s="121" t="s">
        <v>251</v>
      </c>
      <c r="AW272" s="121" t="s">
        <v>323</v>
      </c>
      <c r="AX272" s="128" t="s">
        <v>11</v>
      </c>
      <c r="AY272" s="121" t="s">
        <v>323</v>
      </c>
      <c r="AZ272" s="128" t="s">
        <v>11</v>
      </c>
      <c r="BA272" s="121" t="s">
        <v>323</v>
      </c>
      <c r="BB272" s="128" t="s">
        <v>11</v>
      </c>
      <c r="BC272" s="127" t="s">
        <v>11</v>
      </c>
      <c r="BD272" s="128" t="s">
        <v>11</v>
      </c>
      <c r="BE272" s="127" t="s">
        <v>11</v>
      </c>
      <c r="BF272" s="128" t="s">
        <v>11</v>
      </c>
      <c r="BG272" s="127" t="s">
        <v>11</v>
      </c>
      <c r="BH272" s="128" t="s">
        <v>11</v>
      </c>
      <c r="BI272" s="127" t="s">
        <v>11</v>
      </c>
      <c r="BJ272" s="128" t="s">
        <v>11</v>
      </c>
      <c r="BK272" s="127" t="s">
        <v>11</v>
      </c>
      <c r="BL272" s="128" t="str">
        <f>IF(BK272="NA","NA",IF(BK272="Not Reported","Not Reported",IF(BK272&lt;$L$272,"Not Met","Met")))</f>
        <v>NA</v>
      </c>
      <c r="BM272" s="258" t="s">
        <v>11</v>
      </c>
      <c r="BN272" s="121" t="str">
        <f>IF(BM272="NA","NA",IF(BM272="Not Reported","Not Reported",IF(BM272&lt;$L$272,"Not Met","Met")))</f>
        <v>NA</v>
      </c>
      <c r="BO272" s="121" t="s">
        <v>11</v>
      </c>
      <c r="BP272" s="121" t="s">
        <v>11</v>
      </c>
      <c r="BQ272" s="121" t="s">
        <v>11</v>
      </c>
      <c r="BR272" s="121" t="s">
        <v>11</v>
      </c>
      <c r="BS272" s="26" t="s">
        <v>11</v>
      </c>
      <c r="BT272" s="121" t="str">
        <f>IF(BS272="NA","NA",IF(BS272="Not Reported","Not Reported",IF(BS272&lt;$L$272,"Not Met","Met")))</f>
        <v>NA</v>
      </c>
      <c r="BU272" s="315">
        <v>0.11</v>
      </c>
      <c r="BV272" s="121" t="str">
        <f>IF(BU272="NA","NA",IF(BU272="Not Reported","Not Reported",IF(BU272&lt;$L$272,"Not Met","Met")))</f>
        <v>Not Met</v>
      </c>
    </row>
    <row r="273" spans="1:74" x14ac:dyDescent="0.25">
      <c r="A273" s="121">
        <v>272</v>
      </c>
      <c r="B273" s="122" t="s">
        <v>746</v>
      </c>
      <c r="C273" s="122" t="s">
        <v>901</v>
      </c>
      <c r="D273" s="123" t="s">
        <v>102</v>
      </c>
      <c r="E273" s="123" t="s">
        <v>900</v>
      </c>
      <c r="F273" s="123" t="s">
        <v>300</v>
      </c>
      <c r="G273" s="122" t="s">
        <v>273</v>
      </c>
      <c r="H273" s="122" t="s">
        <v>192</v>
      </c>
      <c r="I273" s="124" t="s">
        <v>213</v>
      </c>
      <c r="J273" s="124" t="s">
        <v>214</v>
      </c>
      <c r="K273" s="129" t="s">
        <v>213</v>
      </c>
      <c r="L273" s="221">
        <v>30</v>
      </c>
      <c r="M273" s="221" t="s">
        <v>591</v>
      </c>
      <c r="N273" s="122" t="s">
        <v>567</v>
      </c>
      <c r="O273" s="122" t="s">
        <v>567</v>
      </c>
      <c r="P273" s="122" t="s">
        <v>207</v>
      </c>
      <c r="Q273" s="127" t="s">
        <v>11</v>
      </c>
      <c r="R273" s="127" t="s">
        <v>11</v>
      </c>
      <c r="S273" s="127" t="s">
        <v>11</v>
      </c>
      <c r="T273" s="128" t="s">
        <v>11</v>
      </c>
      <c r="U273" s="127" t="s">
        <v>11</v>
      </c>
      <c r="V273" s="128" t="s">
        <v>11</v>
      </c>
      <c r="W273" s="127" t="s">
        <v>11</v>
      </c>
      <c r="X273" s="128" t="s">
        <v>11</v>
      </c>
      <c r="Y273" s="128" t="s">
        <v>61</v>
      </c>
      <c r="Z273" s="128" t="s">
        <v>61</v>
      </c>
      <c r="AA273" s="131" t="s">
        <v>11</v>
      </c>
      <c r="AB273" s="128" t="s">
        <v>11</v>
      </c>
      <c r="AC273" s="131" t="s">
        <v>11</v>
      </c>
      <c r="AD273" s="131" t="s">
        <v>11</v>
      </c>
      <c r="AE273" s="131" t="s">
        <v>61</v>
      </c>
      <c r="AF273" s="127" t="s">
        <v>61</v>
      </c>
      <c r="AG273" s="127" t="s">
        <v>11</v>
      </c>
      <c r="AH273" s="127" t="s">
        <v>11</v>
      </c>
      <c r="AI273" s="127" t="s">
        <v>11</v>
      </c>
      <c r="AJ273" s="128" t="s">
        <v>11</v>
      </c>
      <c r="AK273" s="127" t="s">
        <v>11</v>
      </c>
      <c r="AL273" s="128" t="s">
        <v>11</v>
      </c>
      <c r="AM273" s="128" t="s">
        <v>11</v>
      </c>
      <c r="AN273" s="128" t="s">
        <v>11</v>
      </c>
      <c r="AO273" s="128" t="s">
        <v>11</v>
      </c>
      <c r="AP273" s="128" t="s">
        <v>11</v>
      </c>
      <c r="AQ273" s="128" t="s">
        <v>11</v>
      </c>
      <c r="AR273" s="128" t="s">
        <v>11</v>
      </c>
      <c r="AS273" s="128" t="s">
        <v>11</v>
      </c>
      <c r="AT273" s="128" t="s">
        <v>11</v>
      </c>
      <c r="AU273" s="147" t="s">
        <v>323</v>
      </c>
      <c r="AV273" s="147" t="s">
        <v>323</v>
      </c>
      <c r="AW273" s="128" t="s">
        <v>323</v>
      </c>
      <c r="AX273" s="128" t="s">
        <v>11</v>
      </c>
      <c r="AY273" s="128" t="s">
        <v>323</v>
      </c>
      <c r="AZ273" s="128" t="s">
        <v>11</v>
      </c>
      <c r="BA273" s="128" t="s">
        <v>323</v>
      </c>
      <c r="BB273" s="128" t="s">
        <v>11</v>
      </c>
      <c r="BC273" s="127" t="s">
        <v>11</v>
      </c>
      <c r="BD273" s="128" t="s">
        <v>11</v>
      </c>
      <c r="BE273" s="127" t="s">
        <v>11</v>
      </c>
      <c r="BF273" s="128" t="s">
        <v>11</v>
      </c>
      <c r="BG273" s="127" t="s">
        <v>11</v>
      </c>
      <c r="BH273" s="128" t="s">
        <v>11</v>
      </c>
      <c r="BI273" s="127" t="s">
        <v>11</v>
      </c>
      <c r="BJ273" s="128" t="s">
        <v>11</v>
      </c>
      <c r="BK273" s="127" t="s">
        <v>11</v>
      </c>
      <c r="BL273" s="121" t="str">
        <f>IF(BK273="NA","NA",IF(BK273="Not Reported","Not Reported",IF(BK273&gt;$L$273,"Not Met","Met")))</f>
        <v>NA</v>
      </c>
      <c r="BM273" s="257" t="s">
        <v>11</v>
      </c>
      <c r="BN273" s="121" t="str">
        <f>IF(BM273="NA","NA",IF(BM273="Not Reported","Not Reported",IF(BM273&gt;$L$273,"Not Met","Met")))</f>
        <v>NA</v>
      </c>
      <c r="BO273" s="121" t="s">
        <v>11</v>
      </c>
      <c r="BP273" s="121" t="s">
        <v>11</v>
      </c>
      <c r="BQ273" s="128" t="s">
        <v>11</v>
      </c>
      <c r="BR273" s="121" t="s">
        <v>11</v>
      </c>
      <c r="BS273" s="338" t="s">
        <v>11</v>
      </c>
      <c r="BT273" s="121" t="str">
        <f>IF(BS273="NA","NA",IF(BS273="Not Reported","Not Reported",IF(BS273&gt;$L$273,"Not Met","Met")))</f>
        <v>NA</v>
      </c>
      <c r="BU273" s="338" t="s">
        <v>11</v>
      </c>
      <c r="BV273" s="121" t="str">
        <f>IF(BU273="NA","NA",IF(BU273="Not Reported","Not Reported",IF(BU273&gt;$L$273,"Not Met","Met")))</f>
        <v>NA</v>
      </c>
    </row>
    <row r="274" spans="1:74" x14ac:dyDescent="0.2">
      <c r="A274" s="121">
        <v>273</v>
      </c>
      <c r="B274" s="122" t="s">
        <v>746</v>
      </c>
      <c r="C274" s="122" t="s">
        <v>901</v>
      </c>
      <c r="D274" s="123" t="s">
        <v>102</v>
      </c>
      <c r="E274" s="123" t="s">
        <v>900</v>
      </c>
      <c r="F274" s="123" t="s">
        <v>300</v>
      </c>
      <c r="G274" s="122" t="s">
        <v>273</v>
      </c>
      <c r="H274" s="122" t="s">
        <v>192</v>
      </c>
      <c r="I274" s="124" t="s">
        <v>246</v>
      </c>
      <c r="J274" s="124" t="s">
        <v>214</v>
      </c>
      <c r="K274" s="122" t="s">
        <v>326</v>
      </c>
      <c r="L274" s="221" t="s">
        <v>747</v>
      </c>
      <c r="M274" s="221" t="s">
        <v>747</v>
      </c>
      <c r="N274" s="145" t="s">
        <v>368</v>
      </c>
      <c r="O274" s="145" t="s">
        <v>369</v>
      </c>
      <c r="P274" s="122" t="s">
        <v>207</v>
      </c>
      <c r="Q274" s="127" t="s">
        <v>11</v>
      </c>
      <c r="R274" s="127" t="s">
        <v>11</v>
      </c>
      <c r="S274" s="127" t="s">
        <v>11</v>
      </c>
      <c r="T274" s="128" t="s">
        <v>11</v>
      </c>
      <c r="U274" s="127" t="s">
        <v>11</v>
      </c>
      <c r="V274" s="128" t="s">
        <v>11</v>
      </c>
      <c r="W274" s="127" t="s">
        <v>11</v>
      </c>
      <c r="X274" s="128" t="s">
        <v>11</v>
      </c>
      <c r="Y274" s="128" t="s">
        <v>61</v>
      </c>
      <c r="Z274" s="128" t="s">
        <v>61</v>
      </c>
      <c r="AA274" s="131" t="s">
        <v>11</v>
      </c>
      <c r="AB274" s="128" t="s">
        <v>11</v>
      </c>
      <c r="AC274" s="131" t="s">
        <v>11</v>
      </c>
      <c r="AD274" s="131" t="s">
        <v>11</v>
      </c>
      <c r="AE274" s="131" t="s">
        <v>61</v>
      </c>
      <c r="AF274" s="127" t="s">
        <v>61</v>
      </c>
      <c r="AG274" s="127" t="s">
        <v>11</v>
      </c>
      <c r="AH274" s="127" t="s">
        <v>11</v>
      </c>
      <c r="AI274" s="127" t="s">
        <v>11</v>
      </c>
      <c r="AJ274" s="128" t="s">
        <v>11</v>
      </c>
      <c r="AK274" s="127" t="s">
        <v>11</v>
      </c>
      <c r="AL274" s="128" t="s">
        <v>11</v>
      </c>
      <c r="AM274" s="128" t="s">
        <v>11</v>
      </c>
      <c r="AN274" s="128" t="s">
        <v>11</v>
      </c>
      <c r="AO274" s="128" t="s">
        <v>11</v>
      </c>
      <c r="AP274" s="128" t="s">
        <v>11</v>
      </c>
      <c r="AQ274" s="128" t="s">
        <v>11</v>
      </c>
      <c r="AR274" s="128" t="s">
        <v>11</v>
      </c>
      <c r="AS274" s="128" t="s">
        <v>11</v>
      </c>
      <c r="AT274" s="128" t="s">
        <v>11</v>
      </c>
      <c r="AU274" s="128" t="s">
        <v>11</v>
      </c>
      <c r="AV274" s="128" t="s">
        <v>11</v>
      </c>
      <c r="AW274" s="128" t="s">
        <v>323</v>
      </c>
      <c r="AX274" s="128" t="s">
        <v>11</v>
      </c>
      <c r="AY274" s="128" t="s">
        <v>323</v>
      </c>
      <c r="AZ274" s="128" t="s">
        <v>11</v>
      </c>
      <c r="BA274" s="128" t="s">
        <v>323</v>
      </c>
      <c r="BB274" s="128" t="s">
        <v>11</v>
      </c>
      <c r="BC274" s="127" t="s">
        <v>11</v>
      </c>
      <c r="BD274" s="128" t="s">
        <v>11</v>
      </c>
      <c r="BE274" s="127" t="s">
        <v>11</v>
      </c>
      <c r="BF274" s="128" t="s">
        <v>11</v>
      </c>
      <c r="BG274" s="127" t="s">
        <v>11</v>
      </c>
      <c r="BH274" s="128" t="s">
        <v>11</v>
      </c>
      <c r="BI274" s="127" t="s">
        <v>11</v>
      </c>
      <c r="BJ274" s="128" t="s">
        <v>11</v>
      </c>
      <c r="BK274" s="127" t="s">
        <v>11</v>
      </c>
      <c r="BL274" s="174" t="str">
        <f>IF(BK274="NA","NA",IF(BK274="Not Reported","Not Reported",IF(BK274&gt;$L$274,"Not Met","Met")))</f>
        <v>NA</v>
      </c>
      <c r="BM274" s="257" t="s">
        <v>11</v>
      </c>
      <c r="BN274" s="121" t="str">
        <f>IF(BM274="NA","NA",IF(BM274="Not Reported","Not Reported",IF(BM274&gt;$L$274,"Not Met","Met")))</f>
        <v>NA</v>
      </c>
      <c r="BO274" s="121" t="s">
        <v>11</v>
      </c>
      <c r="BP274" s="121" t="s">
        <v>11</v>
      </c>
      <c r="BQ274" s="128" t="s">
        <v>11</v>
      </c>
      <c r="BR274" s="121" t="s">
        <v>11</v>
      </c>
      <c r="BS274" s="338" t="s">
        <v>11</v>
      </c>
      <c r="BT274" s="121" t="str">
        <f>IF(BS274="NA","NA",IF(BS274="Not Reported","Not Reported",IF(BS274&gt;$L$274,"Not Met","Met")))</f>
        <v>NA</v>
      </c>
      <c r="BU274" s="338" t="s">
        <v>11</v>
      </c>
      <c r="BV274" s="121" t="str">
        <f>IF(BU274="NA","NA",IF(BU274="Not Reported","Not Reported",IF(BU274&gt;$L$274,"Not Met","Met")))</f>
        <v>NA</v>
      </c>
    </row>
    <row r="275" spans="1:74" x14ac:dyDescent="0.25">
      <c r="A275" s="121">
        <v>274</v>
      </c>
      <c r="B275" s="122" t="s">
        <v>746</v>
      </c>
      <c r="C275" s="122" t="s">
        <v>901</v>
      </c>
      <c r="D275" s="123" t="s">
        <v>102</v>
      </c>
      <c r="E275" s="123" t="s">
        <v>900</v>
      </c>
      <c r="F275" s="123" t="s">
        <v>300</v>
      </c>
      <c r="G275" s="122" t="s">
        <v>273</v>
      </c>
      <c r="H275" s="122" t="s">
        <v>192</v>
      </c>
      <c r="I275" s="124" t="s">
        <v>284</v>
      </c>
      <c r="J275" s="124" t="s">
        <v>285</v>
      </c>
      <c r="K275" s="145" t="s">
        <v>284</v>
      </c>
      <c r="L275" s="221" t="s">
        <v>747</v>
      </c>
      <c r="M275" s="221" t="s">
        <v>747</v>
      </c>
      <c r="N275" s="145" t="s">
        <v>287</v>
      </c>
      <c r="O275" s="145" t="s">
        <v>288</v>
      </c>
      <c r="P275" s="122" t="s">
        <v>207</v>
      </c>
      <c r="Q275" s="127" t="s">
        <v>11</v>
      </c>
      <c r="R275" s="127" t="s">
        <v>11</v>
      </c>
      <c r="S275" s="127" t="s">
        <v>11</v>
      </c>
      <c r="T275" s="128" t="s">
        <v>11</v>
      </c>
      <c r="U275" s="127" t="s">
        <v>11</v>
      </c>
      <c r="V275" s="128" t="s">
        <v>11</v>
      </c>
      <c r="W275" s="127" t="s">
        <v>11</v>
      </c>
      <c r="X275" s="128" t="s">
        <v>11</v>
      </c>
      <c r="Y275" s="128" t="s">
        <v>61</v>
      </c>
      <c r="Z275" s="128" t="s">
        <v>61</v>
      </c>
      <c r="AA275" s="131" t="s">
        <v>11</v>
      </c>
      <c r="AB275" s="128" t="s">
        <v>11</v>
      </c>
      <c r="AC275" s="131" t="s">
        <v>11</v>
      </c>
      <c r="AD275" s="131" t="s">
        <v>11</v>
      </c>
      <c r="AE275" s="131" t="s">
        <v>61</v>
      </c>
      <c r="AF275" s="127" t="s">
        <v>61</v>
      </c>
      <c r="AG275" s="127" t="s">
        <v>11</v>
      </c>
      <c r="AH275" s="127" t="s">
        <v>11</v>
      </c>
      <c r="AI275" s="127" t="s">
        <v>11</v>
      </c>
      <c r="AJ275" s="128" t="s">
        <v>11</v>
      </c>
      <c r="AK275" s="127" t="s">
        <v>11</v>
      </c>
      <c r="AL275" s="128" t="s">
        <v>11</v>
      </c>
      <c r="AM275" s="128" t="s">
        <v>11</v>
      </c>
      <c r="AN275" s="128" t="s">
        <v>11</v>
      </c>
      <c r="AO275" s="128" t="s">
        <v>11</v>
      </c>
      <c r="AP275" s="128" t="s">
        <v>11</v>
      </c>
      <c r="AQ275" s="128" t="s">
        <v>11</v>
      </c>
      <c r="AR275" s="128" t="s">
        <v>11</v>
      </c>
      <c r="AS275" s="128" t="s">
        <v>11</v>
      </c>
      <c r="AT275" s="128" t="s">
        <v>11</v>
      </c>
      <c r="AU275" s="128" t="s">
        <v>11</v>
      </c>
      <c r="AV275" s="128" t="s">
        <v>11</v>
      </c>
      <c r="AW275" s="128" t="s">
        <v>323</v>
      </c>
      <c r="AX275" s="128" t="s">
        <v>11</v>
      </c>
      <c r="AY275" s="128" t="s">
        <v>323</v>
      </c>
      <c r="AZ275" s="128" t="s">
        <v>11</v>
      </c>
      <c r="BA275" s="128" t="s">
        <v>323</v>
      </c>
      <c r="BB275" s="128" t="s">
        <v>11</v>
      </c>
      <c r="BC275" s="127" t="s">
        <v>11</v>
      </c>
      <c r="BD275" s="128" t="s">
        <v>11</v>
      </c>
      <c r="BE275" s="127" t="s">
        <v>11</v>
      </c>
      <c r="BF275" s="128" t="s">
        <v>11</v>
      </c>
      <c r="BG275" s="127" t="s">
        <v>11</v>
      </c>
      <c r="BH275" s="128" t="s">
        <v>11</v>
      </c>
      <c r="BI275" s="127" t="s">
        <v>11</v>
      </c>
      <c r="BJ275" s="128" t="s">
        <v>11</v>
      </c>
      <c r="BK275" s="127" t="s">
        <v>11</v>
      </c>
      <c r="BL275" s="128" t="str">
        <f>IF(BK275="NA","NA",IF(BK275="Not Reported","Not Reported",IF(BK275&lt;$L$275,"Not Met","Met")))</f>
        <v>NA</v>
      </c>
      <c r="BM275" s="257" t="s">
        <v>11</v>
      </c>
      <c r="BN275" s="121" t="str">
        <f>IF(BM275="NA","NA",IF(BM275="Not Reported","Not Reported",IF(BM275&lt;$L$275,"Not Met","Met")))</f>
        <v>NA</v>
      </c>
      <c r="BO275" s="121" t="s">
        <v>11</v>
      </c>
      <c r="BP275" s="121" t="s">
        <v>11</v>
      </c>
      <c r="BQ275" s="128" t="s">
        <v>11</v>
      </c>
      <c r="BR275" s="121" t="s">
        <v>11</v>
      </c>
      <c r="BS275" s="338" t="s">
        <v>11</v>
      </c>
      <c r="BT275" s="121" t="str">
        <f>IF(BS275="NA","NA",IF(BS275="Not Reported","Not Reported",IF(BS275&lt;$L$275,"Not Met","Met")))</f>
        <v>NA</v>
      </c>
      <c r="BU275" s="338" t="s">
        <v>11</v>
      </c>
      <c r="BV275" s="121" t="str">
        <f>IF(BU275="NA","NA",IF(BU275="Not Reported","Not Reported",IF(BU275&lt;$L$275,"Not Met","Met")))</f>
        <v>NA</v>
      </c>
    </row>
    <row r="276" spans="1:74" x14ac:dyDescent="0.25">
      <c r="A276" s="121">
        <v>275</v>
      </c>
      <c r="B276" s="122" t="s">
        <v>746</v>
      </c>
      <c r="C276" s="122" t="s">
        <v>901</v>
      </c>
      <c r="D276" s="123" t="s">
        <v>102</v>
      </c>
      <c r="E276" s="123" t="s">
        <v>900</v>
      </c>
      <c r="F276" s="123" t="s">
        <v>300</v>
      </c>
      <c r="G276" s="122" t="s">
        <v>273</v>
      </c>
      <c r="H276" s="122" t="s">
        <v>192</v>
      </c>
      <c r="I276" s="123" t="s">
        <v>296</v>
      </c>
      <c r="J276" s="123" t="s">
        <v>296</v>
      </c>
      <c r="K276" s="145" t="s">
        <v>296</v>
      </c>
      <c r="L276" s="221" t="s">
        <v>747</v>
      </c>
      <c r="M276" s="221" t="s">
        <v>747</v>
      </c>
      <c r="N276" s="145" t="s">
        <v>297</v>
      </c>
      <c r="O276" s="145" t="s">
        <v>298</v>
      </c>
      <c r="P276" s="122" t="s">
        <v>207</v>
      </c>
      <c r="Q276" s="127" t="s">
        <v>11</v>
      </c>
      <c r="R276" s="127" t="s">
        <v>11</v>
      </c>
      <c r="S276" s="127" t="s">
        <v>11</v>
      </c>
      <c r="T276" s="128" t="s">
        <v>11</v>
      </c>
      <c r="U276" s="127" t="s">
        <v>11</v>
      </c>
      <c r="V276" s="128" t="s">
        <v>11</v>
      </c>
      <c r="W276" s="127" t="s">
        <v>11</v>
      </c>
      <c r="X276" s="128" t="s">
        <v>11</v>
      </c>
      <c r="Y276" s="128" t="s">
        <v>61</v>
      </c>
      <c r="Z276" s="128" t="s">
        <v>61</v>
      </c>
      <c r="AA276" s="131" t="s">
        <v>11</v>
      </c>
      <c r="AB276" s="128" t="s">
        <v>11</v>
      </c>
      <c r="AC276" s="131" t="s">
        <v>11</v>
      </c>
      <c r="AD276" s="131" t="s">
        <v>11</v>
      </c>
      <c r="AE276" s="131" t="s">
        <v>61</v>
      </c>
      <c r="AF276" s="127" t="s">
        <v>61</v>
      </c>
      <c r="AG276" s="127" t="s">
        <v>11</v>
      </c>
      <c r="AH276" s="127" t="s">
        <v>11</v>
      </c>
      <c r="AI276" s="127" t="s">
        <v>11</v>
      </c>
      <c r="AJ276" s="128" t="s">
        <v>11</v>
      </c>
      <c r="AK276" s="127" t="s">
        <v>11</v>
      </c>
      <c r="AL276" s="128" t="s">
        <v>11</v>
      </c>
      <c r="AM276" s="128" t="s">
        <v>11</v>
      </c>
      <c r="AN276" s="128" t="s">
        <v>11</v>
      </c>
      <c r="AO276" s="128" t="s">
        <v>11</v>
      </c>
      <c r="AP276" s="128" t="s">
        <v>11</v>
      </c>
      <c r="AQ276" s="128" t="s">
        <v>11</v>
      </c>
      <c r="AR276" s="128" t="s">
        <v>11</v>
      </c>
      <c r="AS276" s="128" t="s">
        <v>11</v>
      </c>
      <c r="AT276" s="128" t="s">
        <v>11</v>
      </c>
      <c r="AU276" s="128" t="s">
        <v>11</v>
      </c>
      <c r="AV276" s="128" t="s">
        <v>11</v>
      </c>
      <c r="AW276" s="128" t="s">
        <v>323</v>
      </c>
      <c r="AX276" s="128" t="s">
        <v>11</v>
      </c>
      <c r="AY276" s="128" t="s">
        <v>323</v>
      </c>
      <c r="AZ276" s="128" t="s">
        <v>11</v>
      </c>
      <c r="BA276" s="128" t="s">
        <v>323</v>
      </c>
      <c r="BB276" s="128" t="s">
        <v>11</v>
      </c>
      <c r="BC276" s="127" t="s">
        <v>11</v>
      </c>
      <c r="BD276" s="128" t="s">
        <v>11</v>
      </c>
      <c r="BE276" s="127" t="s">
        <v>11</v>
      </c>
      <c r="BF276" s="128" t="s">
        <v>11</v>
      </c>
      <c r="BG276" s="127" t="s">
        <v>11</v>
      </c>
      <c r="BH276" s="128" t="s">
        <v>11</v>
      </c>
      <c r="BI276" s="127" t="s">
        <v>11</v>
      </c>
      <c r="BJ276" s="128" t="s">
        <v>11</v>
      </c>
      <c r="BK276" s="127" t="s">
        <v>11</v>
      </c>
      <c r="BL276" s="128" t="str">
        <f>IF(BK276="NA","NA",IF(BK276="Not Reported","Not Reported",IF(BK276&lt;$L$276,"Not Met","Met")))</f>
        <v>NA</v>
      </c>
      <c r="BM276" s="257" t="s">
        <v>11</v>
      </c>
      <c r="BN276" s="121" t="str">
        <f>IF(BM276="NA","NA",IF(BM276="Not Reported","Not Reported",IF(BM276&lt;$L$276,"Not Met","Met")))</f>
        <v>NA</v>
      </c>
      <c r="BO276" s="121" t="s">
        <v>11</v>
      </c>
      <c r="BP276" s="121" t="s">
        <v>11</v>
      </c>
      <c r="BQ276" s="128" t="s">
        <v>11</v>
      </c>
      <c r="BR276" s="121" t="s">
        <v>11</v>
      </c>
      <c r="BS276" s="338" t="s">
        <v>11</v>
      </c>
      <c r="BT276" s="121" t="str">
        <f>IF(BS276="NA","NA",IF(BS276="Not Reported","Not Reported",IF(BS276&lt;$L$276,"Not Met","Met")))</f>
        <v>NA</v>
      </c>
      <c r="BU276" s="338" t="s">
        <v>11</v>
      </c>
      <c r="BV276" s="121" t="str">
        <f>IF(BU276="NA","NA",IF(BU276="Not Reported","Not Reported",IF(BU276&lt;$L$276,"Not Met","Met")))</f>
        <v>NA</v>
      </c>
    </row>
    <row r="277" spans="1:74" x14ac:dyDescent="0.25">
      <c r="A277" s="121">
        <v>276</v>
      </c>
      <c r="B277" s="122" t="s">
        <v>746</v>
      </c>
      <c r="C277" s="122" t="s">
        <v>901</v>
      </c>
      <c r="D277" s="123" t="s">
        <v>102</v>
      </c>
      <c r="E277" s="123" t="s">
        <v>900</v>
      </c>
      <c r="F277" s="123" t="s">
        <v>300</v>
      </c>
      <c r="G277" s="122" t="s">
        <v>273</v>
      </c>
      <c r="H277" s="122" t="s">
        <v>192</v>
      </c>
      <c r="I277" s="124" t="s">
        <v>274</v>
      </c>
      <c r="J277" s="124" t="s">
        <v>214</v>
      </c>
      <c r="K277" s="145" t="s">
        <v>274</v>
      </c>
      <c r="L277" s="221">
        <v>90</v>
      </c>
      <c r="M277" s="221" t="s">
        <v>884</v>
      </c>
      <c r="N277" s="145" t="s">
        <v>276</v>
      </c>
      <c r="O277" s="123" t="s">
        <v>528</v>
      </c>
      <c r="P277" s="122" t="s">
        <v>207</v>
      </c>
      <c r="Q277" s="127" t="s">
        <v>11</v>
      </c>
      <c r="R277" s="127" t="s">
        <v>11</v>
      </c>
      <c r="S277" s="127" t="s">
        <v>11</v>
      </c>
      <c r="T277" s="128" t="s">
        <v>11</v>
      </c>
      <c r="U277" s="127" t="s">
        <v>11</v>
      </c>
      <c r="V277" s="128" t="s">
        <v>11</v>
      </c>
      <c r="W277" s="127" t="s">
        <v>11</v>
      </c>
      <c r="X277" s="128" t="s">
        <v>11</v>
      </c>
      <c r="Y277" s="128" t="s">
        <v>61</v>
      </c>
      <c r="Z277" s="128" t="s">
        <v>61</v>
      </c>
      <c r="AA277" s="131" t="s">
        <v>11</v>
      </c>
      <c r="AB277" s="128" t="s">
        <v>11</v>
      </c>
      <c r="AC277" s="131" t="s">
        <v>11</v>
      </c>
      <c r="AD277" s="131" t="s">
        <v>11</v>
      </c>
      <c r="AE277" s="131" t="s">
        <v>61</v>
      </c>
      <c r="AF277" s="127" t="s">
        <v>61</v>
      </c>
      <c r="AG277" s="127" t="s">
        <v>11</v>
      </c>
      <c r="AH277" s="127" t="s">
        <v>11</v>
      </c>
      <c r="AI277" s="127" t="s">
        <v>11</v>
      </c>
      <c r="AJ277" s="128" t="s">
        <v>11</v>
      </c>
      <c r="AK277" s="127" t="s">
        <v>11</v>
      </c>
      <c r="AL277" s="128" t="s">
        <v>11</v>
      </c>
      <c r="AM277" s="128" t="s">
        <v>11</v>
      </c>
      <c r="AN277" s="128" t="s">
        <v>11</v>
      </c>
      <c r="AO277" s="128" t="s">
        <v>11</v>
      </c>
      <c r="AP277" s="128" t="s">
        <v>11</v>
      </c>
      <c r="AQ277" s="128" t="s">
        <v>11</v>
      </c>
      <c r="AR277" s="128" t="s">
        <v>11</v>
      </c>
      <c r="AS277" s="128" t="s">
        <v>11</v>
      </c>
      <c r="AT277" s="128" t="s">
        <v>11</v>
      </c>
      <c r="AU277" s="128" t="s">
        <v>11</v>
      </c>
      <c r="AV277" s="128" t="s">
        <v>11</v>
      </c>
      <c r="AW277" s="128" t="s">
        <v>323</v>
      </c>
      <c r="AX277" s="128" t="s">
        <v>11</v>
      </c>
      <c r="AY277" s="128" t="s">
        <v>323</v>
      </c>
      <c r="AZ277" s="128" t="s">
        <v>11</v>
      </c>
      <c r="BA277" s="128" t="s">
        <v>323</v>
      </c>
      <c r="BB277" s="128" t="s">
        <v>11</v>
      </c>
      <c r="BC277" s="127" t="s">
        <v>11</v>
      </c>
      <c r="BD277" s="128" t="s">
        <v>11</v>
      </c>
      <c r="BE277" s="127" t="s">
        <v>11</v>
      </c>
      <c r="BF277" s="128" t="s">
        <v>11</v>
      </c>
      <c r="BG277" s="127" t="s">
        <v>11</v>
      </c>
      <c r="BH277" s="128" t="s">
        <v>11</v>
      </c>
      <c r="BI277" s="127" t="s">
        <v>11</v>
      </c>
      <c r="BJ277" s="128" t="s">
        <v>11</v>
      </c>
      <c r="BK277" s="127" t="s">
        <v>11</v>
      </c>
      <c r="BL277" s="121" t="str">
        <f>IF(BK277="NA","NA",IF(BK277="Not Reported","Not Reported",IF(BK277&gt;$L$277,"Not Met","Met")))</f>
        <v>NA</v>
      </c>
      <c r="BM277" s="257" t="s">
        <v>11</v>
      </c>
      <c r="BN277" s="121" t="str">
        <f>IF(BM277="NA","NA",IF(BM277="Not Reported","Not Reported",IF(BM277&gt;$L$277,"Not Met","Met")))</f>
        <v>NA</v>
      </c>
      <c r="BO277" s="121" t="s">
        <v>11</v>
      </c>
      <c r="BP277" s="121" t="s">
        <v>11</v>
      </c>
      <c r="BQ277" s="128" t="s">
        <v>11</v>
      </c>
      <c r="BR277" s="121" t="s">
        <v>11</v>
      </c>
      <c r="BS277" s="338" t="s">
        <v>11</v>
      </c>
      <c r="BT277" s="121" t="str">
        <f>IF(BS277="NA","NA",IF(BS277="Not Reported","Not Reported",IF(BS277&gt;$L$277,"Not Met","Met")))</f>
        <v>NA</v>
      </c>
      <c r="BU277" s="338" t="s">
        <v>11</v>
      </c>
      <c r="BV277" s="121" t="str">
        <f>IF(BU277="NA","NA",IF(BU277="Not Reported","Not Reported",IF(BU277&gt;$L$277,"Not Met","Met")))</f>
        <v>NA</v>
      </c>
    </row>
    <row r="278" spans="1:74" x14ac:dyDescent="0.25">
      <c r="A278" s="121">
        <v>277</v>
      </c>
      <c r="B278" s="122" t="s">
        <v>746</v>
      </c>
      <c r="C278" s="122" t="s">
        <v>901</v>
      </c>
      <c r="D278" s="123" t="s">
        <v>102</v>
      </c>
      <c r="E278" s="123" t="s">
        <v>900</v>
      </c>
      <c r="F278" s="123" t="s">
        <v>300</v>
      </c>
      <c r="G278" s="122" t="s">
        <v>273</v>
      </c>
      <c r="H278" s="122" t="s">
        <v>192</v>
      </c>
      <c r="I278" s="124" t="s">
        <v>289</v>
      </c>
      <c r="J278" s="124" t="s">
        <v>285</v>
      </c>
      <c r="K278" s="145" t="s">
        <v>289</v>
      </c>
      <c r="L278" s="221" t="s">
        <v>747</v>
      </c>
      <c r="M278" s="221" t="s">
        <v>747</v>
      </c>
      <c r="N278" s="145" t="s">
        <v>290</v>
      </c>
      <c r="O278" s="122" t="s">
        <v>529</v>
      </c>
      <c r="P278" s="122" t="s">
        <v>207</v>
      </c>
      <c r="Q278" s="127" t="s">
        <v>11</v>
      </c>
      <c r="R278" s="127" t="s">
        <v>11</v>
      </c>
      <c r="S278" s="127" t="s">
        <v>11</v>
      </c>
      <c r="T278" s="128" t="s">
        <v>11</v>
      </c>
      <c r="U278" s="127" t="s">
        <v>11</v>
      </c>
      <c r="V278" s="128" t="s">
        <v>11</v>
      </c>
      <c r="W278" s="127" t="s">
        <v>11</v>
      </c>
      <c r="X278" s="128" t="s">
        <v>11</v>
      </c>
      <c r="Y278" s="128" t="s">
        <v>61</v>
      </c>
      <c r="Z278" s="128" t="s">
        <v>61</v>
      </c>
      <c r="AA278" s="131" t="s">
        <v>11</v>
      </c>
      <c r="AB278" s="128" t="s">
        <v>11</v>
      </c>
      <c r="AC278" s="131" t="s">
        <v>11</v>
      </c>
      <c r="AD278" s="131" t="s">
        <v>11</v>
      </c>
      <c r="AE278" s="131" t="s">
        <v>61</v>
      </c>
      <c r="AF278" s="127" t="s">
        <v>61</v>
      </c>
      <c r="AG278" s="127" t="s">
        <v>11</v>
      </c>
      <c r="AH278" s="127" t="s">
        <v>11</v>
      </c>
      <c r="AI278" s="127" t="s">
        <v>11</v>
      </c>
      <c r="AJ278" s="128" t="s">
        <v>11</v>
      </c>
      <c r="AK278" s="127" t="s">
        <v>11</v>
      </c>
      <c r="AL278" s="128" t="s">
        <v>11</v>
      </c>
      <c r="AM278" s="128" t="s">
        <v>11</v>
      </c>
      <c r="AN278" s="128" t="s">
        <v>11</v>
      </c>
      <c r="AO278" s="128" t="s">
        <v>11</v>
      </c>
      <c r="AP278" s="128" t="s">
        <v>11</v>
      </c>
      <c r="AQ278" s="128" t="s">
        <v>11</v>
      </c>
      <c r="AR278" s="128" t="s">
        <v>11</v>
      </c>
      <c r="AS278" s="128" t="s">
        <v>11</v>
      </c>
      <c r="AT278" s="128" t="s">
        <v>11</v>
      </c>
      <c r="AU278" s="128" t="s">
        <v>11</v>
      </c>
      <c r="AV278" s="128" t="s">
        <v>11</v>
      </c>
      <c r="AW278" s="128" t="s">
        <v>323</v>
      </c>
      <c r="AX278" s="128" t="s">
        <v>11</v>
      </c>
      <c r="AY278" s="128" t="s">
        <v>323</v>
      </c>
      <c r="AZ278" s="128" t="s">
        <v>11</v>
      </c>
      <c r="BA278" s="128" t="s">
        <v>323</v>
      </c>
      <c r="BB278" s="128" t="s">
        <v>11</v>
      </c>
      <c r="BC278" s="127" t="s">
        <v>11</v>
      </c>
      <c r="BD278" s="128" t="s">
        <v>11</v>
      </c>
      <c r="BE278" s="127" t="s">
        <v>11</v>
      </c>
      <c r="BF278" s="128" t="s">
        <v>11</v>
      </c>
      <c r="BG278" s="127" t="s">
        <v>11</v>
      </c>
      <c r="BH278" s="128" t="s">
        <v>11</v>
      </c>
      <c r="BI278" s="127" t="s">
        <v>11</v>
      </c>
      <c r="BJ278" s="128" t="s">
        <v>11</v>
      </c>
      <c r="BK278" s="127" t="s">
        <v>11</v>
      </c>
      <c r="BL278" s="128" t="str">
        <f>IF(BK278="NA","NA",IF(BK278="Not Reported","Not Reported",IF(BK278&lt;$L$278,"Not Met","Met")))</f>
        <v>NA</v>
      </c>
      <c r="BM278" s="257" t="s">
        <v>11</v>
      </c>
      <c r="BN278" s="121" t="str">
        <f>IF(BM278="NA","NA",IF(BM278="Not Reported","Not Reported",IF(BM278&lt;$L$278,"Not Met","Met")))</f>
        <v>NA</v>
      </c>
      <c r="BO278" s="121" t="s">
        <v>11</v>
      </c>
      <c r="BP278" s="121" t="s">
        <v>11</v>
      </c>
      <c r="BQ278" s="128" t="s">
        <v>11</v>
      </c>
      <c r="BR278" s="121" t="s">
        <v>11</v>
      </c>
      <c r="BS278" s="338" t="s">
        <v>11</v>
      </c>
      <c r="BT278" s="121" t="str">
        <f>IF(BS278="NA","NA",IF(BS278="Not Reported","Not Reported",IF(BS278&lt;$L$278,"Not Met","Met")))</f>
        <v>NA</v>
      </c>
      <c r="BU278" s="338" t="s">
        <v>11</v>
      </c>
      <c r="BV278" s="121" t="str">
        <f>IF(BU278="NA","NA",IF(BU278="Not Reported","Not Reported",IF(BU278&lt;$L$278,"Not Met","Met")))</f>
        <v>NA</v>
      </c>
    </row>
    <row r="279" spans="1:74" x14ac:dyDescent="0.25">
      <c r="A279" s="121">
        <v>278</v>
      </c>
      <c r="B279" s="122" t="s">
        <v>746</v>
      </c>
      <c r="C279" s="122" t="s">
        <v>901</v>
      </c>
      <c r="D279" s="123" t="s">
        <v>102</v>
      </c>
      <c r="E279" s="123" t="s">
        <v>900</v>
      </c>
      <c r="F279" s="123" t="s">
        <v>300</v>
      </c>
      <c r="G279" s="122" t="s">
        <v>273</v>
      </c>
      <c r="H279" s="122" t="s">
        <v>192</v>
      </c>
      <c r="I279" s="124" t="s">
        <v>292</v>
      </c>
      <c r="J279" s="124" t="s">
        <v>293</v>
      </c>
      <c r="K279" s="122" t="s">
        <v>292</v>
      </c>
      <c r="L279" s="222">
        <v>0.3</v>
      </c>
      <c r="M279" s="222">
        <v>0.3</v>
      </c>
      <c r="N279" s="122" t="s">
        <v>294</v>
      </c>
      <c r="O279" s="122" t="s">
        <v>295</v>
      </c>
      <c r="P279" s="122" t="s">
        <v>207</v>
      </c>
      <c r="Q279" s="127" t="s">
        <v>11</v>
      </c>
      <c r="R279" s="127" t="s">
        <v>11</v>
      </c>
      <c r="S279" s="127" t="s">
        <v>11</v>
      </c>
      <c r="T279" s="128" t="s">
        <v>11</v>
      </c>
      <c r="U279" s="127" t="s">
        <v>11</v>
      </c>
      <c r="V279" s="128" t="s">
        <v>11</v>
      </c>
      <c r="W279" s="127" t="s">
        <v>11</v>
      </c>
      <c r="X279" s="128" t="s">
        <v>11</v>
      </c>
      <c r="Y279" s="128" t="s">
        <v>61</v>
      </c>
      <c r="Z279" s="128" t="s">
        <v>61</v>
      </c>
      <c r="AA279" s="131" t="s">
        <v>11</v>
      </c>
      <c r="AB279" s="128" t="s">
        <v>11</v>
      </c>
      <c r="AC279" s="131" t="s">
        <v>11</v>
      </c>
      <c r="AD279" s="131" t="s">
        <v>11</v>
      </c>
      <c r="AE279" s="131" t="s">
        <v>61</v>
      </c>
      <c r="AF279" s="127" t="s">
        <v>61</v>
      </c>
      <c r="AG279" s="127" t="s">
        <v>11</v>
      </c>
      <c r="AH279" s="127" t="s">
        <v>11</v>
      </c>
      <c r="AI279" s="127" t="s">
        <v>11</v>
      </c>
      <c r="AJ279" s="128" t="s">
        <v>11</v>
      </c>
      <c r="AK279" s="127" t="s">
        <v>11</v>
      </c>
      <c r="AL279" s="128" t="s">
        <v>11</v>
      </c>
      <c r="AM279" s="128" t="s">
        <v>11</v>
      </c>
      <c r="AN279" s="128" t="s">
        <v>11</v>
      </c>
      <c r="AO279" s="128" t="s">
        <v>11</v>
      </c>
      <c r="AP279" s="128" t="s">
        <v>11</v>
      </c>
      <c r="AQ279" s="128" t="s">
        <v>11</v>
      </c>
      <c r="AR279" s="128" t="s">
        <v>11</v>
      </c>
      <c r="AS279" s="128" t="s">
        <v>11</v>
      </c>
      <c r="AT279" s="128" t="s">
        <v>11</v>
      </c>
      <c r="AU279" s="128" t="s">
        <v>11</v>
      </c>
      <c r="AV279" s="128" t="s">
        <v>11</v>
      </c>
      <c r="AW279" s="128" t="s">
        <v>323</v>
      </c>
      <c r="AX279" s="128" t="s">
        <v>11</v>
      </c>
      <c r="AY279" s="128" t="s">
        <v>323</v>
      </c>
      <c r="AZ279" s="128" t="s">
        <v>11</v>
      </c>
      <c r="BA279" s="128" t="s">
        <v>323</v>
      </c>
      <c r="BB279" s="128" t="s">
        <v>11</v>
      </c>
      <c r="BC279" s="127" t="s">
        <v>11</v>
      </c>
      <c r="BD279" s="128" t="s">
        <v>11</v>
      </c>
      <c r="BE279" s="127" t="s">
        <v>11</v>
      </c>
      <c r="BF279" s="128" t="s">
        <v>11</v>
      </c>
      <c r="BG279" s="127" t="s">
        <v>11</v>
      </c>
      <c r="BH279" s="128" t="s">
        <v>11</v>
      </c>
      <c r="BI279" s="127" t="s">
        <v>11</v>
      </c>
      <c r="BJ279" s="128" t="s">
        <v>11</v>
      </c>
      <c r="BK279" s="127" t="s">
        <v>11</v>
      </c>
      <c r="BL279" s="128" t="str">
        <f>IF(BK279="NA","NA",IF(BK279="Not Reported","Not Reported",IF(BK279&gt;$L$279,"Not Met","Met")))</f>
        <v>NA</v>
      </c>
      <c r="BM279" s="257" t="s">
        <v>11</v>
      </c>
      <c r="BN279" s="121" t="str">
        <f>IF(BM279="NA","NA",IF(BM279="Not Reported","Not Reported",IF(BM279&gt;$L$279,"Not Met","Met")))</f>
        <v>NA</v>
      </c>
      <c r="BO279" s="121" t="s">
        <v>11</v>
      </c>
      <c r="BP279" s="121" t="s">
        <v>11</v>
      </c>
      <c r="BQ279" s="128" t="s">
        <v>11</v>
      </c>
      <c r="BR279" s="121" t="s">
        <v>11</v>
      </c>
      <c r="BS279" s="338" t="s">
        <v>11</v>
      </c>
      <c r="BT279" s="121" t="str">
        <f>IF(BS279="NA","NA",IF(BS279="Not Reported","Not Reported",IF(BS279&gt;$L$279,"Not Met","Met")))</f>
        <v>NA</v>
      </c>
      <c r="BU279" s="338" t="s">
        <v>11</v>
      </c>
      <c r="BV279" s="121" t="str">
        <f>IF(BU279="NA","NA",IF(BU279="Not Reported","Not Reported",IF(BU279&gt;$L$279,"Not Met","Met")))</f>
        <v>NA</v>
      </c>
    </row>
    <row r="280" spans="1:74" x14ac:dyDescent="0.25">
      <c r="A280" s="121">
        <v>279</v>
      </c>
      <c r="B280" s="122" t="s">
        <v>27</v>
      </c>
      <c r="C280" s="122" t="s">
        <v>106</v>
      </c>
      <c r="D280" s="123" t="s">
        <v>116</v>
      </c>
      <c r="E280" s="123" t="s">
        <v>894</v>
      </c>
      <c r="F280" s="123" t="s">
        <v>300</v>
      </c>
      <c r="G280" s="122" t="s">
        <v>273</v>
      </c>
      <c r="H280" s="122" t="s">
        <v>192</v>
      </c>
      <c r="I280" s="124" t="s">
        <v>274</v>
      </c>
      <c r="J280" s="124" t="s">
        <v>214</v>
      </c>
      <c r="K280" s="145" t="s">
        <v>274</v>
      </c>
      <c r="L280" s="199">
        <v>60</v>
      </c>
      <c r="M280" s="199" t="s">
        <v>579</v>
      </c>
      <c r="N280" s="145" t="s">
        <v>276</v>
      </c>
      <c r="O280" s="145" t="s">
        <v>277</v>
      </c>
      <c r="P280" s="123" t="s">
        <v>207</v>
      </c>
      <c r="Q280" s="147" t="s">
        <v>376</v>
      </c>
      <c r="R280" s="121" t="s">
        <v>198</v>
      </c>
      <c r="S280" s="147" t="s">
        <v>579</v>
      </c>
      <c r="T280" s="121" t="s">
        <v>198</v>
      </c>
      <c r="U280" s="147" t="s">
        <v>579</v>
      </c>
      <c r="V280" s="121" t="s">
        <v>198</v>
      </c>
      <c r="W280" s="147" t="s">
        <v>626</v>
      </c>
      <c r="X280" s="121" t="s">
        <v>198</v>
      </c>
      <c r="Y280" s="121" t="s">
        <v>547</v>
      </c>
      <c r="Z280" s="121" t="s">
        <v>198</v>
      </c>
      <c r="AA280" s="121" t="s">
        <v>552</v>
      </c>
      <c r="AB280" s="121" t="s">
        <v>198</v>
      </c>
      <c r="AC280" s="121" t="s">
        <v>626</v>
      </c>
      <c r="AD280" s="121" t="s">
        <v>198</v>
      </c>
      <c r="AE280" s="121" t="s">
        <v>626</v>
      </c>
      <c r="AF280" s="121" t="s">
        <v>198</v>
      </c>
      <c r="AG280" s="121" t="s">
        <v>626</v>
      </c>
      <c r="AH280" s="121" t="s">
        <v>198</v>
      </c>
      <c r="AI280" s="121" t="s">
        <v>546</v>
      </c>
      <c r="AJ280" s="121" t="s">
        <v>198</v>
      </c>
      <c r="AK280" s="121" t="s">
        <v>626</v>
      </c>
      <c r="AL280" s="121" t="s">
        <v>198</v>
      </c>
      <c r="AM280" s="121" t="s">
        <v>509</v>
      </c>
      <c r="AN280" s="121" t="s">
        <v>198</v>
      </c>
      <c r="AO280" s="121" t="s">
        <v>748</v>
      </c>
      <c r="AP280" s="121" t="s">
        <v>198</v>
      </c>
      <c r="AQ280" s="121" t="s">
        <v>749</v>
      </c>
      <c r="AR280" s="121" t="s">
        <v>198</v>
      </c>
      <c r="AS280" s="121" t="s">
        <v>626</v>
      </c>
      <c r="AT280" s="121" t="s">
        <v>198</v>
      </c>
      <c r="AU280" s="121" t="s">
        <v>509</v>
      </c>
      <c r="AV280" s="121" t="s">
        <v>198</v>
      </c>
      <c r="AW280" s="121" t="s">
        <v>509</v>
      </c>
      <c r="AX280" s="121" t="s">
        <v>198</v>
      </c>
      <c r="AY280" s="121" t="s">
        <v>749</v>
      </c>
      <c r="AZ280" s="121" t="s">
        <v>198</v>
      </c>
      <c r="BA280" s="121" t="s">
        <v>363</v>
      </c>
      <c r="BB280" s="121" t="s">
        <v>198</v>
      </c>
      <c r="BC280" s="121" t="s">
        <v>616</v>
      </c>
      <c r="BD280" s="121" t="s">
        <v>198</v>
      </c>
      <c r="BE280" s="147" t="s">
        <v>506</v>
      </c>
      <c r="BF280" s="121" t="s">
        <v>198</v>
      </c>
      <c r="BG280" s="121" t="s">
        <v>601</v>
      </c>
      <c r="BH280" s="121" t="s">
        <v>198</v>
      </c>
      <c r="BI280" s="121" t="s">
        <v>508</v>
      </c>
      <c r="BJ280" s="121" t="s">
        <v>198</v>
      </c>
      <c r="BK280" s="147">
        <v>54</v>
      </c>
      <c r="BL280" s="121" t="str">
        <f>IF(BK280="NA","NA",IF(BK280="Not Reported","Not Reported",IF(BK280&gt;$L$280,"Not Met","Met")))</f>
        <v>Met</v>
      </c>
      <c r="BM280" s="258">
        <v>59</v>
      </c>
      <c r="BN280" s="121" t="str">
        <f>IF(BM280="NA","NA",IF(BM280="Not Reported","Not Reported",IF(BM280&gt;$L$280,"Not Met","Met")))</f>
        <v>Met</v>
      </c>
      <c r="BO280" s="26">
        <v>56</v>
      </c>
      <c r="BP280" s="121" t="s">
        <v>198</v>
      </c>
      <c r="BQ280" s="26">
        <v>56</v>
      </c>
      <c r="BR280" s="121" t="s">
        <v>198</v>
      </c>
      <c r="BS280" s="26">
        <v>57</v>
      </c>
      <c r="BT280" s="121" t="str">
        <f>IF(BS280="NA","NA",IF(BS280="Not Reported","Not Reported",IF(BS280&gt;$L$280,"Not Met","Met")))</f>
        <v>Met</v>
      </c>
      <c r="BU280" s="26">
        <v>54</v>
      </c>
      <c r="BV280" s="121" t="str">
        <f>IF(BU280="NA","NA",IF(BU280="Not Reported","Not Reported",IF(BU280&gt;$L$280,"Not Met","Met")))</f>
        <v>Met</v>
      </c>
    </row>
    <row r="281" spans="1:74" x14ac:dyDescent="0.25">
      <c r="A281" s="121">
        <v>280</v>
      </c>
      <c r="B281" s="122" t="s">
        <v>27</v>
      </c>
      <c r="C281" s="122" t="s">
        <v>106</v>
      </c>
      <c r="D281" s="123" t="s">
        <v>116</v>
      </c>
      <c r="E281" s="123" t="s">
        <v>894</v>
      </c>
      <c r="F281" s="123" t="s">
        <v>300</v>
      </c>
      <c r="G281" s="122" t="s">
        <v>273</v>
      </c>
      <c r="H281" s="122" t="s">
        <v>192</v>
      </c>
      <c r="I281" s="124" t="s">
        <v>213</v>
      </c>
      <c r="J281" s="124" t="s">
        <v>214</v>
      </c>
      <c r="K281" s="129" t="s">
        <v>213</v>
      </c>
      <c r="L281" s="199">
        <v>30</v>
      </c>
      <c r="M281" s="199" t="s">
        <v>356</v>
      </c>
      <c r="N281" s="145" t="s">
        <v>341</v>
      </c>
      <c r="O281" s="145" t="s">
        <v>342</v>
      </c>
      <c r="P281" s="123" t="s">
        <v>207</v>
      </c>
      <c r="Q281" s="146" t="s">
        <v>581</v>
      </c>
      <c r="R281" s="121" t="s">
        <v>198</v>
      </c>
      <c r="S281" s="146" t="s">
        <v>604</v>
      </c>
      <c r="T281" s="121" t="s">
        <v>198</v>
      </c>
      <c r="U281" s="147" t="s">
        <v>441</v>
      </c>
      <c r="V281" s="147" t="s">
        <v>251</v>
      </c>
      <c r="W281" s="147" t="s">
        <v>607</v>
      </c>
      <c r="X281" s="147" t="s">
        <v>251</v>
      </c>
      <c r="Y281" s="147" t="s">
        <v>340</v>
      </c>
      <c r="Z281" s="121" t="s">
        <v>251</v>
      </c>
      <c r="AA281" s="147" t="s">
        <v>441</v>
      </c>
      <c r="AB281" s="147" t="s">
        <v>251</v>
      </c>
      <c r="AC281" s="147" t="s">
        <v>555</v>
      </c>
      <c r="AD281" s="121" t="s">
        <v>251</v>
      </c>
      <c r="AE281" s="147" t="s">
        <v>441</v>
      </c>
      <c r="AF281" s="147" t="s">
        <v>251</v>
      </c>
      <c r="AG281" s="147" t="s">
        <v>555</v>
      </c>
      <c r="AH281" s="147" t="s">
        <v>251</v>
      </c>
      <c r="AI281" s="147" t="s">
        <v>624</v>
      </c>
      <c r="AJ281" s="147" t="s">
        <v>251</v>
      </c>
      <c r="AK281" s="147" t="s">
        <v>478</v>
      </c>
      <c r="AL281" s="147" t="s">
        <v>251</v>
      </c>
      <c r="AM281" s="147" t="s">
        <v>345</v>
      </c>
      <c r="AN281" s="121" t="s">
        <v>198</v>
      </c>
      <c r="AO281" s="147" t="s">
        <v>344</v>
      </c>
      <c r="AP281" s="121" t="s">
        <v>198</v>
      </c>
      <c r="AQ281" s="147" t="s">
        <v>348</v>
      </c>
      <c r="AR281" s="121" t="s">
        <v>251</v>
      </c>
      <c r="AS281" s="121" t="s">
        <v>470</v>
      </c>
      <c r="AT281" s="121" t="s">
        <v>198</v>
      </c>
      <c r="AU281" s="121" t="s">
        <v>362</v>
      </c>
      <c r="AV281" s="121" t="s">
        <v>198</v>
      </c>
      <c r="AW281" s="121" t="s">
        <v>470</v>
      </c>
      <c r="AX281" s="121" t="s">
        <v>198</v>
      </c>
      <c r="AY281" s="121" t="s">
        <v>344</v>
      </c>
      <c r="AZ281" s="121" t="s">
        <v>198</v>
      </c>
      <c r="BA281" s="121" t="s">
        <v>469</v>
      </c>
      <c r="BB281" s="121" t="s">
        <v>198</v>
      </c>
      <c r="BC281" s="121" t="s">
        <v>453</v>
      </c>
      <c r="BD281" s="121" t="s">
        <v>198</v>
      </c>
      <c r="BE281" s="147" t="s">
        <v>345</v>
      </c>
      <c r="BF281" s="121" t="s">
        <v>198</v>
      </c>
      <c r="BG281" s="121" t="s">
        <v>345</v>
      </c>
      <c r="BH281" s="121" t="s">
        <v>198</v>
      </c>
      <c r="BI281" s="121" t="s">
        <v>469</v>
      </c>
      <c r="BJ281" s="121" t="s">
        <v>198</v>
      </c>
      <c r="BK281" s="147" t="s">
        <v>469</v>
      </c>
      <c r="BL281" s="121" t="str">
        <f>IF(BK281="NA","NA",IF(BK281="Not Reported","Not Reported",IF(BK281&gt;$L$281,"Not Met","Met")))</f>
        <v>Not Met</v>
      </c>
      <c r="BM281" s="258">
        <v>40</v>
      </c>
      <c r="BN281" s="121" t="str">
        <f>IF(BM281="NA","NA",IF(BM281="Not Reported","Not Reported",IF(BM281&gt;$L$281,"Not Met","Met")))</f>
        <v>Not Met</v>
      </c>
      <c r="BO281" s="26">
        <v>40</v>
      </c>
      <c r="BP281" s="121" t="s">
        <v>251</v>
      </c>
      <c r="BQ281" s="31">
        <v>36</v>
      </c>
      <c r="BR281" s="121" t="s">
        <v>251</v>
      </c>
      <c r="BS281" s="26">
        <v>31</v>
      </c>
      <c r="BT281" s="121" t="str">
        <f>IF(BS281="NA","NA",IF(BS281="Not Reported","Not Reported",IF(BS281&gt;$L$281,"Not Met","Met")))</f>
        <v>Not Met</v>
      </c>
      <c r="BU281" s="26">
        <v>30</v>
      </c>
      <c r="BV281" s="121" t="str">
        <f>IF(BU281="NA","NA",IF(BU281="Not Reported","Not Reported",IF(BU281&gt;$L$281,"Not Met","Met")))</f>
        <v>Met</v>
      </c>
    </row>
    <row r="282" spans="1:74" x14ac:dyDescent="0.2">
      <c r="A282" s="121">
        <v>281</v>
      </c>
      <c r="B282" s="122" t="s">
        <v>27</v>
      </c>
      <c r="C282" s="122" t="s">
        <v>106</v>
      </c>
      <c r="D282" s="123" t="s">
        <v>116</v>
      </c>
      <c r="E282" s="123" t="s">
        <v>894</v>
      </c>
      <c r="F282" s="123" t="s">
        <v>300</v>
      </c>
      <c r="G282" s="122" t="s">
        <v>273</v>
      </c>
      <c r="H282" s="122" t="s">
        <v>192</v>
      </c>
      <c r="I282" s="124" t="s">
        <v>246</v>
      </c>
      <c r="J282" s="124" t="s">
        <v>214</v>
      </c>
      <c r="K282" s="122" t="s">
        <v>326</v>
      </c>
      <c r="L282" s="203">
        <v>0.2</v>
      </c>
      <c r="M282" s="203" t="s">
        <v>627</v>
      </c>
      <c r="N282" s="145" t="s">
        <v>368</v>
      </c>
      <c r="O282" s="145" t="s">
        <v>369</v>
      </c>
      <c r="P282" s="123" t="s">
        <v>207</v>
      </c>
      <c r="Q282" s="146">
        <v>0.19</v>
      </c>
      <c r="R282" s="121" t="s">
        <v>198</v>
      </c>
      <c r="S282" s="146">
        <v>0.2</v>
      </c>
      <c r="T282" s="121" t="s">
        <v>198</v>
      </c>
      <c r="U282" s="146">
        <v>0.46</v>
      </c>
      <c r="V282" s="147" t="s">
        <v>251</v>
      </c>
      <c r="W282" s="146">
        <v>0.31</v>
      </c>
      <c r="X282" s="147" t="s">
        <v>251</v>
      </c>
      <c r="Y282" s="146">
        <v>0.13</v>
      </c>
      <c r="Z282" s="121" t="s">
        <v>198</v>
      </c>
      <c r="AA282" s="146">
        <v>0.18</v>
      </c>
      <c r="AB282" s="121" t="s">
        <v>198</v>
      </c>
      <c r="AC282" s="146">
        <v>0.21</v>
      </c>
      <c r="AD282" s="121" t="s">
        <v>251</v>
      </c>
      <c r="AE282" s="146">
        <v>0.39</v>
      </c>
      <c r="AF282" s="147" t="s">
        <v>251</v>
      </c>
      <c r="AG282" s="146">
        <v>0.14000000000000001</v>
      </c>
      <c r="AH282" s="121" t="s">
        <v>198</v>
      </c>
      <c r="AI282" s="146">
        <v>0.18</v>
      </c>
      <c r="AJ282" s="121" t="s">
        <v>198</v>
      </c>
      <c r="AK282" s="146">
        <v>0.24</v>
      </c>
      <c r="AL282" s="147" t="s">
        <v>251</v>
      </c>
      <c r="AM282" s="146">
        <v>0.23</v>
      </c>
      <c r="AN282" s="121" t="s">
        <v>251</v>
      </c>
      <c r="AO282" s="146">
        <v>0.22</v>
      </c>
      <c r="AP282" s="121" t="s">
        <v>251</v>
      </c>
      <c r="AQ282" s="146">
        <v>0.04</v>
      </c>
      <c r="AR282" s="121" t="s">
        <v>198</v>
      </c>
      <c r="AS282" s="126">
        <v>0.11</v>
      </c>
      <c r="AT282" s="121" t="s">
        <v>198</v>
      </c>
      <c r="AU282" s="126">
        <v>0.1</v>
      </c>
      <c r="AV282" s="121" t="s">
        <v>198</v>
      </c>
      <c r="AW282" s="126">
        <v>0.37</v>
      </c>
      <c r="AX282" s="121" t="s">
        <v>251</v>
      </c>
      <c r="AY282" s="126">
        <v>0.52</v>
      </c>
      <c r="AZ282" s="121" t="s">
        <v>251</v>
      </c>
      <c r="BA282" s="126">
        <v>0.52</v>
      </c>
      <c r="BB282" s="121" t="s">
        <v>251</v>
      </c>
      <c r="BC282" s="126">
        <v>0.17</v>
      </c>
      <c r="BD282" s="121" t="s">
        <v>198</v>
      </c>
      <c r="BE282" s="128">
        <v>0.1</v>
      </c>
      <c r="BF282" s="121" t="s">
        <v>198</v>
      </c>
      <c r="BG282" s="126">
        <v>0.45</v>
      </c>
      <c r="BH282" s="121" t="s">
        <v>251</v>
      </c>
      <c r="BI282" s="126">
        <v>0.45</v>
      </c>
      <c r="BJ282" s="121" t="s">
        <v>251</v>
      </c>
      <c r="BK282" s="126">
        <v>0.13</v>
      </c>
      <c r="BL282" s="174" t="str">
        <f>IF(BK282="NA","NA",IF(BK282="Not Reported","Not Reported",IF(BK282&gt;$L$282,"Not Met","Met")))</f>
        <v>Met</v>
      </c>
      <c r="BM282" s="262">
        <v>0.15</v>
      </c>
      <c r="BN282" s="162" t="str">
        <f>IF(BM282="NA","NA",IF(BM282="Not Reported","Not Reported",IF(BM282&gt;$L$282,"Not Met","Met")))</f>
        <v>Met</v>
      </c>
      <c r="BO282" s="315">
        <v>0.12</v>
      </c>
      <c r="BP282" s="162" t="s">
        <v>198</v>
      </c>
      <c r="BQ282" s="310">
        <v>0.12</v>
      </c>
      <c r="BR282" s="162" t="s">
        <v>198</v>
      </c>
      <c r="BS282" s="315">
        <v>0.12</v>
      </c>
      <c r="BT282" s="162" t="str">
        <f>IF(BS282="NA","NA",IF(BS282="Not Reported","Not Reported",IF(BS282&gt;$L$282,"Not Met","Met")))</f>
        <v>Met</v>
      </c>
      <c r="BU282" s="315">
        <v>0.12</v>
      </c>
      <c r="BV282" s="162" t="str">
        <f>IF(BU282="NA","NA",IF(BU282="Not Reported","Not Reported",IF(BU282&gt;$L$282,"Not Met","Met")))</f>
        <v>Met</v>
      </c>
    </row>
    <row r="283" spans="1:74" x14ac:dyDescent="0.25">
      <c r="A283" s="121">
        <v>282</v>
      </c>
      <c r="B283" s="122" t="s">
        <v>27</v>
      </c>
      <c r="C283" s="122" t="s">
        <v>106</v>
      </c>
      <c r="D283" s="123" t="s">
        <v>116</v>
      </c>
      <c r="E283" s="123" t="s">
        <v>894</v>
      </c>
      <c r="F283" s="123" t="s">
        <v>300</v>
      </c>
      <c r="G283" s="122" t="s">
        <v>273</v>
      </c>
      <c r="H283" s="122" t="s">
        <v>192</v>
      </c>
      <c r="I283" s="124" t="s">
        <v>284</v>
      </c>
      <c r="J283" s="124" t="s">
        <v>285</v>
      </c>
      <c r="K283" s="145" t="s">
        <v>284</v>
      </c>
      <c r="L283" s="203">
        <v>0.7</v>
      </c>
      <c r="M283" s="203" t="s">
        <v>750</v>
      </c>
      <c r="N283" s="145" t="s">
        <v>287</v>
      </c>
      <c r="O283" s="145" t="s">
        <v>288</v>
      </c>
      <c r="P283" s="123" t="s">
        <v>207</v>
      </c>
      <c r="Q283" s="142">
        <v>0.73</v>
      </c>
      <c r="R283" s="121" t="s">
        <v>198</v>
      </c>
      <c r="S283" s="142">
        <v>0.83</v>
      </c>
      <c r="T283" s="121" t="s">
        <v>198</v>
      </c>
      <c r="U283" s="146">
        <v>0.81</v>
      </c>
      <c r="V283" s="121" t="s">
        <v>198</v>
      </c>
      <c r="W283" s="146">
        <v>0.88</v>
      </c>
      <c r="X283" s="121" t="s">
        <v>198</v>
      </c>
      <c r="Y283" s="146">
        <v>0.88</v>
      </c>
      <c r="Z283" s="121" t="s">
        <v>198</v>
      </c>
      <c r="AA283" s="146">
        <v>0.76</v>
      </c>
      <c r="AB283" s="121" t="s">
        <v>198</v>
      </c>
      <c r="AC283" s="146">
        <v>0.84</v>
      </c>
      <c r="AD283" s="121" t="s">
        <v>198</v>
      </c>
      <c r="AE283" s="146">
        <v>0.77</v>
      </c>
      <c r="AF283" s="121" t="s">
        <v>198</v>
      </c>
      <c r="AG283" s="146">
        <v>0.76</v>
      </c>
      <c r="AH283" s="121" t="s">
        <v>198</v>
      </c>
      <c r="AI283" s="146">
        <v>0.87</v>
      </c>
      <c r="AJ283" s="121" t="s">
        <v>198</v>
      </c>
      <c r="AK283" s="146">
        <v>0.8</v>
      </c>
      <c r="AL283" s="121" t="s">
        <v>198</v>
      </c>
      <c r="AM283" s="146">
        <v>0.87</v>
      </c>
      <c r="AN283" s="121" t="s">
        <v>198</v>
      </c>
      <c r="AO283" s="146">
        <v>0.96</v>
      </c>
      <c r="AP283" s="121" t="s">
        <v>198</v>
      </c>
      <c r="AQ283" s="146">
        <v>0.73</v>
      </c>
      <c r="AR283" s="121" t="s">
        <v>198</v>
      </c>
      <c r="AS283" s="126">
        <v>0.85</v>
      </c>
      <c r="AT283" s="121" t="s">
        <v>198</v>
      </c>
      <c r="AU283" s="126">
        <v>0.83</v>
      </c>
      <c r="AV283" s="121" t="s">
        <v>198</v>
      </c>
      <c r="AW283" s="126">
        <v>0.87</v>
      </c>
      <c r="AX283" s="121" t="s">
        <v>198</v>
      </c>
      <c r="AY283" s="126">
        <v>0.83</v>
      </c>
      <c r="AZ283" s="121" t="s">
        <v>198</v>
      </c>
      <c r="BA283" s="126">
        <v>0.84</v>
      </c>
      <c r="BB283" s="121" t="s">
        <v>198</v>
      </c>
      <c r="BC283" s="126">
        <v>0.77</v>
      </c>
      <c r="BD283" s="121" t="s">
        <v>198</v>
      </c>
      <c r="BE283" s="128">
        <v>0.88</v>
      </c>
      <c r="BF283" s="121" t="s">
        <v>198</v>
      </c>
      <c r="BG283" s="126">
        <v>0.86</v>
      </c>
      <c r="BH283" s="121" t="s">
        <v>198</v>
      </c>
      <c r="BI283" s="126">
        <v>0.84</v>
      </c>
      <c r="BJ283" s="121" t="s">
        <v>198</v>
      </c>
      <c r="BK283" s="126">
        <v>0.93</v>
      </c>
      <c r="BL283" s="128" t="str">
        <f>IF(BK283="NA","NA",IF(BK283="Not Reported","Not Reported",IF(BK283&lt;$L$283,"Not Met","Met")))</f>
        <v>Met</v>
      </c>
      <c r="BM283" s="262">
        <v>0.88</v>
      </c>
      <c r="BN283" s="128" t="str">
        <f>IF(BM283="NA","NA",IF(BM283="Not Reported","Not Reported",IF(BM283&lt;$L$283,"Not Met","Met")))</f>
        <v>Met</v>
      </c>
      <c r="BO283" s="315">
        <v>0.85</v>
      </c>
      <c r="BP283" s="128" t="s">
        <v>198</v>
      </c>
      <c r="BQ283" s="310">
        <v>0.87</v>
      </c>
      <c r="BR283" s="128" t="s">
        <v>198</v>
      </c>
      <c r="BS283" s="315">
        <v>0.85</v>
      </c>
      <c r="BT283" s="128" t="str">
        <f>IF(BS283="NA","NA",IF(BS283="Not Reported","Not Reported",IF(BS283&lt;$L$283,"Not Met","Met")))</f>
        <v>Met</v>
      </c>
      <c r="BU283" s="315">
        <v>0.86</v>
      </c>
      <c r="BV283" s="128" t="str">
        <f>IF(BU283="NA","NA",IF(BU283="Not Reported","Not Reported",IF(BU283&lt;$L$283,"Not Met","Met")))</f>
        <v>Met</v>
      </c>
    </row>
    <row r="284" spans="1:74" x14ac:dyDescent="0.25">
      <c r="A284" s="121">
        <v>283</v>
      </c>
      <c r="B284" s="122" t="s">
        <v>27</v>
      </c>
      <c r="C284" s="122" t="s">
        <v>106</v>
      </c>
      <c r="D284" s="123" t="s">
        <v>116</v>
      </c>
      <c r="E284" s="123" t="s">
        <v>894</v>
      </c>
      <c r="F284" s="123" t="s">
        <v>300</v>
      </c>
      <c r="G284" s="122" t="s">
        <v>273</v>
      </c>
      <c r="H284" s="122" t="s">
        <v>192</v>
      </c>
      <c r="I284" s="124" t="s">
        <v>289</v>
      </c>
      <c r="J284" s="124" t="s">
        <v>285</v>
      </c>
      <c r="K284" s="145" t="s">
        <v>289</v>
      </c>
      <c r="L284" s="203">
        <v>0.12</v>
      </c>
      <c r="M284" s="203" t="s">
        <v>751</v>
      </c>
      <c r="N284" s="145" t="s">
        <v>290</v>
      </c>
      <c r="O284" s="145" t="s">
        <v>291</v>
      </c>
      <c r="P284" s="123" t="s">
        <v>207</v>
      </c>
      <c r="Q284" s="146">
        <v>0.1</v>
      </c>
      <c r="R284" s="147" t="s">
        <v>251</v>
      </c>
      <c r="S284" s="146">
        <v>0.1</v>
      </c>
      <c r="T284" s="147" t="s">
        <v>251</v>
      </c>
      <c r="U284" s="146">
        <v>7.0000000000000007E-2</v>
      </c>
      <c r="V284" s="147" t="s">
        <v>251</v>
      </c>
      <c r="W284" s="146">
        <v>0.08</v>
      </c>
      <c r="X284" s="147" t="s">
        <v>251</v>
      </c>
      <c r="Y284" s="146">
        <v>0.12</v>
      </c>
      <c r="Z284" s="121" t="s">
        <v>198</v>
      </c>
      <c r="AA284" s="146">
        <v>0.09</v>
      </c>
      <c r="AB284" s="147" t="s">
        <v>251</v>
      </c>
      <c r="AC284" s="146">
        <v>0.1</v>
      </c>
      <c r="AD284" s="121" t="s">
        <v>251</v>
      </c>
      <c r="AE284" s="146">
        <v>0.09</v>
      </c>
      <c r="AF284" s="147" t="s">
        <v>251</v>
      </c>
      <c r="AG284" s="146">
        <v>0.12</v>
      </c>
      <c r="AH284" s="121" t="s">
        <v>198</v>
      </c>
      <c r="AI284" s="146">
        <v>0.19</v>
      </c>
      <c r="AJ284" s="121" t="s">
        <v>198</v>
      </c>
      <c r="AK284" s="146">
        <v>0.13</v>
      </c>
      <c r="AL284" s="121" t="s">
        <v>198</v>
      </c>
      <c r="AM284" s="146">
        <v>0.2</v>
      </c>
      <c r="AN284" s="121" t="s">
        <v>198</v>
      </c>
      <c r="AO284" s="146">
        <v>0.15</v>
      </c>
      <c r="AP284" s="121" t="s">
        <v>198</v>
      </c>
      <c r="AQ284" s="146">
        <v>0.12</v>
      </c>
      <c r="AR284" s="121" t="s">
        <v>198</v>
      </c>
      <c r="AS284" s="146">
        <v>0.16</v>
      </c>
      <c r="AT284" s="121" t="s">
        <v>198</v>
      </c>
      <c r="AU284" s="126">
        <v>7.0000000000000007E-2</v>
      </c>
      <c r="AV284" s="121" t="s">
        <v>251</v>
      </c>
      <c r="AW284" s="126">
        <v>0.13</v>
      </c>
      <c r="AX284" s="121" t="s">
        <v>198</v>
      </c>
      <c r="AY284" s="126">
        <v>0.13</v>
      </c>
      <c r="AZ284" s="121" t="s">
        <v>198</v>
      </c>
      <c r="BA284" s="126">
        <v>0.11</v>
      </c>
      <c r="BB284" s="121" t="s">
        <v>251</v>
      </c>
      <c r="BC284" s="126">
        <v>0.22</v>
      </c>
      <c r="BD284" s="121" t="s">
        <v>198</v>
      </c>
      <c r="BE284" s="128">
        <v>0.2</v>
      </c>
      <c r="BF284" s="121" t="s">
        <v>198</v>
      </c>
      <c r="BG284" s="126">
        <v>0.14000000000000001</v>
      </c>
      <c r="BH284" s="121" t="s">
        <v>198</v>
      </c>
      <c r="BI284" s="126">
        <v>0.19</v>
      </c>
      <c r="BJ284" s="121" t="s">
        <v>198</v>
      </c>
      <c r="BK284" s="126">
        <v>0.1</v>
      </c>
      <c r="BL284" s="128" t="str">
        <f>IF(BK284="NA","NA",IF(BK284="Not Reported","Not Reported",IF(BK284&lt;$L$284,"Not Met","Met")))</f>
        <v>Not Met</v>
      </c>
      <c r="BM284" s="262">
        <v>0.16</v>
      </c>
      <c r="BN284" s="128" t="str">
        <f>IF(BM284="NA","NA",IF(BM284="Not Reported","Not Reported",IF(BM284&lt;$L$284,"Not Met","Met")))</f>
        <v>Met</v>
      </c>
      <c r="BO284" s="315">
        <v>0.18</v>
      </c>
      <c r="BP284" s="128" t="s">
        <v>198</v>
      </c>
      <c r="BQ284" s="310">
        <v>0.15</v>
      </c>
      <c r="BR284" s="128" t="s">
        <v>198</v>
      </c>
      <c r="BS284" s="315">
        <v>0.23</v>
      </c>
      <c r="BT284" s="128" t="str">
        <f>IF(BS284="NA","NA",IF(BS284="Not Reported","Not Reported",IF(BS284&lt;$L$284,"Not Met","Met")))</f>
        <v>Met</v>
      </c>
      <c r="BU284" s="315">
        <v>0.16</v>
      </c>
      <c r="BV284" s="128" t="str">
        <f>IF(BU284="NA","NA",IF(BU284="Not Reported","Not Reported",IF(BU284&lt;$L$284,"Not Met","Met")))</f>
        <v>Met</v>
      </c>
    </row>
    <row r="285" spans="1:74" x14ac:dyDescent="0.25">
      <c r="A285" s="121">
        <v>284</v>
      </c>
      <c r="B285" s="122" t="s">
        <v>27</v>
      </c>
      <c r="C285" s="122" t="s">
        <v>106</v>
      </c>
      <c r="D285" s="123" t="s">
        <v>116</v>
      </c>
      <c r="E285" s="123" t="s">
        <v>894</v>
      </c>
      <c r="F285" s="123" t="s">
        <v>300</v>
      </c>
      <c r="G285" s="122" t="s">
        <v>273</v>
      </c>
      <c r="H285" s="122" t="s">
        <v>192</v>
      </c>
      <c r="I285" s="124" t="s">
        <v>292</v>
      </c>
      <c r="J285" s="124" t="s">
        <v>293</v>
      </c>
      <c r="K285" s="122" t="s">
        <v>292</v>
      </c>
      <c r="L285" s="203">
        <v>0.2</v>
      </c>
      <c r="M285" s="199" t="s">
        <v>627</v>
      </c>
      <c r="N285" s="145" t="s">
        <v>752</v>
      </c>
      <c r="O285" s="145" t="s">
        <v>611</v>
      </c>
      <c r="P285" s="123" t="s">
        <v>207</v>
      </c>
      <c r="Q285" s="142">
        <v>0.27</v>
      </c>
      <c r="R285" s="147" t="s">
        <v>251</v>
      </c>
      <c r="S285" s="142">
        <v>0.17</v>
      </c>
      <c r="T285" s="121" t="s">
        <v>198</v>
      </c>
      <c r="U285" s="146">
        <v>0.44</v>
      </c>
      <c r="V285" s="147" t="s">
        <v>251</v>
      </c>
      <c r="W285" s="146">
        <v>0.35</v>
      </c>
      <c r="X285" s="147" t="s">
        <v>251</v>
      </c>
      <c r="Y285" s="146">
        <v>0.23</v>
      </c>
      <c r="Z285" s="121" t="s">
        <v>251</v>
      </c>
      <c r="AA285" s="146">
        <v>0.11</v>
      </c>
      <c r="AB285" s="121" t="s">
        <v>198</v>
      </c>
      <c r="AC285" s="146">
        <v>0.23</v>
      </c>
      <c r="AD285" s="121" t="s">
        <v>251</v>
      </c>
      <c r="AE285" s="146">
        <v>0.28999999999999998</v>
      </c>
      <c r="AF285" s="147" t="s">
        <v>251</v>
      </c>
      <c r="AG285" s="146">
        <v>0.1</v>
      </c>
      <c r="AH285" s="121" t="s">
        <v>198</v>
      </c>
      <c r="AI285" s="146">
        <v>0.22</v>
      </c>
      <c r="AJ285" s="147" t="s">
        <v>251</v>
      </c>
      <c r="AK285" s="146">
        <v>0.2</v>
      </c>
      <c r="AL285" s="121" t="s">
        <v>198</v>
      </c>
      <c r="AM285" s="146">
        <v>0.22</v>
      </c>
      <c r="AN285" s="121" t="s">
        <v>251</v>
      </c>
      <c r="AO285" s="146">
        <v>0.33</v>
      </c>
      <c r="AP285" s="121" t="s">
        <v>251</v>
      </c>
      <c r="AQ285" s="146">
        <v>0.42</v>
      </c>
      <c r="AR285" s="121" t="s">
        <v>251</v>
      </c>
      <c r="AS285" s="126">
        <v>0.32</v>
      </c>
      <c r="AT285" s="121" t="s">
        <v>251</v>
      </c>
      <c r="AU285" s="126">
        <v>0.08</v>
      </c>
      <c r="AV285" s="121" t="s">
        <v>198</v>
      </c>
      <c r="AW285" s="126">
        <v>0.15</v>
      </c>
      <c r="AX285" s="121" t="s">
        <v>198</v>
      </c>
      <c r="AY285" s="126">
        <v>0.1</v>
      </c>
      <c r="AZ285" s="121" t="s">
        <v>198</v>
      </c>
      <c r="BA285" s="126">
        <v>0.11</v>
      </c>
      <c r="BB285" s="121" t="s">
        <v>198</v>
      </c>
      <c r="BC285" s="126">
        <v>0.13</v>
      </c>
      <c r="BD285" s="121" t="s">
        <v>198</v>
      </c>
      <c r="BE285" s="128">
        <v>0.26</v>
      </c>
      <c r="BF285" s="121" t="s">
        <v>251</v>
      </c>
      <c r="BG285" s="126">
        <v>0.12</v>
      </c>
      <c r="BH285" s="121" t="s">
        <v>198</v>
      </c>
      <c r="BI285" s="126">
        <v>0.17</v>
      </c>
      <c r="BJ285" s="121" t="s">
        <v>198</v>
      </c>
      <c r="BK285" s="126">
        <v>0.11</v>
      </c>
      <c r="BL285" s="128" t="str">
        <f>IF(BK285="NA","NA",IF(BK285="Not Reported","Not Reported",IF(BK285&gt;$L$285,"Not Met","Met")))</f>
        <v>Met</v>
      </c>
      <c r="BM285" s="262">
        <v>0.56000000000000005</v>
      </c>
      <c r="BN285" s="128" t="str">
        <f>IF(BM285="NA","NA",IF(BM285="Not Reported","Not Reported",IF(BM285&gt;$L$285,"Not Met","Met")))</f>
        <v>Not Met</v>
      </c>
      <c r="BO285" s="315">
        <v>0.23</v>
      </c>
      <c r="BP285" s="128" t="s">
        <v>251</v>
      </c>
      <c r="BQ285" s="310">
        <v>0.3</v>
      </c>
      <c r="BR285" s="128" t="s">
        <v>251</v>
      </c>
      <c r="BS285" s="315">
        <v>0.56999999999999995</v>
      </c>
      <c r="BT285" s="128" t="str">
        <f>IF(BS285="NA","NA",IF(BS285="Not Reported","Not Reported",IF(BS285&gt;$L$285,"Not Met","Met")))</f>
        <v>Not Met</v>
      </c>
      <c r="BU285" s="315">
        <v>0.23</v>
      </c>
      <c r="BV285" s="128" t="str">
        <f>IF(BU285="NA","NA",IF(BU285="Not Reported","Not Reported",IF(BU285&gt;$L$285,"Not Met","Met")))</f>
        <v>Not Met</v>
      </c>
    </row>
    <row r="286" spans="1:74" x14ac:dyDescent="0.25">
      <c r="A286" s="121">
        <v>285</v>
      </c>
      <c r="B286" s="122" t="s">
        <v>27</v>
      </c>
      <c r="C286" s="122" t="s">
        <v>106</v>
      </c>
      <c r="D286" s="123" t="s">
        <v>116</v>
      </c>
      <c r="E286" s="123" t="s">
        <v>894</v>
      </c>
      <c r="F286" s="123" t="s">
        <v>300</v>
      </c>
      <c r="G286" s="122" t="s">
        <v>273</v>
      </c>
      <c r="H286" s="122" t="s">
        <v>192</v>
      </c>
      <c r="I286" s="129" t="s">
        <v>296</v>
      </c>
      <c r="J286" s="129" t="s">
        <v>296</v>
      </c>
      <c r="K286" s="145" t="s">
        <v>296</v>
      </c>
      <c r="L286" s="203">
        <v>0.7</v>
      </c>
      <c r="M286" s="199" t="s">
        <v>750</v>
      </c>
      <c r="N286" s="145" t="s">
        <v>297</v>
      </c>
      <c r="O286" s="145" t="s">
        <v>298</v>
      </c>
      <c r="P286" s="123" t="s">
        <v>207</v>
      </c>
      <c r="Q286" s="142">
        <v>0.7</v>
      </c>
      <c r="R286" s="121" t="s">
        <v>198</v>
      </c>
      <c r="S286" s="142">
        <v>0.7</v>
      </c>
      <c r="T286" s="121" t="s">
        <v>198</v>
      </c>
      <c r="U286" s="146">
        <v>0.43</v>
      </c>
      <c r="V286" s="147" t="s">
        <v>251</v>
      </c>
      <c r="W286" s="146">
        <v>0.78</v>
      </c>
      <c r="X286" s="121" t="s">
        <v>198</v>
      </c>
      <c r="Y286" s="146">
        <v>0.74</v>
      </c>
      <c r="Z286" s="121" t="s">
        <v>198</v>
      </c>
      <c r="AA286" s="146">
        <v>1.04</v>
      </c>
      <c r="AB286" s="121" t="s">
        <v>198</v>
      </c>
      <c r="AC286" s="146">
        <v>0.85</v>
      </c>
      <c r="AD286" s="121" t="s">
        <v>198</v>
      </c>
      <c r="AE286" s="146">
        <v>0.43</v>
      </c>
      <c r="AF286" s="147" t="s">
        <v>251</v>
      </c>
      <c r="AG286" s="146">
        <v>0.74</v>
      </c>
      <c r="AH286" s="121" t="s">
        <v>198</v>
      </c>
      <c r="AI286" s="146">
        <v>0.91</v>
      </c>
      <c r="AJ286" s="121" t="s">
        <v>198</v>
      </c>
      <c r="AK286" s="146">
        <v>0.7</v>
      </c>
      <c r="AL286" s="121" t="s">
        <v>198</v>
      </c>
      <c r="AM286" s="146">
        <v>0.3</v>
      </c>
      <c r="AN286" s="121" t="s">
        <v>251</v>
      </c>
      <c r="AO286" s="146">
        <v>0.26</v>
      </c>
      <c r="AP286" s="121" t="s">
        <v>251</v>
      </c>
      <c r="AQ286" s="146">
        <v>0.3</v>
      </c>
      <c r="AR286" s="121" t="s">
        <v>251</v>
      </c>
      <c r="AS286" s="126">
        <v>0.28999999999999998</v>
      </c>
      <c r="AT286" s="121" t="s">
        <v>251</v>
      </c>
      <c r="AU286" s="126">
        <v>0.48</v>
      </c>
      <c r="AV286" s="121" t="s">
        <v>251</v>
      </c>
      <c r="AW286" s="126">
        <v>0.48</v>
      </c>
      <c r="AX286" s="121" t="s">
        <v>251</v>
      </c>
      <c r="AY286" s="126">
        <v>0.39</v>
      </c>
      <c r="AZ286" s="121" t="s">
        <v>251</v>
      </c>
      <c r="BA286" s="126">
        <v>0.45</v>
      </c>
      <c r="BB286" s="121" t="s">
        <v>251</v>
      </c>
      <c r="BC286" s="126">
        <v>0.69</v>
      </c>
      <c r="BD286" s="121" t="s">
        <v>251</v>
      </c>
      <c r="BE286" s="128">
        <v>0.74</v>
      </c>
      <c r="BF286" s="121" t="s">
        <v>198</v>
      </c>
      <c r="BG286" s="126">
        <v>0.65</v>
      </c>
      <c r="BH286" s="121" t="s">
        <v>251</v>
      </c>
      <c r="BI286" s="126">
        <v>0.7</v>
      </c>
      <c r="BJ286" s="121" t="s">
        <v>198</v>
      </c>
      <c r="BK286" s="126">
        <v>0.35</v>
      </c>
      <c r="BL286" s="128" t="str">
        <f>IF(BK286="NA","NA",IF(BK286="Not Reported","Not Reported",IF(BK286&lt;$L$286,"Not Met","Met")))</f>
        <v>Not Met</v>
      </c>
      <c r="BM286" s="262">
        <v>0.26</v>
      </c>
      <c r="BN286" s="128" t="str">
        <f>IF(BM286="NA","NA",IF(BM286="Not Reported","Not Reported",IF(BM286&lt;$L$286,"Not Met","Met")))</f>
        <v>Not Met</v>
      </c>
      <c r="BO286" s="315">
        <v>0.56999999999999995</v>
      </c>
      <c r="BP286" s="128" t="s">
        <v>251</v>
      </c>
      <c r="BQ286" s="310">
        <v>0.39</v>
      </c>
      <c r="BR286" s="128" t="s">
        <v>251</v>
      </c>
      <c r="BS286" s="315">
        <v>0.13</v>
      </c>
      <c r="BT286" s="128" t="str">
        <f>IF(BS286="NA","NA",IF(BS286="Not Reported","Not Reported",IF(BS286&lt;$L$286,"Not Met","Met")))</f>
        <v>Not Met</v>
      </c>
      <c r="BU286" s="315">
        <v>0.47</v>
      </c>
      <c r="BV286" s="128" t="str">
        <f>IF(BU286="NA","NA",IF(BU286="Not Reported","Not Reported",IF(BU286&lt;$L$286,"Not Met","Met")))</f>
        <v>Not Met</v>
      </c>
    </row>
    <row r="287" spans="1:74" x14ac:dyDescent="0.25">
      <c r="A287" s="121">
        <v>286</v>
      </c>
      <c r="B287" s="122" t="s">
        <v>27</v>
      </c>
      <c r="C287" s="122" t="s">
        <v>106</v>
      </c>
      <c r="D287" s="123" t="s">
        <v>116</v>
      </c>
      <c r="E287" s="123" t="s">
        <v>894</v>
      </c>
      <c r="F287" s="123" t="s">
        <v>300</v>
      </c>
      <c r="G287" s="122" t="s">
        <v>273</v>
      </c>
      <c r="H287" s="122" t="s">
        <v>192</v>
      </c>
      <c r="I287" s="129" t="s">
        <v>262</v>
      </c>
      <c r="J287" s="129" t="s">
        <v>263</v>
      </c>
      <c r="K287" s="123" t="s">
        <v>264</v>
      </c>
      <c r="L287" s="146">
        <v>0.8</v>
      </c>
      <c r="M287" s="147" t="s">
        <v>713</v>
      </c>
      <c r="N287" s="145" t="s">
        <v>753</v>
      </c>
      <c r="O287" s="145" t="s">
        <v>754</v>
      </c>
      <c r="P287" s="123" t="s">
        <v>207</v>
      </c>
      <c r="Q287" s="146">
        <v>0.87</v>
      </c>
      <c r="R287" s="121" t="s">
        <v>198</v>
      </c>
      <c r="S287" s="146">
        <v>0.92</v>
      </c>
      <c r="T287" s="121" t="s">
        <v>198</v>
      </c>
      <c r="U287" s="146">
        <v>0.98</v>
      </c>
      <c r="V287" s="121" t="s">
        <v>198</v>
      </c>
      <c r="W287" s="146">
        <v>0.89</v>
      </c>
      <c r="X287" s="121" t="s">
        <v>198</v>
      </c>
      <c r="Y287" s="146">
        <v>0.97</v>
      </c>
      <c r="Z287" s="121" t="s">
        <v>198</v>
      </c>
      <c r="AA287" s="146">
        <v>0.91</v>
      </c>
      <c r="AB287" s="121" t="s">
        <v>198</v>
      </c>
      <c r="AC287" s="146">
        <v>0.92</v>
      </c>
      <c r="AD287" s="121" t="s">
        <v>198</v>
      </c>
      <c r="AE287" s="146">
        <v>0.86</v>
      </c>
      <c r="AF287" s="121" t="s">
        <v>198</v>
      </c>
      <c r="AG287" s="146">
        <v>0.85</v>
      </c>
      <c r="AH287" s="121" t="s">
        <v>198</v>
      </c>
      <c r="AI287" s="146">
        <v>0.86</v>
      </c>
      <c r="AJ287" s="121" t="s">
        <v>198</v>
      </c>
      <c r="AK287" s="146">
        <v>0.86</v>
      </c>
      <c r="AL287" s="121" t="s">
        <v>198</v>
      </c>
      <c r="AM287" s="146" t="s">
        <v>755</v>
      </c>
      <c r="AN287" s="121" t="s">
        <v>61</v>
      </c>
      <c r="AO287" s="146" t="s">
        <v>755</v>
      </c>
      <c r="AP287" s="146" t="s">
        <v>755</v>
      </c>
      <c r="AQ287" s="146" t="s">
        <v>6</v>
      </c>
      <c r="AR287" s="121" t="s">
        <v>61</v>
      </c>
      <c r="AS287" s="146" t="s">
        <v>6</v>
      </c>
      <c r="AT287" s="146" t="s">
        <v>6</v>
      </c>
      <c r="AU287" s="147" t="s">
        <v>6</v>
      </c>
      <c r="AV287" s="147" t="s">
        <v>6</v>
      </c>
      <c r="AW287" s="147" t="s">
        <v>6</v>
      </c>
      <c r="AX287" s="121" t="s">
        <v>61</v>
      </c>
      <c r="AY287" s="147" t="s">
        <v>6</v>
      </c>
      <c r="AZ287" s="121" t="s">
        <v>61</v>
      </c>
      <c r="BA287" s="147" t="s">
        <v>6</v>
      </c>
      <c r="BB287" s="121" t="s">
        <v>61</v>
      </c>
      <c r="BC287" s="121" t="s">
        <v>61</v>
      </c>
      <c r="BD287" s="121" t="s">
        <v>6</v>
      </c>
      <c r="BE287" s="128" t="s">
        <v>6</v>
      </c>
      <c r="BF287" s="121" t="s">
        <v>61</v>
      </c>
      <c r="BG287" s="121" t="s">
        <v>61</v>
      </c>
      <c r="BH287" s="121" t="s">
        <v>61</v>
      </c>
      <c r="BI287" s="121" t="s">
        <v>61</v>
      </c>
      <c r="BJ287" s="121" t="s">
        <v>61</v>
      </c>
      <c r="BK287" s="121" t="s">
        <v>323</v>
      </c>
      <c r="BL287" s="121" t="str">
        <f>IF(BK287="NA","NA",IF(BK287="Not Reported","Not Reported",IF(BK287&lt;$L$287,"Not Met","Met")))</f>
        <v>Met</v>
      </c>
      <c r="BM287" s="260" t="s">
        <v>11</v>
      </c>
      <c r="BN287" s="121" t="str">
        <f>IF(BM287="NA","NA",IF(BM287="Not Reported","Not Reported",IF(BM287&lt;$L$287,"Not Met","Met")))</f>
        <v>NA</v>
      </c>
      <c r="BO287" s="13" t="s">
        <v>11</v>
      </c>
      <c r="BP287" s="121" t="s">
        <v>11</v>
      </c>
      <c r="BQ287" s="13" t="s">
        <v>11</v>
      </c>
      <c r="BR287" s="121" t="s">
        <v>11</v>
      </c>
      <c r="BS287" s="13" t="s">
        <v>11</v>
      </c>
      <c r="BT287" s="121" t="str">
        <f>IF(BS287="NA","NA",IF(BS287="Not Reported","Not Reported",IF(BS287&lt;$L$287,"Not Met","Met")))</f>
        <v>NA</v>
      </c>
      <c r="BU287" s="13" t="s">
        <v>323</v>
      </c>
      <c r="BV287" s="121" t="str">
        <f>IF(BU287="NA","NA",IF(BU287="Not Reported","Not Reported",IF(BU287&lt;$L$287,"Not Met","Met")))</f>
        <v>Met</v>
      </c>
    </row>
    <row r="288" spans="1:74" x14ac:dyDescent="0.25">
      <c r="A288" s="121">
        <v>287</v>
      </c>
      <c r="B288" s="122" t="s">
        <v>42</v>
      </c>
      <c r="C288" s="122" t="s">
        <v>903</v>
      </c>
      <c r="D288" s="123" t="s">
        <v>111</v>
      </c>
      <c r="E288" s="123" t="s">
        <v>899</v>
      </c>
      <c r="F288" s="123" t="s">
        <v>300</v>
      </c>
      <c r="G288" s="122" t="s">
        <v>273</v>
      </c>
      <c r="H288" s="122" t="s">
        <v>192</v>
      </c>
      <c r="I288" s="123" t="s">
        <v>296</v>
      </c>
      <c r="J288" s="123" t="s">
        <v>296</v>
      </c>
      <c r="K288" s="145" t="s">
        <v>296</v>
      </c>
      <c r="L288" s="146">
        <v>0.95</v>
      </c>
      <c r="M288" s="146">
        <v>0.95</v>
      </c>
      <c r="N288" s="122" t="s">
        <v>352</v>
      </c>
      <c r="O288" s="122" t="s">
        <v>352</v>
      </c>
      <c r="P288" s="123" t="s">
        <v>207</v>
      </c>
      <c r="Q288" s="146">
        <v>1</v>
      </c>
      <c r="R288" s="121" t="s">
        <v>198</v>
      </c>
      <c r="S288" s="146" t="s">
        <v>11</v>
      </c>
      <c r="T288" s="128" t="s">
        <v>11</v>
      </c>
      <c r="U288" s="146" t="s">
        <v>11</v>
      </c>
      <c r="V288" s="128" t="s">
        <v>11</v>
      </c>
      <c r="W288" s="146" t="s">
        <v>11</v>
      </c>
      <c r="X288" s="128" t="s">
        <v>11</v>
      </c>
      <c r="Y288" s="128" t="s">
        <v>323</v>
      </c>
      <c r="Z288" s="128" t="s">
        <v>323</v>
      </c>
      <c r="AA288" s="128" t="s">
        <v>11</v>
      </c>
      <c r="AB288" s="128" t="s">
        <v>11</v>
      </c>
      <c r="AC288" s="128" t="s">
        <v>11</v>
      </c>
      <c r="AD288" s="128" t="s">
        <v>11</v>
      </c>
      <c r="AE288" s="128" t="s">
        <v>11</v>
      </c>
      <c r="AF288" s="128" t="s">
        <v>11</v>
      </c>
      <c r="AG288" s="128" t="s">
        <v>11</v>
      </c>
      <c r="AH288" s="128" t="s">
        <v>11</v>
      </c>
      <c r="AI288" s="128" t="s">
        <v>323</v>
      </c>
      <c r="AJ288" s="128" t="s">
        <v>11</v>
      </c>
      <c r="AK288" s="128" t="s">
        <v>323</v>
      </c>
      <c r="AL288" s="128" t="s">
        <v>11</v>
      </c>
      <c r="AM288" s="128" t="s">
        <v>323</v>
      </c>
      <c r="AN288" s="128" t="s">
        <v>11</v>
      </c>
      <c r="AO288" s="128" t="s">
        <v>323</v>
      </c>
      <c r="AP288" s="128" t="s">
        <v>11</v>
      </c>
      <c r="AQ288" s="128" t="s">
        <v>323</v>
      </c>
      <c r="AR288" s="128" t="s">
        <v>11</v>
      </c>
      <c r="AS288" s="128" t="s">
        <v>323</v>
      </c>
      <c r="AT288" s="128" t="s">
        <v>11</v>
      </c>
      <c r="AU288" s="128" t="s">
        <v>323</v>
      </c>
      <c r="AV288" s="128" t="s">
        <v>11</v>
      </c>
      <c r="AW288" s="128" t="s">
        <v>323</v>
      </c>
      <c r="AX288" s="128" t="s">
        <v>11</v>
      </c>
      <c r="AY288" s="128" t="s">
        <v>323</v>
      </c>
      <c r="AZ288" s="128" t="s">
        <v>11</v>
      </c>
      <c r="BA288" s="128" t="s">
        <v>323</v>
      </c>
      <c r="BB288" s="128" t="s">
        <v>11</v>
      </c>
      <c r="BC288" s="127" t="s">
        <v>11</v>
      </c>
      <c r="BD288" s="128" t="s">
        <v>11</v>
      </c>
      <c r="BE288" s="127" t="s">
        <v>11</v>
      </c>
      <c r="BF288" s="128" t="s">
        <v>11</v>
      </c>
      <c r="BG288" s="127" t="s">
        <v>11</v>
      </c>
      <c r="BH288" s="128" t="s">
        <v>11</v>
      </c>
      <c r="BI288" s="127" t="s">
        <v>11</v>
      </c>
      <c r="BJ288" s="128" t="s">
        <v>11</v>
      </c>
      <c r="BK288" s="127" t="s">
        <v>11</v>
      </c>
      <c r="BL288" s="128" t="str">
        <f>IF(BK288="NA","NA",IF(BK288="Not Reported","Not Reported",IF(BK288&lt;$L$288,"Not Met","Met")))</f>
        <v>NA</v>
      </c>
      <c r="BM288" s="128" t="s">
        <v>11</v>
      </c>
      <c r="BN288" s="128" t="str">
        <f>IF(BM288="NA","NA",IF(BM288="Not Reported","Not Reported",IF(BM288&lt;$L$288,"Not Met","Met")))</f>
        <v>NA</v>
      </c>
      <c r="BO288" s="121" t="s">
        <v>11</v>
      </c>
      <c r="BP288" s="128" t="s">
        <v>11</v>
      </c>
      <c r="BQ288" s="121" t="s">
        <v>11</v>
      </c>
      <c r="BR288" s="128" t="s">
        <v>11</v>
      </c>
      <c r="BS288" s="338" t="s">
        <v>11</v>
      </c>
      <c r="BT288" s="128" t="str">
        <f>IF(BS288="NA","NA",IF(BS288="Not Reported","Not Reported",IF(BS288&lt;$L$288,"Not Met","Met")))</f>
        <v>NA</v>
      </c>
      <c r="BU288" s="338" t="s">
        <v>11</v>
      </c>
      <c r="BV288" s="128" t="str">
        <f>IF(BU288="NA","NA",IF(BU288="Not Reported","Not Reported",IF(BU288&lt;$L$288,"Not Met","Met")))</f>
        <v>NA</v>
      </c>
    </row>
    <row r="289" spans="1:74 16353:16362" x14ac:dyDescent="0.25">
      <c r="A289" s="121">
        <v>288</v>
      </c>
      <c r="B289" s="122" t="s">
        <v>42</v>
      </c>
      <c r="C289" s="122" t="s">
        <v>903</v>
      </c>
      <c r="D289" s="123" t="s">
        <v>111</v>
      </c>
      <c r="E289" s="123" t="s">
        <v>899</v>
      </c>
      <c r="F289" s="123" t="s">
        <v>300</v>
      </c>
      <c r="G289" s="122" t="s">
        <v>273</v>
      </c>
      <c r="H289" s="122" t="s">
        <v>192</v>
      </c>
      <c r="I289" s="124" t="s">
        <v>213</v>
      </c>
      <c r="J289" s="124" t="s">
        <v>214</v>
      </c>
      <c r="K289" s="129" t="s">
        <v>213</v>
      </c>
      <c r="L289" s="147">
        <v>30</v>
      </c>
      <c r="M289" s="147" t="s">
        <v>356</v>
      </c>
      <c r="N289" s="122" t="s">
        <v>567</v>
      </c>
      <c r="O289" s="122" t="s">
        <v>567</v>
      </c>
      <c r="P289" s="123" t="s">
        <v>207</v>
      </c>
      <c r="Q289" s="147" t="s">
        <v>330</v>
      </c>
      <c r="R289" s="147" t="s">
        <v>251</v>
      </c>
      <c r="S289" s="146" t="s">
        <v>11</v>
      </c>
      <c r="T289" s="128" t="s">
        <v>11</v>
      </c>
      <c r="U289" s="146" t="s">
        <v>11</v>
      </c>
      <c r="V289" s="128" t="s">
        <v>11</v>
      </c>
      <c r="W289" s="146" t="s">
        <v>11</v>
      </c>
      <c r="X289" s="128" t="s">
        <v>11</v>
      </c>
      <c r="Y289" s="128" t="s">
        <v>323</v>
      </c>
      <c r="Z289" s="128" t="s">
        <v>323</v>
      </c>
      <c r="AA289" s="128" t="s">
        <v>11</v>
      </c>
      <c r="AB289" s="128" t="s">
        <v>11</v>
      </c>
      <c r="AC289" s="128" t="s">
        <v>11</v>
      </c>
      <c r="AD289" s="128" t="s">
        <v>11</v>
      </c>
      <c r="AE289" s="128" t="s">
        <v>11</v>
      </c>
      <c r="AF289" s="128" t="s">
        <v>11</v>
      </c>
      <c r="AG289" s="128" t="s">
        <v>11</v>
      </c>
      <c r="AH289" s="128" t="s">
        <v>11</v>
      </c>
      <c r="AI289" s="128" t="s">
        <v>323</v>
      </c>
      <c r="AJ289" s="128" t="s">
        <v>11</v>
      </c>
      <c r="AK289" s="128" t="s">
        <v>323</v>
      </c>
      <c r="AL289" s="128" t="s">
        <v>11</v>
      </c>
      <c r="AM289" s="128" t="s">
        <v>323</v>
      </c>
      <c r="AN289" s="128" t="s">
        <v>11</v>
      </c>
      <c r="AO289" s="128" t="s">
        <v>323</v>
      </c>
      <c r="AP289" s="128" t="s">
        <v>11</v>
      </c>
      <c r="AQ289" s="128" t="s">
        <v>323</v>
      </c>
      <c r="AR289" s="128" t="s">
        <v>11</v>
      </c>
      <c r="AS289" s="128" t="s">
        <v>323</v>
      </c>
      <c r="AT289" s="128" t="s">
        <v>11</v>
      </c>
      <c r="AU289" s="128" t="s">
        <v>323</v>
      </c>
      <c r="AV289" s="128" t="s">
        <v>11</v>
      </c>
      <c r="AW289" s="128" t="s">
        <v>323</v>
      </c>
      <c r="AX289" s="128" t="s">
        <v>11</v>
      </c>
      <c r="AY289" s="128" t="s">
        <v>323</v>
      </c>
      <c r="AZ289" s="128" t="s">
        <v>11</v>
      </c>
      <c r="BA289" s="128" t="s">
        <v>323</v>
      </c>
      <c r="BB289" s="128" t="s">
        <v>11</v>
      </c>
      <c r="BC289" s="127" t="s">
        <v>11</v>
      </c>
      <c r="BD289" s="128" t="s">
        <v>11</v>
      </c>
      <c r="BE289" s="127" t="s">
        <v>11</v>
      </c>
      <c r="BF289" s="128" t="s">
        <v>11</v>
      </c>
      <c r="BG289" s="127" t="s">
        <v>11</v>
      </c>
      <c r="BH289" s="128" t="s">
        <v>11</v>
      </c>
      <c r="BI289" s="127" t="s">
        <v>11</v>
      </c>
      <c r="BJ289" s="128" t="s">
        <v>11</v>
      </c>
      <c r="BK289" s="127" t="s">
        <v>11</v>
      </c>
      <c r="BL289" s="121" t="str">
        <f>IF(BK289="NA","NA",IF(BK289="Not Reported","Not Reported",IF(BK289&gt;$L$289,"Not Met","Met")))</f>
        <v>NA</v>
      </c>
      <c r="BM289" s="128" t="s">
        <v>11</v>
      </c>
      <c r="BN289" s="121" t="str">
        <f>IF(BM289="NA","NA",IF(BM289="Not Reported","Not Reported",IF(BM289&gt;$L$289,"Not Met","Met")))</f>
        <v>NA</v>
      </c>
      <c r="BO289" s="121" t="s">
        <v>11</v>
      </c>
      <c r="BP289" s="121" t="s">
        <v>11</v>
      </c>
      <c r="BQ289" s="121" t="s">
        <v>11</v>
      </c>
      <c r="BR289" s="121" t="s">
        <v>11</v>
      </c>
      <c r="BS289" s="338" t="s">
        <v>11</v>
      </c>
      <c r="BT289" s="121" t="str">
        <f>IF(BS289="NA","NA",IF(BS289="Not Reported","Not Reported",IF(BS289&gt;$L$289,"Not Met","Met")))</f>
        <v>NA</v>
      </c>
      <c r="BU289" s="338" t="s">
        <v>11</v>
      </c>
      <c r="BV289" s="121" t="str">
        <f>IF(BU289="NA","NA",IF(BU289="Not Reported","Not Reported",IF(BU289&gt;$L$289,"Not Met","Met")))</f>
        <v>NA</v>
      </c>
    </row>
    <row r="290" spans="1:74 16353:16362" x14ac:dyDescent="0.25">
      <c r="A290" s="121">
        <v>289</v>
      </c>
      <c r="B290" s="122" t="s">
        <v>42</v>
      </c>
      <c r="C290" s="122" t="s">
        <v>903</v>
      </c>
      <c r="D290" s="123" t="s">
        <v>111</v>
      </c>
      <c r="E290" s="123" t="s">
        <v>899</v>
      </c>
      <c r="F290" s="123" t="s">
        <v>300</v>
      </c>
      <c r="G290" s="122" t="s">
        <v>273</v>
      </c>
      <c r="H290" s="122" t="s">
        <v>192</v>
      </c>
      <c r="I290" s="124" t="s">
        <v>284</v>
      </c>
      <c r="J290" s="124" t="s">
        <v>285</v>
      </c>
      <c r="K290" s="145" t="s">
        <v>284</v>
      </c>
      <c r="L290" s="146">
        <v>0.75</v>
      </c>
      <c r="M290" s="146">
        <v>0.75</v>
      </c>
      <c r="N290" s="122" t="s">
        <v>622</v>
      </c>
      <c r="O290" s="122" t="s">
        <v>622</v>
      </c>
      <c r="P290" s="123" t="s">
        <v>207</v>
      </c>
      <c r="Q290" s="146">
        <v>0.91</v>
      </c>
      <c r="R290" s="121" t="s">
        <v>198</v>
      </c>
      <c r="S290" s="146" t="s">
        <v>11</v>
      </c>
      <c r="T290" s="128" t="s">
        <v>11</v>
      </c>
      <c r="U290" s="146" t="s">
        <v>11</v>
      </c>
      <c r="V290" s="128" t="s">
        <v>11</v>
      </c>
      <c r="W290" s="146" t="s">
        <v>11</v>
      </c>
      <c r="X290" s="128" t="s">
        <v>11</v>
      </c>
      <c r="Y290" s="128" t="s">
        <v>323</v>
      </c>
      <c r="Z290" s="128" t="s">
        <v>323</v>
      </c>
      <c r="AA290" s="128" t="s">
        <v>11</v>
      </c>
      <c r="AB290" s="128" t="s">
        <v>11</v>
      </c>
      <c r="AC290" s="128" t="s">
        <v>11</v>
      </c>
      <c r="AD290" s="128" t="s">
        <v>11</v>
      </c>
      <c r="AE290" s="128" t="s">
        <v>11</v>
      </c>
      <c r="AF290" s="128" t="s">
        <v>11</v>
      </c>
      <c r="AG290" s="128" t="s">
        <v>11</v>
      </c>
      <c r="AH290" s="128" t="s">
        <v>11</v>
      </c>
      <c r="AI290" s="128" t="s">
        <v>323</v>
      </c>
      <c r="AJ290" s="128" t="s">
        <v>11</v>
      </c>
      <c r="AK290" s="128" t="s">
        <v>323</v>
      </c>
      <c r="AL290" s="128" t="s">
        <v>11</v>
      </c>
      <c r="AM290" s="128" t="s">
        <v>323</v>
      </c>
      <c r="AN290" s="128" t="s">
        <v>11</v>
      </c>
      <c r="AO290" s="128" t="s">
        <v>323</v>
      </c>
      <c r="AP290" s="128" t="s">
        <v>11</v>
      </c>
      <c r="AQ290" s="128" t="s">
        <v>323</v>
      </c>
      <c r="AR290" s="128" t="s">
        <v>11</v>
      </c>
      <c r="AS290" s="128" t="s">
        <v>323</v>
      </c>
      <c r="AT290" s="128" t="s">
        <v>11</v>
      </c>
      <c r="AU290" s="128" t="s">
        <v>323</v>
      </c>
      <c r="AV290" s="128" t="s">
        <v>11</v>
      </c>
      <c r="AW290" s="128" t="s">
        <v>323</v>
      </c>
      <c r="AX290" s="128" t="s">
        <v>11</v>
      </c>
      <c r="AY290" s="128" t="s">
        <v>323</v>
      </c>
      <c r="AZ290" s="128" t="s">
        <v>11</v>
      </c>
      <c r="BA290" s="128" t="s">
        <v>323</v>
      </c>
      <c r="BB290" s="128" t="s">
        <v>11</v>
      </c>
      <c r="BC290" s="127" t="s">
        <v>11</v>
      </c>
      <c r="BD290" s="128" t="s">
        <v>11</v>
      </c>
      <c r="BE290" s="127" t="s">
        <v>11</v>
      </c>
      <c r="BF290" s="128" t="s">
        <v>11</v>
      </c>
      <c r="BG290" s="127" t="s">
        <v>11</v>
      </c>
      <c r="BH290" s="128" t="s">
        <v>11</v>
      </c>
      <c r="BI290" s="127" t="s">
        <v>11</v>
      </c>
      <c r="BJ290" s="128" t="s">
        <v>11</v>
      </c>
      <c r="BK290" s="127" t="s">
        <v>11</v>
      </c>
      <c r="BL290" s="128" t="str">
        <f>IF(BK290="NA","NA",IF(BK290="Not Reported","Not Reported",IF(BK290&lt;$L$290,"Not Met","Met")))</f>
        <v>NA</v>
      </c>
      <c r="BM290" s="128" t="s">
        <v>11</v>
      </c>
      <c r="BN290" s="128" t="str">
        <f>IF(BM290="NA","NA",IF(BM290="Not Reported","Not Reported",IF(BM290&lt;$L$290,"Not Met","Met")))</f>
        <v>NA</v>
      </c>
      <c r="BO290" s="121" t="s">
        <v>11</v>
      </c>
      <c r="BP290" s="128" t="s">
        <v>11</v>
      </c>
      <c r="BQ290" s="121" t="s">
        <v>11</v>
      </c>
      <c r="BR290" s="128" t="s">
        <v>11</v>
      </c>
      <c r="BS290" s="338" t="s">
        <v>11</v>
      </c>
      <c r="BT290" s="128" t="str">
        <f>IF(BS290="NA","NA",IF(BS290="Not Reported","Not Reported",IF(BS290&lt;$L$290,"Not Met","Met")))</f>
        <v>NA</v>
      </c>
      <c r="BU290" s="338" t="s">
        <v>11</v>
      </c>
      <c r="BV290" s="128" t="str">
        <f>IF(BU290="NA","NA",IF(BU290="Not Reported","Not Reported",IF(BU290&lt;$L$290,"Not Met","Met")))</f>
        <v>NA</v>
      </c>
    </row>
    <row r="291" spans="1:74 16353:16362" x14ac:dyDescent="0.25">
      <c r="A291" s="121">
        <v>290</v>
      </c>
      <c r="B291" s="122" t="s">
        <v>42</v>
      </c>
      <c r="C291" s="122" t="s">
        <v>903</v>
      </c>
      <c r="D291" s="123" t="s">
        <v>111</v>
      </c>
      <c r="E291" s="123" t="s">
        <v>899</v>
      </c>
      <c r="F291" s="123" t="s">
        <v>300</v>
      </c>
      <c r="G291" s="122" t="s">
        <v>273</v>
      </c>
      <c r="H291" s="122" t="s">
        <v>192</v>
      </c>
      <c r="I291" s="124" t="s">
        <v>274</v>
      </c>
      <c r="J291" s="124" t="s">
        <v>214</v>
      </c>
      <c r="K291" s="145" t="s">
        <v>274</v>
      </c>
      <c r="L291" s="130">
        <v>90</v>
      </c>
      <c r="M291" s="128" t="s">
        <v>329</v>
      </c>
      <c r="N291" s="145" t="s">
        <v>276</v>
      </c>
      <c r="O291" s="145" t="s">
        <v>277</v>
      </c>
      <c r="P291" s="123" t="s">
        <v>207</v>
      </c>
      <c r="Q291" s="131" t="s">
        <v>756</v>
      </c>
      <c r="R291" s="121" t="s">
        <v>198</v>
      </c>
      <c r="S291" s="146" t="s">
        <v>11</v>
      </c>
      <c r="T291" s="128" t="s">
        <v>11</v>
      </c>
      <c r="U291" s="146" t="s">
        <v>11</v>
      </c>
      <c r="V291" s="128" t="s">
        <v>11</v>
      </c>
      <c r="W291" s="146" t="s">
        <v>11</v>
      </c>
      <c r="X291" s="128" t="s">
        <v>11</v>
      </c>
      <c r="Y291" s="128" t="s">
        <v>323</v>
      </c>
      <c r="Z291" s="128" t="s">
        <v>323</v>
      </c>
      <c r="AA291" s="128" t="s">
        <v>11</v>
      </c>
      <c r="AB291" s="128" t="s">
        <v>11</v>
      </c>
      <c r="AC291" s="128" t="s">
        <v>11</v>
      </c>
      <c r="AD291" s="128" t="s">
        <v>11</v>
      </c>
      <c r="AE291" s="128" t="s">
        <v>11</v>
      </c>
      <c r="AF291" s="128" t="s">
        <v>11</v>
      </c>
      <c r="AG291" s="128" t="s">
        <v>11</v>
      </c>
      <c r="AH291" s="128" t="s">
        <v>11</v>
      </c>
      <c r="AI291" s="128" t="s">
        <v>323</v>
      </c>
      <c r="AJ291" s="128" t="s">
        <v>11</v>
      </c>
      <c r="AK291" s="128" t="s">
        <v>323</v>
      </c>
      <c r="AL291" s="128" t="s">
        <v>11</v>
      </c>
      <c r="AM291" s="128" t="s">
        <v>323</v>
      </c>
      <c r="AN291" s="128" t="s">
        <v>11</v>
      </c>
      <c r="AO291" s="128" t="s">
        <v>323</v>
      </c>
      <c r="AP291" s="128" t="s">
        <v>11</v>
      </c>
      <c r="AQ291" s="128" t="s">
        <v>323</v>
      </c>
      <c r="AR291" s="128" t="s">
        <v>11</v>
      </c>
      <c r="AS291" s="128" t="s">
        <v>323</v>
      </c>
      <c r="AT291" s="128" t="s">
        <v>11</v>
      </c>
      <c r="AU291" s="128" t="s">
        <v>323</v>
      </c>
      <c r="AV291" s="128" t="s">
        <v>11</v>
      </c>
      <c r="AW291" s="128" t="s">
        <v>323</v>
      </c>
      <c r="AX291" s="128" t="s">
        <v>11</v>
      </c>
      <c r="AY291" s="128" t="s">
        <v>323</v>
      </c>
      <c r="AZ291" s="128" t="s">
        <v>11</v>
      </c>
      <c r="BA291" s="128" t="s">
        <v>323</v>
      </c>
      <c r="BB291" s="128" t="s">
        <v>11</v>
      </c>
      <c r="BC291" s="127" t="s">
        <v>11</v>
      </c>
      <c r="BD291" s="128" t="s">
        <v>11</v>
      </c>
      <c r="BE291" s="127" t="s">
        <v>11</v>
      </c>
      <c r="BF291" s="128" t="s">
        <v>11</v>
      </c>
      <c r="BG291" s="127" t="s">
        <v>11</v>
      </c>
      <c r="BH291" s="128" t="s">
        <v>11</v>
      </c>
      <c r="BI291" s="127" t="s">
        <v>11</v>
      </c>
      <c r="BJ291" s="128" t="s">
        <v>11</v>
      </c>
      <c r="BK291" s="127" t="s">
        <v>11</v>
      </c>
      <c r="BL291" s="121" t="str">
        <f>IF(BK291="NA","NA",IF(BK291="Not Reported","Not Reported",IF(BK291&gt;$L$291,"Not Met","Met")))</f>
        <v>NA</v>
      </c>
      <c r="BM291" s="128" t="s">
        <v>11</v>
      </c>
      <c r="BN291" s="121" t="str">
        <f>IF(BM291="NA","NA",IF(BM291="Not Reported","Not Reported",IF(BM291&gt;$L$291,"Not Met","Met")))</f>
        <v>NA</v>
      </c>
      <c r="BO291" s="121" t="s">
        <v>11</v>
      </c>
      <c r="BP291" s="121" t="s">
        <v>11</v>
      </c>
      <c r="BQ291" s="121" t="s">
        <v>11</v>
      </c>
      <c r="BR291" s="121" t="s">
        <v>11</v>
      </c>
      <c r="BS291" s="338" t="s">
        <v>11</v>
      </c>
      <c r="BT291" s="121" t="str">
        <f>IF(BS291="NA","NA",IF(BS291="Not Reported","Not Reported",IF(BS291&gt;$L$291,"Not Met","Met")))</f>
        <v>NA</v>
      </c>
      <c r="BU291" s="338" t="s">
        <v>11</v>
      </c>
      <c r="BV291" s="121" t="str">
        <f>IF(BU291="NA","NA",IF(BU291="Not Reported","Not Reported",IF(BU291&gt;$L$291,"Not Met","Met")))</f>
        <v>NA</v>
      </c>
    </row>
    <row r="292" spans="1:74 16353:16362" x14ac:dyDescent="0.2">
      <c r="A292" s="121">
        <v>291</v>
      </c>
      <c r="B292" s="122" t="s">
        <v>42</v>
      </c>
      <c r="C292" s="122" t="s">
        <v>903</v>
      </c>
      <c r="D292" s="123" t="s">
        <v>111</v>
      </c>
      <c r="E292" s="123" t="s">
        <v>899</v>
      </c>
      <c r="F292" s="123" t="s">
        <v>300</v>
      </c>
      <c r="G292" s="122" t="s">
        <v>273</v>
      </c>
      <c r="H292" s="122" t="s">
        <v>192</v>
      </c>
      <c r="I292" s="124" t="s">
        <v>246</v>
      </c>
      <c r="J292" s="124" t="s">
        <v>214</v>
      </c>
      <c r="K292" s="122" t="s">
        <v>326</v>
      </c>
      <c r="L292" s="128">
        <v>0.2</v>
      </c>
      <c r="M292" s="128">
        <v>0.2</v>
      </c>
      <c r="N292" s="145" t="s">
        <v>368</v>
      </c>
      <c r="O292" s="145" t="s">
        <v>369</v>
      </c>
      <c r="P292" s="123" t="s">
        <v>207</v>
      </c>
      <c r="Q292" s="141">
        <v>0.75</v>
      </c>
      <c r="R292" s="147" t="s">
        <v>251</v>
      </c>
      <c r="S292" s="146" t="s">
        <v>11</v>
      </c>
      <c r="T292" s="128" t="s">
        <v>11</v>
      </c>
      <c r="U292" s="146" t="s">
        <v>11</v>
      </c>
      <c r="V292" s="128" t="s">
        <v>11</v>
      </c>
      <c r="W292" s="146" t="s">
        <v>11</v>
      </c>
      <c r="X292" s="128" t="s">
        <v>11</v>
      </c>
      <c r="Y292" s="128" t="s">
        <v>323</v>
      </c>
      <c r="Z292" s="128" t="s">
        <v>323</v>
      </c>
      <c r="AA292" s="128" t="s">
        <v>11</v>
      </c>
      <c r="AB292" s="128" t="s">
        <v>11</v>
      </c>
      <c r="AC292" s="128" t="s">
        <v>11</v>
      </c>
      <c r="AD292" s="128" t="s">
        <v>11</v>
      </c>
      <c r="AE292" s="128" t="s">
        <v>11</v>
      </c>
      <c r="AF292" s="128" t="s">
        <v>11</v>
      </c>
      <c r="AG292" s="128" t="s">
        <v>11</v>
      </c>
      <c r="AH292" s="128" t="s">
        <v>11</v>
      </c>
      <c r="AI292" s="128" t="s">
        <v>323</v>
      </c>
      <c r="AJ292" s="128" t="s">
        <v>11</v>
      </c>
      <c r="AK292" s="128" t="s">
        <v>323</v>
      </c>
      <c r="AL292" s="128" t="s">
        <v>11</v>
      </c>
      <c r="AM292" s="128" t="s">
        <v>323</v>
      </c>
      <c r="AN292" s="128" t="s">
        <v>11</v>
      </c>
      <c r="AO292" s="128" t="s">
        <v>323</v>
      </c>
      <c r="AP292" s="128" t="s">
        <v>11</v>
      </c>
      <c r="AQ292" s="128" t="s">
        <v>323</v>
      </c>
      <c r="AR292" s="128" t="s">
        <v>11</v>
      </c>
      <c r="AS292" s="128" t="s">
        <v>323</v>
      </c>
      <c r="AT292" s="128" t="s">
        <v>11</v>
      </c>
      <c r="AU292" s="128" t="s">
        <v>323</v>
      </c>
      <c r="AV292" s="128" t="s">
        <v>11</v>
      </c>
      <c r="AW292" s="128" t="s">
        <v>323</v>
      </c>
      <c r="AX292" s="128" t="s">
        <v>11</v>
      </c>
      <c r="AY292" s="128" t="s">
        <v>323</v>
      </c>
      <c r="AZ292" s="128" t="s">
        <v>11</v>
      </c>
      <c r="BA292" s="128" t="s">
        <v>323</v>
      </c>
      <c r="BB292" s="128" t="s">
        <v>11</v>
      </c>
      <c r="BC292" s="127" t="s">
        <v>11</v>
      </c>
      <c r="BD292" s="128" t="s">
        <v>11</v>
      </c>
      <c r="BE292" s="127" t="s">
        <v>11</v>
      </c>
      <c r="BF292" s="128" t="s">
        <v>11</v>
      </c>
      <c r="BG292" s="127" t="s">
        <v>11</v>
      </c>
      <c r="BH292" s="128" t="s">
        <v>11</v>
      </c>
      <c r="BI292" s="127" t="s">
        <v>11</v>
      </c>
      <c r="BJ292" s="128" t="s">
        <v>11</v>
      </c>
      <c r="BK292" s="127" t="s">
        <v>11</v>
      </c>
      <c r="BL292" s="174" t="str">
        <f>IF(BK292="NA","NA",IF(BK292="Not Reported","Not Reported",IF(BK292&gt;$L$292,"Not Met","Met")))</f>
        <v>NA</v>
      </c>
      <c r="BM292" s="128" t="s">
        <v>11</v>
      </c>
      <c r="BN292" s="162" t="str">
        <f>IF(BM292="NA","NA",IF(BM292="Not Reported","Not Reported",IF(BM292&gt;$L$292,"Not Met","Met")))</f>
        <v>NA</v>
      </c>
      <c r="BO292" s="121" t="s">
        <v>11</v>
      </c>
      <c r="BP292" s="162" t="s">
        <v>11</v>
      </c>
      <c r="BQ292" s="121" t="s">
        <v>11</v>
      </c>
      <c r="BR292" s="162" t="s">
        <v>11</v>
      </c>
      <c r="BS292" s="338" t="s">
        <v>11</v>
      </c>
      <c r="BT292" s="162" t="str">
        <f>IF(BS292="NA","NA",IF(BS292="Not Reported","Not Reported",IF(BS292&gt;$L$292,"Not Met","Met")))</f>
        <v>NA</v>
      </c>
      <c r="BU292" s="338" t="s">
        <v>11</v>
      </c>
      <c r="BV292" s="162" t="str">
        <f>IF(BU292="NA","NA",IF(BU292="Not Reported","Not Reported",IF(BU292&gt;$L$292,"Not Met","Met")))</f>
        <v>NA</v>
      </c>
    </row>
    <row r="293" spans="1:74 16353:16362" x14ac:dyDescent="0.25">
      <c r="A293" s="121">
        <v>292</v>
      </c>
      <c r="B293" s="122" t="s">
        <v>42</v>
      </c>
      <c r="C293" s="122" t="s">
        <v>903</v>
      </c>
      <c r="D293" s="123" t="s">
        <v>111</v>
      </c>
      <c r="E293" s="123" t="s">
        <v>899</v>
      </c>
      <c r="F293" s="123" t="s">
        <v>300</v>
      </c>
      <c r="G293" s="122" t="s">
        <v>273</v>
      </c>
      <c r="H293" s="122" t="s">
        <v>192</v>
      </c>
      <c r="I293" s="124" t="s">
        <v>289</v>
      </c>
      <c r="J293" s="124" t="s">
        <v>285</v>
      </c>
      <c r="K293" s="145" t="s">
        <v>289</v>
      </c>
      <c r="L293" s="128">
        <v>0.2</v>
      </c>
      <c r="M293" s="128">
        <v>0.2</v>
      </c>
      <c r="N293" s="145" t="s">
        <v>290</v>
      </c>
      <c r="O293" s="145" t="s">
        <v>291</v>
      </c>
      <c r="P293" s="123" t="s">
        <v>207</v>
      </c>
      <c r="Q293" s="141">
        <v>0.03</v>
      </c>
      <c r="R293" s="147" t="s">
        <v>251</v>
      </c>
      <c r="S293" s="146" t="s">
        <v>11</v>
      </c>
      <c r="T293" s="128" t="s">
        <v>11</v>
      </c>
      <c r="U293" s="146" t="s">
        <v>11</v>
      </c>
      <c r="V293" s="128" t="s">
        <v>11</v>
      </c>
      <c r="W293" s="146" t="s">
        <v>11</v>
      </c>
      <c r="X293" s="128" t="s">
        <v>11</v>
      </c>
      <c r="Y293" s="128" t="s">
        <v>323</v>
      </c>
      <c r="Z293" s="128" t="s">
        <v>323</v>
      </c>
      <c r="AA293" s="128" t="s">
        <v>11</v>
      </c>
      <c r="AB293" s="128" t="s">
        <v>11</v>
      </c>
      <c r="AC293" s="128" t="s">
        <v>11</v>
      </c>
      <c r="AD293" s="128" t="s">
        <v>11</v>
      </c>
      <c r="AE293" s="128" t="s">
        <v>11</v>
      </c>
      <c r="AF293" s="128" t="s">
        <v>11</v>
      </c>
      <c r="AG293" s="128" t="s">
        <v>11</v>
      </c>
      <c r="AH293" s="128" t="s">
        <v>11</v>
      </c>
      <c r="AI293" s="128" t="s">
        <v>323</v>
      </c>
      <c r="AJ293" s="128" t="s">
        <v>11</v>
      </c>
      <c r="AK293" s="128" t="s">
        <v>323</v>
      </c>
      <c r="AL293" s="128" t="s">
        <v>11</v>
      </c>
      <c r="AM293" s="128" t="s">
        <v>323</v>
      </c>
      <c r="AN293" s="128" t="s">
        <v>11</v>
      </c>
      <c r="AO293" s="128" t="s">
        <v>323</v>
      </c>
      <c r="AP293" s="128" t="s">
        <v>11</v>
      </c>
      <c r="AQ293" s="128" t="s">
        <v>323</v>
      </c>
      <c r="AR293" s="128" t="s">
        <v>11</v>
      </c>
      <c r="AS293" s="128" t="s">
        <v>323</v>
      </c>
      <c r="AT293" s="128" t="s">
        <v>11</v>
      </c>
      <c r="AU293" s="128" t="s">
        <v>323</v>
      </c>
      <c r="AV293" s="128" t="s">
        <v>11</v>
      </c>
      <c r="AW293" s="128" t="s">
        <v>323</v>
      </c>
      <c r="AX293" s="128" t="s">
        <v>11</v>
      </c>
      <c r="AY293" s="128" t="s">
        <v>323</v>
      </c>
      <c r="AZ293" s="128" t="s">
        <v>11</v>
      </c>
      <c r="BA293" s="128" t="s">
        <v>323</v>
      </c>
      <c r="BB293" s="128" t="s">
        <v>11</v>
      </c>
      <c r="BC293" s="127" t="s">
        <v>11</v>
      </c>
      <c r="BD293" s="128" t="s">
        <v>11</v>
      </c>
      <c r="BE293" s="127" t="s">
        <v>11</v>
      </c>
      <c r="BF293" s="128" t="s">
        <v>11</v>
      </c>
      <c r="BG293" s="127" t="s">
        <v>11</v>
      </c>
      <c r="BH293" s="128" t="s">
        <v>11</v>
      </c>
      <c r="BI293" s="127" t="s">
        <v>11</v>
      </c>
      <c r="BJ293" s="128" t="s">
        <v>11</v>
      </c>
      <c r="BK293" s="127" t="s">
        <v>11</v>
      </c>
      <c r="BL293" s="128" t="str">
        <f>IF(BK293="NA","NA",IF(BK293="Not Reported","Not Reported",IF(BK293&lt;$L$293,"Not Met","Met")))</f>
        <v>NA</v>
      </c>
      <c r="BM293" s="128" t="s">
        <v>11</v>
      </c>
      <c r="BN293" s="128" t="str">
        <f>IF(BM293="NA","NA",IF(BM293="Not Reported","Not Reported",IF(BM293&lt;$L$293,"Not Met","Met")))</f>
        <v>NA</v>
      </c>
      <c r="BO293" s="121" t="s">
        <v>11</v>
      </c>
      <c r="BP293" s="128" t="s">
        <v>11</v>
      </c>
      <c r="BQ293" s="121" t="s">
        <v>11</v>
      </c>
      <c r="BR293" s="128" t="s">
        <v>11</v>
      </c>
      <c r="BS293" s="338" t="s">
        <v>11</v>
      </c>
      <c r="BT293" s="128" t="str">
        <f>IF(BS293="NA","NA",IF(BS293="Not Reported","Not Reported",IF(BS293&lt;$L$293,"Not Met","Met")))</f>
        <v>NA</v>
      </c>
      <c r="BU293" s="338" t="s">
        <v>11</v>
      </c>
      <c r="BV293" s="128" t="str">
        <f>IF(BU293="NA","NA",IF(BU293="Not Reported","Not Reported",IF(BU293&lt;$L$293,"Not Met","Met")))</f>
        <v>NA</v>
      </c>
    </row>
    <row r="294" spans="1:74 16353:16362" x14ac:dyDescent="0.25">
      <c r="A294" s="121">
        <v>293</v>
      </c>
      <c r="B294" s="122" t="s">
        <v>42</v>
      </c>
      <c r="C294" s="122" t="s">
        <v>903</v>
      </c>
      <c r="D294" s="123" t="s">
        <v>111</v>
      </c>
      <c r="E294" s="123" t="s">
        <v>899</v>
      </c>
      <c r="F294" s="123" t="s">
        <v>300</v>
      </c>
      <c r="G294" s="122" t="s">
        <v>273</v>
      </c>
      <c r="H294" s="122" t="s">
        <v>192</v>
      </c>
      <c r="I294" s="124" t="s">
        <v>292</v>
      </c>
      <c r="J294" s="124" t="s">
        <v>293</v>
      </c>
      <c r="K294" s="122" t="s">
        <v>292</v>
      </c>
      <c r="L294" s="128">
        <v>0.05</v>
      </c>
      <c r="M294" s="128">
        <v>0.05</v>
      </c>
      <c r="N294" s="122" t="s">
        <v>294</v>
      </c>
      <c r="O294" s="122" t="s">
        <v>295</v>
      </c>
      <c r="P294" s="123" t="s">
        <v>207</v>
      </c>
      <c r="Q294" s="141">
        <v>0</v>
      </c>
      <c r="R294" s="121" t="s">
        <v>198</v>
      </c>
      <c r="S294" s="146" t="s">
        <v>11</v>
      </c>
      <c r="T294" s="128" t="s">
        <v>11</v>
      </c>
      <c r="U294" s="146" t="s">
        <v>11</v>
      </c>
      <c r="V294" s="128" t="s">
        <v>11</v>
      </c>
      <c r="W294" s="146" t="s">
        <v>11</v>
      </c>
      <c r="X294" s="128" t="s">
        <v>11</v>
      </c>
      <c r="Y294" s="128" t="s">
        <v>323</v>
      </c>
      <c r="Z294" s="128" t="s">
        <v>323</v>
      </c>
      <c r="AA294" s="128" t="s">
        <v>11</v>
      </c>
      <c r="AB294" s="128" t="s">
        <v>11</v>
      </c>
      <c r="AC294" s="128" t="s">
        <v>11</v>
      </c>
      <c r="AD294" s="128" t="s">
        <v>11</v>
      </c>
      <c r="AE294" s="128" t="s">
        <v>11</v>
      </c>
      <c r="AF294" s="128" t="s">
        <v>11</v>
      </c>
      <c r="AG294" s="128" t="s">
        <v>11</v>
      </c>
      <c r="AH294" s="128" t="s">
        <v>11</v>
      </c>
      <c r="AI294" s="128" t="s">
        <v>323</v>
      </c>
      <c r="AJ294" s="128" t="s">
        <v>11</v>
      </c>
      <c r="AK294" s="128" t="s">
        <v>323</v>
      </c>
      <c r="AL294" s="128" t="s">
        <v>11</v>
      </c>
      <c r="AM294" s="128" t="s">
        <v>323</v>
      </c>
      <c r="AN294" s="128" t="s">
        <v>11</v>
      </c>
      <c r="AO294" s="128" t="s">
        <v>323</v>
      </c>
      <c r="AP294" s="128" t="s">
        <v>11</v>
      </c>
      <c r="AQ294" s="128" t="s">
        <v>323</v>
      </c>
      <c r="AR294" s="128" t="s">
        <v>11</v>
      </c>
      <c r="AS294" s="128" t="s">
        <v>323</v>
      </c>
      <c r="AT294" s="128" t="s">
        <v>11</v>
      </c>
      <c r="AU294" s="128" t="s">
        <v>323</v>
      </c>
      <c r="AV294" s="128" t="s">
        <v>11</v>
      </c>
      <c r="AW294" s="128" t="s">
        <v>323</v>
      </c>
      <c r="AX294" s="128" t="s">
        <v>11</v>
      </c>
      <c r="AY294" s="128" t="s">
        <v>323</v>
      </c>
      <c r="AZ294" s="128" t="s">
        <v>11</v>
      </c>
      <c r="BA294" s="128" t="s">
        <v>323</v>
      </c>
      <c r="BB294" s="128" t="s">
        <v>11</v>
      </c>
      <c r="BC294" s="127" t="s">
        <v>11</v>
      </c>
      <c r="BD294" s="128" t="s">
        <v>11</v>
      </c>
      <c r="BE294" s="127" t="s">
        <v>11</v>
      </c>
      <c r="BF294" s="128" t="s">
        <v>11</v>
      </c>
      <c r="BG294" s="127" t="s">
        <v>11</v>
      </c>
      <c r="BH294" s="128" t="s">
        <v>11</v>
      </c>
      <c r="BI294" s="127" t="s">
        <v>11</v>
      </c>
      <c r="BJ294" s="128" t="s">
        <v>11</v>
      </c>
      <c r="BK294" s="127" t="s">
        <v>11</v>
      </c>
      <c r="BL294" s="128" t="str">
        <f>IF(BK294="NA","NA",IF(BK294="Not Reported","Not Reported",IF(BK294&gt;$L$294,"Not Met","Met")))</f>
        <v>NA</v>
      </c>
      <c r="BM294" s="128" t="s">
        <v>11</v>
      </c>
      <c r="BN294" s="128" t="str">
        <f>IF(BM294="NA","NA",IF(BM294="Not Reported","Not Reported",IF(BM294&gt;$L$294,"Not Met","Met")))</f>
        <v>NA</v>
      </c>
      <c r="BO294" s="121" t="s">
        <v>11</v>
      </c>
      <c r="BP294" s="128" t="s">
        <v>11</v>
      </c>
      <c r="BQ294" s="121" t="s">
        <v>11</v>
      </c>
      <c r="BR294" s="128" t="s">
        <v>11</v>
      </c>
      <c r="BS294" s="338" t="s">
        <v>11</v>
      </c>
      <c r="BT294" s="128" t="str">
        <f>IF(BS294="NA","NA",IF(BS294="Not Reported","Not Reported",IF(BS294&gt;$L$294,"Not Met","Met")))</f>
        <v>NA</v>
      </c>
      <c r="BU294" s="338" t="s">
        <v>11</v>
      </c>
      <c r="BV294" s="128" t="str">
        <f>IF(BU294="NA","NA",IF(BU294="Not Reported","Not Reported",IF(BU294&gt;$L$294,"Not Met","Met")))</f>
        <v>NA</v>
      </c>
    </row>
    <row r="295" spans="1:74 16353:16362" x14ac:dyDescent="0.25">
      <c r="A295" s="121">
        <v>294</v>
      </c>
      <c r="B295" s="122" t="s">
        <v>20</v>
      </c>
      <c r="C295" s="122" t="s">
        <v>902</v>
      </c>
      <c r="D295" s="123" t="s">
        <v>105</v>
      </c>
      <c r="E295" s="123" t="s">
        <v>132</v>
      </c>
      <c r="F295" s="123" t="s">
        <v>300</v>
      </c>
      <c r="G295" s="122" t="s">
        <v>273</v>
      </c>
      <c r="H295" s="122" t="s">
        <v>192</v>
      </c>
      <c r="I295" s="124" t="s">
        <v>274</v>
      </c>
      <c r="J295" s="124" t="s">
        <v>214</v>
      </c>
      <c r="K295" s="145" t="s">
        <v>274</v>
      </c>
      <c r="L295" s="147">
        <v>105</v>
      </c>
      <c r="M295" s="147" t="s">
        <v>731</v>
      </c>
      <c r="N295" s="145" t="s">
        <v>276</v>
      </c>
      <c r="O295" s="145" t="s">
        <v>277</v>
      </c>
      <c r="P295" s="123" t="s">
        <v>207</v>
      </c>
      <c r="Q295" s="147" t="s">
        <v>61</v>
      </c>
      <c r="R295" s="147" t="s">
        <v>61</v>
      </c>
      <c r="S295" s="147" t="s">
        <v>11</v>
      </c>
      <c r="T295" s="128" t="s">
        <v>11</v>
      </c>
      <c r="U295" s="147" t="s">
        <v>478</v>
      </c>
      <c r="V295" s="121" t="s">
        <v>198</v>
      </c>
      <c r="W295" s="147" t="s">
        <v>454</v>
      </c>
      <c r="X295" s="121" t="s">
        <v>198</v>
      </c>
      <c r="Y295" s="121" t="s">
        <v>731</v>
      </c>
      <c r="Z295" s="121" t="s">
        <v>198</v>
      </c>
      <c r="AA295" s="147" t="s">
        <v>11</v>
      </c>
      <c r="AB295" s="128" t="s">
        <v>11</v>
      </c>
      <c r="AC295" s="121" t="s">
        <v>61</v>
      </c>
      <c r="AD295" s="121" t="s">
        <v>61</v>
      </c>
      <c r="AE295" s="147" t="s">
        <v>11</v>
      </c>
      <c r="AF295" s="128" t="s">
        <v>11</v>
      </c>
      <c r="AG295" s="219">
        <v>159</v>
      </c>
      <c r="AH295" s="147" t="s">
        <v>251</v>
      </c>
      <c r="AI295" s="147" t="s">
        <v>11</v>
      </c>
      <c r="AJ295" s="128" t="s">
        <v>11</v>
      </c>
      <c r="AK295" s="147">
        <v>159</v>
      </c>
      <c r="AL295" s="147" t="s">
        <v>251</v>
      </c>
      <c r="AM295" s="147" t="s">
        <v>727</v>
      </c>
      <c r="AN295" s="121" t="s">
        <v>251</v>
      </c>
      <c r="AO295" s="219">
        <v>186</v>
      </c>
      <c r="AP295" s="121" t="s">
        <v>251</v>
      </c>
      <c r="AQ295" s="219" t="s">
        <v>518</v>
      </c>
      <c r="AR295" s="121" t="s">
        <v>198</v>
      </c>
      <c r="AS295" s="219" t="s">
        <v>757</v>
      </c>
      <c r="AT295" s="121" t="s">
        <v>251</v>
      </c>
      <c r="AU295" s="121" t="s">
        <v>11</v>
      </c>
      <c r="AV295" s="121" t="s">
        <v>11</v>
      </c>
      <c r="AW295" s="121" t="s">
        <v>758</v>
      </c>
      <c r="AX295" s="121" t="s">
        <v>198</v>
      </c>
      <c r="AY295" s="121">
        <v>72</v>
      </c>
      <c r="AZ295" s="121" t="s">
        <v>198</v>
      </c>
      <c r="BA295" s="121">
        <v>70</v>
      </c>
      <c r="BB295" s="121" t="s">
        <v>198</v>
      </c>
      <c r="BC295" s="121">
        <v>150</v>
      </c>
      <c r="BD295" s="121" t="s">
        <v>251</v>
      </c>
      <c r="BE295" s="121">
        <v>47</v>
      </c>
      <c r="BF295" s="121" t="s">
        <v>198</v>
      </c>
      <c r="BG295" s="121" t="s">
        <v>61</v>
      </c>
      <c r="BH295" s="121" t="s">
        <v>61</v>
      </c>
      <c r="BI295" s="121" t="s">
        <v>61</v>
      </c>
      <c r="BJ295" s="121" t="s">
        <v>61</v>
      </c>
      <c r="BK295" s="121" t="s">
        <v>61</v>
      </c>
      <c r="BL295" s="121" t="str">
        <f>IF(BK295="NA","NA",IF(BK295="Not Reported","Not Reported",IF(BK295&gt;$L$295,"Not Met","Met")))</f>
        <v>Not Reported</v>
      </c>
      <c r="BM295" s="121" t="s">
        <v>61</v>
      </c>
      <c r="BN295" s="121" t="str">
        <f>IF(BM295="NA","NA",IF(BM295="Not Reported","Not Reported",IF(BM295&gt;$L$295,"Not Met","Met")))</f>
        <v>Not Reported</v>
      </c>
      <c r="BO295" s="121" t="s">
        <v>61</v>
      </c>
      <c r="BP295" s="121" t="s">
        <v>61</v>
      </c>
      <c r="BQ295" s="121" t="s">
        <v>61</v>
      </c>
      <c r="BR295" s="121" t="s">
        <v>61</v>
      </c>
      <c r="BS295" s="26" t="s">
        <v>61</v>
      </c>
      <c r="BT295" s="121" t="str">
        <f>IF(BS295="NA","NA",IF(BS295="Not Reported","Not Reported",IF(BS295&gt;$L$295,"Not Met","Met")))</f>
        <v>Not Reported</v>
      </c>
      <c r="BU295" s="26" t="s">
        <v>61</v>
      </c>
      <c r="BV295" s="121" t="str">
        <f>IF(BU295="NA","NA",IF(BU295="Not Reported","Not Reported",IF(BU295&gt;$L$295,"Not Met","Met")))</f>
        <v>Not Reported</v>
      </c>
    </row>
    <row r="296" spans="1:74 16353:16362" x14ac:dyDescent="0.25">
      <c r="A296" s="121">
        <v>295</v>
      </c>
      <c r="B296" s="122" t="s">
        <v>20</v>
      </c>
      <c r="C296" s="122" t="s">
        <v>902</v>
      </c>
      <c r="D296" s="123" t="s">
        <v>105</v>
      </c>
      <c r="E296" s="123" t="s">
        <v>132</v>
      </c>
      <c r="F296" s="123" t="s">
        <v>300</v>
      </c>
      <c r="G296" s="122" t="s">
        <v>273</v>
      </c>
      <c r="H296" s="122" t="s">
        <v>192</v>
      </c>
      <c r="I296" s="124" t="s">
        <v>213</v>
      </c>
      <c r="J296" s="124" t="s">
        <v>214</v>
      </c>
      <c r="K296" s="129" t="s">
        <v>213</v>
      </c>
      <c r="L296" s="147">
        <v>45</v>
      </c>
      <c r="M296" s="147" t="s">
        <v>361</v>
      </c>
      <c r="N296" s="145" t="s">
        <v>341</v>
      </c>
      <c r="O296" s="145" t="s">
        <v>342</v>
      </c>
      <c r="P296" s="123" t="s">
        <v>207</v>
      </c>
      <c r="Q296" s="147" t="s">
        <v>61</v>
      </c>
      <c r="R296" s="147" t="s">
        <v>61</v>
      </c>
      <c r="S296" s="147" t="s">
        <v>362</v>
      </c>
      <c r="T296" s="121" t="s">
        <v>198</v>
      </c>
      <c r="U296" s="147" t="s">
        <v>335</v>
      </c>
      <c r="V296" s="147" t="s">
        <v>251</v>
      </c>
      <c r="W296" s="147" t="s">
        <v>625</v>
      </c>
      <c r="X296" s="147" t="s">
        <v>251</v>
      </c>
      <c r="Y296" s="121" t="s">
        <v>441</v>
      </c>
      <c r="Z296" s="121" t="s">
        <v>198</v>
      </c>
      <c r="AA296" s="147" t="s">
        <v>11</v>
      </c>
      <c r="AB296" s="128" t="s">
        <v>11</v>
      </c>
      <c r="AC296" s="121" t="s">
        <v>61</v>
      </c>
      <c r="AD296" s="121" t="s">
        <v>61</v>
      </c>
      <c r="AE296" s="147" t="s">
        <v>11</v>
      </c>
      <c r="AF296" s="128" t="s">
        <v>11</v>
      </c>
      <c r="AG296" s="219">
        <v>105</v>
      </c>
      <c r="AH296" s="147" t="s">
        <v>251</v>
      </c>
      <c r="AI296" s="147">
        <v>71.5</v>
      </c>
      <c r="AJ296" s="147" t="s">
        <v>251</v>
      </c>
      <c r="AK296" s="147">
        <v>118</v>
      </c>
      <c r="AL296" s="147" t="s">
        <v>251</v>
      </c>
      <c r="AM296" s="147" t="s">
        <v>11</v>
      </c>
      <c r="AN296" s="128" t="s">
        <v>11</v>
      </c>
      <c r="AO296" s="219">
        <v>140</v>
      </c>
      <c r="AP296" s="121" t="s">
        <v>251</v>
      </c>
      <c r="AQ296" s="219" t="s">
        <v>629</v>
      </c>
      <c r="AR296" s="121" t="s">
        <v>198</v>
      </c>
      <c r="AS296" s="219" t="s">
        <v>731</v>
      </c>
      <c r="AT296" s="121" t="s">
        <v>251</v>
      </c>
      <c r="AU296" s="121">
        <v>55</v>
      </c>
      <c r="AV296" s="121" t="s">
        <v>251</v>
      </c>
      <c r="AW296" s="121">
        <v>49</v>
      </c>
      <c r="AX296" s="121" t="s">
        <v>251</v>
      </c>
      <c r="AY296" s="121">
        <v>48</v>
      </c>
      <c r="AZ296" s="121" t="s">
        <v>251</v>
      </c>
      <c r="BA296" s="121">
        <v>48</v>
      </c>
      <c r="BB296" s="121" t="s">
        <v>251</v>
      </c>
      <c r="BC296" s="121">
        <v>51</v>
      </c>
      <c r="BD296" s="121" t="s">
        <v>251</v>
      </c>
      <c r="BE296" s="223">
        <v>52</v>
      </c>
      <c r="BF296" s="121" t="s">
        <v>251</v>
      </c>
      <c r="BG296" s="121" t="s">
        <v>61</v>
      </c>
      <c r="BH296" s="121" t="s">
        <v>61</v>
      </c>
      <c r="BI296" s="121" t="s">
        <v>61</v>
      </c>
      <c r="BJ296" s="121" t="s">
        <v>61</v>
      </c>
      <c r="BK296" s="121" t="s">
        <v>61</v>
      </c>
      <c r="BL296" s="121" t="str">
        <f>IF(BK296="NA","NA",IF(BK296="Not Reported","Not Reported",IF(BK296&gt;$L$296,"Not Met","Met")))</f>
        <v>Not Reported</v>
      </c>
      <c r="BM296" s="121" t="s">
        <v>61</v>
      </c>
      <c r="BN296" s="121" t="str">
        <f>IF(BM296="NA","NA",IF(BM296="Not Reported","Not Reported",IF(BM296&gt;$L$296,"Not Met","Met")))</f>
        <v>Not Reported</v>
      </c>
      <c r="BO296" s="121" t="s">
        <v>61</v>
      </c>
      <c r="BP296" s="121" t="s">
        <v>61</v>
      </c>
      <c r="BQ296" s="121" t="s">
        <v>61</v>
      </c>
      <c r="BR296" s="121" t="s">
        <v>61</v>
      </c>
      <c r="BS296" s="26" t="s">
        <v>61</v>
      </c>
      <c r="BT296" s="121" t="str">
        <f>IF(BS296="NA","NA",IF(BS296="Not Reported","Not Reported",IF(BS296&gt;$L$296,"Not Met","Met")))</f>
        <v>Not Reported</v>
      </c>
      <c r="BU296" s="26" t="s">
        <v>61</v>
      </c>
      <c r="BV296" s="121" t="str">
        <f>IF(BU296="NA","NA",IF(BU296="Not Reported","Not Reported",IF(BU296&gt;$L$296,"Not Met","Met")))</f>
        <v>Not Reported</v>
      </c>
    </row>
    <row r="297" spans="1:74 16353:16362" x14ac:dyDescent="0.2">
      <c r="A297" s="121">
        <v>296</v>
      </c>
      <c r="B297" s="122" t="s">
        <v>20</v>
      </c>
      <c r="C297" s="122" t="s">
        <v>902</v>
      </c>
      <c r="D297" s="123" t="s">
        <v>105</v>
      </c>
      <c r="E297" s="123" t="s">
        <v>132</v>
      </c>
      <c r="F297" s="123" t="s">
        <v>300</v>
      </c>
      <c r="G297" s="122" t="s">
        <v>273</v>
      </c>
      <c r="H297" s="122" t="s">
        <v>192</v>
      </c>
      <c r="I297" s="124" t="s">
        <v>246</v>
      </c>
      <c r="J297" s="124" t="s">
        <v>214</v>
      </c>
      <c r="K297" s="122" t="s">
        <v>326</v>
      </c>
      <c r="L297" s="146">
        <v>0.2</v>
      </c>
      <c r="M297" s="147" t="s">
        <v>627</v>
      </c>
      <c r="N297" s="145" t="s">
        <v>368</v>
      </c>
      <c r="O297" s="145" t="s">
        <v>369</v>
      </c>
      <c r="P297" s="123" t="s">
        <v>207</v>
      </c>
      <c r="Q297" s="147" t="s">
        <v>61</v>
      </c>
      <c r="R297" s="147" t="s">
        <v>61</v>
      </c>
      <c r="S297" s="146">
        <v>0.67</v>
      </c>
      <c r="T297" s="147" t="s">
        <v>251</v>
      </c>
      <c r="U297" s="146">
        <v>0.71</v>
      </c>
      <c r="V297" s="147" t="s">
        <v>251</v>
      </c>
      <c r="W297" s="146">
        <v>0.48</v>
      </c>
      <c r="X297" s="147" t="s">
        <v>251</v>
      </c>
      <c r="Y297" s="126">
        <v>0.2</v>
      </c>
      <c r="Z297" s="121" t="s">
        <v>198</v>
      </c>
      <c r="AA297" s="146">
        <v>0</v>
      </c>
      <c r="AB297" s="147" t="s">
        <v>198</v>
      </c>
      <c r="AC297" s="121" t="s">
        <v>61</v>
      </c>
      <c r="AD297" s="121" t="s">
        <v>61</v>
      </c>
      <c r="AE297" s="146">
        <v>0.94</v>
      </c>
      <c r="AF297" s="147" t="s">
        <v>251</v>
      </c>
      <c r="AG297" s="220">
        <v>0.59375</v>
      </c>
      <c r="AH297" s="147" t="s">
        <v>251</v>
      </c>
      <c r="AI297" s="126">
        <f>14/22</f>
        <v>0.63636363636363635</v>
      </c>
      <c r="AJ297" s="147" t="s">
        <v>251</v>
      </c>
      <c r="AK297" s="126">
        <f>14/22</f>
        <v>0.63636363636363635</v>
      </c>
      <c r="AL297" s="147" t="s">
        <v>251</v>
      </c>
      <c r="AM297" s="126">
        <v>0.77</v>
      </c>
      <c r="AN297" s="121" t="s">
        <v>251</v>
      </c>
      <c r="AO297" s="220">
        <f>24/33</f>
        <v>0.72727272727272729</v>
      </c>
      <c r="AP297" s="121" t="s">
        <v>251</v>
      </c>
      <c r="AQ297" s="220">
        <v>0.5</v>
      </c>
      <c r="AR297" s="121" t="s">
        <v>251</v>
      </c>
      <c r="AS297" s="220">
        <v>0.5</v>
      </c>
      <c r="AT297" s="121" t="s">
        <v>251</v>
      </c>
      <c r="AU297" s="126">
        <v>0.26</v>
      </c>
      <c r="AV297" s="121" t="s">
        <v>251</v>
      </c>
      <c r="AW297" s="126">
        <v>0.36</v>
      </c>
      <c r="AX297" s="121" t="s">
        <v>251</v>
      </c>
      <c r="AY297" s="126">
        <v>0.72</v>
      </c>
      <c r="AZ297" s="121" t="s">
        <v>251</v>
      </c>
      <c r="BA297" s="126">
        <v>0.72</v>
      </c>
      <c r="BB297" s="121" t="s">
        <v>251</v>
      </c>
      <c r="BC297" s="126">
        <v>0.28999999999999998</v>
      </c>
      <c r="BD297" s="121" t="s">
        <v>251</v>
      </c>
      <c r="BE297" s="223">
        <v>138</v>
      </c>
      <c r="BF297" s="121" t="s">
        <v>251</v>
      </c>
      <c r="BG297" s="121" t="s">
        <v>61</v>
      </c>
      <c r="BH297" s="121" t="s">
        <v>61</v>
      </c>
      <c r="BI297" s="121" t="s">
        <v>61</v>
      </c>
      <c r="BJ297" s="121" t="s">
        <v>61</v>
      </c>
      <c r="BK297" s="121" t="s">
        <v>61</v>
      </c>
      <c r="BL297" s="174" t="str">
        <f>IF(BK297="NA","NA",IF(BK297="Not Reported","Not Reported",IF(BK297&gt;$L$297,"Not Met","Met")))</f>
        <v>Not Reported</v>
      </c>
      <c r="BM297" s="121" t="s">
        <v>61</v>
      </c>
      <c r="BN297" s="162" t="str">
        <f>IF(BM297="NA","NA",IF(BM297="Not Reported","Not Reported",IF(BM297&gt;$L$297,"Not Met","Met")))</f>
        <v>Not Reported</v>
      </c>
      <c r="BO297" s="121" t="s">
        <v>61</v>
      </c>
      <c r="BP297" s="162" t="s">
        <v>61</v>
      </c>
      <c r="BQ297" s="121" t="s">
        <v>61</v>
      </c>
      <c r="BR297" s="162" t="s">
        <v>61</v>
      </c>
      <c r="BS297" s="26" t="s">
        <v>61</v>
      </c>
      <c r="BT297" s="162" t="str">
        <f>IF(BS297="NA","NA",IF(BS297="Not Reported","Not Reported",IF(BS297&gt;$L$297,"Not Met","Met")))</f>
        <v>Not Reported</v>
      </c>
      <c r="BU297" s="26" t="s">
        <v>61</v>
      </c>
      <c r="BV297" s="162" t="str">
        <f>IF(BU297="NA","NA",IF(BU297="Not Reported","Not Reported",IF(BU297&gt;$L$297,"Not Met","Met")))</f>
        <v>Not Reported</v>
      </c>
    </row>
    <row r="298" spans="1:74 16353:16362" x14ac:dyDescent="0.25">
      <c r="A298" s="121">
        <v>297</v>
      </c>
      <c r="B298" s="122" t="s">
        <v>20</v>
      </c>
      <c r="C298" s="122" t="s">
        <v>902</v>
      </c>
      <c r="D298" s="123" t="s">
        <v>105</v>
      </c>
      <c r="E298" s="123" t="s">
        <v>132</v>
      </c>
      <c r="F298" s="123" t="s">
        <v>300</v>
      </c>
      <c r="G298" s="122" t="s">
        <v>273</v>
      </c>
      <c r="H298" s="122" t="s">
        <v>192</v>
      </c>
      <c r="I298" s="124" t="s">
        <v>284</v>
      </c>
      <c r="J298" s="124" t="s">
        <v>285</v>
      </c>
      <c r="K298" s="145" t="s">
        <v>284</v>
      </c>
      <c r="L298" s="146">
        <v>0.6</v>
      </c>
      <c r="M298" s="146">
        <v>0.6</v>
      </c>
      <c r="N298" s="145" t="s">
        <v>287</v>
      </c>
      <c r="O298" s="145" t="s">
        <v>288</v>
      </c>
      <c r="P298" s="123" t="s">
        <v>207</v>
      </c>
      <c r="Q298" s="147" t="s">
        <v>61</v>
      </c>
      <c r="R298" s="147" t="s">
        <v>61</v>
      </c>
      <c r="S298" s="146">
        <v>0.47</v>
      </c>
      <c r="T298" s="147" t="s">
        <v>251</v>
      </c>
      <c r="U298" s="146">
        <v>0.52</v>
      </c>
      <c r="V298" s="147" t="s">
        <v>251</v>
      </c>
      <c r="W298" s="146">
        <v>0.26</v>
      </c>
      <c r="X298" s="147" t="s">
        <v>251</v>
      </c>
      <c r="Y298" s="126">
        <v>0.26</v>
      </c>
      <c r="Z298" s="121" t="s">
        <v>251</v>
      </c>
      <c r="AA298" s="146">
        <v>0.18</v>
      </c>
      <c r="AB298" s="147" t="s">
        <v>251</v>
      </c>
      <c r="AC298" s="121" t="s">
        <v>61</v>
      </c>
      <c r="AD298" s="121" t="s">
        <v>61</v>
      </c>
      <c r="AE298" s="146">
        <v>0.21</v>
      </c>
      <c r="AF298" s="147" t="s">
        <v>251</v>
      </c>
      <c r="AG298" s="128">
        <v>0.35294117647058826</v>
      </c>
      <c r="AH298" s="147" t="s">
        <v>251</v>
      </c>
      <c r="AI298" s="126">
        <f>41/90</f>
        <v>0.45555555555555555</v>
      </c>
      <c r="AJ298" s="147" t="s">
        <v>251</v>
      </c>
      <c r="AK298" s="126">
        <f>74/156</f>
        <v>0.47435897435897434</v>
      </c>
      <c r="AL298" s="147" t="s">
        <v>251</v>
      </c>
      <c r="AM298" s="126">
        <v>0.95</v>
      </c>
      <c r="AN298" s="121" t="s">
        <v>198</v>
      </c>
      <c r="AO298" s="220">
        <f>44/44</f>
        <v>1</v>
      </c>
      <c r="AP298" s="121" t="s">
        <v>198</v>
      </c>
      <c r="AQ298" s="220">
        <v>0.49</v>
      </c>
      <c r="AR298" s="121" t="s">
        <v>251</v>
      </c>
      <c r="AS298" s="220">
        <v>0.43</v>
      </c>
      <c r="AT298" s="121" t="s">
        <v>251</v>
      </c>
      <c r="AU298" s="126">
        <v>0.48</v>
      </c>
      <c r="AV298" s="121" t="s">
        <v>251</v>
      </c>
      <c r="AW298" s="126">
        <v>0.5</v>
      </c>
      <c r="AX298" s="121" t="s">
        <v>251</v>
      </c>
      <c r="AY298" s="126">
        <v>0.46</v>
      </c>
      <c r="AZ298" s="121" t="s">
        <v>251</v>
      </c>
      <c r="BA298" s="126">
        <v>0.47</v>
      </c>
      <c r="BB298" s="121" t="s">
        <v>251</v>
      </c>
      <c r="BC298" s="126">
        <v>0.5</v>
      </c>
      <c r="BD298" s="121" t="s">
        <v>251</v>
      </c>
      <c r="BE298" s="126">
        <v>0.4</v>
      </c>
      <c r="BF298" s="121" t="s">
        <v>251</v>
      </c>
      <c r="BG298" s="121" t="s">
        <v>61</v>
      </c>
      <c r="BH298" s="121" t="s">
        <v>61</v>
      </c>
      <c r="BI298" s="121" t="s">
        <v>61</v>
      </c>
      <c r="BJ298" s="121" t="s">
        <v>61</v>
      </c>
      <c r="BK298" s="121" t="s">
        <v>61</v>
      </c>
      <c r="BL298" s="128" t="str">
        <f>IF(BK298="NA","NA",IF(BK298="Not Reported","Not Reported",IF(BK298&lt;$L$298,"Not Met","Met")))</f>
        <v>Not Reported</v>
      </c>
      <c r="BM298" s="121" t="s">
        <v>61</v>
      </c>
      <c r="BN298" s="128" t="str">
        <f>IF(BM298="NA","NA",IF(BM298="Not Reported","Not Reported",IF(BM298&lt;$L$298,"Not Met","Met")))</f>
        <v>Not Reported</v>
      </c>
      <c r="BO298" s="121" t="s">
        <v>61</v>
      </c>
      <c r="BP298" s="128" t="s">
        <v>61</v>
      </c>
      <c r="BQ298" s="121" t="s">
        <v>61</v>
      </c>
      <c r="BR298" s="128" t="s">
        <v>61</v>
      </c>
      <c r="BS298" s="26" t="s">
        <v>61</v>
      </c>
      <c r="BT298" s="128" t="str">
        <f>IF(BS298="NA","NA",IF(BS298="Not Reported","Not Reported",IF(BS298&lt;$L$298,"Not Met","Met")))</f>
        <v>Not Reported</v>
      </c>
      <c r="BU298" s="26" t="s">
        <v>61</v>
      </c>
      <c r="BV298" s="128" t="str">
        <f>IF(BU298="NA","NA",IF(BU298="Not Reported","Not Reported",IF(BU298&lt;$L$298,"Not Met","Met")))</f>
        <v>Not Reported</v>
      </c>
    </row>
    <row r="299" spans="1:74 16353:16362" x14ac:dyDescent="0.25">
      <c r="A299" s="121">
        <v>298</v>
      </c>
      <c r="B299" s="122" t="s">
        <v>20</v>
      </c>
      <c r="C299" s="122" t="s">
        <v>902</v>
      </c>
      <c r="D299" s="123" t="s">
        <v>105</v>
      </c>
      <c r="E299" s="123" t="s">
        <v>132</v>
      </c>
      <c r="F299" s="123" t="s">
        <v>300</v>
      </c>
      <c r="G299" s="122" t="s">
        <v>273</v>
      </c>
      <c r="H299" s="122" t="s">
        <v>192</v>
      </c>
      <c r="I299" s="124" t="s">
        <v>289</v>
      </c>
      <c r="J299" s="124" t="s">
        <v>285</v>
      </c>
      <c r="K299" s="145" t="s">
        <v>289</v>
      </c>
      <c r="L299" s="146">
        <v>0.2</v>
      </c>
      <c r="M299" s="146">
        <v>0.2</v>
      </c>
      <c r="N299" s="145" t="s">
        <v>290</v>
      </c>
      <c r="O299" s="145" t="s">
        <v>291</v>
      </c>
      <c r="P299" s="123" t="s">
        <v>207</v>
      </c>
      <c r="Q299" s="147" t="s">
        <v>61</v>
      </c>
      <c r="R299" s="147" t="s">
        <v>61</v>
      </c>
      <c r="S299" s="146">
        <v>0.22</v>
      </c>
      <c r="T299" s="147" t="s">
        <v>198</v>
      </c>
      <c r="U299" s="146">
        <v>0.27</v>
      </c>
      <c r="V299" s="121" t="s">
        <v>198</v>
      </c>
      <c r="W299" s="146">
        <v>0.06</v>
      </c>
      <c r="X299" s="121" t="s">
        <v>251</v>
      </c>
      <c r="Y299" s="126">
        <v>0</v>
      </c>
      <c r="Z299" s="121" t="s">
        <v>251</v>
      </c>
      <c r="AA299" s="146">
        <v>0.03</v>
      </c>
      <c r="AB299" s="147" t="s">
        <v>251</v>
      </c>
      <c r="AC299" s="121" t="s">
        <v>61</v>
      </c>
      <c r="AD299" s="121" t="s">
        <v>61</v>
      </c>
      <c r="AE299" s="146">
        <v>0</v>
      </c>
      <c r="AF299" s="147" t="s">
        <v>251</v>
      </c>
      <c r="AG299" s="128">
        <v>5.8823529411764705E-2</v>
      </c>
      <c r="AH299" s="147" t="s">
        <v>251</v>
      </c>
      <c r="AI299" s="126">
        <f>2/90</f>
        <v>2.2222222222222223E-2</v>
      </c>
      <c r="AJ299" s="147" t="s">
        <v>251</v>
      </c>
      <c r="AK299" s="126">
        <f>5/156</f>
        <v>3.2051282051282048E-2</v>
      </c>
      <c r="AL299" s="147" t="s">
        <v>251</v>
      </c>
      <c r="AM299" s="126">
        <v>0.05</v>
      </c>
      <c r="AN299" s="121" t="s">
        <v>251</v>
      </c>
      <c r="AO299" s="126">
        <v>0</v>
      </c>
      <c r="AP299" s="121" t="s">
        <v>251</v>
      </c>
      <c r="AQ299" s="126">
        <v>0.05</v>
      </c>
      <c r="AR299" s="121" t="s">
        <v>251</v>
      </c>
      <c r="AS299" s="126">
        <v>0.02</v>
      </c>
      <c r="AT299" s="121" t="s">
        <v>251</v>
      </c>
      <c r="AU299" s="126">
        <v>0.02</v>
      </c>
      <c r="AV299" s="121" t="s">
        <v>251</v>
      </c>
      <c r="AW299" s="126">
        <v>0.03</v>
      </c>
      <c r="AX299" s="121" t="s">
        <v>251</v>
      </c>
      <c r="AY299" s="126">
        <v>0.11</v>
      </c>
      <c r="AZ299" s="121" t="s">
        <v>251</v>
      </c>
      <c r="BA299" s="126">
        <v>7.0000000000000007E-2</v>
      </c>
      <c r="BB299" s="121" t="s">
        <v>251</v>
      </c>
      <c r="BC299" s="126">
        <v>0.05</v>
      </c>
      <c r="BD299" s="121" t="s">
        <v>251</v>
      </c>
      <c r="BE299" s="126">
        <v>0.51</v>
      </c>
      <c r="BF299" s="121" t="s">
        <v>198</v>
      </c>
      <c r="BG299" s="121" t="s">
        <v>61</v>
      </c>
      <c r="BH299" s="121" t="s">
        <v>61</v>
      </c>
      <c r="BI299" s="121" t="s">
        <v>61</v>
      </c>
      <c r="BJ299" s="121" t="s">
        <v>61</v>
      </c>
      <c r="BK299" s="121" t="s">
        <v>61</v>
      </c>
      <c r="BL299" s="128" t="str">
        <f>IF(BK299="NA","NA",IF(BK299="Not Reported","Not Reported",IF(BK299&lt;$L$299,"Not Met","Met")))</f>
        <v>Not Reported</v>
      </c>
      <c r="BM299" s="121" t="s">
        <v>61</v>
      </c>
      <c r="BN299" s="128" t="str">
        <f>IF(BM299="NA","NA",IF(BM299="Not Reported","Not Reported",IF(BM299&lt;$L$299,"Not Met","Met")))</f>
        <v>Not Reported</v>
      </c>
      <c r="BO299" s="121" t="s">
        <v>61</v>
      </c>
      <c r="BP299" s="128" t="s">
        <v>61</v>
      </c>
      <c r="BQ299" s="121" t="s">
        <v>61</v>
      </c>
      <c r="BR299" s="128" t="s">
        <v>61</v>
      </c>
      <c r="BS299" s="26" t="s">
        <v>61</v>
      </c>
      <c r="BT299" s="128" t="str">
        <f>IF(BS299="NA","NA",IF(BS299="Not Reported","Not Reported",IF(BS299&lt;$L$299,"Not Met","Met")))</f>
        <v>Not Reported</v>
      </c>
      <c r="BU299" s="26" t="s">
        <v>61</v>
      </c>
      <c r="BV299" s="128" t="str">
        <f>IF(BU299="NA","NA",IF(BU299="Not Reported","Not Reported",IF(BU299&lt;$L$299,"Not Met","Met")))</f>
        <v>Not Reported</v>
      </c>
    </row>
    <row r="300" spans="1:74 16353:16362" x14ac:dyDescent="0.25">
      <c r="A300" s="121">
        <v>299</v>
      </c>
      <c r="B300" s="122" t="s">
        <v>20</v>
      </c>
      <c r="C300" s="122" t="s">
        <v>902</v>
      </c>
      <c r="D300" s="123" t="s">
        <v>105</v>
      </c>
      <c r="E300" s="123" t="s">
        <v>132</v>
      </c>
      <c r="F300" s="123" t="s">
        <v>300</v>
      </c>
      <c r="G300" s="122" t="s">
        <v>273</v>
      </c>
      <c r="H300" s="122" t="s">
        <v>192</v>
      </c>
      <c r="I300" s="124" t="s">
        <v>292</v>
      </c>
      <c r="J300" s="124" t="s">
        <v>293</v>
      </c>
      <c r="K300" s="122" t="s">
        <v>292</v>
      </c>
      <c r="L300" s="146">
        <v>0.15</v>
      </c>
      <c r="M300" s="146">
        <v>0.15</v>
      </c>
      <c r="N300" s="145" t="s">
        <v>752</v>
      </c>
      <c r="O300" s="145" t="s">
        <v>611</v>
      </c>
      <c r="P300" s="123" t="s">
        <v>207</v>
      </c>
      <c r="Q300" s="147" t="s">
        <v>61</v>
      </c>
      <c r="R300" s="147" t="s">
        <v>61</v>
      </c>
      <c r="S300" s="146">
        <v>0.14000000000000001</v>
      </c>
      <c r="T300" s="121" t="s">
        <v>198</v>
      </c>
      <c r="U300" s="146">
        <v>0</v>
      </c>
      <c r="V300" s="121" t="s">
        <v>198</v>
      </c>
      <c r="W300" s="146">
        <v>0</v>
      </c>
      <c r="X300" s="121" t="s">
        <v>198</v>
      </c>
      <c r="Y300" s="126">
        <v>0.5</v>
      </c>
      <c r="Z300" s="121" t="s">
        <v>251</v>
      </c>
      <c r="AA300" s="147" t="s">
        <v>11</v>
      </c>
      <c r="AB300" s="128" t="s">
        <v>11</v>
      </c>
      <c r="AC300" s="121" t="s">
        <v>61</v>
      </c>
      <c r="AD300" s="121" t="s">
        <v>61</v>
      </c>
      <c r="AE300" s="147" t="s">
        <v>11</v>
      </c>
      <c r="AF300" s="128" t="s">
        <v>11</v>
      </c>
      <c r="AG300" s="128">
        <v>0</v>
      </c>
      <c r="AH300" s="121" t="s">
        <v>198</v>
      </c>
      <c r="AI300" s="126">
        <v>0</v>
      </c>
      <c r="AJ300" s="121" t="s">
        <v>198</v>
      </c>
      <c r="AK300" s="126">
        <v>0</v>
      </c>
      <c r="AL300" s="121" t="s">
        <v>198</v>
      </c>
      <c r="AM300" s="126">
        <v>0</v>
      </c>
      <c r="AN300" s="121" t="s">
        <v>198</v>
      </c>
      <c r="AO300" s="126">
        <v>0</v>
      </c>
      <c r="AP300" s="121" t="s">
        <v>198</v>
      </c>
      <c r="AQ300" s="126">
        <v>0</v>
      </c>
      <c r="AR300" s="121" t="s">
        <v>198</v>
      </c>
      <c r="AS300" s="126">
        <v>0</v>
      </c>
      <c r="AT300" s="121" t="s">
        <v>198</v>
      </c>
      <c r="AU300" s="126">
        <v>0</v>
      </c>
      <c r="AV300" s="121" t="s">
        <v>198</v>
      </c>
      <c r="AW300" s="126">
        <v>0</v>
      </c>
      <c r="AX300" s="121" t="s">
        <v>198</v>
      </c>
      <c r="AY300" s="126">
        <v>0</v>
      </c>
      <c r="AZ300" s="121" t="s">
        <v>198</v>
      </c>
      <c r="BA300" s="126">
        <v>7.0000000000000007E-2</v>
      </c>
      <c r="BB300" s="121" t="s">
        <v>198</v>
      </c>
      <c r="BC300" s="126">
        <v>0.33</v>
      </c>
      <c r="BD300" s="121" t="s">
        <v>251</v>
      </c>
      <c r="BE300" s="126">
        <v>0.09</v>
      </c>
      <c r="BF300" s="121" t="s">
        <v>198</v>
      </c>
      <c r="BG300" s="121" t="s">
        <v>61</v>
      </c>
      <c r="BH300" s="121" t="s">
        <v>61</v>
      </c>
      <c r="BI300" s="121" t="s">
        <v>61</v>
      </c>
      <c r="BJ300" s="121" t="s">
        <v>61</v>
      </c>
      <c r="BK300" s="121" t="s">
        <v>61</v>
      </c>
      <c r="BL300" s="128" t="str">
        <f>IF(BK300="NA","NA",IF(BK300="Not Reported","Not Reported",IF(BK300&gt;$L$300,"Not Met","Met")))</f>
        <v>Not Reported</v>
      </c>
      <c r="BM300" s="121" t="s">
        <v>61</v>
      </c>
      <c r="BN300" s="128" t="str">
        <f>IF(BM300="NA","NA",IF(BM300="Not Reported","Not Reported",IF(BM300&gt;$L$300,"Not Met","Met")))</f>
        <v>Not Reported</v>
      </c>
      <c r="BO300" s="121" t="s">
        <v>61</v>
      </c>
      <c r="BP300" s="128" t="s">
        <v>61</v>
      </c>
      <c r="BQ300" s="121" t="s">
        <v>61</v>
      </c>
      <c r="BR300" s="128" t="s">
        <v>61</v>
      </c>
      <c r="BS300" s="26" t="s">
        <v>61</v>
      </c>
      <c r="BT300" s="128" t="str">
        <f>IF(BS300="NA","NA",IF(BS300="Not Reported","Not Reported",IF(BS300&gt;$L$300,"Not Met","Met")))</f>
        <v>Not Reported</v>
      </c>
      <c r="BU300" s="26" t="s">
        <v>61</v>
      </c>
      <c r="BV300" s="128" t="str">
        <f>IF(BU300="NA","NA",IF(BU300="Not Reported","Not Reported",IF(BU300&gt;$L$300,"Not Met","Met")))</f>
        <v>Not Reported</v>
      </c>
    </row>
    <row r="301" spans="1:74 16353:16362" x14ac:dyDescent="0.25">
      <c r="A301" s="121">
        <v>300</v>
      </c>
      <c r="B301" s="122" t="s">
        <v>20</v>
      </c>
      <c r="C301" s="122" t="s">
        <v>902</v>
      </c>
      <c r="D301" s="123" t="s">
        <v>105</v>
      </c>
      <c r="E301" s="123" t="s">
        <v>132</v>
      </c>
      <c r="F301" s="123" t="s">
        <v>300</v>
      </c>
      <c r="G301" s="122" t="s">
        <v>273</v>
      </c>
      <c r="H301" s="122" t="s">
        <v>192</v>
      </c>
      <c r="I301" s="123" t="s">
        <v>296</v>
      </c>
      <c r="J301" s="123" t="s">
        <v>296</v>
      </c>
      <c r="K301" s="145" t="s">
        <v>296</v>
      </c>
      <c r="L301" s="146">
        <v>0.9</v>
      </c>
      <c r="M301" s="146">
        <v>0.9</v>
      </c>
      <c r="N301" s="145" t="s">
        <v>297</v>
      </c>
      <c r="O301" s="145" t="s">
        <v>298</v>
      </c>
      <c r="P301" s="123" t="s">
        <v>207</v>
      </c>
      <c r="Q301" s="147" t="s">
        <v>61</v>
      </c>
      <c r="R301" s="147" t="s">
        <v>61</v>
      </c>
      <c r="S301" s="147" t="s">
        <v>11</v>
      </c>
      <c r="T301" s="128" t="s">
        <v>11</v>
      </c>
      <c r="U301" s="146">
        <v>0.04</v>
      </c>
      <c r="V301" s="121" t="s">
        <v>251</v>
      </c>
      <c r="W301" s="146">
        <v>0.11</v>
      </c>
      <c r="X301" s="147" t="s">
        <v>251</v>
      </c>
      <c r="Y301" s="126">
        <v>0.13</v>
      </c>
      <c r="Z301" s="121" t="s">
        <v>251</v>
      </c>
      <c r="AA301" s="146">
        <v>0</v>
      </c>
      <c r="AB301" s="147" t="s">
        <v>251</v>
      </c>
      <c r="AC301" s="121" t="s">
        <v>61</v>
      </c>
      <c r="AD301" s="121" t="s">
        <v>61</v>
      </c>
      <c r="AE301" s="146">
        <v>0</v>
      </c>
      <c r="AF301" s="147" t="s">
        <v>251</v>
      </c>
      <c r="AG301" s="146">
        <v>0.06</v>
      </c>
      <c r="AH301" s="147" t="s">
        <v>251</v>
      </c>
      <c r="AI301" s="146">
        <v>0</v>
      </c>
      <c r="AJ301" s="147" t="s">
        <v>251</v>
      </c>
      <c r="AK301" s="146">
        <v>0.09</v>
      </c>
      <c r="AL301" s="147" t="s">
        <v>251</v>
      </c>
      <c r="AM301" s="146">
        <v>0.14000000000000001</v>
      </c>
      <c r="AN301" s="121" t="s">
        <v>251</v>
      </c>
      <c r="AO301" s="146">
        <v>0.03</v>
      </c>
      <c r="AP301" s="121" t="s">
        <v>251</v>
      </c>
      <c r="AQ301" s="146">
        <v>7.0000000000000007E-2</v>
      </c>
      <c r="AR301" s="121" t="s">
        <v>251</v>
      </c>
      <c r="AS301" s="146">
        <v>0.2</v>
      </c>
      <c r="AT301" s="121" t="s">
        <v>251</v>
      </c>
      <c r="AU301" s="126">
        <v>0</v>
      </c>
      <c r="AV301" s="121" t="s">
        <v>251</v>
      </c>
      <c r="AW301" s="126">
        <v>0.1</v>
      </c>
      <c r="AX301" s="121" t="s">
        <v>251</v>
      </c>
      <c r="AY301" s="126">
        <v>0.16</v>
      </c>
      <c r="AZ301" s="121" t="s">
        <v>251</v>
      </c>
      <c r="BA301" s="126">
        <v>0.25</v>
      </c>
      <c r="BB301" s="121" t="s">
        <v>251</v>
      </c>
      <c r="BC301" s="126">
        <v>0.02</v>
      </c>
      <c r="BD301" s="121" t="s">
        <v>251</v>
      </c>
      <c r="BE301" s="126">
        <v>0</v>
      </c>
      <c r="BF301" s="121" t="s">
        <v>251</v>
      </c>
      <c r="BG301" s="121" t="s">
        <v>61</v>
      </c>
      <c r="BH301" s="121" t="s">
        <v>61</v>
      </c>
      <c r="BI301" s="121" t="s">
        <v>61</v>
      </c>
      <c r="BJ301" s="121" t="s">
        <v>61</v>
      </c>
      <c r="BK301" s="121" t="s">
        <v>61</v>
      </c>
      <c r="BL301" s="128" t="str">
        <f>IF(BK301="NA","NA",IF(BK301="Not Reported","Not Reported",IF(BK301&lt;$L$301,"Not Met","Met")))</f>
        <v>Not Reported</v>
      </c>
      <c r="BM301" s="121" t="s">
        <v>61</v>
      </c>
      <c r="BN301" s="128" t="str">
        <f>IF(BM301="NA","NA",IF(BM301="Not Reported","Not Reported",IF(BM301&lt;$L$301,"Not Met","Met")))</f>
        <v>Not Reported</v>
      </c>
      <c r="BO301" s="121" t="s">
        <v>61</v>
      </c>
      <c r="BP301" s="128" t="s">
        <v>61</v>
      </c>
      <c r="BQ301" s="121" t="s">
        <v>61</v>
      </c>
      <c r="BR301" s="128" t="s">
        <v>61</v>
      </c>
      <c r="BS301" s="26" t="s">
        <v>61</v>
      </c>
      <c r="BT301" s="128" t="str">
        <f>IF(BS301="NA","NA",IF(BS301="Not Reported","Not Reported",IF(BS301&lt;$L$301,"Not Met","Met")))</f>
        <v>Not Reported</v>
      </c>
      <c r="BU301" s="26" t="s">
        <v>61</v>
      </c>
      <c r="BV301" s="128" t="str">
        <f>IF(BU301="NA","NA",IF(BU301="Not Reported","Not Reported",IF(BU301&lt;$L$301,"Not Met","Met")))</f>
        <v>Not Reported</v>
      </c>
    </row>
    <row r="302" spans="1:74 16353:16362" x14ac:dyDescent="0.25">
      <c r="A302" s="121">
        <v>301</v>
      </c>
      <c r="B302" s="122" t="s">
        <v>20</v>
      </c>
      <c r="C302" s="122" t="s">
        <v>902</v>
      </c>
      <c r="D302" s="123" t="s">
        <v>105</v>
      </c>
      <c r="E302" s="123" t="s">
        <v>132</v>
      </c>
      <c r="F302" s="123" t="s">
        <v>300</v>
      </c>
      <c r="G302" s="122" t="s">
        <v>273</v>
      </c>
      <c r="H302" s="122" t="s">
        <v>192</v>
      </c>
      <c r="I302" s="123"/>
      <c r="J302" s="123"/>
      <c r="K302" s="145" t="s">
        <v>259</v>
      </c>
      <c r="L302" s="146">
        <v>0.2</v>
      </c>
      <c r="M302" s="146">
        <v>0.2</v>
      </c>
      <c r="N302" s="145"/>
      <c r="O302" s="145"/>
      <c r="P302" s="123"/>
      <c r="Q302" s="147"/>
      <c r="R302" s="147"/>
      <c r="S302" s="147"/>
      <c r="T302" s="128"/>
      <c r="U302" s="146"/>
      <c r="V302" s="121"/>
      <c r="W302" s="146"/>
      <c r="X302" s="147"/>
      <c r="Y302" s="126"/>
      <c r="Z302" s="121"/>
      <c r="AA302" s="146"/>
      <c r="AB302" s="147"/>
      <c r="AC302" s="121"/>
      <c r="AD302" s="121"/>
      <c r="AE302" s="146"/>
      <c r="AF302" s="147"/>
      <c r="AG302" s="146"/>
      <c r="AH302" s="147"/>
      <c r="AI302" s="146"/>
      <c r="AJ302" s="147"/>
      <c r="AK302" s="146"/>
      <c r="AL302" s="147"/>
      <c r="AM302" s="146"/>
      <c r="AN302" s="121"/>
      <c r="AO302" s="146"/>
      <c r="AP302" s="121"/>
      <c r="AQ302" s="146"/>
      <c r="AR302" s="121"/>
      <c r="AS302" s="146"/>
      <c r="AT302" s="121"/>
      <c r="AU302" s="126"/>
      <c r="AV302" s="121"/>
      <c r="AW302" s="126" t="s">
        <v>11</v>
      </c>
      <c r="AX302" s="126" t="s">
        <v>11</v>
      </c>
      <c r="AY302" s="126">
        <v>0.86</v>
      </c>
      <c r="AZ302" s="121" t="s">
        <v>198</v>
      </c>
      <c r="BA302" s="126">
        <v>0.91</v>
      </c>
      <c r="BB302" s="121" t="s">
        <v>198</v>
      </c>
      <c r="BC302" s="126">
        <v>0</v>
      </c>
      <c r="BD302" s="121" t="s">
        <v>251</v>
      </c>
      <c r="BE302" s="126">
        <v>0.19</v>
      </c>
      <c r="BF302" s="121" t="s">
        <v>251</v>
      </c>
      <c r="BG302" s="121" t="s">
        <v>61</v>
      </c>
      <c r="BH302" s="121" t="s">
        <v>61</v>
      </c>
      <c r="BI302" s="121" t="s">
        <v>61</v>
      </c>
      <c r="BJ302" s="121" t="s">
        <v>61</v>
      </c>
      <c r="BK302" s="121" t="s">
        <v>61</v>
      </c>
      <c r="BL302" s="121" t="str">
        <f>IF(BK302="NA","NA",IF(BK302="Not Reported","Not Reported",IF(BK302&lt;$L$302,"Not Met","Met")))</f>
        <v>Not Reported</v>
      </c>
      <c r="BM302" s="121" t="s">
        <v>61</v>
      </c>
      <c r="BN302" s="121" t="str">
        <f>IF(BM302="NA","NA",IF(BM302="Not Reported","Not Reported",IF(BM302&lt;$L$302,"Not Met","Met")))</f>
        <v>Not Reported</v>
      </c>
      <c r="BO302" s="121" t="s">
        <v>61</v>
      </c>
      <c r="BP302" s="121" t="s">
        <v>61</v>
      </c>
      <c r="BQ302" s="121" t="s">
        <v>61</v>
      </c>
      <c r="BR302" s="121" t="s">
        <v>61</v>
      </c>
      <c r="BS302" s="26" t="s">
        <v>61</v>
      </c>
      <c r="BT302" s="121" t="str">
        <f>IF(BS302="NA","NA",IF(BS302="Not Reported","Not Reported",IF(BS302&lt;$L$302,"Not Met","Met")))</f>
        <v>Not Reported</v>
      </c>
      <c r="BU302" s="26" t="s">
        <v>61</v>
      </c>
      <c r="BV302" s="121" t="str">
        <f>IF(BU302="NA","NA",IF(BU302="Not Reported","Not Reported",IF(BU302&lt;$L$302,"Not Met","Met")))</f>
        <v>Not Reported</v>
      </c>
    </row>
    <row r="303" spans="1:74 16353:16362" x14ac:dyDescent="0.25">
      <c r="A303" s="121">
        <v>302</v>
      </c>
      <c r="B303" s="122" t="s">
        <v>25</v>
      </c>
      <c r="C303" s="122" t="s">
        <v>106</v>
      </c>
      <c r="D303" s="123" t="s">
        <v>920</v>
      </c>
      <c r="E303" s="123" t="s">
        <v>894</v>
      </c>
      <c r="F303" s="123" t="s">
        <v>300</v>
      </c>
      <c r="G303" s="122" t="s">
        <v>273</v>
      </c>
      <c r="H303" s="122" t="s">
        <v>192</v>
      </c>
      <c r="I303" s="129" t="s">
        <v>274</v>
      </c>
      <c r="J303" s="147" t="s">
        <v>214</v>
      </c>
      <c r="K303" s="121" t="s">
        <v>274</v>
      </c>
      <c r="L303" s="121">
        <v>90</v>
      </c>
      <c r="M303" s="121" t="s">
        <v>370</v>
      </c>
      <c r="N303" s="121" t="s">
        <v>276</v>
      </c>
      <c r="O303" s="121" t="s">
        <v>277</v>
      </c>
      <c r="P303" s="122" t="s">
        <v>207</v>
      </c>
      <c r="Q303" s="122" t="s">
        <v>61</v>
      </c>
      <c r="R303" s="122" t="s">
        <v>61</v>
      </c>
      <c r="S303" s="122" t="s">
        <v>220</v>
      </c>
      <c r="T303" s="122" t="s">
        <v>198</v>
      </c>
      <c r="U303" s="122" t="s">
        <v>346</v>
      </c>
      <c r="V303" s="122" t="s">
        <v>198</v>
      </c>
      <c r="W303" s="122" t="s">
        <v>719</v>
      </c>
      <c r="X303" s="122" t="s">
        <v>198</v>
      </c>
      <c r="Y303" s="122" t="s">
        <v>335</v>
      </c>
      <c r="Z303" s="122" t="s">
        <v>198</v>
      </c>
      <c r="AA303" s="122" t="s">
        <v>537</v>
      </c>
      <c r="AB303" s="122" t="s">
        <v>198</v>
      </c>
      <c r="AC303" s="122" t="s">
        <v>759</v>
      </c>
      <c r="AD303" s="122" t="s">
        <v>198</v>
      </c>
      <c r="AE303" s="122" t="s">
        <v>547</v>
      </c>
      <c r="AF303" s="122" t="s">
        <v>198</v>
      </c>
      <c r="AG303" s="122" t="s">
        <v>481</v>
      </c>
      <c r="AH303" s="122" t="s">
        <v>198</v>
      </c>
      <c r="AI303" s="122" t="s">
        <v>760</v>
      </c>
      <c r="AJ303" s="122" t="s">
        <v>198</v>
      </c>
      <c r="AK303" s="122" t="s">
        <v>61</v>
      </c>
      <c r="AL303" s="122" t="s">
        <v>61</v>
      </c>
      <c r="AM303" s="122" t="s">
        <v>558</v>
      </c>
      <c r="AN303" s="122" t="s">
        <v>198</v>
      </c>
      <c r="AO303" s="122" t="s">
        <v>615</v>
      </c>
      <c r="AP303" s="122" t="s">
        <v>198</v>
      </c>
      <c r="AQ303" s="122" t="s">
        <v>761</v>
      </c>
      <c r="AR303" s="122" t="s">
        <v>198</v>
      </c>
      <c r="AS303" s="122" t="s">
        <v>480</v>
      </c>
      <c r="AT303" s="122" t="s">
        <v>198</v>
      </c>
      <c r="AU303" s="122" t="s">
        <v>61</v>
      </c>
      <c r="AV303" s="122" t="s">
        <v>61</v>
      </c>
      <c r="AW303" s="122" t="s">
        <v>762</v>
      </c>
      <c r="AX303" s="122" t="s">
        <v>198</v>
      </c>
      <c r="AY303" s="122" t="s">
        <v>762</v>
      </c>
      <c r="AZ303" s="122" t="s">
        <v>198</v>
      </c>
      <c r="BA303" s="122" t="s">
        <v>761</v>
      </c>
      <c r="BB303" s="122" t="s">
        <v>198</v>
      </c>
      <c r="BC303" s="122">
        <v>0</v>
      </c>
      <c r="BD303" s="122" t="s">
        <v>251</v>
      </c>
      <c r="BE303" s="121" t="s">
        <v>61</v>
      </c>
      <c r="BF303" s="121" t="s">
        <v>61</v>
      </c>
      <c r="BG303" s="121" t="s">
        <v>61</v>
      </c>
      <c r="BH303" s="121" t="s">
        <v>61</v>
      </c>
      <c r="BI303" s="121" t="s">
        <v>61</v>
      </c>
      <c r="BJ303" s="121" t="s">
        <v>61</v>
      </c>
      <c r="BK303" s="121">
        <v>53</v>
      </c>
      <c r="BL303" s="121" t="str">
        <f>IF(BK303="NA","NA",IF(BK303="Not Reported","Not Reported",IF(BK303&gt;$L$303,"Not Met","Met")))</f>
        <v>Met</v>
      </c>
      <c r="BM303" s="276">
        <v>60</v>
      </c>
      <c r="BN303" s="121" t="str">
        <f>IF(BM303="NA","NA",IF(BM303="Not Reported","Not Reported",IF(BM303&gt;$L$303,"Not Met","Met")))</f>
        <v>Met</v>
      </c>
      <c r="BO303" s="335">
        <v>56</v>
      </c>
      <c r="BP303" s="121" t="s">
        <v>198</v>
      </c>
      <c r="BQ303" s="338">
        <v>56</v>
      </c>
      <c r="BR303" s="121" t="s">
        <v>198</v>
      </c>
      <c r="BS303" s="26">
        <v>52</v>
      </c>
      <c r="BT303" s="121" t="str">
        <f>IF(BS303="NA","NA",IF(BS303="Not Reported","Not Reported",IF(BS303&gt;$L$303,"Not Met","Met")))</f>
        <v>Met</v>
      </c>
      <c r="BU303" s="31">
        <v>52</v>
      </c>
      <c r="BV303" s="121" t="str">
        <f>IF(BU303="NA","NA",IF(BU303="Not Reported","Not Reported",IF(BU303&gt;$L$303,"Not Met","Met")))</f>
        <v>Met</v>
      </c>
      <c r="XDY303" s="26"/>
      <c r="XDZ303" s="27"/>
      <c r="XEA303" s="27"/>
      <c r="XEB303" s="28"/>
      <c r="XEC303" s="28"/>
      <c r="XED303" s="28"/>
      <c r="XEE303" s="27"/>
      <c r="XEF303" s="27"/>
      <c r="XEG303" s="30"/>
      <c r="XEH303" s="31"/>
    </row>
    <row r="304" spans="1:74 16353:16362" x14ac:dyDescent="0.25">
      <c r="A304" s="121">
        <v>303</v>
      </c>
      <c r="B304" s="122" t="s">
        <v>25</v>
      </c>
      <c r="C304" s="122" t="s">
        <v>106</v>
      </c>
      <c r="D304" s="123" t="s">
        <v>920</v>
      </c>
      <c r="E304" s="123" t="s">
        <v>894</v>
      </c>
      <c r="F304" s="123" t="s">
        <v>300</v>
      </c>
      <c r="G304" s="122" t="s">
        <v>273</v>
      </c>
      <c r="H304" s="122" t="s">
        <v>192</v>
      </c>
      <c r="I304" s="124" t="s">
        <v>213</v>
      </c>
      <c r="J304" s="124" t="s">
        <v>214</v>
      </c>
      <c r="K304" s="129" t="s">
        <v>763</v>
      </c>
      <c r="L304" s="147">
        <v>45</v>
      </c>
      <c r="M304" s="147" t="s">
        <v>361</v>
      </c>
      <c r="N304" s="145" t="s">
        <v>341</v>
      </c>
      <c r="O304" s="145" t="s">
        <v>342</v>
      </c>
      <c r="P304" s="123" t="s">
        <v>207</v>
      </c>
      <c r="Q304" s="147" t="s">
        <v>61</v>
      </c>
      <c r="R304" s="147" t="s">
        <v>61</v>
      </c>
      <c r="S304" s="147" t="s">
        <v>346</v>
      </c>
      <c r="T304" s="121" t="s">
        <v>198</v>
      </c>
      <c r="U304" s="147" t="s">
        <v>222</v>
      </c>
      <c r="V304" s="121" t="s">
        <v>198</v>
      </c>
      <c r="W304" s="147" t="s">
        <v>440</v>
      </c>
      <c r="X304" s="121" t="s">
        <v>198</v>
      </c>
      <c r="Y304" s="121" t="s">
        <v>11</v>
      </c>
      <c r="Z304" s="121" t="s">
        <v>11</v>
      </c>
      <c r="AA304" s="127" t="s">
        <v>243</v>
      </c>
      <c r="AB304" s="121" t="s">
        <v>198</v>
      </c>
      <c r="AC304" s="127" t="s">
        <v>233</v>
      </c>
      <c r="AD304" s="121" t="s">
        <v>198</v>
      </c>
      <c r="AE304" s="127" t="s">
        <v>481</v>
      </c>
      <c r="AF304" s="147" t="s">
        <v>251</v>
      </c>
      <c r="AG304" s="147" t="s">
        <v>356</v>
      </c>
      <c r="AH304" s="121" t="s">
        <v>198</v>
      </c>
      <c r="AI304" s="121" t="s">
        <v>442</v>
      </c>
      <c r="AJ304" s="121" t="s">
        <v>198</v>
      </c>
      <c r="AK304" s="126" t="s">
        <v>61</v>
      </c>
      <c r="AL304" s="121" t="s">
        <v>61</v>
      </c>
      <c r="AM304" s="121" t="s">
        <v>440</v>
      </c>
      <c r="AN304" s="121" t="s">
        <v>198</v>
      </c>
      <c r="AO304" s="121" t="s">
        <v>61</v>
      </c>
      <c r="AP304" s="121" t="s">
        <v>61</v>
      </c>
      <c r="AQ304" s="126" t="s">
        <v>11</v>
      </c>
      <c r="AR304" s="121" t="s">
        <v>11</v>
      </c>
      <c r="AS304" s="126" t="s">
        <v>11</v>
      </c>
      <c r="AT304" s="121" t="s">
        <v>11</v>
      </c>
      <c r="AU304" s="121" t="s">
        <v>61</v>
      </c>
      <c r="AV304" s="121" t="s">
        <v>61</v>
      </c>
      <c r="AW304" s="121" t="s">
        <v>346</v>
      </c>
      <c r="AX304" s="121" t="s">
        <v>198</v>
      </c>
      <c r="AY304" s="121" t="s">
        <v>6</v>
      </c>
      <c r="AZ304" s="121" t="s">
        <v>61</v>
      </c>
      <c r="BA304" s="121" t="s">
        <v>6</v>
      </c>
      <c r="BB304" s="121" t="s">
        <v>61</v>
      </c>
      <c r="BC304" s="121" t="s">
        <v>61</v>
      </c>
      <c r="BD304" s="121" t="s">
        <v>6</v>
      </c>
      <c r="BE304" s="121" t="s">
        <v>61</v>
      </c>
      <c r="BF304" s="121" t="s">
        <v>61</v>
      </c>
      <c r="BG304" s="121" t="s">
        <v>61</v>
      </c>
      <c r="BH304" s="121" t="s">
        <v>61</v>
      </c>
      <c r="BI304" s="121" t="s">
        <v>61</v>
      </c>
      <c r="BJ304" s="121" t="s">
        <v>61</v>
      </c>
      <c r="BK304" s="121" t="s">
        <v>453</v>
      </c>
      <c r="BL304" s="121" t="str">
        <f>IF(BK304="NA","NA",IF(BK304="Not Reported","Not Reported",IF(BK304&gt;$L$304,"Not Met","Met")))</f>
        <v>Not Met</v>
      </c>
      <c r="BM304" s="276">
        <v>38</v>
      </c>
      <c r="BN304" s="121" t="str">
        <f>IF(BM304="NA","NA",IF(BM304="Not Reported","Not Reported",IF(BM304&gt;$L$304,"Not Met","Met")))</f>
        <v>Met</v>
      </c>
      <c r="BO304" s="335">
        <v>30</v>
      </c>
      <c r="BP304" s="121" t="s">
        <v>198</v>
      </c>
      <c r="BQ304" s="338">
        <v>32</v>
      </c>
      <c r="BR304" s="121" t="s">
        <v>198</v>
      </c>
      <c r="BS304" s="26">
        <v>16</v>
      </c>
      <c r="BT304" s="121" t="str">
        <f>IF(BS304="NA","NA",IF(BS304="Not Reported","Not Reported",IF(BS304&gt;$L$304,"Not Met","Met")))</f>
        <v>Met</v>
      </c>
      <c r="BU304" s="26">
        <v>28</v>
      </c>
      <c r="BV304" s="121" t="str">
        <f>IF(BU304="NA","NA",IF(BU304="Not Reported","Not Reported",IF(BU304&gt;$L$304,"Not Met","Met")))</f>
        <v>Met</v>
      </c>
    </row>
    <row r="305" spans="1:74" x14ac:dyDescent="0.25">
      <c r="A305" s="121">
        <v>304</v>
      </c>
      <c r="B305" s="122" t="s">
        <v>25</v>
      </c>
      <c r="C305" s="122" t="s">
        <v>106</v>
      </c>
      <c r="D305" s="123" t="s">
        <v>920</v>
      </c>
      <c r="E305" s="123" t="s">
        <v>894</v>
      </c>
      <c r="F305" s="123" t="s">
        <v>190</v>
      </c>
      <c r="G305" s="122" t="s">
        <v>191</v>
      </c>
      <c r="H305" s="122" t="s">
        <v>212</v>
      </c>
      <c r="I305" s="124" t="s">
        <v>213</v>
      </c>
      <c r="J305" s="124" t="s">
        <v>214</v>
      </c>
      <c r="K305" s="129" t="s">
        <v>764</v>
      </c>
      <c r="L305" s="147">
        <v>15</v>
      </c>
      <c r="M305" s="147" t="s">
        <v>691</v>
      </c>
      <c r="N305" s="145" t="s">
        <v>341</v>
      </c>
      <c r="O305" s="145" t="s">
        <v>342</v>
      </c>
      <c r="P305" s="123" t="s">
        <v>207</v>
      </c>
      <c r="Q305" s="147"/>
      <c r="R305" s="147"/>
      <c r="S305" s="147"/>
      <c r="T305" s="121"/>
      <c r="U305" s="147"/>
      <c r="V305" s="121"/>
      <c r="W305" s="147" t="s">
        <v>11</v>
      </c>
      <c r="X305" s="121" t="s">
        <v>11</v>
      </c>
      <c r="Y305" s="121" t="s">
        <v>617</v>
      </c>
      <c r="Z305" s="121" t="s">
        <v>251</v>
      </c>
      <c r="AA305" s="127" t="s">
        <v>356</v>
      </c>
      <c r="AB305" s="147" t="s">
        <v>251</v>
      </c>
      <c r="AC305" s="127" t="s">
        <v>440</v>
      </c>
      <c r="AD305" s="121" t="s">
        <v>251</v>
      </c>
      <c r="AE305" s="127" t="s">
        <v>499</v>
      </c>
      <c r="AF305" s="147" t="s">
        <v>251</v>
      </c>
      <c r="AG305" s="147" t="s">
        <v>448</v>
      </c>
      <c r="AH305" s="121" t="s">
        <v>198</v>
      </c>
      <c r="AI305" s="121" t="s">
        <v>233</v>
      </c>
      <c r="AJ305" s="147" t="s">
        <v>251</v>
      </c>
      <c r="AK305" s="126" t="s">
        <v>61</v>
      </c>
      <c r="AL305" s="121" t="s">
        <v>61</v>
      </c>
      <c r="AM305" s="121" t="s">
        <v>347</v>
      </c>
      <c r="AN305" s="121" t="s">
        <v>251</v>
      </c>
      <c r="AO305" s="127" t="s">
        <v>233</v>
      </c>
      <c r="AP305" s="121" t="s">
        <v>251</v>
      </c>
      <c r="AQ305" s="127" t="s">
        <v>447</v>
      </c>
      <c r="AR305" s="121" t="s">
        <v>251</v>
      </c>
      <c r="AS305" s="127" t="s">
        <v>357</v>
      </c>
      <c r="AT305" s="121" t="s">
        <v>198</v>
      </c>
      <c r="AU305" s="121" t="s">
        <v>61</v>
      </c>
      <c r="AV305" s="121" t="s">
        <v>61</v>
      </c>
      <c r="AW305" s="127" t="s">
        <v>454</v>
      </c>
      <c r="AX305" s="121" t="s">
        <v>251</v>
      </c>
      <c r="AY305" s="127" t="s">
        <v>243</v>
      </c>
      <c r="AZ305" s="121" t="s">
        <v>198</v>
      </c>
      <c r="BA305" s="126" t="s">
        <v>449</v>
      </c>
      <c r="BB305" s="121" t="s">
        <v>251</v>
      </c>
      <c r="BC305" s="127" t="s">
        <v>231</v>
      </c>
      <c r="BD305" s="121" t="s">
        <v>198</v>
      </c>
      <c r="BE305" s="121" t="s">
        <v>61</v>
      </c>
      <c r="BF305" s="121" t="s">
        <v>61</v>
      </c>
      <c r="BG305" s="121" t="s">
        <v>61</v>
      </c>
      <c r="BH305" s="121" t="s">
        <v>61</v>
      </c>
      <c r="BI305" s="121" t="s">
        <v>61</v>
      </c>
      <c r="BJ305" s="121" t="s">
        <v>61</v>
      </c>
      <c r="BK305" s="121" t="s">
        <v>323</v>
      </c>
      <c r="BL305" s="121" t="str">
        <f>IF(BK305="NA","NA",IF(BK305="Not Reported","Not Reported",IF(BK305&gt;$L$305,"Not Met","Met")))</f>
        <v>Not Met</v>
      </c>
      <c r="BM305" s="276">
        <v>20</v>
      </c>
      <c r="BN305" s="121" t="str">
        <f>IF(BM305="NA","NA",IF(BM305="Not Reported","Not Reported",IF(BM305&gt;$L$305,"Not Met","Met")))</f>
        <v>Not Met</v>
      </c>
      <c r="BO305" s="31">
        <v>12</v>
      </c>
      <c r="BP305" s="121" t="s">
        <v>198</v>
      </c>
      <c r="BQ305" s="31">
        <v>16</v>
      </c>
      <c r="BR305" s="121" t="s">
        <v>251</v>
      </c>
      <c r="BS305" s="26">
        <v>11</v>
      </c>
      <c r="BT305" s="121" t="str">
        <f>IF(BS305="NA","NA",IF(BS305="Not Reported","Not Reported",IF(BS305&gt;$L$305,"Not Met","Met")))</f>
        <v>Met</v>
      </c>
      <c r="BU305" s="31">
        <v>18</v>
      </c>
      <c r="BV305" s="121" t="str">
        <f>IF(BU305="NA","NA",IF(BU305="Not Reported","Not Reported",IF(BU305&gt;$L$305,"Not Met","Met")))</f>
        <v>Not Met</v>
      </c>
    </row>
    <row r="306" spans="1:74" x14ac:dyDescent="0.25">
      <c r="A306" s="121">
        <v>305</v>
      </c>
      <c r="B306" s="122" t="s">
        <v>25</v>
      </c>
      <c r="C306" s="122" t="s">
        <v>106</v>
      </c>
      <c r="D306" s="123" t="s">
        <v>920</v>
      </c>
      <c r="E306" s="123" t="s">
        <v>894</v>
      </c>
      <c r="F306" s="123" t="s">
        <v>190</v>
      </c>
      <c r="G306" s="122" t="s">
        <v>191</v>
      </c>
      <c r="H306" s="122" t="s">
        <v>212</v>
      </c>
      <c r="I306" s="124" t="s">
        <v>213</v>
      </c>
      <c r="J306" s="124" t="s">
        <v>214</v>
      </c>
      <c r="K306" s="129" t="s">
        <v>765</v>
      </c>
      <c r="L306" s="147">
        <v>25</v>
      </c>
      <c r="M306" s="147" t="s">
        <v>453</v>
      </c>
      <c r="N306" s="145" t="s">
        <v>341</v>
      </c>
      <c r="O306" s="145" t="s">
        <v>342</v>
      </c>
      <c r="P306" s="123" t="s">
        <v>207</v>
      </c>
      <c r="Q306" s="147"/>
      <c r="R306" s="147"/>
      <c r="S306" s="147"/>
      <c r="T306" s="121"/>
      <c r="U306" s="147"/>
      <c r="V306" s="121"/>
      <c r="W306" s="147" t="s">
        <v>11</v>
      </c>
      <c r="X306" s="121" t="s">
        <v>11</v>
      </c>
      <c r="Y306" s="121" t="s">
        <v>447</v>
      </c>
      <c r="Z306" s="121" t="s">
        <v>198</v>
      </c>
      <c r="AA306" s="127" t="s">
        <v>454</v>
      </c>
      <c r="AB306" s="121" t="s">
        <v>198</v>
      </c>
      <c r="AC306" s="127" t="s">
        <v>454</v>
      </c>
      <c r="AD306" s="121" t="s">
        <v>198</v>
      </c>
      <c r="AE306" s="127" t="s">
        <v>499</v>
      </c>
      <c r="AF306" s="147" t="s">
        <v>198</v>
      </c>
      <c r="AG306" s="147" t="s">
        <v>454</v>
      </c>
      <c r="AH306" s="121" t="s">
        <v>198</v>
      </c>
      <c r="AI306" s="121" t="s">
        <v>447</v>
      </c>
      <c r="AJ306" s="121" t="s">
        <v>198</v>
      </c>
      <c r="AK306" s="126" t="s">
        <v>61</v>
      </c>
      <c r="AL306" s="121" t="s">
        <v>61</v>
      </c>
      <c r="AM306" s="121" t="s">
        <v>555</v>
      </c>
      <c r="AN306" s="121" t="s">
        <v>251</v>
      </c>
      <c r="AO306" s="127" t="s">
        <v>447</v>
      </c>
      <c r="AP306" s="121" t="s">
        <v>198</v>
      </c>
      <c r="AQ306" s="127" t="s">
        <v>233</v>
      </c>
      <c r="AR306" s="121" t="s">
        <v>198</v>
      </c>
      <c r="AS306" s="127" t="s">
        <v>356</v>
      </c>
      <c r="AT306" s="121" t="s">
        <v>251</v>
      </c>
      <c r="AU306" s="121" t="s">
        <v>61</v>
      </c>
      <c r="AV306" s="121" t="s">
        <v>61</v>
      </c>
      <c r="AW306" s="127" t="s">
        <v>448</v>
      </c>
      <c r="AX306" s="121" t="s">
        <v>198</v>
      </c>
      <c r="AY306" s="127" t="s">
        <v>449</v>
      </c>
      <c r="AZ306" s="121" t="s">
        <v>198</v>
      </c>
      <c r="BA306" s="126" t="s">
        <v>691</v>
      </c>
      <c r="BB306" s="121" t="s">
        <v>198</v>
      </c>
      <c r="BC306" s="127" t="s">
        <v>449</v>
      </c>
      <c r="BD306" s="121" t="s">
        <v>198</v>
      </c>
      <c r="BE306" s="121" t="s">
        <v>61</v>
      </c>
      <c r="BF306" s="121" t="s">
        <v>61</v>
      </c>
      <c r="BG306" s="121" t="s">
        <v>61</v>
      </c>
      <c r="BH306" s="121" t="s">
        <v>61</v>
      </c>
      <c r="BI306" s="121" t="s">
        <v>61</v>
      </c>
      <c r="BJ306" s="121" t="s">
        <v>61</v>
      </c>
      <c r="BK306" s="121" t="s">
        <v>439</v>
      </c>
      <c r="BL306" s="121" t="str">
        <f>IF(BK306="NA","NA",IF(BK306="Not Reported","Not Reported",IF(BK306&gt;$L$306,"Not Met","Met")))</f>
        <v>Not Met</v>
      </c>
      <c r="BM306" s="276">
        <v>29</v>
      </c>
      <c r="BN306" s="121" t="str">
        <f>IF(BM306="NA","NA",IF(BM306="Not Reported","Not Reported",IF(BM306&gt;$L$306,"Not Met","Met")))</f>
        <v>Not Met</v>
      </c>
      <c r="BO306" s="31">
        <v>19</v>
      </c>
      <c r="BP306" s="121" t="s">
        <v>198</v>
      </c>
      <c r="BQ306" s="31">
        <v>23</v>
      </c>
      <c r="BR306" s="121" t="s">
        <v>198</v>
      </c>
      <c r="BS306" s="26">
        <v>30</v>
      </c>
      <c r="BT306" s="121" t="str">
        <f>IF(BS306="NA","NA",IF(BS306="Not Reported","Not Reported",IF(BS306&gt;$L$306,"Not Met","Met")))</f>
        <v>Not Met</v>
      </c>
      <c r="BU306" s="31">
        <v>20</v>
      </c>
      <c r="BV306" s="121" t="str">
        <f>IF(BU306="NA","NA",IF(BU306="Not Reported","Not Reported",IF(BU306&gt;$L$306,"Not Met","Met")))</f>
        <v>Met</v>
      </c>
    </row>
    <row r="307" spans="1:74" x14ac:dyDescent="0.25">
      <c r="A307" s="121">
        <v>306</v>
      </c>
      <c r="B307" s="122" t="s">
        <v>25</v>
      </c>
      <c r="C307" s="122" t="s">
        <v>106</v>
      </c>
      <c r="D307" s="123" t="s">
        <v>920</v>
      </c>
      <c r="E307" s="123" t="s">
        <v>894</v>
      </c>
      <c r="F307" s="123" t="s">
        <v>190</v>
      </c>
      <c r="G307" s="122" t="s">
        <v>191</v>
      </c>
      <c r="H307" s="122" t="s">
        <v>212</v>
      </c>
      <c r="I307" s="124" t="s">
        <v>213</v>
      </c>
      <c r="J307" s="124" t="s">
        <v>214</v>
      </c>
      <c r="K307" s="129" t="s">
        <v>766</v>
      </c>
      <c r="L307" s="147">
        <v>30</v>
      </c>
      <c r="M307" s="147" t="s">
        <v>356</v>
      </c>
      <c r="N307" s="145" t="s">
        <v>341</v>
      </c>
      <c r="O307" s="145" t="s">
        <v>342</v>
      </c>
      <c r="P307" s="123" t="s">
        <v>207</v>
      </c>
      <c r="Q307" s="147"/>
      <c r="R307" s="147"/>
      <c r="S307" s="147"/>
      <c r="T307" s="121"/>
      <c r="U307" s="147"/>
      <c r="V307" s="121"/>
      <c r="W307" s="147" t="s">
        <v>11</v>
      </c>
      <c r="X307" s="121" t="s">
        <v>11</v>
      </c>
      <c r="Y307" s="121" t="s">
        <v>222</v>
      </c>
      <c r="Z307" s="121" t="s">
        <v>198</v>
      </c>
      <c r="AA307" s="127" t="s">
        <v>454</v>
      </c>
      <c r="AB307" s="121" t="s">
        <v>198</v>
      </c>
      <c r="AC307" s="127" t="s">
        <v>233</v>
      </c>
      <c r="AD307" s="121" t="s">
        <v>198</v>
      </c>
      <c r="AE307" s="127" t="s">
        <v>440</v>
      </c>
      <c r="AF307" s="121" t="s">
        <v>198</v>
      </c>
      <c r="AG307" s="121" t="s">
        <v>439</v>
      </c>
      <c r="AH307" s="121" t="s">
        <v>198</v>
      </c>
      <c r="AI307" s="121" t="s">
        <v>449</v>
      </c>
      <c r="AJ307" s="121" t="s">
        <v>198</v>
      </c>
      <c r="AK307" s="126" t="s">
        <v>61</v>
      </c>
      <c r="AL307" s="121" t="s">
        <v>61</v>
      </c>
      <c r="AM307" s="121" t="s">
        <v>554</v>
      </c>
      <c r="AN307" s="121" t="s">
        <v>198</v>
      </c>
      <c r="AO307" s="127" t="s">
        <v>450</v>
      </c>
      <c r="AP307" s="121" t="s">
        <v>198</v>
      </c>
      <c r="AQ307" s="127" t="s">
        <v>617</v>
      </c>
      <c r="AR307" s="121" t="s">
        <v>198</v>
      </c>
      <c r="AS307" s="127" t="s">
        <v>441</v>
      </c>
      <c r="AT307" s="121" t="s">
        <v>251</v>
      </c>
      <c r="AU307" s="121" t="s">
        <v>61</v>
      </c>
      <c r="AV307" s="121" t="s">
        <v>61</v>
      </c>
      <c r="AW307" s="127" t="s">
        <v>448</v>
      </c>
      <c r="AX307" s="121" t="s">
        <v>198</v>
      </c>
      <c r="AY307" s="127" t="s">
        <v>499</v>
      </c>
      <c r="AZ307" s="121" t="s">
        <v>198</v>
      </c>
      <c r="BA307" s="126" t="s">
        <v>454</v>
      </c>
      <c r="BB307" s="121" t="s">
        <v>198</v>
      </c>
      <c r="BC307" s="127" t="s">
        <v>617</v>
      </c>
      <c r="BD307" s="121" t="s">
        <v>198</v>
      </c>
      <c r="BE307" s="121" t="s">
        <v>61</v>
      </c>
      <c r="BF307" s="121" t="s">
        <v>61</v>
      </c>
      <c r="BG307" s="121" t="s">
        <v>61</v>
      </c>
      <c r="BH307" s="121" t="s">
        <v>61</v>
      </c>
      <c r="BI307" s="121" t="s">
        <v>61</v>
      </c>
      <c r="BJ307" s="121" t="s">
        <v>61</v>
      </c>
      <c r="BK307" s="121" t="s">
        <v>470</v>
      </c>
      <c r="BL307" s="121" t="str">
        <f>IF(BK307="NA","NA",IF(BK307="Not Reported","Not Reported",IF(BK307&gt;$L$307,"Not Met","Met")))</f>
        <v>Not Met</v>
      </c>
      <c r="BM307" s="276">
        <v>36</v>
      </c>
      <c r="BN307" s="121" t="str">
        <f>IF(BM307="NA","NA",IF(BM307="Not Reported","Not Reported",IF(BM307&gt;$L$307,"Not Met","Met")))</f>
        <v>Not Met</v>
      </c>
      <c r="BO307" s="31">
        <v>25</v>
      </c>
      <c r="BP307" s="121" t="s">
        <v>198</v>
      </c>
      <c r="BQ307" s="31">
        <v>29</v>
      </c>
      <c r="BR307" s="121" t="s">
        <v>198</v>
      </c>
      <c r="BS307" s="26">
        <v>8</v>
      </c>
      <c r="BT307" s="121" t="str">
        <f>IF(BS307="NA","NA",IF(BS307="Not Reported","Not Reported",IF(BS307&gt;$L$307,"Not Met","Met")))</f>
        <v>Met</v>
      </c>
      <c r="BU307" s="31">
        <v>25</v>
      </c>
      <c r="BV307" s="121" t="str">
        <f>IF(BU307="NA","NA",IF(BU307="Not Reported","Not Reported",IF(BU307&gt;$L$307,"Not Met","Met")))</f>
        <v>Met</v>
      </c>
    </row>
    <row r="308" spans="1:74" s="78" customFormat="1" x14ac:dyDescent="0.25">
      <c r="A308" s="121">
        <v>307</v>
      </c>
      <c r="B308" s="163" t="s">
        <v>25</v>
      </c>
      <c r="C308" s="122" t="s">
        <v>106</v>
      </c>
      <c r="D308" s="123" t="s">
        <v>920</v>
      </c>
      <c r="E308" s="123" t="s">
        <v>894</v>
      </c>
      <c r="F308" s="164" t="s">
        <v>190</v>
      </c>
      <c r="G308" s="163" t="s">
        <v>191</v>
      </c>
      <c r="H308" s="163" t="s">
        <v>212</v>
      </c>
      <c r="I308" s="165" t="s">
        <v>213</v>
      </c>
      <c r="J308" s="165" t="s">
        <v>214</v>
      </c>
      <c r="K308" s="224" t="s">
        <v>767</v>
      </c>
      <c r="L308" s="168">
        <v>40</v>
      </c>
      <c r="M308" s="168" t="s">
        <v>478</v>
      </c>
      <c r="N308" s="166" t="s">
        <v>341</v>
      </c>
      <c r="O308" s="166" t="s">
        <v>342</v>
      </c>
      <c r="P308" s="164" t="s">
        <v>207</v>
      </c>
      <c r="Q308" s="168"/>
      <c r="R308" s="168"/>
      <c r="S308" s="168"/>
      <c r="T308" s="167"/>
      <c r="U308" s="168"/>
      <c r="V308" s="167"/>
      <c r="W308" s="168" t="s">
        <v>11</v>
      </c>
      <c r="X308" s="167" t="s">
        <v>11</v>
      </c>
      <c r="Y308" s="167" t="s">
        <v>243</v>
      </c>
      <c r="Z308" s="167" t="s">
        <v>198</v>
      </c>
      <c r="AA308" s="171" t="s">
        <v>549</v>
      </c>
      <c r="AB308" s="167" t="s">
        <v>198</v>
      </c>
      <c r="AC308" s="171" t="s">
        <v>346</v>
      </c>
      <c r="AD308" s="167" t="s">
        <v>198</v>
      </c>
      <c r="AE308" s="171" t="s">
        <v>549</v>
      </c>
      <c r="AF308" s="167" t="s">
        <v>198</v>
      </c>
      <c r="AG308" s="167" t="s">
        <v>719</v>
      </c>
      <c r="AH308" s="168" t="s">
        <v>251</v>
      </c>
      <c r="AI308" s="168" t="s">
        <v>449</v>
      </c>
      <c r="AJ308" s="167" t="s">
        <v>198</v>
      </c>
      <c r="AK308" s="225" t="s">
        <v>61</v>
      </c>
      <c r="AL308" s="167" t="s">
        <v>61</v>
      </c>
      <c r="AM308" s="168" t="s">
        <v>11</v>
      </c>
      <c r="AN308" s="169" t="s">
        <v>11</v>
      </c>
      <c r="AO308" s="171" t="s">
        <v>451</v>
      </c>
      <c r="AP308" s="167" t="s">
        <v>198</v>
      </c>
      <c r="AQ308" s="171" t="s">
        <v>438</v>
      </c>
      <c r="AR308" s="167" t="s">
        <v>198</v>
      </c>
      <c r="AS308" s="171" t="s">
        <v>625</v>
      </c>
      <c r="AT308" s="167" t="s">
        <v>251</v>
      </c>
      <c r="AU308" s="167" t="s">
        <v>61</v>
      </c>
      <c r="AV308" s="167" t="s">
        <v>61</v>
      </c>
      <c r="AW308" s="171" t="s">
        <v>275</v>
      </c>
      <c r="AX308" s="167" t="s">
        <v>251</v>
      </c>
      <c r="AY308" s="171" t="s">
        <v>603</v>
      </c>
      <c r="AZ308" s="167" t="s">
        <v>198</v>
      </c>
      <c r="BA308" s="225" t="s">
        <v>361</v>
      </c>
      <c r="BB308" s="167" t="s">
        <v>251</v>
      </c>
      <c r="BC308" s="171" t="s">
        <v>491</v>
      </c>
      <c r="BD308" s="167" t="s">
        <v>251</v>
      </c>
      <c r="BE308" s="167" t="s">
        <v>61</v>
      </c>
      <c r="BF308" s="167" t="s">
        <v>61</v>
      </c>
      <c r="BG308" s="167" t="s">
        <v>61</v>
      </c>
      <c r="BH308" s="167" t="s">
        <v>61</v>
      </c>
      <c r="BI308" s="167" t="s">
        <v>61</v>
      </c>
      <c r="BJ308" s="167" t="s">
        <v>61</v>
      </c>
      <c r="BK308" s="167" t="s">
        <v>323</v>
      </c>
      <c r="BL308" s="121" t="str">
        <f>IF(BK308="NA","NA",IF(BK308="Not Reported","Not Reported",IF(BK308&gt;$L$308,"Not Met","Met")))</f>
        <v>Not Met</v>
      </c>
      <c r="BM308" s="276">
        <v>10</v>
      </c>
      <c r="BN308" s="121" t="str">
        <f>IF(BM308="NA","NA",IF(BM308="Not Reported","Not Reported",IF(BM308&gt;$L$308,"Not Met","Met")))</f>
        <v>Met</v>
      </c>
      <c r="BO308" s="31">
        <v>70</v>
      </c>
      <c r="BP308" s="121" t="s">
        <v>251</v>
      </c>
      <c r="BQ308" s="31">
        <v>52</v>
      </c>
      <c r="BR308" s="121" t="s">
        <v>251</v>
      </c>
      <c r="BS308" s="26" t="s">
        <v>11</v>
      </c>
      <c r="BT308" s="121" t="str">
        <f>IF(BS308="NA","NA",IF(BS308="Not Reported","Not Reported",IF(BS308&gt;$L$308,"Not Met","Met")))</f>
        <v>NA</v>
      </c>
      <c r="BU308" s="31">
        <v>48</v>
      </c>
      <c r="BV308" s="121" t="str">
        <f>IF(BU308="NA","NA",IF(BU308="Not Reported","Not Reported",IF(BU308&gt;$L$308,"Not Met","Met")))</f>
        <v>Not Met</v>
      </c>
    </row>
    <row r="309" spans="1:74" x14ac:dyDescent="0.25">
      <c r="A309" s="121">
        <v>308</v>
      </c>
      <c r="B309" s="122" t="s">
        <v>25</v>
      </c>
      <c r="C309" s="122" t="s">
        <v>106</v>
      </c>
      <c r="D309" s="123" t="s">
        <v>920</v>
      </c>
      <c r="E309" s="123" t="s">
        <v>894</v>
      </c>
      <c r="F309" s="123" t="s">
        <v>190</v>
      </c>
      <c r="G309" s="122" t="s">
        <v>191</v>
      </c>
      <c r="H309" s="122" t="s">
        <v>212</v>
      </c>
      <c r="I309" s="124" t="s">
        <v>213</v>
      </c>
      <c r="J309" s="124" t="s">
        <v>214</v>
      </c>
      <c r="K309" s="129" t="s">
        <v>768</v>
      </c>
      <c r="L309" s="147">
        <v>45</v>
      </c>
      <c r="M309" s="147" t="s">
        <v>361</v>
      </c>
      <c r="N309" s="145" t="s">
        <v>341</v>
      </c>
      <c r="O309" s="145" t="s">
        <v>342</v>
      </c>
      <c r="P309" s="123" t="s">
        <v>207</v>
      </c>
      <c r="Q309" s="147"/>
      <c r="R309" s="147"/>
      <c r="S309" s="147"/>
      <c r="T309" s="121"/>
      <c r="U309" s="147"/>
      <c r="V309" s="121"/>
      <c r="W309" s="147" t="s">
        <v>11</v>
      </c>
      <c r="X309" s="121" t="s">
        <v>11</v>
      </c>
      <c r="Y309" s="121" t="s">
        <v>440</v>
      </c>
      <c r="Z309" s="121" t="s">
        <v>198</v>
      </c>
      <c r="AA309" s="127" t="s">
        <v>243</v>
      </c>
      <c r="AB309" s="121" t="s">
        <v>198</v>
      </c>
      <c r="AC309" s="127" t="s">
        <v>233</v>
      </c>
      <c r="AD309" s="121" t="s">
        <v>198</v>
      </c>
      <c r="AE309" s="127" t="s">
        <v>481</v>
      </c>
      <c r="AF309" s="147" t="s">
        <v>251</v>
      </c>
      <c r="AG309" s="147" t="s">
        <v>605</v>
      </c>
      <c r="AH309" s="121" t="s">
        <v>198</v>
      </c>
      <c r="AI309" s="121" t="s">
        <v>11</v>
      </c>
      <c r="AJ309" s="128" t="s">
        <v>11</v>
      </c>
      <c r="AK309" s="126" t="s">
        <v>61</v>
      </c>
      <c r="AL309" s="121" t="s">
        <v>61</v>
      </c>
      <c r="AM309" s="121" t="s">
        <v>11</v>
      </c>
      <c r="AN309" s="128" t="s">
        <v>11</v>
      </c>
      <c r="AO309" s="127">
        <v>0</v>
      </c>
      <c r="AP309" s="121" t="s">
        <v>198</v>
      </c>
      <c r="AQ309" s="127" t="s">
        <v>323</v>
      </c>
      <c r="AR309" s="127" t="s">
        <v>323</v>
      </c>
      <c r="AS309" s="127" t="s">
        <v>323</v>
      </c>
      <c r="AT309" s="127" t="s">
        <v>323</v>
      </c>
      <c r="AU309" s="121" t="s">
        <v>61</v>
      </c>
      <c r="AV309" s="121" t="s">
        <v>61</v>
      </c>
      <c r="AW309" s="127" t="s">
        <v>323</v>
      </c>
      <c r="AX309" s="128" t="s">
        <v>11</v>
      </c>
      <c r="AY309" s="127" t="s">
        <v>323</v>
      </c>
      <c r="AZ309" s="127" t="s">
        <v>323</v>
      </c>
      <c r="BA309" s="127" t="s">
        <v>323</v>
      </c>
      <c r="BB309" s="127" t="s">
        <v>323</v>
      </c>
      <c r="BC309" s="127" t="s">
        <v>11</v>
      </c>
      <c r="BD309" s="128" t="s">
        <v>11</v>
      </c>
      <c r="BE309" s="121" t="s">
        <v>61</v>
      </c>
      <c r="BF309" s="121" t="s">
        <v>61</v>
      </c>
      <c r="BG309" s="121" t="s">
        <v>61</v>
      </c>
      <c r="BH309" s="121" t="s">
        <v>61</v>
      </c>
      <c r="BI309" s="121" t="s">
        <v>61</v>
      </c>
      <c r="BJ309" s="121" t="s">
        <v>61</v>
      </c>
      <c r="BK309" s="121" t="s">
        <v>323</v>
      </c>
      <c r="BL309" s="121" t="str">
        <f>IF(BK309="NA","NA",IF(BK309="Not Reported","Not Reported",IF(BK309&gt;$L$309,"Not Met","Met")))</f>
        <v>Not Met</v>
      </c>
      <c r="BM309" s="276">
        <v>19</v>
      </c>
      <c r="BN309" s="121" t="str">
        <f>IF(BM309="NA","NA",IF(BM309="Not Reported","Not Reported",IF(BM309&gt;$L$309,"Not Met","Met")))</f>
        <v>Met</v>
      </c>
      <c r="BO309" s="31">
        <v>24</v>
      </c>
      <c r="BP309" s="121" t="s">
        <v>198</v>
      </c>
      <c r="BQ309" s="31">
        <v>39</v>
      </c>
      <c r="BR309" s="121" t="s">
        <v>198</v>
      </c>
      <c r="BS309" s="26" t="s">
        <v>11</v>
      </c>
      <c r="BT309" s="121" t="str">
        <f>IF(BS309="NA","NA",IF(BS309="Not Reported","Not Reported",IF(BS309&gt;$L$309,"Not Met","Met")))</f>
        <v>NA</v>
      </c>
      <c r="BU309" s="31">
        <v>29</v>
      </c>
      <c r="BV309" s="121" t="str">
        <f>IF(BU309="NA","NA",IF(BU309="Not Reported","Not Reported",IF(BU309&gt;$L$309,"Not Met","Met")))</f>
        <v>Met</v>
      </c>
    </row>
    <row r="310" spans="1:74" x14ac:dyDescent="0.2">
      <c r="A310" s="121">
        <v>309</v>
      </c>
      <c r="B310" s="122" t="s">
        <v>25</v>
      </c>
      <c r="C310" s="122" t="s">
        <v>106</v>
      </c>
      <c r="D310" s="123" t="s">
        <v>920</v>
      </c>
      <c r="E310" s="123" t="s">
        <v>894</v>
      </c>
      <c r="F310" s="123" t="s">
        <v>300</v>
      </c>
      <c r="G310" s="122" t="s">
        <v>273</v>
      </c>
      <c r="H310" s="122" t="s">
        <v>192</v>
      </c>
      <c r="I310" s="124" t="s">
        <v>246</v>
      </c>
      <c r="J310" s="124" t="s">
        <v>214</v>
      </c>
      <c r="K310" s="122" t="s">
        <v>326</v>
      </c>
      <c r="L310" s="146">
        <v>0.2</v>
      </c>
      <c r="M310" s="146">
        <v>0.2</v>
      </c>
      <c r="N310" s="145" t="s">
        <v>368</v>
      </c>
      <c r="O310" s="145" t="s">
        <v>369</v>
      </c>
      <c r="P310" s="123" t="s">
        <v>207</v>
      </c>
      <c r="Q310" s="147" t="s">
        <v>61</v>
      </c>
      <c r="R310" s="147" t="s">
        <v>61</v>
      </c>
      <c r="S310" s="147">
        <v>27</v>
      </c>
      <c r="T310" s="121" t="s">
        <v>198</v>
      </c>
      <c r="U310" s="147">
        <v>33</v>
      </c>
      <c r="V310" s="121" t="s">
        <v>198</v>
      </c>
      <c r="W310" s="147">
        <v>31</v>
      </c>
      <c r="X310" s="121" t="s">
        <v>198</v>
      </c>
      <c r="Y310" s="146">
        <v>0.14000000000000001</v>
      </c>
      <c r="Z310" s="121" t="s">
        <v>198</v>
      </c>
      <c r="AA310" s="126">
        <v>0.19</v>
      </c>
      <c r="AB310" s="121" t="s">
        <v>198</v>
      </c>
      <c r="AC310" s="126">
        <v>0.14000000000000001</v>
      </c>
      <c r="AD310" s="121" t="s">
        <v>198</v>
      </c>
      <c r="AE310" s="126">
        <v>0.19</v>
      </c>
      <c r="AF310" s="121" t="s">
        <v>198</v>
      </c>
      <c r="AG310" s="126">
        <v>0.15</v>
      </c>
      <c r="AH310" s="121" t="s">
        <v>198</v>
      </c>
      <c r="AI310" s="126">
        <v>0.26</v>
      </c>
      <c r="AJ310" s="147" t="s">
        <v>251</v>
      </c>
      <c r="AK310" s="126" t="s">
        <v>61</v>
      </c>
      <c r="AL310" s="121" t="s">
        <v>61</v>
      </c>
      <c r="AM310" s="126">
        <v>0.19</v>
      </c>
      <c r="AN310" s="121" t="s">
        <v>198</v>
      </c>
      <c r="AO310" s="142">
        <v>0.25</v>
      </c>
      <c r="AP310" s="121" t="s">
        <v>251</v>
      </c>
      <c r="AQ310" s="142">
        <v>0.22</v>
      </c>
      <c r="AR310" s="121" t="s">
        <v>251</v>
      </c>
      <c r="AS310" s="142">
        <v>0.22</v>
      </c>
      <c r="AT310" s="121" t="s">
        <v>251</v>
      </c>
      <c r="AU310" s="121" t="s">
        <v>61</v>
      </c>
      <c r="AV310" s="121" t="s">
        <v>61</v>
      </c>
      <c r="AW310" s="126">
        <v>0.16</v>
      </c>
      <c r="AX310" s="121" t="s">
        <v>198</v>
      </c>
      <c r="AY310" s="126">
        <v>0.14000000000000001</v>
      </c>
      <c r="AZ310" s="121" t="s">
        <v>198</v>
      </c>
      <c r="BA310" s="142">
        <v>0.14000000000000001</v>
      </c>
      <c r="BB310" s="121" t="s">
        <v>198</v>
      </c>
      <c r="BC310" s="142">
        <v>0.05</v>
      </c>
      <c r="BD310" s="121" t="s">
        <v>198</v>
      </c>
      <c r="BE310" s="121" t="s">
        <v>61</v>
      </c>
      <c r="BF310" s="121" t="s">
        <v>61</v>
      </c>
      <c r="BG310" s="121" t="s">
        <v>61</v>
      </c>
      <c r="BH310" s="121" t="s">
        <v>61</v>
      </c>
      <c r="BI310" s="121" t="s">
        <v>61</v>
      </c>
      <c r="BJ310" s="121" t="s">
        <v>61</v>
      </c>
      <c r="BK310" s="126">
        <v>0.21</v>
      </c>
      <c r="BL310" s="174" t="str">
        <f>IF(BK310="NA","NA",IF(BK310="Not Reported","Not Reported",IF(BK310&gt;$L$310,"Not Met","Met")))</f>
        <v>Not Met</v>
      </c>
      <c r="BM310" s="277">
        <v>0.2</v>
      </c>
      <c r="BN310" s="162" t="str">
        <f>IF(BM310="NA","NA",IF(BM310="Not Reported","Not Reported",IF(BM310&gt;$L$310,"Not Met","Met")))</f>
        <v>Met</v>
      </c>
      <c r="BO310" s="336">
        <v>0.2</v>
      </c>
      <c r="BP310" s="162" t="s">
        <v>198</v>
      </c>
      <c r="BQ310" s="336">
        <v>0.2</v>
      </c>
      <c r="BR310" s="162" t="s">
        <v>198</v>
      </c>
      <c r="BS310" s="392">
        <v>0.24</v>
      </c>
      <c r="BT310" s="162" t="str">
        <f>IF(BS310="NA","NA",IF(BS310="Not Reported","Not Reported",IF(BS310&gt;$L$310,"Not Met","Met")))</f>
        <v>Not Met</v>
      </c>
      <c r="BU310" s="392">
        <v>0.24</v>
      </c>
      <c r="BV310" s="162" t="str">
        <f>IF(BU310="NA","NA",IF(BU310="Not Reported","Not Reported",IF(BU310&gt;$L$310,"Not Met","Met")))</f>
        <v>Not Met</v>
      </c>
    </row>
    <row r="311" spans="1:74" x14ac:dyDescent="0.25">
      <c r="A311" s="121">
        <v>310</v>
      </c>
      <c r="B311" s="122" t="s">
        <v>25</v>
      </c>
      <c r="C311" s="122" t="s">
        <v>106</v>
      </c>
      <c r="D311" s="123" t="s">
        <v>920</v>
      </c>
      <c r="E311" s="123" t="s">
        <v>894</v>
      </c>
      <c r="F311" s="123" t="s">
        <v>300</v>
      </c>
      <c r="G311" s="122" t="s">
        <v>273</v>
      </c>
      <c r="H311" s="122" t="s">
        <v>192</v>
      </c>
      <c r="I311" s="124" t="s">
        <v>284</v>
      </c>
      <c r="J311" s="124" t="s">
        <v>285</v>
      </c>
      <c r="K311" s="145" t="s">
        <v>284</v>
      </c>
      <c r="L311" s="146">
        <v>0.7</v>
      </c>
      <c r="M311" s="146">
        <v>0.7</v>
      </c>
      <c r="N311" s="145" t="s">
        <v>287</v>
      </c>
      <c r="O311" s="145" t="s">
        <v>288</v>
      </c>
      <c r="P311" s="123" t="s">
        <v>207</v>
      </c>
      <c r="Q311" s="146">
        <v>0.64</v>
      </c>
      <c r="R311" s="147" t="s">
        <v>251</v>
      </c>
      <c r="S311" s="146">
        <v>0.63</v>
      </c>
      <c r="T311" s="147" t="s">
        <v>251</v>
      </c>
      <c r="U311" s="146">
        <v>0.61</v>
      </c>
      <c r="V311" s="147" t="s">
        <v>251</v>
      </c>
      <c r="W311" s="146">
        <v>0.68</v>
      </c>
      <c r="X311" s="147" t="s">
        <v>251</v>
      </c>
      <c r="Y311" s="146">
        <v>0.65</v>
      </c>
      <c r="Z311" s="121" t="s">
        <v>251</v>
      </c>
      <c r="AA311" s="126">
        <v>0.68</v>
      </c>
      <c r="AB311" s="147" t="s">
        <v>251</v>
      </c>
      <c r="AC311" s="126">
        <v>0.67</v>
      </c>
      <c r="AD311" s="121" t="s">
        <v>251</v>
      </c>
      <c r="AE311" s="126">
        <v>0.62</v>
      </c>
      <c r="AF311" s="147" t="s">
        <v>251</v>
      </c>
      <c r="AG311" s="126" t="s">
        <v>61</v>
      </c>
      <c r="AH311" s="126" t="s">
        <v>61</v>
      </c>
      <c r="AI311" s="126" t="s">
        <v>61</v>
      </c>
      <c r="AJ311" s="121" t="s">
        <v>61</v>
      </c>
      <c r="AK311" s="126" t="s">
        <v>61</v>
      </c>
      <c r="AL311" s="121" t="s">
        <v>61</v>
      </c>
      <c r="AM311" s="126" t="s">
        <v>61</v>
      </c>
      <c r="AN311" s="121" t="s">
        <v>61</v>
      </c>
      <c r="AO311" s="121" t="s">
        <v>61</v>
      </c>
      <c r="AP311" s="121" t="s">
        <v>61</v>
      </c>
      <c r="AQ311" s="126" t="s">
        <v>11</v>
      </c>
      <c r="AR311" s="121" t="s">
        <v>11</v>
      </c>
      <c r="AS311" s="126" t="s">
        <v>11</v>
      </c>
      <c r="AT311" s="121" t="s">
        <v>11</v>
      </c>
      <c r="AU311" s="121" t="s">
        <v>61</v>
      </c>
      <c r="AV311" s="121" t="s">
        <v>61</v>
      </c>
      <c r="AW311" s="121" t="s">
        <v>323</v>
      </c>
      <c r="AX311" s="128" t="s">
        <v>11</v>
      </c>
      <c r="AY311" s="121" t="s">
        <v>323</v>
      </c>
      <c r="AZ311" s="121" t="s">
        <v>323</v>
      </c>
      <c r="BA311" s="121" t="s">
        <v>323</v>
      </c>
      <c r="BB311" s="121" t="s">
        <v>323</v>
      </c>
      <c r="BC311" s="127" t="s">
        <v>11</v>
      </c>
      <c r="BD311" s="128" t="s">
        <v>11</v>
      </c>
      <c r="BE311" s="121" t="s">
        <v>61</v>
      </c>
      <c r="BF311" s="121" t="s">
        <v>61</v>
      </c>
      <c r="BG311" s="121" t="s">
        <v>61</v>
      </c>
      <c r="BH311" s="121" t="s">
        <v>61</v>
      </c>
      <c r="BI311" s="121" t="s">
        <v>61</v>
      </c>
      <c r="BJ311" s="121" t="s">
        <v>61</v>
      </c>
      <c r="BK311" s="121" t="s">
        <v>323</v>
      </c>
      <c r="BL311" s="128" t="str">
        <f>IF(BK311="NA","NA",IF(BK311="Not Reported","Not Reported",IF(BK311&lt;$L$311,"Not Met","Met")))</f>
        <v>Met</v>
      </c>
      <c r="BM311" s="257" t="s">
        <v>11</v>
      </c>
      <c r="BN311" s="128" t="str">
        <f>IF(BM311="NA","NA",IF(BM311="Not Reported","Not Reported",IF(BM311&lt;$L$311,"Not Met","Met")))</f>
        <v>NA</v>
      </c>
      <c r="BO311" s="335" t="s">
        <v>11</v>
      </c>
      <c r="BP311" s="128" t="s">
        <v>11</v>
      </c>
      <c r="BQ311" s="335" t="s">
        <v>11</v>
      </c>
      <c r="BR311" s="128" t="s">
        <v>11</v>
      </c>
      <c r="BS311" s="338" t="s">
        <v>11</v>
      </c>
      <c r="BT311" s="128" t="str">
        <f>IF(BS311="NA","NA",IF(BS311="Not Reported","Not Reported",IF(BS311&lt;$L$311,"Not Met","Met")))</f>
        <v>NA</v>
      </c>
      <c r="BU311" s="338" t="s">
        <v>11</v>
      </c>
      <c r="BV311" s="128" t="str">
        <f>IF(BU311="NA","NA",IF(BU311="Not Reported","Not Reported",IF(BU311&lt;$L$311,"Not Met","Met")))</f>
        <v>NA</v>
      </c>
    </row>
    <row r="312" spans="1:74" x14ac:dyDescent="0.25">
      <c r="A312" s="121">
        <v>311</v>
      </c>
      <c r="B312" s="122" t="s">
        <v>25</v>
      </c>
      <c r="C312" s="122" t="s">
        <v>106</v>
      </c>
      <c r="D312" s="123" t="s">
        <v>920</v>
      </c>
      <c r="E312" s="123" t="s">
        <v>894</v>
      </c>
      <c r="F312" s="123" t="s">
        <v>300</v>
      </c>
      <c r="G312" s="122" t="s">
        <v>273</v>
      </c>
      <c r="H312" s="122" t="s">
        <v>192</v>
      </c>
      <c r="I312" s="124" t="s">
        <v>289</v>
      </c>
      <c r="J312" s="124" t="s">
        <v>285</v>
      </c>
      <c r="K312" s="145" t="s">
        <v>289</v>
      </c>
      <c r="L312" s="146">
        <v>0.8</v>
      </c>
      <c r="M312" s="146">
        <v>0.8</v>
      </c>
      <c r="N312" s="145" t="s">
        <v>290</v>
      </c>
      <c r="O312" s="145" t="s">
        <v>291</v>
      </c>
      <c r="P312" s="123" t="s">
        <v>207</v>
      </c>
      <c r="Q312" s="146">
        <v>0.77</v>
      </c>
      <c r="R312" s="147" t="s">
        <v>251</v>
      </c>
      <c r="S312" s="146">
        <v>0.57999999999999996</v>
      </c>
      <c r="T312" s="147" t="s">
        <v>251</v>
      </c>
      <c r="U312" s="146">
        <v>0.69</v>
      </c>
      <c r="V312" s="147" t="s">
        <v>251</v>
      </c>
      <c r="W312" s="146">
        <v>0.63</v>
      </c>
      <c r="X312" s="147" t="s">
        <v>251</v>
      </c>
      <c r="Y312" s="147" t="s">
        <v>11</v>
      </c>
      <c r="Z312" s="147" t="s">
        <v>11</v>
      </c>
      <c r="AA312" s="147" t="s">
        <v>11</v>
      </c>
      <c r="AB312" s="128" t="s">
        <v>11</v>
      </c>
      <c r="AC312" s="147" t="s">
        <v>11</v>
      </c>
      <c r="AD312" s="147" t="s">
        <v>11</v>
      </c>
      <c r="AE312" s="147" t="s">
        <v>11</v>
      </c>
      <c r="AF312" s="128" t="s">
        <v>11</v>
      </c>
      <c r="AG312" s="128" t="s">
        <v>11</v>
      </c>
      <c r="AH312" s="128" t="s">
        <v>11</v>
      </c>
      <c r="AI312" s="128" t="s">
        <v>11</v>
      </c>
      <c r="AJ312" s="128" t="s">
        <v>11</v>
      </c>
      <c r="AK312" s="128" t="s">
        <v>11</v>
      </c>
      <c r="AL312" s="128" t="s">
        <v>11</v>
      </c>
      <c r="AM312" s="128" t="s">
        <v>11</v>
      </c>
      <c r="AN312" s="128" t="s">
        <v>11</v>
      </c>
      <c r="AO312" s="121" t="s">
        <v>61</v>
      </c>
      <c r="AP312" s="121" t="s">
        <v>61</v>
      </c>
      <c r="AQ312" s="126" t="s">
        <v>11</v>
      </c>
      <c r="AR312" s="121" t="s">
        <v>11</v>
      </c>
      <c r="AS312" s="126" t="s">
        <v>11</v>
      </c>
      <c r="AT312" s="121" t="s">
        <v>11</v>
      </c>
      <c r="AU312" s="121" t="s">
        <v>61</v>
      </c>
      <c r="AV312" s="121" t="s">
        <v>61</v>
      </c>
      <c r="AW312" s="121" t="s">
        <v>323</v>
      </c>
      <c r="AX312" s="128" t="s">
        <v>11</v>
      </c>
      <c r="AY312" s="121" t="s">
        <v>323</v>
      </c>
      <c r="AZ312" s="121" t="s">
        <v>323</v>
      </c>
      <c r="BA312" s="121" t="s">
        <v>323</v>
      </c>
      <c r="BB312" s="121" t="s">
        <v>323</v>
      </c>
      <c r="BC312" s="127" t="s">
        <v>11</v>
      </c>
      <c r="BD312" s="128" t="s">
        <v>11</v>
      </c>
      <c r="BE312" s="121" t="s">
        <v>61</v>
      </c>
      <c r="BF312" s="121" t="s">
        <v>61</v>
      </c>
      <c r="BG312" s="121" t="s">
        <v>61</v>
      </c>
      <c r="BH312" s="121" t="s">
        <v>61</v>
      </c>
      <c r="BI312" s="121" t="s">
        <v>61</v>
      </c>
      <c r="BJ312" s="121" t="s">
        <v>61</v>
      </c>
      <c r="BK312" s="121" t="s">
        <v>323</v>
      </c>
      <c r="BL312" s="128" t="str">
        <f>IF(BK312="NA","NA",IF(BK312="Not Reported","Not Reported",IF(BK312&lt;$L$312,"Not Met","Met")))</f>
        <v>Met</v>
      </c>
      <c r="BM312" s="257" t="s">
        <v>11</v>
      </c>
      <c r="BN312" s="128" t="str">
        <f>IF(BM312="NA","NA",IF(BM312="Not Reported","Not Reported",IF(BM312&lt;$L$312,"Not Met","Met")))</f>
        <v>NA</v>
      </c>
      <c r="BO312" s="335" t="s">
        <v>11</v>
      </c>
      <c r="BP312" s="128" t="s">
        <v>11</v>
      </c>
      <c r="BQ312" s="335" t="s">
        <v>11</v>
      </c>
      <c r="BR312" s="128" t="s">
        <v>11</v>
      </c>
      <c r="BS312" s="338" t="s">
        <v>11</v>
      </c>
      <c r="BT312" s="128" t="str">
        <f>IF(BS312="NA","NA",IF(BS312="Not Reported","Not Reported",IF(BS312&lt;$L$312,"Not Met","Met")))</f>
        <v>NA</v>
      </c>
      <c r="BU312" s="338" t="s">
        <v>11</v>
      </c>
      <c r="BV312" s="128" t="str">
        <f>IF(BU312="NA","NA",IF(BU312="Not Reported","Not Reported",IF(BU312&lt;$L$312,"Not Met","Met")))</f>
        <v>NA</v>
      </c>
    </row>
    <row r="313" spans="1:74" x14ac:dyDescent="0.25">
      <c r="A313" s="121">
        <v>312</v>
      </c>
      <c r="B313" s="122" t="s">
        <v>25</v>
      </c>
      <c r="C313" s="122" t="s">
        <v>106</v>
      </c>
      <c r="D313" s="123" t="s">
        <v>920</v>
      </c>
      <c r="E313" s="123" t="s">
        <v>894</v>
      </c>
      <c r="F313" s="123" t="s">
        <v>300</v>
      </c>
      <c r="G313" s="122" t="s">
        <v>273</v>
      </c>
      <c r="H313" s="122" t="s">
        <v>192</v>
      </c>
      <c r="I313" s="124" t="s">
        <v>292</v>
      </c>
      <c r="J313" s="124" t="s">
        <v>293</v>
      </c>
      <c r="K313" s="122" t="s">
        <v>292</v>
      </c>
      <c r="L313" s="146">
        <v>0.3</v>
      </c>
      <c r="M313" s="146">
        <v>0.3</v>
      </c>
      <c r="N313" s="145" t="s">
        <v>752</v>
      </c>
      <c r="O313" s="145" t="s">
        <v>611</v>
      </c>
      <c r="P313" s="123" t="s">
        <v>207</v>
      </c>
      <c r="Q313" s="146">
        <v>0.12</v>
      </c>
      <c r="R313" s="121" t="s">
        <v>198</v>
      </c>
      <c r="S313" s="146">
        <v>0.11</v>
      </c>
      <c r="T313" s="121" t="s">
        <v>198</v>
      </c>
      <c r="U313" s="146">
        <v>0.09</v>
      </c>
      <c r="V313" s="121" t="s">
        <v>198</v>
      </c>
      <c r="W313" s="146">
        <v>0.09</v>
      </c>
      <c r="X313" s="121" t="s">
        <v>198</v>
      </c>
      <c r="Y313" s="146">
        <v>0</v>
      </c>
      <c r="Z313" s="121" t="s">
        <v>198</v>
      </c>
      <c r="AA313" s="126">
        <v>0</v>
      </c>
      <c r="AB313" s="121" t="s">
        <v>198</v>
      </c>
      <c r="AC313" s="126">
        <v>0</v>
      </c>
      <c r="AD313" s="121" t="s">
        <v>198</v>
      </c>
      <c r="AE313" s="126">
        <v>0</v>
      </c>
      <c r="AF313" s="121" t="s">
        <v>198</v>
      </c>
      <c r="AG313" s="126">
        <v>7.0000000000000007E-2</v>
      </c>
      <c r="AH313" s="121" t="s">
        <v>198</v>
      </c>
      <c r="AI313" s="126">
        <v>0.06</v>
      </c>
      <c r="AJ313" s="121" t="s">
        <v>198</v>
      </c>
      <c r="AK313" s="126" t="s">
        <v>61</v>
      </c>
      <c r="AL313" s="121" t="s">
        <v>61</v>
      </c>
      <c r="AM313" s="126">
        <v>0.06</v>
      </c>
      <c r="AN313" s="121" t="s">
        <v>198</v>
      </c>
      <c r="AO313" s="126">
        <v>0.05</v>
      </c>
      <c r="AP313" s="121" t="s">
        <v>198</v>
      </c>
      <c r="AQ313" s="126">
        <v>0</v>
      </c>
      <c r="AR313" s="121" t="s">
        <v>198</v>
      </c>
      <c r="AS313" s="126">
        <v>0.11</v>
      </c>
      <c r="AT313" s="121" t="s">
        <v>198</v>
      </c>
      <c r="AU313" s="121" t="s">
        <v>61</v>
      </c>
      <c r="AV313" s="121" t="s">
        <v>61</v>
      </c>
      <c r="AW313" s="126">
        <v>0.24</v>
      </c>
      <c r="AX313" s="121" t="s">
        <v>198</v>
      </c>
      <c r="AY313" s="126">
        <v>0.01</v>
      </c>
      <c r="AZ313" s="121" t="s">
        <v>198</v>
      </c>
      <c r="BA313" s="142">
        <v>0.16</v>
      </c>
      <c r="BB313" s="121" t="s">
        <v>198</v>
      </c>
      <c r="BC313" s="142">
        <v>0</v>
      </c>
      <c r="BD313" s="121" t="s">
        <v>198</v>
      </c>
      <c r="BE313" s="121" t="s">
        <v>61</v>
      </c>
      <c r="BF313" s="121" t="s">
        <v>61</v>
      </c>
      <c r="BG313" s="121" t="s">
        <v>61</v>
      </c>
      <c r="BH313" s="121" t="s">
        <v>61</v>
      </c>
      <c r="BI313" s="121" t="s">
        <v>61</v>
      </c>
      <c r="BJ313" s="121" t="s">
        <v>61</v>
      </c>
      <c r="BK313" s="126">
        <v>0.01</v>
      </c>
      <c r="BL313" s="128" t="str">
        <f>IF(BK313="NA","NA",IF(BK313="Not Reported","Not Reported",IF(BK313&gt;$L$313,"Not Met","Met")))</f>
        <v>Met</v>
      </c>
      <c r="BM313" s="277">
        <v>0.01</v>
      </c>
      <c r="BN313" s="128" t="str">
        <f>IF(BM313="NA","NA",IF(BM313="Not Reported","Not Reported",IF(BM313&gt;$L$313,"Not Met","Met")))</f>
        <v>Met</v>
      </c>
      <c r="BO313" s="337">
        <v>0.03</v>
      </c>
      <c r="BP313" s="128" t="s">
        <v>198</v>
      </c>
      <c r="BQ313" s="315">
        <v>0.12</v>
      </c>
      <c r="BR313" s="128" t="s">
        <v>198</v>
      </c>
      <c r="BS313" s="315">
        <v>0</v>
      </c>
      <c r="BT313" s="128" t="str">
        <f>IF(BS313="NA","NA",IF(BS313="Not Reported","Not Reported",IF(BS313&gt;$L$313,"Not Met","Met")))</f>
        <v>Met</v>
      </c>
      <c r="BU313" s="321">
        <v>0.2</v>
      </c>
      <c r="BV313" s="128" t="str">
        <f>IF(BU313="NA","NA",IF(BU313="Not Reported","Not Reported",IF(BU313&gt;$L$313,"Not Met","Met")))</f>
        <v>Met</v>
      </c>
    </row>
    <row r="314" spans="1:74" x14ac:dyDescent="0.25">
      <c r="A314" s="121">
        <v>313</v>
      </c>
      <c r="B314" s="122" t="s">
        <v>25</v>
      </c>
      <c r="C314" s="122" t="s">
        <v>106</v>
      </c>
      <c r="D314" s="123" t="s">
        <v>920</v>
      </c>
      <c r="E314" s="123" t="s">
        <v>894</v>
      </c>
      <c r="F314" s="123" t="s">
        <v>300</v>
      </c>
      <c r="G314" s="122" t="s">
        <v>273</v>
      </c>
      <c r="H314" s="122" t="s">
        <v>192</v>
      </c>
      <c r="I314" s="123" t="s">
        <v>296</v>
      </c>
      <c r="J314" s="123" t="s">
        <v>296</v>
      </c>
      <c r="K314" s="145" t="s">
        <v>296</v>
      </c>
      <c r="L314" s="146">
        <v>0.6</v>
      </c>
      <c r="M314" s="146">
        <v>0.6</v>
      </c>
      <c r="N314" s="145" t="s">
        <v>297</v>
      </c>
      <c r="O314" s="145" t="s">
        <v>298</v>
      </c>
      <c r="P314" s="123" t="s">
        <v>207</v>
      </c>
      <c r="Q314" s="146">
        <v>0.4</v>
      </c>
      <c r="R314" s="147" t="s">
        <v>251</v>
      </c>
      <c r="S314" s="146">
        <v>0.41</v>
      </c>
      <c r="T314" s="147" t="s">
        <v>251</v>
      </c>
      <c r="U314" s="146">
        <v>0.46</v>
      </c>
      <c r="V314" s="147" t="s">
        <v>251</v>
      </c>
      <c r="W314" s="146">
        <v>0.61</v>
      </c>
      <c r="X314" s="121" t="s">
        <v>198</v>
      </c>
      <c r="Y314" s="121" t="s">
        <v>11</v>
      </c>
      <c r="Z314" s="121" t="s">
        <v>11</v>
      </c>
      <c r="AA314" s="126">
        <v>1.1200000000000001</v>
      </c>
      <c r="AB314" s="121" t="s">
        <v>198</v>
      </c>
      <c r="AC314" s="126">
        <v>1.1200000000000001</v>
      </c>
      <c r="AD314" s="121" t="s">
        <v>198</v>
      </c>
      <c r="AE314" s="147" t="s">
        <v>11</v>
      </c>
      <c r="AF314" s="128" t="s">
        <v>11</v>
      </c>
      <c r="AG314" s="126" t="s">
        <v>61</v>
      </c>
      <c r="AH314" s="126" t="s">
        <v>61</v>
      </c>
      <c r="AI314" s="126" t="s">
        <v>61</v>
      </c>
      <c r="AJ314" s="121" t="s">
        <v>61</v>
      </c>
      <c r="AK314" s="126" t="s">
        <v>61</v>
      </c>
      <c r="AL314" s="121" t="s">
        <v>61</v>
      </c>
      <c r="AM314" s="126" t="s">
        <v>61</v>
      </c>
      <c r="AN314" s="121" t="s">
        <v>61</v>
      </c>
      <c r="AO314" s="126" t="s">
        <v>61</v>
      </c>
      <c r="AP314" s="121" t="s">
        <v>61</v>
      </c>
      <c r="AQ314" s="126" t="s">
        <v>11</v>
      </c>
      <c r="AR314" s="121" t="s">
        <v>11</v>
      </c>
      <c r="AS314" s="126" t="s">
        <v>11</v>
      </c>
      <c r="AT314" s="121" t="s">
        <v>11</v>
      </c>
      <c r="AU314" s="121" t="s">
        <v>61</v>
      </c>
      <c r="AV314" s="121" t="s">
        <v>61</v>
      </c>
      <c r="AW314" s="121" t="s">
        <v>323</v>
      </c>
      <c r="AX314" s="128" t="s">
        <v>11</v>
      </c>
      <c r="AY314" s="121" t="s">
        <v>323</v>
      </c>
      <c r="AZ314" s="121" t="s">
        <v>323</v>
      </c>
      <c r="BA314" s="121" t="s">
        <v>323</v>
      </c>
      <c r="BB314" s="121" t="s">
        <v>323</v>
      </c>
      <c r="BC314" s="127" t="s">
        <v>11</v>
      </c>
      <c r="BD314" s="128" t="s">
        <v>11</v>
      </c>
      <c r="BE314" s="121" t="s">
        <v>61</v>
      </c>
      <c r="BF314" s="121" t="s">
        <v>61</v>
      </c>
      <c r="BG314" s="121" t="s">
        <v>61</v>
      </c>
      <c r="BH314" s="121" t="s">
        <v>61</v>
      </c>
      <c r="BI314" s="121" t="s">
        <v>61</v>
      </c>
      <c r="BJ314" s="121" t="s">
        <v>61</v>
      </c>
      <c r="BK314" s="121" t="s">
        <v>323</v>
      </c>
      <c r="BL314" s="128" t="str">
        <f>IF(BK314="NA","NA",IF(BK314="Not Reported","Not Reported",IF(BK314&lt;$L$314,"Not Met","Met")))</f>
        <v>Met</v>
      </c>
      <c r="BM314" s="257" t="s">
        <v>11</v>
      </c>
      <c r="BN314" s="128" t="str">
        <f>IF(BM314="NA","NA",IF(BM314="Not Reported","Not Reported",IF(BM314&lt;$L$314,"Not Met","Met")))</f>
        <v>NA</v>
      </c>
      <c r="BO314" s="335" t="s">
        <v>11</v>
      </c>
      <c r="BP314" s="128" t="s">
        <v>11</v>
      </c>
      <c r="BQ314" s="335" t="s">
        <v>11</v>
      </c>
      <c r="BR314" s="128" t="s">
        <v>11</v>
      </c>
      <c r="BS314" s="338" t="s">
        <v>11</v>
      </c>
      <c r="BT314" s="128" t="str">
        <f>IF(BS314="NA","NA",IF(BS314="Not Reported","Not Reported",IF(BS314&lt;$L$314,"Not Met","Met")))</f>
        <v>NA</v>
      </c>
      <c r="BU314" s="338" t="s">
        <v>11</v>
      </c>
      <c r="BV314" s="128" t="str">
        <f>IF(BU314="NA","NA",IF(BU314="Not Reported","Not Reported",IF(BU314&lt;$L$314,"Not Met","Met")))</f>
        <v>NA</v>
      </c>
    </row>
    <row r="315" spans="1:74" x14ac:dyDescent="0.2">
      <c r="A315" s="121">
        <v>314</v>
      </c>
      <c r="B315" s="122" t="s">
        <v>33</v>
      </c>
      <c r="C315" s="122" t="s">
        <v>904</v>
      </c>
      <c r="D315" s="123" t="s">
        <v>109</v>
      </c>
      <c r="E315" s="123" t="s">
        <v>900</v>
      </c>
      <c r="F315" s="123" t="s">
        <v>190</v>
      </c>
      <c r="G315" s="122" t="s">
        <v>191</v>
      </c>
      <c r="H315" s="122" t="s">
        <v>212</v>
      </c>
      <c r="I315" s="124" t="s">
        <v>274</v>
      </c>
      <c r="J315" s="124" t="s">
        <v>214</v>
      </c>
      <c r="K315" s="145" t="s">
        <v>274</v>
      </c>
      <c r="L315" s="147">
        <v>75</v>
      </c>
      <c r="M315" s="184" t="s">
        <v>542</v>
      </c>
      <c r="N315" s="145" t="s">
        <v>528</v>
      </c>
      <c r="O315" s="145" t="s">
        <v>528</v>
      </c>
      <c r="P315" s="123" t="s">
        <v>207</v>
      </c>
      <c r="Q315" s="147">
        <v>59</v>
      </c>
      <c r="R315" s="121" t="s">
        <v>198</v>
      </c>
      <c r="S315" s="147" t="s">
        <v>537</v>
      </c>
      <c r="T315" s="121" t="s">
        <v>251</v>
      </c>
      <c r="U315" s="147" t="s">
        <v>730</v>
      </c>
      <c r="V315" s="147" t="s">
        <v>251</v>
      </c>
      <c r="W315" s="147" t="s">
        <v>769</v>
      </c>
      <c r="X315" s="147" t="s">
        <v>251</v>
      </c>
      <c r="Y315" s="147" t="s">
        <v>493</v>
      </c>
      <c r="Z315" s="121" t="s">
        <v>251</v>
      </c>
      <c r="AA315" s="147" t="s">
        <v>730</v>
      </c>
      <c r="AB315" s="147" t="s">
        <v>251</v>
      </c>
      <c r="AC315" s="147" t="s">
        <v>770</v>
      </c>
      <c r="AD315" s="121" t="s">
        <v>251</v>
      </c>
      <c r="AE315" s="147" t="s">
        <v>730</v>
      </c>
      <c r="AF315" s="147" t="s">
        <v>251</v>
      </c>
      <c r="AG315" s="147" t="s">
        <v>540</v>
      </c>
      <c r="AH315" s="147" t="s">
        <v>251</v>
      </c>
      <c r="AI315" s="147" t="s">
        <v>61</v>
      </c>
      <c r="AJ315" s="121" t="s">
        <v>61</v>
      </c>
      <c r="AK315" s="147" t="s">
        <v>61</v>
      </c>
      <c r="AL315" s="121" t="s">
        <v>61</v>
      </c>
      <c r="AM315" s="147" t="s">
        <v>346</v>
      </c>
      <c r="AN315" s="121" t="s">
        <v>198</v>
      </c>
      <c r="AO315" s="162">
        <v>49</v>
      </c>
      <c r="AP315" s="121" t="s">
        <v>198</v>
      </c>
      <c r="AQ315" s="162">
        <v>84</v>
      </c>
      <c r="AR315" s="121" t="s">
        <v>251</v>
      </c>
      <c r="AS315" s="162">
        <v>96</v>
      </c>
      <c r="AT315" s="121" t="s">
        <v>251</v>
      </c>
      <c r="AU315" s="226">
        <v>44</v>
      </c>
      <c r="AV315" s="121" t="s">
        <v>198</v>
      </c>
      <c r="AW315" s="162">
        <v>88</v>
      </c>
      <c r="AX315" s="121" t="s">
        <v>251</v>
      </c>
      <c r="AY315" s="121">
        <v>40</v>
      </c>
      <c r="AZ315" s="121" t="s">
        <v>198</v>
      </c>
      <c r="BA315" s="121">
        <v>37</v>
      </c>
      <c r="BB315" s="121" t="s">
        <v>198</v>
      </c>
      <c r="BC315" s="162">
        <v>24</v>
      </c>
      <c r="BD315" s="121" t="s">
        <v>198</v>
      </c>
      <c r="BE315" s="147">
        <v>24</v>
      </c>
      <c r="BF315" s="121" t="s">
        <v>198</v>
      </c>
      <c r="BG315" s="121">
        <v>31</v>
      </c>
      <c r="BH315" s="121" t="s">
        <v>198</v>
      </c>
      <c r="BI315" s="147" t="s">
        <v>61</v>
      </c>
      <c r="BJ315" s="121" t="s">
        <v>61</v>
      </c>
      <c r="BK315" s="121">
        <v>13</v>
      </c>
      <c r="BL315" s="121" t="str">
        <f>IF(BK315="NA","NA",IF(BK315="Not Reported","Not Reported",IF(BK315&gt;$L$315,"Not Met","Met")))</f>
        <v>Met</v>
      </c>
      <c r="BM315" s="89">
        <v>17</v>
      </c>
      <c r="BN315" s="121" t="str">
        <f>IF(BM315="NA","NA",IF(BM315="Not Reported","Not Reported",IF(BM315&gt;$L$315,"Not Met","Met")))</f>
        <v>Met</v>
      </c>
      <c r="BO315" s="121" t="s">
        <v>61</v>
      </c>
      <c r="BP315" s="121" t="s">
        <v>61</v>
      </c>
      <c r="BQ315" s="121" t="s">
        <v>61</v>
      </c>
      <c r="BR315" s="121" t="s">
        <v>61</v>
      </c>
      <c r="BS315" s="31" t="s">
        <v>61</v>
      </c>
      <c r="BT315" s="121" t="str">
        <f>IF(BS315="NA","NA",IF(BS315="Not Reported","Not Reported",IF(BS315&gt;$L$315,"Not Met","Met")))</f>
        <v>Not Reported</v>
      </c>
      <c r="BU315" s="31" t="s">
        <v>61</v>
      </c>
      <c r="BV315" s="121" t="str">
        <f>IF(BU315="NA","NA",IF(BU315="Not Reported","Not Reported",IF(BU315&gt;$L$315,"Not Met","Met")))</f>
        <v>Not Reported</v>
      </c>
    </row>
    <row r="316" spans="1:74" x14ac:dyDescent="0.2">
      <c r="A316" s="121">
        <v>315</v>
      </c>
      <c r="B316" s="122" t="s">
        <v>33</v>
      </c>
      <c r="C316" s="122" t="s">
        <v>904</v>
      </c>
      <c r="D316" s="123" t="s">
        <v>109</v>
      </c>
      <c r="E316" s="123" t="s">
        <v>900</v>
      </c>
      <c r="F316" s="123" t="s">
        <v>190</v>
      </c>
      <c r="G316" s="122" t="s">
        <v>191</v>
      </c>
      <c r="H316" s="122" t="s">
        <v>212</v>
      </c>
      <c r="I316" s="124" t="s">
        <v>213</v>
      </c>
      <c r="J316" s="124" t="s">
        <v>214</v>
      </c>
      <c r="K316" s="129" t="s">
        <v>213</v>
      </c>
      <c r="L316" s="147">
        <v>60</v>
      </c>
      <c r="M316" s="184" t="s">
        <v>579</v>
      </c>
      <c r="N316" s="145" t="s">
        <v>341</v>
      </c>
      <c r="O316" s="145" t="s">
        <v>342</v>
      </c>
      <c r="P316" s="123" t="s">
        <v>207</v>
      </c>
      <c r="Q316" s="147">
        <v>41</v>
      </c>
      <c r="R316" s="121" t="s">
        <v>198</v>
      </c>
      <c r="S316" s="147" t="s">
        <v>438</v>
      </c>
      <c r="T316" s="121" t="s">
        <v>198</v>
      </c>
      <c r="U316" s="147" t="s">
        <v>501</v>
      </c>
      <c r="V316" s="121" t="s">
        <v>198</v>
      </c>
      <c r="W316" s="147" t="s">
        <v>606</v>
      </c>
      <c r="X316" s="147" t="s">
        <v>251</v>
      </c>
      <c r="Y316" s="147" t="s">
        <v>480</v>
      </c>
      <c r="Z316" s="121" t="s">
        <v>198</v>
      </c>
      <c r="AA316" s="147" t="s">
        <v>478</v>
      </c>
      <c r="AB316" s="121" t="s">
        <v>198</v>
      </c>
      <c r="AC316" s="147" t="s">
        <v>616</v>
      </c>
      <c r="AD316" s="121" t="s">
        <v>198</v>
      </c>
      <c r="AE316" s="147" t="s">
        <v>771</v>
      </c>
      <c r="AF316" s="147" t="s">
        <v>251</v>
      </c>
      <c r="AG316" s="147" t="s">
        <v>547</v>
      </c>
      <c r="AH316" s="147" t="s">
        <v>198</v>
      </c>
      <c r="AI316" s="147" t="s">
        <v>61</v>
      </c>
      <c r="AJ316" s="121" t="s">
        <v>61</v>
      </c>
      <c r="AK316" s="147" t="s">
        <v>61</v>
      </c>
      <c r="AL316" s="121" t="s">
        <v>61</v>
      </c>
      <c r="AM316" s="147" t="s">
        <v>364</v>
      </c>
      <c r="AN316" s="121" t="s">
        <v>251</v>
      </c>
      <c r="AO316" s="162">
        <v>90</v>
      </c>
      <c r="AP316" s="121" t="s">
        <v>251</v>
      </c>
      <c r="AQ316" s="162">
        <v>75</v>
      </c>
      <c r="AR316" s="121" t="s">
        <v>251</v>
      </c>
      <c r="AS316" s="162">
        <v>84</v>
      </c>
      <c r="AT316" s="121" t="s">
        <v>251</v>
      </c>
      <c r="AU316" s="226">
        <v>70</v>
      </c>
      <c r="AV316" s="121" t="s">
        <v>251</v>
      </c>
      <c r="AW316" s="162">
        <v>23</v>
      </c>
      <c r="AX316" s="121" t="s">
        <v>198</v>
      </c>
      <c r="AY316" s="121">
        <v>67</v>
      </c>
      <c r="AZ316" s="121" t="s">
        <v>251</v>
      </c>
      <c r="BA316" s="121">
        <v>73</v>
      </c>
      <c r="BB316" s="121" t="s">
        <v>251</v>
      </c>
      <c r="BC316" s="162">
        <v>74</v>
      </c>
      <c r="BD316" s="121" t="s">
        <v>251</v>
      </c>
      <c r="BE316" s="147">
        <v>65</v>
      </c>
      <c r="BF316" s="121" t="s">
        <v>251</v>
      </c>
      <c r="BG316" s="121">
        <v>83</v>
      </c>
      <c r="BH316" s="121" t="s">
        <v>251</v>
      </c>
      <c r="BI316" s="147" t="s">
        <v>61</v>
      </c>
      <c r="BJ316" s="121" t="s">
        <v>61</v>
      </c>
      <c r="BK316" s="121" t="s">
        <v>579</v>
      </c>
      <c r="BL316" s="121" t="str">
        <f>IF(BK316="NA","NA",IF(BK316="Not Reported","Not Reported",IF(BK316&gt;$L$316,"Not Met","Met")))</f>
        <v>Not Met</v>
      </c>
      <c r="BM316" s="89">
        <v>66</v>
      </c>
      <c r="BN316" s="121" t="str">
        <f>IF(BM316="NA","NA",IF(BM316="Not Reported","Not Reported",IF(BM316&gt;$L$316,"Not Met","Met")))</f>
        <v>Not Met</v>
      </c>
      <c r="BO316" s="121" t="s">
        <v>61</v>
      </c>
      <c r="BP316" s="121" t="s">
        <v>61</v>
      </c>
      <c r="BQ316" s="121" t="s">
        <v>61</v>
      </c>
      <c r="BR316" s="121" t="s">
        <v>61</v>
      </c>
      <c r="BS316" s="31" t="s">
        <v>61</v>
      </c>
      <c r="BT316" s="121" t="str">
        <f>IF(BS316="NA","NA",IF(BS316="Not Reported","Not Reported",IF(BS316&gt;$L$316,"Not Met","Met")))</f>
        <v>Not Reported</v>
      </c>
      <c r="BU316" s="31" t="s">
        <v>61</v>
      </c>
      <c r="BV316" s="121" t="str">
        <f>IF(BU316="NA","NA",IF(BU316="Not Reported","Not Reported",IF(BU316&gt;$L$316,"Not Met","Met")))</f>
        <v>Not Reported</v>
      </c>
    </row>
    <row r="317" spans="1:74" x14ac:dyDescent="0.2">
      <c r="A317" s="121">
        <v>316</v>
      </c>
      <c r="B317" s="122" t="s">
        <v>33</v>
      </c>
      <c r="C317" s="122" t="s">
        <v>904</v>
      </c>
      <c r="D317" s="123" t="s">
        <v>109</v>
      </c>
      <c r="E317" s="123" t="s">
        <v>900</v>
      </c>
      <c r="F317" s="123" t="s">
        <v>190</v>
      </c>
      <c r="G317" s="122" t="s">
        <v>273</v>
      </c>
      <c r="H317" s="122" t="s">
        <v>192</v>
      </c>
      <c r="I317" s="124" t="s">
        <v>246</v>
      </c>
      <c r="J317" s="124" t="s">
        <v>214</v>
      </c>
      <c r="K317" s="122" t="s">
        <v>326</v>
      </c>
      <c r="L317" s="146">
        <v>0.15</v>
      </c>
      <c r="M317" s="146">
        <v>0.15</v>
      </c>
      <c r="N317" s="145" t="s">
        <v>368</v>
      </c>
      <c r="O317" s="145" t="s">
        <v>369</v>
      </c>
      <c r="P317" s="123" t="s">
        <v>207</v>
      </c>
      <c r="Q317" s="146">
        <v>7.0000000000000007E-2</v>
      </c>
      <c r="R317" s="121" t="s">
        <v>198</v>
      </c>
      <c r="S317" s="146">
        <v>0.06</v>
      </c>
      <c r="T317" s="121" t="s">
        <v>198</v>
      </c>
      <c r="U317" s="146">
        <v>0.11</v>
      </c>
      <c r="V317" s="121" t="s">
        <v>198</v>
      </c>
      <c r="W317" s="146">
        <v>0.18</v>
      </c>
      <c r="X317" s="147" t="s">
        <v>251</v>
      </c>
      <c r="Y317" s="146">
        <v>0.14000000000000001</v>
      </c>
      <c r="Z317" s="121" t="s">
        <v>198</v>
      </c>
      <c r="AA317" s="146">
        <v>7.0000000000000007E-2</v>
      </c>
      <c r="AB317" s="121" t="s">
        <v>198</v>
      </c>
      <c r="AC317" s="146">
        <v>0.1</v>
      </c>
      <c r="AD317" s="121" t="s">
        <v>198</v>
      </c>
      <c r="AE317" s="146">
        <v>0.03</v>
      </c>
      <c r="AF317" s="121" t="s">
        <v>198</v>
      </c>
      <c r="AG317" s="146">
        <v>0.03</v>
      </c>
      <c r="AH317" s="121" t="s">
        <v>198</v>
      </c>
      <c r="AI317" s="147" t="s">
        <v>61</v>
      </c>
      <c r="AJ317" s="121" t="s">
        <v>61</v>
      </c>
      <c r="AK317" s="147" t="s">
        <v>61</v>
      </c>
      <c r="AL317" s="121" t="s">
        <v>61</v>
      </c>
      <c r="AM317" s="146">
        <v>0.08</v>
      </c>
      <c r="AN317" s="121" t="s">
        <v>198</v>
      </c>
      <c r="AO317" s="177">
        <v>0.18421052631578946</v>
      </c>
      <c r="AP317" s="121" t="s">
        <v>251</v>
      </c>
      <c r="AQ317" s="177">
        <v>0.25</v>
      </c>
      <c r="AR317" s="121" t="s">
        <v>251</v>
      </c>
      <c r="AS317" s="177">
        <v>0.25</v>
      </c>
      <c r="AT317" s="121" t="s">
        <v>251</v>
      </c>
      <c r="AU317" s="121" t="s">
        <v>11</v>
      </c>
      <c r="AV317" s="121" t="s">
        <v>11</v>
      </c>
      <c r="AW317" s="147" t="s">
        <v>256</v>
      </c>
      <c r="AX317" s="121" t="s">
        <v>61</v>
      </c>
      <c r="AY317" s="121" t="s">
        <v>256</v>
      </c>
      <c r="AZ317" s="121" t="s">
        <v>61</v>
      </c>
      <c r="BA317" s="121" t="s">
        <v>256</v>
      </c>
      <c r="BB317" s="121" t="s">
        <v>61</v>
      </c>
      <c r="BC317" s="121" t="s">
        <v>61</v>
      </c>
      <c r="BD317" s="121" t="s">
        <v>6</v>
      </c>
      <c r="BE317" s="147" t="s">
        <v>61</v>
      </c>
      <c r="BF317" s="121" t="s">
        <v>61</v>
      </c>
      <c r="BG317" s="147" t="s">
        <v>61</v>
      </c>
      <c r="BH317" s="121" t="s">
        <v>61</v>
      </c>
      <c r="BI317" s="147" t="s">
        <v>61</v>
      </c>
      <c r="BJ317" s="121" t="s">
        <v>61</v>
      </c>
      <c r="BK317" s="121" t="s">
        <v>61</v>
      </c>
      <c r="BL317" s="174" t="str">
        <f>IF(BK317="NA","NA",IF(BK317="Not Reported","Not Reported",IF(BK317&gt;$L$317,"Not Met","Met")))</f>
        <v>Not Reported</v>
      </c>
      <c r="BM317" s="121" t="s">
        <v>61</v>
      </c>
      <c r="BN317" s="162" t="str">
        <f>IF(BM317="NA","NA",IF(BM317="Not Reported","Not Reported",IF(BM317&gt;$L$317,"Not Met","Met")))</f>
        <v>Not Reported</v>
      </c>
      <c r="BO317" s="121" t="s">
        <v>61</v>
      </c>
      <c r="BP317" s="162" t="s">
        <v>61</v>
      </c>
      <c r="BQ317" s="121" t="s">
        <v>61</v>
      </c>
      <c r="BR317" s="162" t="s">
        <v>61</v>
      </c>
      <c r="BS317" s="31" t="s">
        <v>61</v>
      </c>
      <c r="BT317" s="162" t="str">
        <f>IF(BS317="NA","NA",IF(BS317="Not Reported","Not Reported",IF(BS317&gt;$L$317,"Not Met","Met")))</f>
        <v>Not Reported</v>
      </c>
      <c r="BU317" s="31" t="s">
        <v>61</v>
      </c>
      <c r="BV317" s="162" t="str">
        <f>IF(BU317="NA","NA",IF(BU317="Not Reported","Not Reported",IF(BU317&gt;$L$317,"Not Met","Met")))</f>
        <v>Not Reported</v>
      </c>
    </row>
    <row r="318" spans="1:74" x14ac:dyDescent="0.2">
      <c r="A318" s="121">
        <v>317</v>
      </c>
      <c r="B318" s="122" t="s">
        <v>33</v>
      </c>
      <c r="C318" s="122" t="s">
        <v>904</v>
      </c>
      <c r="D318" s="123" t="s">
        <v>109</v>
      </c>
      <c r="E318" s="123" t="s">
        <v>900</v>
      </c>
      <c r="F318" s="123" t="s">
        <v>190</v>
      </c>
      <c r="G318" s="122" t="s">
        <v>273</v>
      </c>
      <c r="H318" s="122" t="s">
        <v>192</v>
      </c>
      <c r="I318" s="124" t="s">
        <v>284</v>
      </c>
      <c r="J318" s="124" t="s">
        <v>285</v>
      </c>
      <c r="K318" s="145" t="s">
        <v>284</v>
      </c>
      <c r="L318" s="146">
        <v>0.7</v>
      </c>
      <c r="M318" s="146">
        <v>0.7</v>
      </c>
      <c r="N318" s="145" t="s">
        <v>287</v>
      </c>
      <c r="O318" s="145" t="s">
        <v>288</v>
      </c>
      <c r="P318" s="123" t="s">
        <v>207</v>
      </c>
      <c r="Q318" s="146">
        <v>0.86</v>
      </c>
      <c r="R318" s="121" t="s">
        <v>198</v>
      </c>
      <c r="S318" s="146">
        <v>0.77</v>
      </c>
      <c r="T318" s="121" t="s">
        <v>198</v>
      </c>
      <c r="U318" s="146">
        <v>0.69</v>
      </c>
      <c r="V318" s="121" t="s">
        <v>251</v>
      </c>
      <c r="W318" s="146">
        <v>0.75</v>
      </c>
      <c r="X318" s="121" t="s">
        <v>198</v>
      </c>
      <c r="Y318" s="146">
        <v>0.79</v>
      </c>
      <c r="Z318" s="121" t="s">
        <v>198</v>
      </c>
      <c r="AA318" s="146">
        <v>0.89</v>
      </c>
      <c r="AB318" s="121" t="s">
        <v>198</v>
      </c>
      <c r="AC318" s="146">
        <v>0.73</v>
      </c>
      <c r="AD318" s="121" t="s">
        <v>198</v>
      </c>
      <c r="AE318" s="146">
        <v>0.92</v>
      </c>
      <c r="AF318" s="121" t="s">
        <v>198</v>
      </c>
      <c r="AG318" s="146">
        <v>0.73</v>
      </c>
      <c r="AH318" s="121" t="s">
        <v>198</v>
      </c>
      <c r="AI318" s="147" t="s">
        <v>61</v>
      </c>
      <c r="AJ318" s="121" t="s">
        <v>61</v>
      </c>
      <c r="AK318" s="147" t="s">
        <v>61</v>
      </c>
      <c r="AL318" s="121" t="s">
        <v>61</v>
      </c>
      <c r="AM318" s="146">
        <v>0.88</v>
      </c>
      <c r="AN318" s="121" t="s">
        <v>198</v>
      </c>
      <c r="AO318" s="178">
        <v>0.61417322834645671</v>
      </c>
      <c r="AP318" s="121" t="s">
        <v>251</v>
      </c>
      <c r="AQ318" s="178">
        <v>0.84</v>
      </c>
      <c r="AR318" s="121" t="s">
        <v>198</v>
      </c>
      <c r="AS318" s="146">
        <v>0.89</v>
      </c>
      <c r="AT318" s="121" t="s">
        <v>198</v>
      </c>
      <c r="AU318" s="126">
        <v>0.69</v>
      </c>
      <c r="AV318" s="121" t="s">
        <v>251</v>
      </c>
      <c r="AW318" s="177">
        <f>82/109</f>
        <v>0.75229357798165142</v>
      </c>
      <c r="AX318" s="121" t="s">
        <v>198</v>
      </c>
      <c r="AY318" s="143">
        <v>0.8</v>
      </c>
      <c r="AZ318" s="121" t="s">
        <v>198</v>
      </c>
      <c r="BA318" s="143">
        <v>0.76</v>
      </c>
      <c r="BB318" s="121" t="s">
        <v>198</v>
      </c>
      <c r="BC318" s="126">
        <v>0.7</v>
      </c>
      <c r="BD318" s="121" t="s">
        <v>198</v>
      </c>
      <c r="BE318" s="128">
        <v>0.63</v>
      </c>
      <c r="BF318" s="121" t="s">
        <v>251</v>
      </c>
      <c r="BG318" s="143">
        <v>0.38372093023255816</v>
      </c>
      <c r="BH318" s="121" t="s">
        <v>251</v>
      </c>
      <c r="BI318" s="147" t="s">
        <v>61</v>
      </c>
      <c r="BJ318" s="121" t="s">
        <v>61</v>
      </c>
      <c r="BK318" s="121" t="s">
        <v>61</v>
      </c>
      <c r="BL318" s="128" t="str">
        <f>IF(BK318="NA","NA",IF(BK318="Not Reported","Not Reported",IF(BK318&lt;$L$318,"Not Met","Met")))</f>
        <v>Not Reported</v>
      </c>
      <c r="BM318" s="100">
        <v>0.62</v>
      </c>
      <c r="BN318" s="128" t="str">
        <f>IF(BM318="NA","NA",IF(BM318="Not Reported","Not Reported",IF(BM318&lt;$L$318,"Not Met","Met")))</f>
        <v>Not Met</v>
      </c>
      <c r="BO318" s="121" t="s">
        <v>61</v>
      </c>
      <c r="BP318" s="128" t="s">
        <v>61</v>
      </c>
      <c r="BQ318" s="121" t="s">
        <v>61</v>
      </c>
      <c r="BR318" s="128" t="s">
        <v>61</v>
      </c>
      <c r="BS318" s="31" t="s">
        <v>61</v>
      </c>
      <c r="BT318" s="128" t="str">
        <f>IF(BS318="NA","NA",IF(BS318="Not Reported","Not Reported",IF(BS318&lt;$L$318,"Not Met","Met")))</f>
        <v>Not Reported</v>
      </c>
      <c r="BU318" s="31" t="s">
        <v>61</v>
      </c>
      <c r="BV318" s="128" t="str">
        <f>IF(BU318="NA","NA",IF(BU318="Not Reported","Not Reported",IF(BU318&lt;$L$318,"Not Met","Met")))</f>
        <v>Not Reported</v>
      </c>
    </row>
    <row r="319" spans="1:74" s="79" customFormat="1" x14ac:dyDescent="0.2">
      <c r="A319" s="121">
        <v>318</v>
      </c>
      <c r="B319" s="227" t="s">
        <v>33</v>
      </c>
      <c r="C319" s="122" t="s">
        <v>904</v>
      </c>
      <c r="D319" s="228" t="s">
        <v>109</v>
      </c>
      <c r="E319" s="123" t="s">
        <v>900</v>
      </c>
      <c r="F319" s="228" t="s">
        <v>190</v>
      </c>
      <c r="G319" s="227" t="s">
        <v>191</v>
      </c>
      <c r="H319" s="227" t="s">
        <v>212</v>
      </c>
      <c r="I319" s="229" t="s">
        <v>289</v>
      </c>
      <c r="J319" s="229" t="s">
        <v>285</v>
      </c>
      <c r="K319" s="230" t="s">
        <v>289</v>
      </c>
      <c r="L319" s="231">
        <v>0.37569444444444444</v>
      </c>
      <c r="M319" s="231">
        <v>0.37569444444444444</v>
      </c>
      <c r="N319" s="230" t="s">
        <v>368</v>
      </c>
      <c r="O319" s="230" t="s">
        <v>369</v>
      </c>
      <c r="P319" s="228" t="s">
        <v>207</v>
      </c>
      <c r="Q319" s="231">
        <v>0.29236111111111113</v>
      </c>
      <c r="R319" s="232" t="s">
        <v>198</v>
      </c>
      <c r="S319" s="231">
        <v>0.25069444444444444</v>
      </c>
      <c r="T319" s="232" t="s">
        <v>198</v>
      </c>
      <c r="U319" s="231">
        <v>0.25069444444444444</v>
      </c>
      <c r="V319" s="232" t="s">
        <v>198</v>
      </c>
      <c r="W319" s="231">
        <v>0.25069444444444444</v>
      </c>
      <c r="X319" s="232" t="s">
        <v>198</v>
      </c>
      <c r="Y319" s="231">
        <v>0.25069444444444444</v>
      </c>
      <c r="Z319" s="232" t="s">
        <v>198</v>
      </c>
      <c r="AA319" s="231">
        <v>0.25069444444444444</v>
      </c>
      <c r="AB319" s="232" t="s">
        <v>198</v>
      </c>
      <c r="AC319" s="231">
        <v>0.29236111111111113</v>
      </c>
      <c r="AD319" s="232" t="s">
        <v>198</v>
      </c>
      <c r="AE319" s="231">
        <v>0.25069444444444444</v>
      </c>
      <c r="AF319" s="232" t="s">
        <v>198</v>
      </c>
      <c r="AG319" s="231">
        <v>0.25069444444444444</v>
      </c>
      <c r="AH319" s="232" t="s">
        <v>198</v>
      </c>
      <c r="AI319" s="233" t="s">
        <v>61</v>
      </c>
      <c r="AJ319" s="232" t="s">
        <v>61</v>
      </c>
      <c r="AK319" s="233" t="s">
        <v>61</v>
      </c>
      <c r="AL319" s="232" t="s">
        <v>61</v>
      </c>
      <c r="AM319" s="231">
        <v>0.25069444444444444</v>
      </c>
      <c r="AN319" s="232" t="s">
        <v>198</v>
      </c>
      <c r="AO319" s="234">
        <v>0.25069444444444444</v>
      </c>
      <c r="AP319" s="232" t="s">
        <v>198</v>
      </c>
      <c r="AQ319" s="234">
        <v>0.25069444444444444</v>
      </c>
      <c r="AR319" s="232" t="s">
        <v>198</v>
      </c>
      <c r="AS319" s="235">
        <v>8.01</v>
      </c>
      <c r="AT319" s="232" t="s">
        <v>198</v>
      </c>
      <c r="AU319" s="236">
        <v>0.25069444444444444</v>
      </c>
      <c r="AV319" s="232" t="s">
        <v>198</v>
      </c>
      <c r="AW319" s="237">
        <v>0.29236111111111113</v>
      </c>
      <c r="AX319" s="232" t="s">
        <v>198</v>
      </c>
      <c r="AY319" s="231">
        <v>0.25069444444444444</v>
      </c>
      <c r="AZ319" s="232" t="s">
        <v>198</v>
      </c>
      <c r="BA319" s="231">
        <v>0.29236111111111113</v>
      </c>
      <c r="BB319" s="232" t="s">
        <v>198</v>
      </c>
      <c r="BC319" s="232" t="s">
        <v>61</v>
      </c>
      <c r="BD319" s="232" t="s">
        <v>6</v>
      </c>
      <c r="BE319" s="238">
        <v>9.7222222222222224E-3</v>
      </c>
      <c r="BF319" s="232" t="s">
        <v>251</v>
      </c>
      <c r="BG319" s="239">
        <v>0.01</v>
      </c>
      <c r="BH319" s="232" t="s">
        <v>251</v>
      </c>
      <c r="BI319" s="233" t="s">
        <v>61</v>
      </c>
      <c r="BJ319" s="232" t="s">
        <v>61</v>
      </c>
      <c r="BK319" s="232" t="s">
        <v>61</v>
      </c>
      <c r="BL319" s="128" t="str">
        <f>IF(BK319="NA","NA",IF(BK319="Not Reported","Not Reported",IF(BK319&gt;$L$319,"Not Met","Met")))</f>
        <v>Not Reported</v>
      </c>
      <c r="BM319" s="278">
        <v>0.54236111111111107</v>
      </c>
      <c r="BN319" s="128" t="str">
        <f>IF(BM319="NA","NA",IF(BM319="Not Reported","Not Reported",IF(BM319&gt;$L$319,"Not Met","Met")))</f>
        <v>Not Met</v>
      </c>
      <c r="BO319" s="121" t="s">
        <v>61</v>
      </c>
      <c r="BP319" s="128" t="s">
        <v>61</v>
      </c>
      <c r="BQ319" s="121" t="s">
        <v>61</v>
      </c>
      <c r="BR319" s="128" t="s">
        <v>61</v>
      </c>
      <c r="BS319" s="31" t="s">
        <v>61</v>
      </c>
      <c r="BT319" s="128" t="str">
        <f>IF(BS319="NA","NA",IF(BS319="Not Reported","Not Reported",IF(BS319&gt;$L$319,"Not Met","Met")))</f>
        <v>Not Reported</v>
      </c>
      <c r="BU319" s="31" t="s">
        <v>61</v>
      </c>
      <c r="BV319" s="128" t="str">
        <f>IF(BU319="NA","NA",IF(BU319="Not Reported","Not Reported",IF(BU319&gt;$L$319,"Not Met","Met")))</f>
        <v>Not Reported</v>
      </c>
    </row>
    <row r="320" spans="1:74" x14ac:dyDescent="0.2">
      <c r="A320" s="121">
        <v>319</v>
      </c>
      <c r="B320" s="122" t="s">
        <v>33</v>
      </c>
      <c r="C320" s="122" t="s">
        <v>904</v>
      </c>
      <c r="D320" s="123" t="s">
        <v>109</v>
      </c>
      <c r="E320" s="123" t="s">
        <v>900</v>
      </c>
      <c r="F320" s="123" t="s">
        <v>190</v>
      </c>
      <c r="G320" s="122" t="s">
        <v>273</v>
      </c>
      <c r="H320" s="122" t="s">
        <v>192</v>
      </c>
      <c r="I320" s="124" t="s">
        <v>292</v>
      </c>
      <c r="J320" s="124" t="s">
        <v>293</v>
      </c>
      <c r="K320" s="122" t="s">
        <v>292</v>
      </c>
      <c r="L320" s="146">
        <v>0.1</v>
      </c>
      <c r="M320" s="147" t="s">
        <v>505</v>
      </c>
      <c r="N320" s="145" t="s">
        <v>752</v>
      </c>
      <c r="O320" s="145" t="s">
        <v>772</v>
      </c>
      <c r="P320" s="123" t="s">
        <v>207</v>
      </c>
      <c r="Q320" s="146">
        <v>0.09</v>
      </c>
      <c r="R320" s="121" t="s">
        <v>198</v>
      </c>
      <c r="S320" s="146">
        <v>0</v>
      </c>
      <c r="T320" s="121" t="s">
        <v>198</v>
      </c>
      <c r="U320" s="146">
        <v>0.04</v>
      </c>
      <c r="V320" s="121" t="s">
        <v>198</v>
      </c>
      <c r="W320" s="146">
        <v>0.06</v>
      </c>
      <c r="X320" s="121" t="s">
        <v>198</v>
      </c>
      <c r="Y320" s="146">
        <v>0.11</v>
      </c>
      <c r="Z320" s="121" t="s">
        <v>251</v>
      </c>
      <c r="AA320" s="146">
        <v>0.4</v>
      </c>
      <c r="AB320" s="147" t="s">
        <v>251</v>
      </c>
      <c r="AC320" s="146">
        <v>0.14000000000000001</v>
      </c>
      <c r="AD320" s="121" t="s">
        <v>251</v>
      </c>
      <c r="AE320" s="146">
        <v>0</v>
      </c>
      <c r="AF320" s="121" t="s">
        <v>198</v>
      </c>
      <c r="AG320" s="146">
        <v>7.0000000000000007E-2</v>
      </c>
      <c r="AH320" s="121" t="s">
        <v>198</v>
      </c>
      <c r="AI320" s="147" t="s">
        <v>61</v>
      </c>
      <c r="AJ320" s="121" t="s">
        <v>61</v>
      </c>
      <c r="AK320" s="147" t="s">
        <v>61</v>
      </c>
      <c r="AL320" s="121" t="s">
        <v>61</v>
      </c>
      <c r="AM320" s="146">
        <v>0</v>
      </c>
      <c r="AN320" s="121" t="s">
        <v>198</v>
      </c>
      <c r="AO320" s="177">
        <v>0</v>
      </c>
      <c r="AP320" s="121" t="s">
        <v>198</v>
      </c>
      <c r="AQ320" s="177">
        <v>9.5238095238095233E-2</v>
      </c>
      <c r="AR320" s="121" t="s">
        <v>198</v>
      </c>
      <c r="AS320" s="146">
        <v>0.02</v>
      </c>
      <c r="AT320" s="121" t="s">
        <v>198</v>
      </c>
      <c r="AU320" s="126">
        <v>0.17</v>
      </c>
      <c r="AV320" s="121" t="s">
        <v>251</v>
      </c>
      <c r="AW320" s="177">
        <f>1/19</f>
        <v>5.2631578947368418E-2</v>
      </c>
      <c r="AX320" s="121" t="s">
        <v>198</v>
      </c>
      <c r="AY320" s="143">
        <v>0</v>
      </c>
      <c r="AZ320" s="121" t="s">
        <v>198</v>
      </c>
      <c r="BA320" s="143">
        <f>5/32</f>
        <v>0.15625</v>
      </c>
      <c r="BB320" s="121" t="s">
        <v>251</v>
      </c>
      <c r="BC320" s="126">
        <v>0.17</v>
      </c>
      <c r="BD320" s="121" t="s">
        <v>251</v>
      </c>
      <c r="BE320" s="128">
        <v>7.0000000000000007E-2</v>
      </c>
      <c r="BF320" s="121" t="s">
        <v>198</v>
      </c>
      <c r="BG320" s="126">
        <v>0.57999999999999996</v>
      </c>
      <c r="BH320" s="121" t="s">
        <v>251</v>
      </c>
      <c r="BI320" s="147" t="s">
        <v>61</v>
      </c>
      <c r="BJ320" s="121" t="s">
        <v>61</v>
      </c>
      <c r="BK320" s="126">
        <v>0.1</v>
      </c>
      <c r="BL320" s="128" t="str">
        <f>IF(BK320="NA","NA",IF(BK320="Not Reported","Not Reported",IF(BK320&gt;=$L$320,"Not Met","Met")))</f>
        <v>Not Met</v>
      </c>
      <c r="BM320" s="100">
        <v>0</v>
      </c>
      <c r="BN320" s="128" t="str">
        <f>IF(BM320="NA","NA",IF(BM320="Not Reported","Not Reported",IF(BM320&gt;=$L$320,"Not Met","Met")))</f>
        <v>Met</v>
      </c>
      <c r="BO320" s="121" t="s">
        <v>61</v>
      </c>
      <c r="BP320" s="128" t="s">
        <v>61</v>
      </c>
      <c r="BQ320" s="121" t="s">
        <v>61</v>
      </c>
      <c r="BR320" s="128" t="s">
        <v>61</v>
      </c>
      <c r="BS320" s="31" t="s">
        <v>61</v>
      </c>
      <c r="BT320" s="128" t="str">
        <f>IF(BS320="NA","NA",IF(BS320="Not Reported","Not Reported",IF(BS320&gt;=$L$320,"Not Met","Met")))</f>
        <v>Not Reported</v>
      </c>
      <c r="BU320" s="31" t="s">
        <v>61</v>
      </c>
      <c r="BV320" s="128" t="str">
        <f>IF(BU320="NA","NA",IF(BU320="Not Reported","Not Reported",IF(BU320&gt;=$L$320,"Not Met","Met")))</f>
        <v>Not Reported</v>
      </c>
    </row>
    <row r="321" spans="1:74" x14ac:dyDescent="0.2">
      <c r="A321" s="121">
        <v>320</v>
      </c>
      <c r="B321" s="122" t="s">
        <v>33</v>
      </c>
      <c r="C321" s="122" t="s">
        <v>904</v>
      </c>
      <c r="D321" s="123" t="s">
        <v>109</v>
      </c>
      <c r="E321" s="123" t="s">
        <v>900</v>
      </c>
      <c r="F321" s="123" t="s">
        <v>190</v>
      </c>
      <c r="G321" s="122" t="s">
        <v>273</v>
      </c>
      <c r="H321" s="122" t="s">
        <v>192</v>
      </c>
      <c r="I321" s="123" t="s">
        <v>296</v>
      </c>
      <c r="J321" s="123" t="s">
        <v>296</v>
      </c>
      <c r="K321" s="240" t="s">
        <v>296</v>
      </c>
      <c r="L321" s="146">
        <v>0.9</v>
      </c>
      <c r="M321" s="146">
        <v>0.9</v>
      </c>
      <c r="N321" s="145" t="s">
        <v>297</v>
      </c>
      <c r="O321" s="145" t="s">
        <v>298</v>
      </c>
      <c r="P321" s="123" t="s">
        <v>207</v>
      </c>
      <c r="Q321" s="146">
        <v>0.62</v>
      </c>
      <c r="R321" s="128" t="s">
        <v>251</v>
      </c>
      <c r="S321" s="146">
        <v>0.81</v>
      </c>
      <c r="T321" s="147" t="s">
        <v>251</v>
      </c>
      <c r="U321" s="146">
        <v>1.1399999999999999</v>
      </c>
      <c r="V321" s="147" t="s">
        <v>198</v>
      </c>
      <c r="W321" s="146">
        <v>0.95</v>
      </c>
      <c r="X321" s="121" t="s">
        <v>198</v>
      </c>
      <c r="Y321" s="146">
        <v>1.24</v>
      </c>
      <c r="Z321" s="121" t="s">
        <v>198</v>
      </c>
      <c r="AA321" s="146">
        <v>0.71</v>
      </c>
      <c r="AB321" s="147" t="s">
        <v>251</v>
      </c>
      <c r="AC321" s="146">
        <v>0.98</v>
      </c>
      <c r="AD321" s="121" t="s">
        <v>198</v>
      </c>
      <c r="AE321" s="146">
        <v>0.71</v>
      </c>
      <c r="AF321" s="147" t="s">
        <v>251</v>
      </c>
      <c r="AG321" s="146">
        <v>0.56999999999999995</v>
      </c>
      <c r="AH321" s="147" t="s">
        <v>251</v>
      </c>
      <c r="AI321" s="147" t="s">
        <v>61</v>
      </c>
      <c r="AJ321" s="121" t="s">
        <v>61</v>
      </c>
      <c r="AK321" s="147" t="s">
        <v>61</v>
      </c>
      <c r="AL321" s="121" t="s">
        <v>61</v>
      </c>
      <c r="AM321" s="146">
        <v>0.28999999999999998</v>
      </c>
      <c r="AN321" s="121" t="s">
        <v>251</v>
      </c>
      <c r="AO321" s="177">
        <v>0.80952380952380953</v>
      </c>
      <c r="AP321" s="121" t="s">
        <v>251</v>
      </c>
      <c r="AQ321" s="177">
        <v>1.1904761904761905</v>
      </c>
      <c r="AR321" s="121" t="s">
        <v>198</v>
      </c>
      <c r="AS321" s="177">
        <v>0.8571428571428571</v>
      </c>
      <c r="AT321" s="121" t="s">
        <v>251</v>
      </c>
      <c r="AU321" s="126">
        <v>1.1000000000000001</v>
      </c>
      <c r="AV321" s="121" t="s">
        <v>198</v>
      </c>
      <c r="AW321" s="177">
        <f>15/11</f>
        <v>1.3636363636363635</v>
      </c>
      <c r="AX321" s="121" t="s">
        <v>198</v>
      </c>
      <c r="AY321" s="143">
        <f>13/21</f>
        <v>0.61904761904761907</v>
      </c>
      <c r="AZ321" s="121" t="s">
        <v>251</v>
      </c>
      <c r="BA321" s="143">
        <v>1.03</v>
      </c>
      <c r="BB321" s="121" t="s">
        <v>198</v>
      </c>
      <c r="BC321" s="126">
        <v>0.9</v>
      </c>
      <c r="BD321" s="121" t="s">
        <v>198</v>
      </c>
      <c r="BE321" s="128">
        <v>0.92</v>
      </c>
      <c r="BF321" s="121" t="s">
        <v>198</v>
      </c>
      <c r="BG321" s="126">
        <v>0.53</v>
      </c>
      <c r="BH321" s="121" t="s">
        <v>251</v>
      </c>
      <c r="BI321" s="147" t="s">
        <v>61</v>
      </c>
      <c r="BJ321" s="121" t="s">
        <v>61</v>
      </c>
      <c r="BK321" s="126">
        <v>0.75</v>
      </c>
      <c r="BL321" s="128" t="str">
        <f>IF(BK321="NA","NA",IF(BK321="Not Reported","Not Reported",IF(BK321&lt;$L$321,"Not Met","Met")))</f>
        <v>Not Met</v>
      </c>
      <c r="BM321" s="279">
        <f>13/21</f>
        <v>0.61904761904761907</v>
      </c>
      <c r="BN321" s="128" t="str">
        <f>IF(BM321="NA","NA",IF(BM321="Not Reported","Not Reported",IF(BM321&lt;$L$321,"Not Met","Met")))</f>
        <v>Not Met</v>
      </c>
      <c r="BO321" s="121" t="s">
        <v>61</v>
      </c>
      <c r="BP321" s="128" t="s">
        <v>61</v>
      </c>
      <c r="BQ321" s="121" t="s">
        <v>61</v>
      </c>
      <c r="BR321" s="128" t="s">
        <v>61</v>
      </c>
      <c r="BS321" s="31" t="s">
        <v>61</v>
      </c>
      <c r="BT321" s="128" t="str">
        <f>IF(BS321="NA","NA",IF(BS321="Not Reported","Not Reported",IF(BS321&lt;$L$321,"Not Met","Met")))</f>
        <v>Not Reported</v>
      </c>
      <c r="BU321" s="31" t="s">
        <v>61</v>
      </c>
      <c r="BV321" s="128" t="str">
        <f>IF(BU321="NA","NA",IF(BU321="Not Reported","Not Reported",IF(BU321&lt;$L$321,"Not Met","Met")))</f>
        <v>Not Reported</v>
      </c>
    </row>
    <row r="322" spans="1:74" x14ac:dyDescent="0.2">
      <c r="A322" s="121">
        <v>321</v>
      </c>
      <c r="B322" s="122" t="s">
        <v>33</v>
      </c>
      <c r="C322" s="122" t="s">
        <v>904</v>
      </c>
      <c r="D322" s="123" t="s">
        <v>109</v>
      </c>
      <c r="E322" s="123" t="s">
        <v>900</v>
      </c>
      <c r="F322" s="123" t="s">
        <v>190</v>
      </c>
      <c r="G322" s="122" t="s">
        <v>191</v>
      </c>
      <c r="H322" s="122" t="s">
        <v>212</v>
      </c>
      <c r="I322" s="124" t="s">
        <v>257</v>
      </c>
      <c r="J322" s="124" t="s">
        <v>258</v>
      </c>
      <c r="K322" s="123" t="s">
        <v>259</v>
      </c>
      <c r="L322" s="146">
        <v>0.3</v>
      </c>
      <c r="M322" s="146">
        <v>0.3</v>
      </c>
      <c r="N322" s="218" t="s">
        <v>773</v>
      </c>
      <c r="O322" s="218" t="s">
        <v>773</v>
      </c>
      <c r="P322" s="123" t="s">
        <v>207</v>
      </c>
      <c r="Q322" s="146">
        <v>0.17</v>
      </c>
      <c r="R322" s="147" t="s">
        <v>251</v>
      </c>
      <c r="S322" s="146">
        <v>0.18</v>
      </c>
      <c r="T322" s="147" t="s">
        <v>251</v>
      </c>
      <c r="U322" s="146">
        <v>0.06</v>
      </c>
      <c r="V322" s="147" t="s">
        <v>251</v>
      </c>
      <c r="W322" s="146">
        <v>0.2</v>
      </c>
      <c r="X322" s="147" t="s">
        <v>251</v>
      </c>
      <c r="Y322" s="146">
        <v>0.12</v>
      </c>
      <c r="Z322" s="121" t="s">
        <v>251</v>
      </c>
      <c r="AA322" s="146">
        <v>0.12</v>
      </c>
      <c r="AB322" s="147" t="s">
        <v>251</v>
      </c>
      <c r="AC322" s="146">
        <v>0.13</v>
      </c>
      <c r="AD322" s="121" t="s">
        <v>251</v>
      </c>
      <c r="AE322" s="146">
        <v>0</v>
      </c>
      <c r="AF322" s="147" t="s">
        <v>251</v>
      </c>
      <c r="AG322" s="146">
        <v>0.17</v>
      </c>
      <c r="AH322" s="147" t="s">
        <v>251</v>
      </c>
      <c r="AI322" s="147" t="s">
        <v>61</v>
      </c>
      <c r="AJ322" s="121" t="s">
        <v>61</v>
      </c>
      <c r="AK322" s="147" t="s">
        <v>61</v>
      </c>
      <c r="AL322" s="121" t="s">
        <v>61</v>
      </c>
      <c r="AM322" s="146">
        <v>0</v>
      </c>
      <c r="AN322" s="121" t="s">
        <v>251</v>
      </c>
      <c r="AO322" s="178">
        <v>6.25E-2</v>
      </c>
      <c r="AP322" s="121" t="s">
        <v>251</v>
      </c>
      <c r="AQ322" s="177">
        <v>0.08</v>
      </c>
      <c r="AR322" s="121" t="s">
        <v>251</v>
      </c>
      <c r="AS322" s="177">
        <v>5.5555555555555552E-2</v>
      </c>
      <c r="AT322" s="121" t="s">
        <v>251</v>
      </c>
      <c r="AU322" s="126">
        <v>0.04</v>
      </c>
      <c r="AV322" s="121" t="s">
        <v>251</v>
      </c>
      <c r="AW322" s="177">
        <f>1/15</f>
        <v>6.6666666666666666E-2</v>
      </c>
      <c r="AX322" s="121" t="s">
        <v>251</v>
      </c>
      <c r="AY322" s="121" t="s">
        <v>256</v>
      </c>
      <c r="AZ322" s="121" t="s">
        <v>61</v>
      </c>
      <c r="BA322" s="143" t="s">
        <v>256</v>
      </c>
      <c r="BB322" s="121" t="s">
        <v>61</v>
      </c>
      <c r="BC322" s="126">
        <v>0.05</v>
      </c>
      <c r="BD322" s="121" t="s">
        <v>251</v>
      </c>
      <c r="BE322" s="128">
        <v>0</v>
      </c>
      <c r="BF322" s="121" t="s">
        <v>251</v>
      </c>
      <c r="BG322" s="126">
        <v>0.11</v>
      </c>
      <c r="BH322" s="121" t="s">
        <v>251</v>
      </c>
      <c r="BI322" s="147" t="s">
        <v>61</v>
      </c>
      <c r="BJ322" s="121" t="s">
        <v>61</v>
      </c>
      <c r="BK322" s="126">
        <v>0</v>
      </c>
      <c r="BL322" s="121" t="str">
        <f>IF(BK322="NA","NA",IF(BK322="Not Reported","Not Reported",IF(BK322&lt;$L$322,"Not Met","Met")))</f>
        <v>Not Met</v>
      </c>
      <c r="BM322" s="100">
        <v>0</v>
      </c>
      <c r="BN322" s="121" t="str">
        <f>IF(BM322="NA","NA",IF(BM322="Not Reported","Not Reported",IF(BM322&lt;$L$322,"Not Met","Met")))</f>
        <v>Not Met</v>
      </c>
      <c r="BO322" s="121" t="s">
        <v>61</v>
      </c>
      <c r="BP322" s="121" t="s">
        <v>61</v>
      </c>
      <c r="BQ322" s="121" t="s">
        <v>61</v>
      </c>
      <c r="BR322" s="121" t="s">
        <v>61</v>
      </c>
      <c r="BS322" s="31" t="s">
        <v>61</v>
      </c>
      <c r="BT322" s="121" t="str">
        <f>IF(BS322="NA","NA",IF(BS322="Not Reported","Not Reported",IF(BS322&lt;$L$322,"Not Met","Met")))</f>
        <v>Not Reported</v>
      </c>
      <c r="BU322" s="31" t="s">
        <v>61</v>
      </c>
      <c r="BV322" s="121" t="str">
        <f>IF(BU322="NA","NA",IF(BU322="Not Reported","Not Reported",IF(BU322&lt;$L$322,"Not Met","Met")))</f>
        <v>Not Reported</v>
      </c>
    </row>
    <row r="323" spans="1:74" x14ac:dyDescent="0.25">
      <c r="A323" s="121">
        <v>322</v>
      </c>
      <c r="B323" s="122" t="s">
        <v>45</v>
      </c>
      <c r="C323" s="122" t="s">
        <v>902</v>
      </c>
      <c r="D323" s="123" t="s">
        <v>105</v>
      </c>
      <c r="E323" s="123" t="s">
        <v>132</v>
      </c>
      <c r="F323" s="123" t="s">
        <v>190</v>
      </c>
      <c r="G323" s="122" t="s">
        <v>273</v>
      </c>
      <c r="H323" s="122" t="s">
        <v>192</v>
      </c>
      <c r="I323" s="124" t="s">
        <v>274</v>
      </c>
      <c r="J323" s="124" t="s">
        <v>214</v>
      </c>
      <c r="K323" s="123" t="s">
        <v>274</v>
      </c>
      <c r="L323" s="147">
        <v>60</v>
      </c>
      <c r="M323" s="147" t="s">
        <v>579</v>
      </c>
      <c r="N323" s="145" t="s">
        <v>276</v>
      </c>
      <c r="O323" s="145" t="s">
        <v>277</v>
      </c>
      <c r="P323" s="123" t="s">
        <v>207</v>
      </c>
      <c r="Q323" s="146"/>
      <c r="R323" s="147"/>
      <c r="S323" s="146"/>
      <c r="T323" s="147"/>
      <c r="U323" s="127" t="s">
        <v>11</v>
      </c>
      <c r="V323" s="128" t="s">
        <v>11</v>
      </c>
      <c r="W323" s="128" t="s">
        <v>11</v>
      </c>
      <c r="X323" s="128" t="s">
        <v>11</v>
      </c>
      <c r="Y323" s="128" t="s">
        <v>11</v>
      </c>
      <c r="Z323" s="128" t="s">
        <v>11</v>
      </c>
      <c r="AA323" s="128" t="s">
        <v>11</v>
      </c>
      <c r="AB323" s="128" t="s">
        <v>11</v>
      </c>
      <c r="AC323" s="128" t="s">
        <v>11</v>
      </c>
      <c r="AD323" s="128" t="s">
        <v>11</v>
      </c>
      <c r="AE323" s="128" t="s">
        <v>11</v>
      </c>
      <c r="AF323" s="128" t="s">
        <v>11</v>
      </c>
      <c r="AG323" s="128" t="s">
        <v>478</v>
      </c>
      <c r="AH323" s="121" t="s">
        <v>198</v>
      </c>
      <c r="AI323" s="128" t="s">
        <v>439</v>
      </c>
      <c r="AJ323" s="121" t="s">
        <v>198</v>
      </c>
      <c r="AK323" s="127" t="s">
        <v>61</v>
      </c>
      <c r="AL323" s="121" t="s">
        <v>61</v>
      </c>
      <c r="AM323" s="127" t="s">
        <v>61</v>
      </c>
      <c r="AN323" s="121" t="s">
        <v>61</v>
      </c>
      <c r="AO323" s="127" t="s">
        <v>11</v>
      </c>
      <c r="AP323" s="127" t="s">
        <v>11</v>
      </c>
      <c r="AQ323" s="127" t="s">
        <v>11</v>
      </c>
      <c r="AR323" s="127" t="s">
        <v>11</v>
      </c>
      <c r="AS323" s="127" t="s">
        <v>11</v>
      </c>
      <c r="AT323" s="127" t="s">
        <v>11</v>
      </c>
      <c r="AU323" s="127" t="s">
        <v>11</v>
      </c>
      <c r="AV323" s="127" t="s">
        <v>11</v>
      </c>
      <c r="AW323" s="127" t="s">
        <v>11</v>
      </c>
      <c r="AX323" s="128" t="s">
        <v>11</v>
      </c>
      <c r="AY323" s="127" t="s">
        <v>11</v>
      </c>
      <c r="AZ323" s="128" t="s">
        <v>11</v>
      </c>
      <c r="BA323" s="127" t="s">
        <v>11</v>
      </c>
      <c r="BB323" s="128" t="s">
        <v>11</v>
      </c>
      <c r="BC323" s="127" t="s">
        <v>11</v>
      </c>
      <c r="BD323" s="128" t="s">
        <v>11</v>
      </c>
      <c r="BE323" s="127" t="s">
        <v>11</v>
      </c>
      <c r="BF323" s="128" t="s">
        <v>11</v>
      </c>
      <c r="BG323" s="127" t="s">
        <v>11</v>
      </c>
      <c r="BH323" s="128" t="s">
        <v>11</v>
      </c>
      <c r="BI323" s="127" t="s">
        <v>11</v>
      </c>
      <c r="BJ323" s="128" t="s">
        <v>11</v>
      </c>
      <c r="BK323" s="127" t="s">
        <v>11</v>
      </c>
      <c r="BL323" s="121" t="str">
        <f>IF(BK323="NA","NA",IF(BK323="Not Reported","Not Reported",IF(BK323&gt;$L$323,"Not Met","Met")))</f>
        <v>NA</v>
      </c>
      <c r="BM323" s="257" t="s">
        <v>11</v>
      </c>
      <c r="BN323" s="121" t="str">
        <f t="shared" ref="BN323:BQ323" si="3">IF(BM323="NA","NA",IF(BM323="Not Reported","Not Reported",IF(BM323&gt;$L$323,"Not Met","Met")))</f>
        <v>NA</v>
      </c>
      <c r="BO323" s="121" t="str">
        <f t="shared" si="3"/>
        <v>NA</v>
      </c>
      <c r="BP323" s="121" t="s">
        <v>11</v>
      </c>
      <c r="BQ323" s="121" t="str">
        <f t="shared" si="3"/>
        <v>NA</v>
      </c>
      <c r="BR323" s="121" t="s">
        <v>11</v>
      </c>
      <c r="BS323" s="338" t="s">
        <v>11</v>
      </c>
      <c r="BT323" s="121" t="str">
        <f t="shared" ref="BT323:BV323" si="4">IF(BS323="NA","NA",IF(BS323="Not Reported","Not Reported",IF(BS323&gt;$L$323,"Not Met","Met")))</f>
        <v>NA</v>
      </c>
      <c r="BU323" s="338" t="s">
        <v>11</v>
      </c>
      <c r="BV323" s="121" t="str">
        <f t="shared" si="4"/>
        <v>NA</v>
      </c>
    </row>
    <row r="324" spans="1:74" x14ac:dyDescent="0.25">
      <c r="A324" s="121">
        <v>323</v>
      </c>
      <c r="B324" s="122" t="s">
        <v>45</v>
      </c>
      <c r="C324" s="122" t="s">
        <v>902</v>
      </c>
      <c r="D324" s="123" t="s">
        <v>105</v>
      </c>
      <c r="E324" s="123" t="s">
        <v>132</v>
      </c>
      <c r="F324" s="123" t="s">
        <v>190</v>
      </c>
      <c r="G324" s="122" t="s">
        <v>273</v>
      </c>
      <c r="H324" s="122" t="s">
        <v>192</v>
      </c>
      <c r="I324" s="124" t="s">
        <v>213</v>
      </c>
      <c r="J324" s="124" t="s">
        <v>214</v>
      </c>
      <c r="K324" s="123" t="s">
        <v>213</v>
      </c>
      <c r="L324" s="147">
        <v>30</v>
      </c>
      <c r="M324" s="147" t="s">
        <v>591</v>
      </c>
      <c r="N324" s="145" t="s">
        <v>341</v>
      </c>
      <c r="O324" s="145" t="s">
        <v>342</v>
      </c>
      <c r="P324" s="123" t="s">
        <v>207</v>
      </c>
      <c r="Q324" s="146"/>
      <c r="R324" s="147"/>
      <c r="S324" s="146"/>
      <c r="T324" s="147"/>
      <c r="U324" s="127" t="s">
        <v>11</v>
      </c>
      <c r="V324" s="128" t="s">
        <v>11</v>
      </c>
      <c r="W324" s="128" t="s">
        <v>11</v>
      </c>
      <c r="X324" s="128" t="s">
        <v>11</v>
      </c>
      <c r="Y324" s="128" t="s">
        <v>11</v>
      </c>
      <c r="Z324" s="128" t="s">
        <v>11</v>
      </c>
      <c r="AA324" s="128" t="s">
        <v>11</v>
      </c>
      <c r="AB324" s="128" t="s">
        <v>11</v>
      </c>
      <c r="AC324" s="128" t="s">
        <v>11</v>
      </c>
      <c r="AD324" s="128" t="s">
        <v>11</v>
      </c>
      <c r="AE324" s="128" t="s">
        <v>11</v>
      </c>
      <c r="AF324" s="128" t="s">
        <v>11</v>
      </c>
      <c r="AG324" s="128" t="s">
        <v>356</v>
      </c>
      <c r="AH324" s="121" t="s">
        <v>198</v>
      </c>
      <c r="AI324" s="128" t="s">
        <v>448</v>
      </c>
      <c r="AJ324" s="121" t="s">
        <v>198</v>
      </c>
      <c r="AK324" s="127" t="s">
        <v>61</v>
      </c>
      <c r="AL324" s="121" t="s">
        <v>61</v>
      </c>
      <c r="AM324" s="127" t="s">
        <v>61</v>
      </c>
      <c r="AN324" s="121" t="s">
        <v>61</v>
      </c>
      <c r="AO324" s="127" t="s">
        <v>11</v>
      </c>
      <c r="AP324" s="127" t="s">
        <v>11</v>
      </c>
      <c r="AQ324" s="127" t="s">
        <v>11</v>
      </c>
      <c r="AR324" s="127" t="s">
        <v>11</v>
      </c>
      <c r="AS324" s="127" t="s">
        <v>11</v>
      </c>
      <c r="AT324" s="127" t="s">
        <v>11</v>
      </c>
      <c r="AU324" s="127" t="s">
        <v>11</v>
      </c>
      <c r="AV324" s="127" t="s">
        <v>11</v>
      </c>
      <c r="AW324" s="127" t="s">
        <v>11</v>
      </c>
      <c r="AX324" s="128" t="s">
        <v>11</v>
      </c>
      <c r="AY324" s="127" t="s">
        <v>11</v>
      </c>
      <c r="AZ324" s="128" t="s">
        <v>11</v>
      </c>
      <c r="BA324" s="127" t="s">
        <v>11</v>
      </c>
      <c r="BB324" s="128" t="s">
        <v>11</v>
      </c>
      <c r="BC324" s="127" t="s">
        <v>11</v>
      </c>
      <c r="BD324" s="128" t="s">
        <v>11</v>
      </c>
      <c r="BE324" s="127" t="s">
        <v>11</v>
      </c>
      <c r="BF324" s="128" t="s">
        <v>11</v>
      </c>
      <c r="BG324" s="127" t="s">
        <v>11</v>
      </c>
      <c r="BH324" s="128" t="s">
        <v>11</v>
      </c>
      <c r="BI324" s="127" t="s">
        <v>11</v>
      </c>
      <c r="BJ324" s="128" t="s">
        <v>11</v>
      </c>
      <c r="BK324" s="127" t="s">
        <v>11</v>
      </c>
      <c r="BL324" s="121" t="str">
        <f>IF(BK324="NA","NA",IF(BK324="Not Reported","Not Reported",IF(BK324&gt;$L$324,"Not Met","Met")))</f>
        <v>NA</v>
      </c>
      <c r="BM324" s="257" t="s">
        <v>11</v>
      </c>
      <c r="BN324" s="121" t="str">
        <f>IF(BM324="NA","NA",IF(BM324="Not Reported","Not Reported",IF(BM324&gt;$L$324,"Not Met","Met")))</f>
        <v>NA</v>
      </c>
      <c r="BO324" s="121" t="str">
        <f t="shared" ref="BO324:BO329" si="5">IF(BN324="NA","NA",IF(BN324="Not Reported","Not Reported",IF(BN324&gt;$L$323,"Not Met","Met")))</f>
        <v>NA</v>
      </c>
      <c r="BP324" s="121" t="s">
        <v>11</v>
      </c>
      <c r="BQ324" s="121" t="str">
        <f>IF(BP324="NA","NA",IF(BP324="Not Reported","Not Reported",IF(BP324&gt;$L$324,"Not Met","Met")))</f>
        <v>NA</v>
      </c>
      <c r="BR324" s="121" t="s">
        <v>11</v>
      </c>
      <c r="BS324" s="338" t="s">
        <v>11</v>
      </c>
      <c r="BT324" s="121" t="str">
        <f>IF(BS324="NA","NA",IF(BS324="Not Reported","Not Reported",IF(BS324&gt;$L$324,"Not Met","Met")))</f>
        <v>NA</v>
      </c>
      <c r="BU324" s="338" t="s">
        <v>11</v>
      </c>
      <c r="BV324" s="121" t="str">
        <f>IF(BU324="NA","NA",IF(BU324="Not Reported","Not Reported",IF(BU324&gt;$L$324,"Not Met","Met")))</f>
        <v>NA</v>
      </c>
    </row>
    <row r="325" spans="1:74" x14ac:dyDescent="0.2">
      <c r="A325" s="121">
        <v>324</v>
      </c>
      <c r="B325" s="122" t="s">
        <v>45</v>
      </c>
      <c r="C325" s="122" t="s">
        <v>902</v>
      </c>
      <c r="D325" s="123" t="s">
        <v>105</v>
      </c>
      <c r="E325" s="123" t="s">
        <v>132</v>
      </c>
      <c r="F325" s="123" t="s">
        <v>190</v>
      </c>
      <c r="G325" s="122" t="s">
        <v>273</v>
      </c>
      <c r="H325" s="122" t="s">
        <v>192</v>
      </c>
      <c r="I325" s="124" t="s">
        <v>246</v>
      </c>
      <c r="J325" s="124" t="s">
        <v>214</v>
      </c>
      <c r="K325" s="123" t="s">
        <v>326</v>
      </c>
      <c r="L325" s="146">
        <v>0.2</v>
      </c>
      <c r="M325" s="146">
        <v>0.2</v>
      </c>
      <c r="N325" s="145" t="s">
        <v>368</v>
      </c>
      <c r="O325" s="145" t="s">
        <v>369</v>
      </c>
      <c r="P325" s="123" t="s">
        <v>207</v>
      </c>
      <c r="Q325" s="146"/>
      <c r="R325" s="147"/>
      <c r="S325" s="146"/>
      <c r="T325" s="147"/>
      <c r="U325" s="141">
        <f>12/18</f>
        <v>0.66666666666666663</v>
      </c>
      <c r="V325" s="147" t="s">
        <v>251</v>
      </c>
      <c r="W325" s="128" t="s">
        <v>11</v>
      </c>
      <c r="X325" s="128" t="s">
        <v>11</v>
      </c>
      <c r="Y325" s="128" t="s">
        <v>11</v>
      </c>
      <c r="Z325" s="128" t="s">
        <v>11</v>
      </c>
      <c r="AA325" s="128" t="s">
        <v>11</v>
      </c>
      <c r="AB325" s="128" t="s">
        <v>11</v>
      </c>
      <c r="AC325" s="128" t="s">
        <v>11</v>
      </c>
      <c r="AD325" s="128" t="s">
        <v>11</v>
      </c>
      <c r="AE325" s="128" t="s">
        <v>11</v>
      </c>
      <c r="AF325" s="128" t="s">
        <v>11</v>
      </c>
      <c r="AG325" s="128">
        <v>0.17</v>
      </c>
      <c r="AH325" s="121" t="s">
        <v>198</v>
      </c>
      <c r="AI325" s="128">
        <v>0.67</v>
      </c>
      <c r="AJ325" s="147" t="s">
        <v>251</v>
      </c>
      <c r="AK325" s="127" t="s">
        <v>61</v>
      </c>
      <c r="AL325" s="121" t="s">
        <v>61</v>
      </c>
      <c r="AM325" s="127" t="s">
        <v>61</v>
      </c>
      <c r="AN325" s="121" t="s">
        <v>61</v>
      </c>
      <c r="AO325" s="127" t="s">
        <v>11</v>
      </c>
      <c r="AP325" s="127" t="s">
        <v>11</v>
      </c>
      <c r="AQ325" s="127" t="s">
        <v>11</v>
      </c>
      <c r="AR325" s="127" t="s">
        <v>11</v>
      </c>
      <c r="AS325" s="127" t="s">
        <v>11</v>
      </c>
      <c r="AT325" s="127" t="s">
        <v>11</v>
      </c>
      <c r="AU325" s="127" t="s">
        <v>11</v>
      </c>
      <c r="AV325" s="127" t="s">
        <v>11</v>
      </c>
      <c r="AW325" s="127" t="s">
        <v>11</v>
      </c>
      <c r="AX325" s="128" t="s">
        <v>11</v>
      </c>
      <c r="AY325" s="127" t="s">
        <v>11</v>
      </c>
      <c r="AZ325" s="128" t="s">
        <v>11</v>
      </c>
      <c r="BA325" s="127" t="s">
        <v>11</v>
      </c>
      <c r="BB325" s="128" t="s">
        <v>11</v>
      </c>
      <c r="BC325" s="127" t="s">
        <v>11</v>
      </c>
      <c r="BD325" s="128" t="s">
        <v>11</v>
      </c>
      <c r="BE325" s="127" t="s">
        <v>11</v>
      </c>
      <c r="BF325" s="128" t="s">
        <v>11</v>
      </c>
      <c r="BG325" s="127" t="s">
        <v>11</v>
      </c>
      <c r="BH325" s="128" t="s">
        <v>11</v>
      </c>
      <c r="BI325" s="127" t="s">
        <v>11</v>
      </c>
      <c r="BJ325" s="128" t="s">
        <v>11</v>
      </c>
      <c r="BK325" s="127" t="s">
        <v>11</v>
      </c>
      <c r="BL325" s="174" t="str">
        <f>IF(BK325="NA","NA",IF(BK325="Not Reported","Not Reported",IF(BK325&gt;$L$325,"Not Met","Met")))</f>
        <v>NA</v>
      </c>
      <c r="BM325" s="257" t="s">
        <v>11</v>
      </c>
      <c r="BN325" s="162" t="str">
        <f>IF(BM325="NA","NA",IF(BM325="Not Reported","Not Reported",IF(BM325&gt;$L$325,"Not Met","Met")))</f>
        <v>NA</v>
      </c>
      <c r="BO325" s="121" t="str">
        <f t="shared" si="5"/>
        <v>NA</v>
      </c>
      <c r="BP325" s="162" t="s">
        <v>11</v>
      </c>
      <c r="BQ325" s="162" t="str">
        <f>IF(BP325="NA","NA",IF(BP325="Not Reported","Not Reported",IF(BP325&gt;$L$325,"Not Met","Met")))</f>
        <v>NA</v>
      </c>
      <c r="BR325" s="162" t="s">
        <v>11</v>
      </c>
      <c r="BS325" s="338" t="s">
        <v>11</v>
      </c>
      <c r="BT325" s="162" t="str">
        <f>IF(BS325="NA","NA",IF(BS325="Not Reported","Not Reported",IF(BS325&gt;$L$325,"Not Met","Met")))</f>
        <v>NA</v>
      </c>
      <c r="BU325" s="338" t="s">
        <v>11</v>
      </c>
      <c r="BV325" s="162" t="str">
        <f>IF(BU325="NA","NA",IF(BU325="Not Reported","Not Reported",IF(BU325&gt;$L$325,"Not Met","Met")))</f>
        <v>NA</v>
      </c>
    </row>
    <row r="326" spans="1:74" x14ac:dyDescent="0.25">
      <c r="A326" s="121">
        <v>325</v>
      </c>
      <c r="B326" s="122" t="s">
        <v>45</v>
      </c>
      <c r="C326" s="122" t="s">
        <v>902</v>
      </c>
      <c r="D326" s="123" t="s">
        <v>105</v>
      </c>
      <c r="E326" s="123" t="s">
        <v>132</v>
      </c>
      <c r="F326" s="123" t="s">
        <v>190</v>
      </c>
      <c r="G326" s="122" t="s">
        <v>273</v>
      </c>
      <c r="H326" s="122" t="s">
        <v>192</v>
      </c>
      <c r="I326" s="124" t="s">
        <v>284</v>
      </c>
      <c r="J326" s="124" t="s">
        <v>285</v>
      </c>
      <c r="K326" s="123" t="s">
        <v>284</v>
      </c>
      <c r="L326" s="146">
        <v>0.65</v>
      </c>
      <c r="M326" s="146">
        <v>0.65</v>
      </c>
      <c r="N326" s="145" t="s">
        <v>287</v>
      </c>
      <c r="O326" s="145" t="s">
        <v>288</v>
      </c>
      <c r="P326" s="123" t="s">
        <v>207</v>
      </c>
      <c r="Q326" s="146"/>
      <c r="R326" s="147"/>
      <c r="S326" s="146" t="s">
        <v>11</v>
      </c>
      <c r="T326" s="146" t="s">
        <v>11</v>
      </c>
      <c r="U326" s="142">
        <f>86/128</f>
        <v>0.671875</v>
      </c>
      <c r="V326" s="121" t="s">
        <v>198</v>
      </c>
      <c r="W326" s="128" t="s">
        <v>11</v>
      </c>
      <c r="X326" s="128" t="s">
        <v>11</v>
      </c>
      <c r="Y326" s="128" t="s">
        <v>11</v>
      </c>
      <c r="Z326" s="128" t="s">
        <v>11</v>
      </c>
      <c r="AA326" s="128" t="s">
        <v>11</v>
      </c>
      <c r="AB326" s="128" t="s">
        <v>11</v>
      </c>
      <c r="AC326" s="128" t="s">
        <v>11</v>
      </c>
      <c r="AD326" s="128" t="s">
        <v>11</v>
      </c>
      <c r="AE326" s="128" t="s">
        <v>11</v>
      </c>
      <c r="AF326" s="128" t="s">
        <v>11</v>
      </c>
      <c r="AG326" s="128">
        <v>0.94</v>
      </c>
      <c r="AH326" s="121" t="s">
        <v>198</v>
      </c>
      <c r="AI326" s="128">
        <v>1</v>
      </c>
      <c r="AJ326" s="121" t="s">
        <v>198</v>
      </c>
      <c r="AK326" s="127" t="s">
        <v>61</v>
      </c>
      <c r="AL326" s="121" t="s">
        <v>61</v>
      </c>
      <c r="AM326" s="127" t="s">
        <v>61</v>
      </c>
      <c r="AN326" s="121" t="s">
        <v>61</v>
      </c>
      <c r="AO326" s="127" t="s">
        <v>11</v>
      </c>
      <c r="AP326" s="127" t="s">
        <v>11</v>
      </c>
      <c r="AQ326" s="127" t="s">
        <v>11</v>
      </c>
      <c r="AR326" s="127" t="s">
        <v>11</v>
      </c>
      <c r="AS326" s="127" t="s">
        <v>11</v>
      </c>
      <c r="AT326" s="127" t="s">
        <v>11</v>
      </c>
      <c r="AU326" s="127" t="s">
        <v>11</v>
      </c>
      <c r="AV326" s="127" t="s">
        <v>11</v>
      </c>
      <c r="AW326" s="127" t="s">
        <v>11</v>
      </c>
      <c r="AX326" s="128" t="s">
        <v>11</v>
      </c>
      <c r="AY326" s="127" t="s">
        <v>11</v>
      </c>
      <c r="AZ326" s="128" t="s">
        <v>11</v>
      </c>
      <c r="BA326" s="127" t="s">
        <v>11</v>
      </c>
      <c r="BB326" s="128" t="s">
        <v>11</v>
      </c>
      <c r="BC326" s="127" t="s">
        <v>11</v>
      </c>
      <c r="BD326" s="128" t="s">
        <v>11</v>
      </c>
      <c r="BE326" s="127" t="s">
        <v>11</v>
      </c>
      <c r="BF326" s="128" t="s">
        <v>11</v>
      </c>
      <c r="BG326" s="127" t="s">
        <v>11</v>
      </c>
      <c r="BH326" s="128" t="s">
        <v>11</v>
      </c>
      <c r="BI326" s="127" t="s">
        <v>11</v>
      </c>
      <c r="BJ326" s="128" t="s">
        <v>11</v>
      </c>
      <c r="BK326" s="127" t="s">
        <v>11</v>
      </c>
      <c r="BL326" s="128" t="str">
        <f>IF(BK326="NA","NA",IF(BK326="Not Reported","Not Reported",IF(BK326&lt;$L$326,"Not Met","Met")))</f>
        <v>NA</v>
      </c>
      <c r="BM326" s="257" t="s">
        <v>11</v>
      </c>
      <c r="BN326" s="128" t="str">
        <f>IF(BM326="NA","NA",IF(BM326="Not Reported","Not Reported",IF(BM326&lt;$L$326,"Not Met","Met")))</f>
        <v>NA</v>
      </c>
      <c r="BO326" s="121" t="str">
        <f t="shared" si="5"/>
        <v>NA</v>
      </c>
      <c r="BP326" s="128" t="s">
        <v>11</v>
      </c>
      <c r="BQ326" s="128" t="str">
        <f>IF(BP326="NA","NA",IF(BP326="Not Reported","Not Reported",IF(BP326&lt;$L$326,"Not Met","Met")))</f>
        <v>NA</v>
      </c>
      <c r="BR326" s="128" t="s">
        <v>11</v>
      </c>
      <c r="BS326" s="338" t="s">
        <v>11</v>
      </c>
      <c r="BT326" s="128" t="str">
        <f>IF(BS326="NA","NA",IF(BS326="Not Reported","Not Reported",IF(BS326&lt;$L$326,"Not Met","Met")))</f>
        <v>NA</v>
      </c>
      <c r="BU326" s="338" t="s">
        <v>11</v>
      </c>
      <c r="BV326" s="128" t="str">
        <f>IF(BU326="NA","NA",IF(BU326="Not Reported","Not Reported",IF(BU326&lt;$L$326,"Not Met","Met")))</f>
        <v>NA</v>
      </c>
    </row>
    <row r="327" spans="1:74" x14ac:dyDescent="0.25">
      <c r="A327" s="121">
        <v>326</v>
      </c>
      <c r="B327" s="122" t="s">
        <v>45</v>
      </c>
      <c r="C327" s="122" t="s">
        <v>902</v>
      </c>
      <c r="D327" s="123" t="s">
        <v>105</v>
      </c>
      <c r="E327" s="123" t="s">
        <v>132</v>
      </c>
      <c r="F327" s="123" t="s">
        <v>190</v>
      </c>
      <c r="G327" s="122" t="s">
        <v>273</v>
      </c>
      <c r="H327" s="122" t="s">
        <v>192</v>
      </c>
      <c r="I327" s="124" t="s">
        <v>289</v>
      </c>
      <c r="J327" s="124" t="s">
        <v>285</v>
      </c>
      <c r="K327" s="123" t="s">
        <v>289</v>
      </c>
      <c r="L327" s="146">
        <v>0.2</v>
      </c>
      <c r="M327" s="146">
        <v>0.2</v>
      </c>
      <c r="N327" s="145" t="s">
        <v>290</v>
      </c>
      <c r="O327" s="145" t="s">
        <v>291</v>
      </c>
      <c r="P327" s="123" t="s">
        <v>207</v>
      </c>
      <c r="Q327" s="146"/>
      <c r="R327" s="147"/>
      <c r="S327" s="146"/>
      <c r="T327" s="147"/>
      <c r="U327" s="127" t="s">
        <v>11</v>
      </c>
      <c r="V327" s="128" t="s">
        <v>11</v>
      </c>
      <c r="W327" s="128" t="s">
        <v>11</v>
      </c>
      <c r="X327" s="128" t="s">
        <v>11</v>
      </c>
      <c r="Y327" s="128" t="s">
        <v>11</v>
      </c>
      <c r="Z327" s="128" t="s">
        <v>11</v>
      </c>
      <c r="AA327" s="128" t="s">
        <v>11</v>
      </c>
      <c r="AB327" s="128" t="s">
        <v>11</v>
      </c>
      <c r="AC327" s="128" t="s">
        <v>11</v>
      </c>
      <c r="AD327" s="128" t="s">
        <v>11</v>
      </c>
      <c r="AE327" s="128" t="s">
        <v>11</v>
      </c>
      <c r="AF327" s="128" t="s">
        <v>11</v>
      </c>
      <c r="AG327" s="128">
        <v>0.09</v>
      </c>
      <c r="AH327" s="147" t="s">
        <v>251</v>
      </c>
      <c r="AI327" s="128">
        <v>0.08</v>
      </c>
      <c r="AJ327" s="147" t="s">
        <v>251</v>
      </c>
      <c r="AK327" s="127" t="s">
        <v>61</v>
      </c>
      <c r="AL327" s="121" t="s">
        <v>61</v>
      </c>
      <c r="AM327" s="127" t="s">
        <v>61</v>
      </c>
      <c r="AN327" s="121" t="s">
        <v>61</v>
      </c>
      <c r="AO327" s="127" t="s">
        <v>11</v>
      </c>
      <c r="AP327" s="127" t="s">
        <v>11</v>
      </c>
      <c r="AQ327" s="127" t="s">
        <v>11</v>
      </c>
      <c r="AR327" s="127" t="s">
        <v>11</v>
      </c>
      <c r="AS327" s="127" t="s">
        <v>11</v>
      </c>
      <c r="AT327" s="127" t="s">
        <v>11</v>
      </c>
      <c r="AU327" s="127" t="s">
        <v>11</v>
      </c>
      <c r="AV327" s="127" t="s">
        <v>11</v>
      </c>
      <c r="AW327" s="127" t="s">
        <v>11</v>
      </c>
      <c r="AX327" s="128" t="s">
        <v>11</v>
      </c>
      <c r="AY327" s="127" t="s">
        <v>11</v>
      </c>
      <c r="AZ327" s="128" t="s">
        <v>11</v>
      </c>
      <c r="BA327" s="127" t="s">
        <v>11</v>
      </c>
      <c r="BB327" s="128" t="s">
        <v>11</v>
      </c>
      <c r="BC327" s="127" t="s">
        <v>11</v>
      </c>
      <c r="BD327" s="128" t="s">
        <v>11</v>
      </c>
      <c r="BE327" s="127" t="s">
        <v>11</v>
      </c>
      <c r="BF327" s="128" t="s">
        <v>11</v>
      </c>
      <c r="BG327" s="127" t="s">
        <v>11</v>
      </c>
      <c r="BH327" s="128" t="s">
        <v>11</v>
      </c>
      <c r="BI327" s="127" t="s">
        <v>11</v>
      </c>
      <c r="BJ327" s="128" t="s">
        <v>11</v>
      </c>
      <c r="BK327" s="127" t="s">
        <v>11</v>
      </c>
      <c r="BL327" s="128" t="str">
        <f>IF(BK327="NA","NA",IF(BK327="Not Reported","Not Reported",IF(BK327&lt;$L$327,"Not Met","Met")))</f>
        <v>NA</v>
      </c>
      <c r="BM327" s="257" t="s">
        <v>11</v>
      </c>
      <c r="BN327" s="128" t="str">
        <f>IF(BM327="NA","NA",IF(BM327="Not Reported","Not Reported",IF(BM327&lt;$L$327,"Not Met","Met")))</f>
        <v>NA</v>
      </c>
      <c r="BO327" s="121" t="str">
        <f t="shared" si="5"/>
        <v>NA</v>
      </c>
      <c r="BP327" s="128" t="s">
        <v>11</v>
      </c>
      <c r="BQ327" s="128" t="str">
        <f>IF(BP327="NA","NA",IF(BP327="Not Reported","Not Reported",IF(BP327&lt;$L$327,"Not Met","Met")))</f>
        <v>NA</v>
      </c>
      <c r="BR327" s="128" t="s">
        <v>11</v>
      </c>
      <c r="BS327" s="338" t="s">
        <v>11</v>
      </c>
      <c r="BT327" s="128" t="str">
        <f>IF(BS327="NA","NA",IF(BS327="Not Reported","Not Reported",IF(BS327&lt;$L$327,"Not Met","Met")))</f>
        <v>NA</v>
      </c>
      <c r="BU327" s="338" t="s">
        <v>11</v>
      </c>
      <c r="BV327" s="128" t="str">
        <f>IF(BU327="NA","NA",IF(BU327="Not Reported","Not Reported",IF(BU327&lt;$L$327,"Not Met","Met")))</f>
        <v>NA</v>
      </c>
    </row>
    <row r="328" spans="1:74" x14ac:dyDescent="0.25">
      <c r="A328" s="121">
        <v>327</v>
      </c>
      <c r="B328" s="122" t="s">
        <v>45</v>
      </c>
      <c r="C328" s="122" t="s">
        <v>902</v>
      </c>
      <c r="D328" s="123" t="s">
        <v>105</v>
      </c>
      <c r="E328" s="123" t="s">
        <v>132</v>
      </c>
      <c r="F328" s="123" t="s">
        <v>190</v>
      </c>
      <c r="G328" s="122" t="s">
        <v>273</v>
      </c>
      <c r="H328" s="122" t="s">
        <v>192</v>
      </c>
      <c r="I328" s="124" t="s">
        <v>292</v>
      </c>
      <c r="J328" s="124" t="s">
        <v>293</v>
      </c>
      <c r="K328" s="123" t="s">
        <v>292</v>
      </c>
      <c r="L328" s="146">
        <v>0.2</v>
      </c>
      <c r="M328" s="146">
        <v>0.2</v>
      </c>
      <c r="N328" s="218" t="s">
        <v>752</v>
      </c>
      <c r="O328" s="218" t="s">
        <v>611</v>
      </c>
      <c r="P328" s="123" t="s">
        <v>207</v>
      </c>
      <c r="Q328" s="146"/>
      <c r="R328" s="147"/>
      <c r="S328" s="146"/>
      <c r="T328" s="147"/>
      <c r="U328" s="127" t="s">
        <v>11</v>
      </c>
      <c r="V328" s="128" t="s">
        <v>11</v>
      </c>
      <c r="W328" s="128" t="s">
        <v>11</v>
      </c>
      <c r="X328" s="128" t="s">
        <v>11</v>
      </c>
      <c r="Y328" s="128" t="s">
        <v>11</v>
      </c>
      <c r="Z328" s="128" t="s">
        <v>11</v>
      </c>
      <c r="AA328" s="128" t="s">
        <v>11</v>
      </c>
      <c r="AB328" s="128" t="s">
        <v>11</v>
      </c>
      <c r="AC328" s="128" t="s">
        <v>11</v>
      </c>
      <c r="AD328" s="128" t="s">
        <v>11</v>
      </c>
      <c r="AE328" s="128" t="s">
        <v>11</v>
      </c>
      <c r="AF328" s="128" t="s">
        <v>11</v>
      </c>
      <c r="AG328" s="128">
        <v>0</v>
      </c>
      <c r="AH328" s="121" t="s">
        <v>198</v>
      </c>
      <c r="AI328" s="128">
        <v>0.5</v>
      </c>
      <c r="AJ328" s="147" t="s">
        <v>251</v>
      </c>
      <c r="AK328" s="127" t="s">
        <v>61</v>
      </c>
      <c r="AL328" s="121" t="s">
        <v>61</v>
      </c>
      <c r="AM328" s="127" t="s">
        <v>61</v>
      </c>
      <c r="AN328" s="121" t="s">
        <v>61</v>
      </c>
      <c r="AO328" s="127" t="s">
        <v>11</v>
      </c>
      <c r="AP328" s="127" t="s">
        <v>11</v>
      </c>
      <c r="AQ328" s="127" t="s">
        <v>11</v>
      </c>
      <c r="AR328" s="127" t="s">
        <v>11</v>
      </c>
      <c r="AS328" s="127" t="s">
        <v>11</v>
      </c>
      <c r="AT328" s="127" t="s">
        <v>11</v>
      </c>
      <c r="AU328" s="127" t="s">
        <v>11</v>
      </c>
      <c r="AV328" s="127" t="s">
        <v>11</v>
      </c>
      <c r="AW328" s="127" t="s">
        <v>11</v>
      </c>
      <c r="AX328" s="128" t="s">
        <v>11</v>
      </c>
      <c r="AY328" s="127" t="s">
        <v>11</v>
      </c>
      <c r="AZ328" s="128" t="s">
        <v>11</v>
      </c>
      <c r="BA328" s="127" t="s">
        <v>11</v>
      </c>
      <c r="BB328" s="128" t="s">
        <v>11</v>
      </c>
      <c r="BC328" s="127" t="s">
        <v>11</v>
      </c>
      <c r="BD328" s="128" t="s">
        <v>11</v>
      </c>
      <c r="BE328" s="127" t="s">
        <v>11</v>
      </c>
      <c r="BF328" s="128" t="s">
        <v>11</v>
      </c>
      <c r="BG328" s="127" t="s">
        <v>11</v>
      </c>
      <c r="BH328" s="128" t="s">
        <v>11</v>
      </c>
      <c r="BI328" s="127" t="s">
        <v>11</v>
      </c>
      <c r="BJ328" s="128" t="s">
        <v>11</v>
      </c>
      <c r="BK328" s="127" t="s">
        <v>11</v>
      </c>
      <c r="BL328" s="128" t="str">
        <f>IF(BK328="NA","NA",IF(BK328="Not Reported","Not Reported",IF(BK328&gt;$L$328,"Not Met","Met")))</f>
        <v>NA</v>
      </c>
      <c r="BM328" s="257" t="s">
        <v>11</v>
      </c>
      <c r="BN328" s="128" t="str">
        <f>IF(BM328="NA","NA",IF(BM328="Not Reported","Not Reported",IF(BM328&gt;$L$328,"Not Met","Met")))</f>
        <v>NA</v>
      </c>
      <c r="BO328" s="121" t="str">
        <f t="shared" si="5"/>
        <v>NA</v>
      </c>
      <c r="BP328" s="128" t="s">
        <v>11</v>
      </c>
      <c r="BQ328" s="128" t="str">
        <f>IF(BP328="NA","NA",IF(BP328="Not Reported","Not Reported",IF(BP328&gt;$L$328,"Not Met","Met")))</f>
        <v>NA</v>
      </c>
      <c r="BR328" s="128" t="s">
        <v>11</v>
      </c>
      <c r="BS328" s="338" t="s">
        <v>11</v>
      </c>
      <c r="BT328" s="128" t="str">
        <f>IF(BS328="NA","NA",IF(BS328="Not Reported","Not Reported",IF(BS328&gt;$L$328,"Not Met","Met")))</f>
        <v>NA</v>
      </c>
      <c r="BU328" s="338" t="s">
        <v>11</v>
      </c>
      <c r="BV328" s="128" t="str">
        <f>IF(BU328="NA","NA",IF(BU328="Not Reported","Not Reported",IF(BU328&gt;$L$328,"Not Met","Met")))</f>
        <v>NA</v>
      </c>
    </row>
    <row r="329" spans="1:74" x14ac:dyDescent="0.25">
      <c r="A329" s="121">
        <v>328</v>
      </c>
      <c r="B329" s="122" t="s">
        <v>45</v>
      </c>
      <c r="C329" s="122" t="s">
        <v>902</v>
      </c>
      <c r="D329" s="123" t="s">
        <v>105</v>
      </c>
      <c r="E329" s="123" t="s">
        <v>132</v>
      </c>
      <c r="F329" s="123" t="s">
        <v>190</v>
      </c>
      <c r="G329" s="122" t="s">
        <v>273</v>
      </c>
      <c r="H329" s="122" t="s">
        <v>192</v>
      </c>
      <c r="I329" s="124" t="s">
        <v>296</v>
      </c>
      <c r="J329" s="124" t="s">
        <v>296</v>
      </c>
      <c r="K329" s="123" t="s">
        <v>296</v>
      </c>
      <c r="L329" s="146">
        <v>0.8</v>
      </c>
      <c r="M329" s="146">
        <v>0.8</v>
      </c>
      <c r="N329" s="145" t="s">
        <v>297</v>
      </c>
      <c r="O329" s="145" t="s">
        <v>298</v>
      </c>
      <c r="P329" s="123" t="s">
        <v>207</v>
      </c>
      <c r="Q329" s="146"/>
      <c r="R329" s="147"/>
      <c r="S329" s="146"/>
      <c r="T329" s="147"/>
      <c r="U329" s="127" t="s">
        <v>11</v>
      </c>
      <c r="V329" s="128" t="s">
        <v>11</v>
      </c>
      <c r="W329" s="128" t="s">
        <v>11</v>
      </c>
      <c r="X329" s="128" t="s">
        <v>11</v>
      </c>
      <c r="Y329" s="128" t="s">
        <v>11</v>
      </c>
      <c r="Z329" s="128" t="s">
        <v>11</v>
      </c>
      <c r="AA329" s="128" t="s">
        <v>11</v>
      </c>
      <c r="AB329" s="128" t="s">
        <v>11</v>
      </c>
      <c r="AC329" s="128" t="s">
        <v>11</v>
      </c>
      <c r="AD329" s="128" t="s">
        <v>11</v>
      </c>
      <c r="AE329" s="128" t="s">
        <v>11</v>
      </c>
      <c r="AF329" s="128" t="s">
        <v>11</v>
      </c>
      <c r="AG329" s="128">
        <v>0.22</v>
      </c>
      <c r="AH329" s="147" t="s">
        <v>251</v>
      </c>
      <c r="AI329" s="128">
        <v>0.2</v>
      </c>
      <c r="AJ329" s="147" t="s">
        <v>251</v>
      </c>
      <c r="AK329" s="127" t="s">
        <v>61</v>
      </c>
      <c r="AL329" s="121" t="s">
        <v>61</v>
      </c>
      <c r="AM329" s="127" t="s">
        <v>61</v>
      </c>
      <c r="AN329" s="121" t="s">
        <v>61</v>
      </c>
      <c r="AO329" s="127" t="s">
        <v>11</v>
      </c>
      <c r="AP329" s="127" t="s">
        <v>11</v>
      </c>
      <c r="AQ329" s="127" t="s">
        <v>11</v>
      </c>
      <c r="AR329" s="127" t="s">
        <v>11</v>
      </c>
      <c r="AS329" s="127" t="s">
        <v>11</v>
      </c>
      <c r="AT329" s="127" t="s">
        <v>11</v>
      </c>
      <c r="AU329" s="127" t="s">
        <v>11</v>
      </c>
      <c r="AV329" s="127" t="s">
        <v>11</v>
      </c>
      <c r="AW329" s="127" t="s">
        <v>11</v>
      </c>
      <c r="AX329" s="128" t="s">
        <v>11</v>
      </c>
      <c r="AY329" s="127" t="s">
        <v>11</v>
      </c>
      <c r="AZ329" s="128" t="s">
        <v>11</v>
      </c>
      <c r="BA329" s="127" t="s">
        <v>11</v>
      </c>
      <c r="BB329" s="128" t="s">
        <v>11</v>
      </c>
      <c r="BC329" s="127" t="s">
        <v>11</v>
      </c>
      <c r="BD329" s="128" t="s">
        <v>11</v>
      </c>
      <c r="BE329" s="127" t="s">
        <v>11</v>
      </c>
      <c r="BF329" s="128" t="s">
        <v>11</v>
      </c>
      <c r="BG329" s="127" t="s">
        <v>11</v>
      </c>
      <c r="BH329" s="128" t="s">
        <v>11</v>
      </c>
      <c r="BI329" s="127" t="s">
        <v>11</v>
      </c>
      <c r="BJ329" s="128" t="s">
        <v>11</v>
      </c>
      <c r="BK329" s="127" t="s">
        <v>11</v>
      </c>
      <c r="BL329" s="128" t="str">
        <f>IF(BK329="NA","NA",IF(BK329="Not Reported","Not Reported",IF(BK329&lt;$L$329,"Not Met","Met")))</f>
        <v>NA</v>
      </c>
      <c r="BM329" s="257" t="s">
        <v>11</v>
      </c>
      <c r="BN329" s="128" t="str">
        <f>IF(BM329="NA","NA",IF(BM329="Not Reported","Not Reported",IF(BM329&lt;$L$329,"Not Met","Met")))</f>
        <v>NA</v>
      </c>
      <c r="BO329" s="121" t="str">
        <f t="shared" si="5"/>
        <v>NA</v>
      </c>
      <c r="BP329" s="128" t="s">
        <v>11</v>
      </c>
      <c r="BQ329" s="128" t="str">
        <f>IF(BP329="NA","NA",IF(BP329="Not Reported","Not Reported",IF(BP329&lt;$L$329,"Not Met","Met")))</f>
        <v>NA</v>
      </c>
      <c r="BR329" s="128" t="s">
        <v>11</v>
      </c>
      <c r="BS329" s="338" t="s">
        <v>11</v>
      </c>
      <c r="BT329" s="128" t="str">
        <f>IF(BS329="NA","NA",IF(BS329="Not Reported","Not Reported",IF(BS329&lt;$L$329,"Not Met","Met")))</f>
        <v>NA</v>
      </c>
      <c r="BU329" s="338" t="s">
        <v>11</v>
      </c>
      <c r="BV329" s="128" t="str">
        <f>IF(BU329="NA","NA",IF(BU329="Not Reported","Not Reported",IF(BU329&lt;$L$329,"Not Met","Met")))</f>
        <v>NA</v>
      </c>
    </row>
    <row r="330" spans="1:74" x14ac:dyDescent="0.2">
      <c r="A330" s="121">
        <v>329</v>
      </c>
      <c r="B330" s="122" t="s">
        <v>47</v>
      </c>
      <c r="C330" s="122" t="s">
        <v>904</v>
      </c>
      <c r="D330" s="123" t="s">
        <v>109</v>
      </c>
      <c r="E330" s="123" t="s">
        <v>900</v>
      </c>
      <c r="F330" s="123" t="s">
        <v>190</v>
      </c>
      <c r="G330" s="122" t="s">
        <v>273</v>
      </c>
      <c r="H330" s="122" t="s">
        <v>192</v>
      </c>
      <c r="I330" s="124" t="s">
        <v>274</v>
      </c>
      <c r="J330" s="124" t="s">
        <v>214</v>
      </c>
      <c r="K330" s="123" t="s">
        <v>274</v>
      </c>
      <c r="L330" s="226">
        <v>90</v>
      </c>
      <c r="M330" s="226" t="s">
        <v>370</v>
      </c>
      <c r="N330" s="145" t="s">
        <v>276</v>
      </c>
      <c r="O330" s="145" t="s">
        <v>277</v>
      </c>
      <c r="P330" s="123" t="s">
        <v>207</v>
      </c>
      <c r="Q330" s="146"/>
      <c r="R330" s="147"/>
      <c r="S330" s="146" t="s">
        <v>11</v>
      </c>
      <c r="T330" s="146" t="s">
        <v>11</v>
      </c>
      <c r="U330" s="127" t="s">
        <v>442</v>
      </c>
      <c r="V330" s="121" t="s">
        <v>198</v>
      </c>
      <c r="W330" s="121" t="s">
        <v>61</v>
      </c>
      <c r="X330" s="143" t="s">
        <v>61</v>
      </c>
      <c r="Y330" s="143" t="s">
        <v>623</v>
      </c>
      <c r="Z330" s="121" t="s">
        <v>198</v>
      </c>
      <c r="AA330" s="143" t="s">
        <v>604</v>
      </c>
      <c r="AB330" s="121" t="s">
        <v>198</v>
      </c>
      <c r="AC330" s="143" t="s">
        <v>558</v>
      </c>
      <c r="AD330" s="121" t="s">
        <v>198</v>
      </c>
      <c r="AE330" s="121" t="s">
        <v>61</v>
      </c>
      <c r="AF330" s="127" t="s">
        <v>61</v>
      </c>
      <c r="AG330" s="127" t="s">
        <v>774</v>
      </c>
      <c r="AH330" s="121" t="s">
        <v>198</v>
      </c>
      <c r="AI330" s="127" t="s">
        <v>576</v>
      </c>
      <c r="AJ330" s="121" t="s">
        <v>198</v>
      </c>
      <c r="AK330" s="127" t="s">
        <v>651</v>
      </c>
      <c r="AL330" s="121" t="s">
        <v>198</v>
      </c>
      <c r="AM330" s="127">
        <v>81</v>
      </c>
      <c r="AN330" s="121" t="s">
        <v>198</v>
      </c>
      <c r="AO330" s="241">
        <v>111</v>
      </c>
      <c r="AP330" s="121" t="s">
        <v>251</v>
      </c>
      <c r="AQ330" s="226">
        <v>175</v>
      </c>
      <c r="AR330" s="121" t="s">
        <v>251</v>
      </c>
      <c r="AS330" s="226">
        <v>122</v>
      </c>
      <c r="AT330" s="121" t="s">
        <v>251</v>
      </c>
      <c r="AU330" s="199">
        <v>166</v>
      </c>
      <c r="AV330" s="121" t="s">
        <v>251</v>
      </c>
      <c r="AW330" s="162">
        <v>139</v>
      </c>
      <c r="AX330" s="121" t="s">
        <v>251</v>
      </c>
      <c r="AY330" s="121">
        <v>151</v>
      </c>
      <c r="AZ330" s="121" t="s">
        <v>251</v>
      </c>
      <c r="BA330" s="121">
        <v>136</v>
      </c>
      <c r="BB330" s="121" t="s">
        <v>251</v>
      </c>
      <c r="BC330" s="121">
        <v>89</v>
      </c>
      <c r="BD330" s="121" t="s">
        <v>198</v>
      </c>
      <c r="BE330" s="121" t="s">
        <v>503</v>
      </c>
      <c r="BF330" s="121" t="s">
        <v>198</v>
      </c>
      <c r="BG330" s="121">
        <v>61</v>
      </c>
      <c r="BH330" s="121" t="s">
        <v>198</v>
      </c>
      <c r="BI330" s="121" t="s">
        <v>61</v>
      </c>
      <c r="BJ330" s="121" t="s">
        <v>61</v>
      </c>
      <c r="BK330" s="80">
        <v>149</v>
      </c>
      <c r="BL330" s="121" t="str">
        <f>IF(BK330="NA","NA",IF(BK330="Not Reported","Not Reported",IF(BK330&gt;$L$330,"Not Met","Met")))</f>
        <v>Not Met</v>
      </c>
      <c r="BM330" s="121" t="s">
        <v>61</v>
      </c>
      <c r="BN330" s="121" t="str">
        <f>IF(BM330="NA","NA",IF(BM330="Not Reported","Not Reported",IF(BM330&gt;$L$330,"Not Met","Met")))</f>
        <v>Not Reported</v>
      </c>
      <c r="BO330" s="328">
        <v>155</v>
      </c>
      <c r="BP330" s="121" t="s">
        <v>251</v>
      </c>
      <c r="BQ330" s="326" t="s">
        <v>61</v>
      </c>
      <c r="BR330" s="121" t="s">
        <v>61</v>
      </c>
      <c r="BS330" s="26" t="s">
        <v>61</v>
      </c>
      <c r="BT330" s="121" t="str">
        <f>IF(BS330="NA","NA",IF(BS330="Not Reported","Not Reported",IF(BS330&gt;$L$330,"Not Met","Met")))</f>
        <v>Not Reported</v>
      </c>
      <c r="BU330" s="26" t="s">
        <v>61</v>
      </c>
      <c r="BV330" s="121" t="str">
        <f>IF(BU330="NA","NA",IF(BU330="Not Reported","Not Reported",IF(BU330&gt;$L$330,"Not Met","Met")))</f>
        <v>Not Reported</v>
      </c>
    </row>
    <row r="331" spans="1:74" x14ac:dyDescent="0.2">
      <c r="A331" s="121">
        <v>330</v>
      </c>
      <c r="B331" s="122" t="s">
        <v>47</v>
      </c>
      <c r="C331" s="122" t="s">
        <v>904</v>
      </c>
      <c r="D331" s="123" t="s">
        <v>109</v>
      </c>
      <c r="E331" s="123" t="s">
        <v>900</v>
      </c>
      <c r="F331" s="123" t="s">
        <v>190</v>
      </c>
      <c r="G331" s="122" t="s">
        <v>273</v>
      </c>
      <c r="H331" s="122" t="s">
        <v>192</v>
      </c>
      <c r="I331" s="124" t="s">
        <v>213</v>
      </c>
      <c r="J331" s="124" t="s">
        <v>214</v>
      </c>
      <c r="K331" s="123" t="s">
        <v>213</v>
      </c>
      <c r="L331" s="226">
        <v>35</v>
      </c>
      <c r="M331" s="226" t="s">
        <v>549</v>
      </c>
      <c r="N331" s="145" t="s">
        <v>341</v>
      </c>
      <c r="O331" s="145" t="s">
        <v>342</v>
      </c>
      <c r="P331" s="123" t="s">
        <v>207</v>
      </c>
      <c r="Q331" s="146"/>
      <c r="R331" s="147"/>
      <c r="S331" s="146" t="s">
        <v>11</v>
      </c>
      <c r="T331" s="146" t="s">
        <v>11</v>
      </c>
      <c r="U331" s="127" t="s">
        <v>357</v>
      </c>
      <c r="V331" s="121" t="s">
        <v>198</v>
      </c>
      <c r="W331" s="121" t="s">
        <v>61</v>
      </c>
      <c r="X331" s="143" t="s">
        <v>61</v>
      </c>
      <c r="Y331" s="143" t="s">
        <v>222</v>
      </c>
      <c r="Z331" s="121" t="s">
        <v>198</v>
      </c>
      <c r="AA331" s="143" t="s">
        <v>241</v>
      </c>
      <c r="AB331" s="121" t="s">
        <v>198</v>
      </c>
      <c r="AC331" s="143" t="s">
        <v>554</v>
      </c>
      <c r="AD331" s="121" t="s">
        <v>198</v>
      </c>
      <c r="AE331" s="121" t="s">
        <v>61</v>
      </c>
      <c r="AF331" s="127" t="s">
        <v>61</v>
      </c>
      <c r="AG331" s="127" t="s">
        <v>605</v>
      </c>
      <c r="AH331" s="147" t="s">
        <v>251</v>
      </c>
      <c r="AI331" s="127" t="s">
        <v>283</v>
      </c>
      <c r="AJ331" s="147" t="s">
        <v>251</v>
      </c>
      <c r="AK331" s="127" t="s">
        <v>775</v>
      </c>
      <c r="AL331" s="121" t="s">
        <v>198</v>
      </c>
      <c r="AM331" s="127">
        <v>40</v>
      </c>
      <c r="AN331" s="121" t="s">
        <v>251</v>
      </c>
      <c r="AO331" s="241">
        <v>80</v>
      </c>
      <c r="AP331" s="121" t="s">
        <v>251</v>
      </c>
      <c r="AQ331" s="226">
        <v>121</v>
      </c>
      <c r="AR331" s="121" t="s">
        <v>251</v>
      </c>
      <c r="AS331" s="226">
        <v>80</v>
      </c>
      <c r="AT331" s="121" t="s">
        <v>251</v>
      </c>
      <c r="AU331" s="121">
        <v>36</v>
      </c>
      <c r="AV331" s="121" t="s">
        <v>251</v>
      </c>
      <c r="AW331" s="162">
        <v>22</v>
      </c>
      <c r="AX331" s="121" t="s">
        <v>198</v>
      </c>
      <c r="AY331" s="121">
        <v>35</v>
      </c>
      <c r="AZ331" s="121" t="s">
        <v>198</v>
      </c>
      <c r="BA331" s="121">
        <v>27</v>
      </c>
      <c r="BB331" s="121" t="s">
        <v>198</v>
      </c>
      <c r="BC331" s="121">
        <v>32</v>
      </c>
      <c r="BD331" s="121" t="s">
        <v>198</v>
      </c>
      <c r="BE331" s="121" t="s">
        <v>608</v>
      </c>
      <c r="BF331" s="121" t="s">
        <v>198</v>
      </c>
      <c r="BG331" s="121">
        <v>35</v>
      </c>
      <c r="BH331" s="121" t="s">
        <v>198</v>
      </c>
      <c r="BI331" s="121" t="s">
        <v>61</v>
      </c>
      <c r="BJ331" s="121" t="s">
        <v>61</v>
      </c>
      <c r="BK331" s="80">
        <v>40</v>
      </c>
      <c r="BL331" s="121" t="str">
        <f>IF(BK331="NA","NA",IF(BK331="Not Reported","Not Reported",IF(BK331&gt;$L$331,"Not Met","Met")))</f>
        <v>Not Met</v>
      </c>
      <c r="BM331" s="121" t="s">
        <v>61</v>
      </c>
      <c r="BN331" s="121" t="str">
        <f>IF(BM331="NA","NA",IF(BM331="Not Reported","Not Reported",IF(BM331&gt;$L$331,"Not Met","Met")))</f>
        <v>Not Reported</v>
      </c>
      <c r="BO331" s="328">
        <v>94</v>
      </c>
      <c r="BP331" s="121" t="s">
        <v>251</v>
      </c>
      <c r="BQ331" s="326" t="s">
        <v>61</v>
      </c>
      <c r="BR331" s="121" t="s">
        <v>61</v>
      </c>
      <c r="BS331" s="26" t="s">
        <v>61</v>
      </c>
      <c r="BT331" s="121" t="str">
        <f>IF(BS331="NA","NA",IF(BS331="Not Reported","Not Reported",IF(BS331&gt;$L$331,"Not Met","Met")))</f>
        <v>Not Reported</v>
      </c>
      <c r="BU331" s="26" t="s">
        <v>61</v>
      </c>
      <c r="BV331" s="121" t="str">
        <f>IF(BU331="NA","NA",IF(BU331="Not Reported","Not Reported",IF(BU331&gt;$L$331,"Not Met","Met")))</f>
        <v>Not Reported</v>
      </c>
    </row>
    <row r="332" spans="1:74" x14ac:dyDescent="0.2">
      <c r="A332" s="121">
        <v>331</v>
      </c>
      <c r="B332" s="122" t="s">
        <v>47</v>
      </c>
      <c r="C332" s="122" t="s">
        <v>904</v>
      </c>
      <c r="D332" s="123" t="s">
        <v>109</v>
      </c>
      <c r="E332" s="123" t="s">
        <v>900</v>
      </c>
      <c r="F332" s="123" t="s">
        <v>190</v>
      </c>
      <c r="G332" s="122" t="s">
        <v>273</v>
      </c>
      <c r="H332" s="122" t="s">
        <v>192</v>
      </c>
      <c r="I332" s="124" t="s">
        <v>246</v>
      </c>
      <c r="J332" s="124" t="s">
        <v>214</v>
      </c>
      <c r="K332" s="123" t="s">
        <v>326</v>
      </c>
      <c r="L332" s="242">
        <v>0.2</v>
      </c>
      <c r="M332" s="226" t="s">
        <v>627</v>
      </c>
      <c r="N332" s="145" t="s">
        <v>368</v>
      </c>
      <c r="O332" s="145" t="s">
        <v>369</v>
      </c>
      <c r="P332" s="123" t="s">
        <v>207</v>
      </c>
      <c r="Q332" s="146"/>
      <c r="R332" s="147"/>
      <c r="S332" s="146"/>
      <c r="T332" s="147"/>
      <c r="U332" s="142">
        <v>0.56000000000000005</v>
      </c>
      <c r="V332" s="147" t="s">
        <v>251</v>
      </c>
      <c r="W332" s="121" t="s">
        <v>61</v>
      </c>
      <c r="X332" s="143" t="s">
        <v>61</v>
      </c>
      <c r="Y332" s="121" t="s">
        <v>61</v>
      </c>
      <c r="Z332" s="143" t="s">
        <v>61</v>
      </c>
      <c r="AA332" s="121" t="s">
        <v>61</v>
      </c>
      <c r="AB332" s="127" t="s">
        <v>61</v>
      </c>
      <c r="AC332" s="121" t="s">
        <v>61</v>
      </c>
      <c r="AD332" s="121" t="s">
        <v>61</v>
      </c>
      <c r="AE332" s="121" t="s">
        <v>61</v>
      </c>
      <c r="AF332" s="127" t="s">
        <v>61</v>
      </c>
      <c r="AG332" s="127" t="s">
        <v>61</v>
      </c>
      <c r="AH332" s="127" t="s">
        <v>61</v>
      </c>
      <c r="AI332" s="121" t="s">
        <v>61</v>
      </c>
      <c r="AJ332" s="121" t="s">
        <v>61</v>
      </c>
      <c r="AK332" s="121" t="s">
        <v>61</v>
      </c>
      <c r="AL332" s="121" t="s">
        <v>61</v>
      </c>
      <c r="AM332" s="121" t="s">
        <v>61</v>
      </c>
      <c r="AN332" s="121" t="s">
        <v>61</v>
      </c>
      <c r="AO332" s="127" t="s">
        <v>61</v>
      </c>
      <c r="AP332" s="127" t="s">
        <v>61</v>
      </c>
      <c r="AQ332" s="127" t="s">
        <v>61</v>
      </c>
      <c r="AR332" s="121" t="s">
        <v>61</v>
      </c>
      <c r="AS332" s="127" t="s">
        <v>61</v>
      </c>
      <c r="AT332" s="127" t="s">
        <v>61</v>
      </c>
      <c r="AU332" s="127" t="s">
        <v>11</v>
      </c>
      <c r="AV332" s="127" t="s">
        <v>11</v>
      </c>
      <c r="AW332" s="147" t="s">
        <v>256</v>
      </c>
      <c r="AX332" s="121" t="s">
        <v>61</v>
      </c>
      <c r="AY332" s="121" t="s">
        <v>61</v>
      </c>
      <c r="AZ332" s="121" t="s">
        <v>61</v>
      </c>
      <c r="BA332" s="121" t="s">
        <v>256</v>
      </c>
      <c r="BB332" s="121" t="s">
        <v>61</v>
      </c>
      <c r="BC332" s="121" t="s">
        <v>61</v>
      </c>
      <c r="BD332" s="121" t="s">
        <v>6</v>
      </c>
      <c r="BE332" s="121" t="s">
        <v>61</v>
      </c>
      <c r="BF332" s="121" t="s">
        <v>61</v>
      </c>
      <c r="BG332" s="121" t="s">
        <v>61</v>
      </c>
      <c r="BH332" s="121" t="s">
        <v>61</v>
      </c>
      <c r="BI332" s="121" t="s">
        <v>61</v>
      </c>
      <c r="BJ332" s="121" t="s">
        <v>61</v>
      </c>
      <c r="BK332" s="121" t="s">
        <v>61</v>
      </c>
      <c r="BL332" s="174" t="str">
        <f>IF(BK332="NA","NA",IF(BK332="Not Reported","Not Reported",IF(BK332&gt;$L$332,"Not Met","Met")))</f>
        <v>Not Reported</v>
      </c>
      <c r="BM332" s="121" t="s">
        <v>61</v>
      </c>
      <c r="BN332" s="121" t="str">
        <f>IF(BM332="NA","NA",IF(BM332="Not Reported","Not Reported",IF(BM332&gt;$L$332,"Not Met","Met")))</f>
        <v>Not Reported</v>
      </c>
      <c r="BO332" s="329" t="s">
        <v>61</v>
      </c>
      <c r="BP332" s="121" t="s">
        <v>61</v>
      </c>
      <c r="BQ332" s="326" t="s">
        <v>61</v>
      </c>
      <c r="BR332" s="121" t="s">
        <v>61</v>
      </c>
      <c r="BS332" s="26" t="s">
        <v>61</v>
      </c>
      <c r="BT332" s="121" t="str">
        <f>IF(BS332="NA","NA",IF(BS332="Not Reported","Not Reported",IF(BS332&gt;$L$332,"Not Met","Met")))</f>
        <v>Not Reported</v>
      </c>
      <c r="BU332" s="26" t="s">
        <v>61</v>
      </c>
      <c r="BV332" s="121" t="str">
        <f>IF(BU332="NA","NA",IF(BU332="Not Reported","Not Reported",IF(BU332&gt;$L$332,"Not Met","Met")))</f>
        <v>Not Reported</v>
      </c>
    </row>
    <row r="333" spans="1:74" x14ac:dyDescent="0.2">
      <c r="A333" s="121">
        <v>332</v>
      </c>
      <c r="B333" s="122" t="s">
        <v>47</v>
      </c>
      <c r="C333" s="122" t="s">
        <v>904</v>
      </c>
      <c r="D333" s="123" t="s">
        <v>109</v>
      </c>
      <c r="E333" s="123" t="s">
        <v>900</v>
      </c>
      <c r="F333" s="123" t="s">
        <v>190</v>
      </c>
      <c r="G333" s="122" t="s">
        <v>273</v>
      </c>
      <c r="H333" s="122" t="s">
        <v>192</v>
      </c>
      <c r="I333" s="124" t="s">
        <v>284</v>
      </c>
      <c r="J333" s="124" t="s">
        <v>285</v>
      </c>
      <c r="K333" s="123" t="s">
        <v>284</v>
      </c>
      <c r="L333" s="242">
        <v>0.7</v>
      </c>
      <c r="M333" s="242">
        <v>0.7</v>
      </c>
      <c r="N333" s="145" t="s">
        <v>287</v>
      </c>
      <c r="O333" s="145" t="s">
        <v>288</v>
      </c>
      <c r="P333" s="123" t="s">
        <v>207</v>
      </c>
      <c r="Q333" s="146"/>
      <c r="R333" s="147"/>
      <c r="S333" s="146"/>
      <c r="T333" s="147"/>
      <c r="U333" s="142">
        <v>0.53</v>
      </c>
      <c r="V333" s="147" t="s">
        <v>251</v>
      </c>
      <c r="W333" s="121" t="s">
        <v>61</v>
      </c>
      <c r="X333" s="143" t="s">
        <v>61</v>
      </c>
      <c r="Y333" s="143">
        <v>0.62</v>
      </c>
      <c r="Z333" s="121" t="s">
        <v>251</v>
      </c>
      <c r="AA333" s="143">
        <v>0.67</v>
      </c>
      <c r="AB333" s="147" t="s">
        <v>251</v>
      </c>
      <c r="AC333" s="143">
        <v>0.57999999999999996</v>
      </c>
      <c r="AD333" s="121" t="s">
        <v>251</v>
      </c>
      <c r="AE333" s="121" t="s">
        <v>61</v>
      </c>
      <c r="AF333" s="127" t="s">
        <v>61</v>
      </c>
      <c r="AG333" s="141">
        <v>0.53</v>
      </c>
      <c r="AH333" s="147" t="s">
        <v>251</v>
      </c>
      <c r="AI333" s="141">
        <v>0.57999999999999996</v>
      </c>
      <c r="AJ333" s="147" t="s">
        <v>251</v>
      </c>
      <c r="AK333" s="141">
        <v>0.54</v>
      </c>
      <c r="AL333" s="147" t="s">
        <v>251</v>
      </c>
      <c r="AM333" s="141">
        <v>0.56999999999999995</v>
      </c>
      <c r="AN333" s="121" t="s">
        <v>251</v>
      </c>
      <c r="AO333" s="243">
        <v>0.75</v>
      </c>
      <c r="AP333" s="121" t="s">
        <v>198</v>
      </c>
      <c r="AQ333" s="177">
        <v>0.890625</v>
      </c>
      <c r="AR333" s="121" t="s">
        <v>198</v>
      </c>
      <c r="AS333" s="177">
        <v>0.75425531914893618</v>
      </c>
      <c r="AT333" s="121" t="s">
        <v>198</v>
      </c>
      <c r="AU333" s="200">
        <f>263/396</f>
        <v>0.66414141414141414</v>
      </c>
      <c r="AV333" s="121" t="s">
        <v>251</v>
      </c>
      <c r="AW333" s="177">
        <f>182/314</f>
        <v>0.57961783439490444</v>
      </c>
      <c r="AX333" s="121" t="s">
        <v>251</v>
      </c>
      <c r="AY333" s="143">
        <f>143/244</f>
        <v>0.58606557377049184</v>
      </c>
      <c r="AZ333" s="121" t="s">
        <v>251</v>
      </c>
      <c r="BA333" s="143">
        <f>100%-(344/975)</f>
        <v>0.64717948717948715</v>
      </c>
      <c r="BB333" s="121" t="s">
        <v>251</v>
      </c>
      <c r="BC333" s="143">
        <f>187/324</f>
        <v>0.5771604938271605</v>
      </c>
      <c r="BD333" s="121" t="s">
        <v>251</v>
      </c>
      <c r="BE333" s="141">
        <f>198/277</f>
        <v>0.71480144404332135</v>
      </c>
      <c r="BF333" s="121" t="s">
        <v>198</v>
      </c>
      <c r="BG333" s="126">
        <v>0.73</v>
      </c>
      <c r="BH333" s="121" t="s">
        <v>198</v>
      </c>
      <c r="BI333" s="121" t="s">
        <v>61</v>
      </c>
      <c r="BJ333" s="121" t="s">
        <v>61</v>
      </c>
      <c r="BK333" s="81">
        <v>0.78</v>
      </c>
      <c r="BL333" s="128" t="str">
        <f>IF(BK333="NA","NA",IF(BK333="Not Reported","Not Reported",IF(BK333&lt;$L$333,"Not Met","Met")))</f>
        <v>Met</v>
      </c>
      <c r="BM333" s="121" t="s">
        <v>61</v>
      </c>
      <c r="BN333" s="121" t="str">
        <f>IF(BM333="NA","NA",IF(BM333="Not Reported","Not Reported",IF(BM333&lt;$L$333,"Not Met","Met")))</f>
        <v>Not Reported</v>
      </c>
      <c r="BO333" s="327">
        <v>0.77</v>
      </c>
      <c r="BP333" s="121" t="s">
        <v>198</v>
      </c>
      <c r="BQ333" s="326" t="s">
        <v>61</v>
      </c>
      <c r="BR333" s="121" t="s">
        <v>61</v>
      </c>
      <c r="BS333" s="26" t="s">
        <v>61</v>
      </c>
      <c r="BT333" s="121" t="str">
        <f>IF(BS333="NA","NA",IF(BS333="Not Reported","Not Reported",IF(BS333&lt;$L$333,"Not Met","Met")))</f>
        <v>Not Reported</v>
      </c>
      <c r="BU333" s="26" t="s">
        <v>61</v>
      </c>
      <c r="BV333" s="121" t="str">
        <f>IF(BU333="NA","NA",IF(BU333="Not Reported","Not Reported",IF(BU333&lt;$L$333,"Not Met","Met")))</f>
        <v>Not Reported</v>
      </c>
    </row>
    <row r="334" spans="1:74" x14ac:dyDescent="0.2">
      <c r="A334" s="121">
        <v>333</v>
      </c>
      <c r="B334" s="122" t="s">
        <v>47</v>
      </c>
      <c r="C334" s="122" t="s">
        <v>904</v>
      </c>
      <c r="D334" s="123" t="s">
        <v>109</v>
      </c>
      <c r="E334" s="123" t="s">
        <v>900</v>
      </c>
      <c r="F334" s="123" t="s">
        <v>190</v>
      </c>
      <c r="G334" s="122" t="s">
        <v>273</v>
      </c>
      <c r="H334" s="122" t="s">
        <v>192</v>
      </c>
      <c r="I334" s="124" t="s">
        <v>289</v>
      </c>
      <c r="J334" s="124" t="s">
        <v>285</v>
      </c>
      <c r="K334" s="123" t="s">
        <v>289</v>
      </c>
      <c r="L334" s="146">
        <v>0.2</v>
      </c>
      <c r="M334" s="146">
        <v>0.2</v>
      </c>
      <c r="N334" s="145" t="s">
        <v>290</v>
      </c>
      <c r="O334" s="145" t="s">
        <v>291</v>
      </c>
      <c r="P334" s="123" t="s">
        <v>207</v>
      </c>
      <c r="Q334" s="146"/>
      <c r="R334" s="147"/>
      <c r="S334" s="146"/>
      <c r="T334" s="147"/>
      <c r="U334" s="142">
        <v>0.12</v>
      </c>
      <c r="V334" s="147" t="s">
        <v>251</v>
      </c>
      <c r="W334" s="121" t="s">
        <v>61</v>
      </c>
      <c r="X334" s="143" t="s">
        <v>61</v>
      </c>
      <c r="Y334" s="143">
        <v>0.24</v>
      </c>
      <c r="Z334" s="121" t="s">
        <v>198</v>
      </c>
      <c r="AA334" s="143">
        <v>0.21</v>
      </c>
      <c r="AB334" s="121" t="s">
        <v>198</v>
      </c>
      <c r="AC334" s="143">
        <v>0.41</v>
      </c>
      <c r="AD334" s="121" t="s">
        <v>198</v>
      </c>
      <c r="AE334" s="121" t="s">
        <v>61</v>
      </c>
      <c r="AF334" s="127" t="s">
        <v>61</v>
      </c>
      <c r="AG334" s="141">
        <v>7.0000000000000007E-2</v>
      </c>
      <c r="AH334" s="147" t="s">
        <v>251</v>
      </c>
      <c r="AI334" s="141">
        <v>0.1</v>
      </c>
      <c r="AJ334" s="147" t="s">
        <v>251</v>
      </c>
      <c r="AK334" s="141">
        <v>0.11</v>
      </c>
      <c r="AL334" s="147" t="s">
        <v>251</v>
      </c>
      <c r="AM334" s="141">
        <f>37/272</f>
        <v>0.13602941176470587</v>
      </c>
      <c r="AN334" s="121" t="s">
        <v>251</v>
      </c>
      <c r="AO334" s="243">
        <v>0.23</v>
      </c>
      <c r="AP334" s="121" t="s">
        <v>198</v>
      </c>
      <c r="AQ334" s="177">
        <v>8.7053571428571425E-2</v>
      </c>
      <c r="AR334" s="121" t="s">
        <v>251</v>
      </c>
      <c r="AS334" s="177">
        <v>0.11808510638297873</v>
      </c>
      <c r="AT334" s="121" t="s">
        <v>251</v>
      </c>
      <c r="AU334" s="200">
        <f>67/1057</f>
        <v>6.3386944181646171E-2</v>
      </c>
      <c r="AV334" s="121" t="s">
        <v>251</v>
      </c>
      <c r="AW334" s="177">
        <f>16/314</f>
        <v>5.0955414012738856E-2</v>
      </c>
      <c r="AX334" s="121" t="s">
        <v>251</v>
      </c>
      <c r="AY334" s="143">
        <f>45/244</f>
        <v>0.18442622950819673</v>
      </c>
      <c r="AZ334" s="121" t="s">
        <v>251</v>
      </c>
      <c r="BA334" s="143">
        <f>155/977</f>
        <v>0.1586489252814739</v>
      </c>
      <c r="BB334" s="121" t="s">
        <v>251</v>
      </c>
      <c r="BC334" s="143">
        <f>33/324</f>
        <v>0.10185185185185185</v>
      </c>
      <c r="BD334" s="121" t="s">
        <v>251</v>
      </c>
      <c r="BE334" s="141">
        <f>20/277</f>
        <v>7.2202166064981949E-2</v>
      </c>
      <c r="BF334" s="121" t="s">
        <v>251</v>
      </c>
      <c r="BG334" s="126">
        <v>0.15</v>
      </c>
      <c r="BH334" s="121" t="s">
        <v>251</v>
      </c>
      <c r="BI334" s="121" t="s">
        <v>61</v>
      </c>
      <c r="BJ334" s="121" t="s">
        <v>61</v>
      </c>
      <c r="BK334" s="83">
        <f>15/132</f>
        <v>0.11363636363636363</v>
      </c>
      <c r="BL334" s="128" t="str">
        <f>IF(BK334="NA","NA",IF(BK334="Not Reported","Not Reported",IF(BK334&lt;$L$334,"Not Met","Met")))</f>
        <v>Not Met</v>
      </c>
      <c r="BM334" s="121" t="s">
        <v>61</v>
      </c>
      <c r="BN334" s="121" t="str">
        <f>IF(BM334="NA","NA",IF(BM334="Not Reported","Not Reported",IF(BM334&lt;$L$334,"Not Met","Met")))</f>
        <v>Not Reported</v>
      </c>
      <c r="BO334" s="327">
        <v>0.15</v>
      </c>
      <c r="BP334" s="121" t="s">
        <v>251</v>
      </c>
      <c r="BQ334" s="326" t="s">
        <v>61</v>
      </c>
      <c r="BR334" s="121" t="s">
        <v>61</v>
      </c>
      <c r="BS334" s="26" t="s">
        <v>61</v>
      </c>
      <c r="BT334" s="121" t="str">
        <f>IF(BS334="NA","NA",IF(BS334="Not Reported","Not Reported",IF(BS334&lt;$L$334,"Not Met","Met")))</f>
        <v>Not Reported</v>
      </c>
      <c r="BU334" s="26" t="s">
        <v>61</v>
      </c>
      <c r="BV334" s="121" t="str">
        <f>IF(BU334="NA","NA",IF(BU334="Not Reported","Not Reported",IF(BU334&lt;$L$334,"Not Met","Met")))</f>
        <v>Not Reported</v>
      </c>
    </row>
    <row r="335" spans="1:74" x14ac:dyDescent="0.2">
      <c r="A335" s="121">
        <v>334</v>
      </c>
      <c r="B335" s="122" t="s">
        <v>47</v>
      </c>
      <c r="C335" s="122" t="s">
        <v>904</v>
      </c>
      <c r="D335" s="123" t="s">
        <v>109</v>
      </c>
      <c r="E335" s="123" t="s">
        <v>900</v>
      </c>
      <c r="F335" s="123" t="s">
        <v>190</v>
      </c>
      <c r="G335" s="122" t="s">
        <v>273</v>
      </c>
      <c r="H335" s="122" t="s">
        <v>192</v>
      </c>
      <c r="I335" s="124" t="s">
        <v>292</v>
      </c>
      <c r="J335" s="124" t="s">
        <v>293</v>
      </c>
      <c r="K335" s="123" t="s">
        <v>292</v>
      </c>
      <c r="L335" s="242">
        <v>0.1</v>
      </c>
      <c r="M335" s="226" t="s">
        <v>505</v>
      </c>
      <c r="N335" s="218" t="s">
        <v>752</v>
      </c>
      <c r="O335" s="218" t="s">
        <v>611</v>
      </c>
      <c r="P335" s="123" t="s">
        <v>207</v>
      </c>
      <c r="Q335" s="146"/>
      <c r="R335" s="147"/>
      <c r="S335" s="146" t="s">
        <v>11</v>
      </c>
      <c r="T335" s="146" t="s">
        <v>11</v>
      </c>
      <c r="U335" s="142">
        <v>0</v>
      </c>
      <c r="V335" s="121" t="s">
        <v>198</v>
      </c>
      <c r="W335" s="121" t="s">
        <v>61</v>
      </c>
      <c r="X335" s="143" t="s">
        <v>61</v>
      </c>
      <c r="Y335" s="143">
        <v>0.09</v>
      </c>
      <c r="Z335" s="121" t="s">
        <v>198</v>
      </c>
      <c r="AA335" s="143">
        <v>0.17</v>
      </c>
      <c r="AB335" s="147" t="s">
        <v>251</v>
      </c>
      <c r="AC335" s="143">
        <v>0.04</v>
      </c>
      <c r="AD335" s="121" t="s">
        <v>198</v>
      </c>
      <c r="AE335" s="121" t="s">
        <v>61</v>
      </c>
      <c r="AF335" s="127" t="s">
        <v>61</v>
      </c>
      <c r="AG335" s="142">
        <v>0.09</v>
      </c>
      <c r="AH335" s="121" t="s">
        <v>198</v>
      </c>
      <c r="AI335" s="177">
        <f>9/28</f>
        <v>0.32142857142857145</v>
      </c>
      <c r="AJ335" s="147" t="s">
        <v>251</v>
      </c>
      <c r="AK335" s="126">
        <v>0.26</v>
      </c>
      <c r="AL335" s="147" t="s">
        <v>251</v>
      </c>
      <c r="AM335" s="126">
        <f>2/21</f>
        <v>9.5238095238095233E-2</v>
      </c>
      <c r="AN335" s="121" t="s">
        <v>198</v>
      </c>
      <c r="AO335" s="243">
        <v>0.09</v>
      </c>
      <c r="AP335" s="121" t="s">
        <v>198</v>
      </c>
      <c r="AQ335" s="177">
        <v>8.771929824561403E-2</v>
      </c>
      <c r="AR335" s="121" t="s">
        <v>198</v>
      </c>
      <c r="AS335" s="177">
        <v>6.25E-2</v>
      </c>
      <c r="AT335" s="121" t="s">
        <v>198</v>
      </c>
      <c r="AU335" s="203">
        <f>15/(15+67)</f>
        <v>0.18292682926829268</v>
      </c>
      <c r="AV335" s="121" t="s">
        <v>251</v>
      </c>
      <c r="AW335" s="177">
        <f>20/43</f>
        <v>0.46511627906976744</v>
      </c>
      <c r="AX335" s="121" t="s">
        <v>251</v>
      </c>
      <c r="AY335" s="143">
        <f>17/28</f>
        <v>0.6071428571428571</v>
      </c>
      <c r="AZ335" s="121" t="s">
        <v>251</v>
      </c>
      <c r="BA335" s="143">
        <f>52/(28+43+75)</f>
        <v>0.35616438356164382</v>
      </c>
      <c r="BB335" s="121" t="s">
        <v>251</v>
      </c>
      <c r="BC335" s="141">
        <f>8/51</f>
        <v>0.15686274509803921</v>
      </c>
      <c r="BD335" s="121" t="s">
        <v>251</v>
      </c>
      <c r="BE335" s="141">
        <f>10/44</f>
        <v>0.22727272727272727</v>
      </c>
      <c r="BF335" s="121" t="s">
        <v>251</v>
      </c>
      <c r="BG335" s="126">
        <v>0.14000000000000001</v>
      </c>
      <c r="BH335" s="121" t="s">
        <v>251</v>
      </c>
      <c r="BI335" s="121" t="s">
        <v>61</v>
      </c>
      <c r="BJ335" s="121" t="s">
        <v>61</v>
      </c>
      <c r="BK335" s="81">
        <v>0.1</v>
      </c>
      <c r="BL335" s="128" t="str">
        <f>IF(BK335="NA","NA",IF(BK335="Not Reported","Not Reported",IF(BK335&gt;=$L$335,"Not Met","Met")))</f>
        <v>Not Met</v>
      </c>
      <c r="BM335" s="121" t="s">
        <v>61</v>
      </c>
      <c r="BN335" s="121" t="str">
        <f>IF(BM335="NA","NA",IF(BM335="Not Reported","Not Reported",IF(BM335&gt;=$L$335,"Not Met","Met")))</f>
        <v>Not Reported</v>
      </c>
      <c r="BO335" s="327">
        <v>0.38</v>
      </c>
      <c r="BP335" s="121" t="s">
        <v>251</v>
      </c>
      <c r="BQ335" s="326" t="s">
        <v>61</v>
      </c>
      <c r="BR335" s="121" t="s">
        <v>61</v>
      </c>
      <c r="BS335" s="26" t="s">
        <v>61</v>
      </c>
      <c r="BT335" s="121" t="str">
        <f>IF(BS335="NA","NA",IF(BS335="Not Reported","Not Reported",IF(BS335&gt;=$L$335,"Not Met","Met")))</f>
        <v>Not Reported</v>
      </c>
      <c r="BU335" s="26" t="s">
        <v>61</v>
      </c>
      <c r="BV335" s="121" t="str">
        <f>IF(BU335="NA","NA",IF(BU335="Not Reported","Not Reported",IF(BU335&gt;=$L$335,"Not Met","Met")))</f>
        <v>Not Reported</v>
      </c>
    </row>
    <row r="336" spans="1:74" x14ac:dyDescent="0.25">
      <c r="A336" s="121">
        <v>335</v>
      </c>
      <c r="B336" s="122" t="s">
        <v>47</v>
      </c>
      <c r="C336" s="122" t="s">
        <v>904</v>
      </c>
      <c r="D336" s="123" t="s">
        <v>109</v>
      </c>
      <c r="E336" s="123" t="s">
        <v>900</v>
      </c>
      <c r="F336" s="123" t="s">
        <v>190</v>
      </c>
      <c r="G336" s="122" t="s">
        <v>273</v>
      </c>
      <c r="H336" s="122" t="s">
        <v>192</v>
      </c>
      <c r="I336" s="124" t="s">
        <v>296</v>
      </c>
      <c r="J336" s="124" t="s">
        <v>296</v>
      </c>
      <c r="K336" s="123" t="s">
        <v>296</v>
      </c>
      <c r="L336" s="147">
        <v>20</v>
      </c>
      <c r="M336" s="146" t="s">
        <v>776</v>
      </c>
      <c r="N336" s="145" t="s">
        <v>297</v>
      </c>
      <c r="O336" s="145" t="s">
        <v>298</v>
      </c>
      <c r="P336" s="123" t="s">
        <v>207</v>
      </c>
      <c r="Q336" s="146"/>
      <c r="R336" s="147"/>
      <c r="S336" s="146"/>
      <c r="T336" s="147"/>
      <c r="U336" s="127">
        <v>1</v>
      </c>
      <c r="V336" s="147" t="s">
        <v>251</v>
      </c>
      <c r="W336" s="121" t="s">
        <v>61</v>
      </c>
      <c r="X336" s="143" t="s">
        <v>61</v>
      </c>
      <c r="Y336" s="121" t="s">
        <v>61</v>
      </c>
      <c r="Z336" s="143" t="s">
        <v>61</v>
      </c>
      <c r="AA336" s="121" t="s">
        <v>61</v>
      </c>
      <c r="AB336" s="127" t="s">
        <v>61</v>
      </c>
      <c r="AC336" s="121" t="s">
        <v>61</v>
      </c>
      <c r="AD336" s="121" t="s">
        <v>61</v>
      </c>
      <c r="AE336" s="121" t="s">
        <v>61</v>
      </c>
      <c r="AF336" s="127" t="s">
        <v>61</v>
      </c>
      <c r="AG336" s="127" t="s">
        <v>61</v>
      </c>
      <c r="AH336" s="127" t="s">
        <v>61</v>
      </c>
      <c r="AI336" s="121" t="s">
        <v>61</v>
      </c>
      <c r="AJ336" s="121" t="s">
        <v>61</v>
      </c>
      <c r="AK336" s="121" t="s">
        <v>61</v>
      </c>
      <c r="AL336" s="121" t="s">
        <v>61</v>
      </c>
      <c r="AM336" s="121" t="s">
        <v>61</v>
      </c>
      <c r="AN336" s="121" t="s">
        <v>61</v>
      </c>
      <c r="AO336" s="127" t="s">
        <v>61</v>
      </c>
      <c r="AP336" s="127" t="s">
        <v>61</v>
      </c>
      <c r="AQ336" s="147" t="s">
        <v>61</v>
      </c>
      <c r="AR336" s="121" t="s">
        <v>61</v>
      </c>
      <c r="AS336" s="147" t="s">
        <v>61</v>
      </c>
      <c r="AT336" s="147" t="s">
        <v>61</v>
      </c>
      <c r="AU336" s="127" t="s">
        <v>11</v>
      </c>
      <c r="AV336" s="127" t="s">
        <v>11</v>
      </c>
      <c r="AW336" s="147" t="s">
        <v>256</v>
      </c>
      <c r="AX336" s="121" t="s">
        <v>61</v>
      </c>
      <c r="AY336" s="121" t="s">
        <v>61</v>
      </c>
      <c r="AZ336" s="121" t="s">
        <v>61</v>
      </c>
      <c r="BA336" s="121" t="s">
        <v>256</v>
      </c>
      <c r="BB336" s="121" t="s">
        <v>61</v>
      </c>
      <c r="BC336" s="121" t="s">
        <v>61</v>
      </c>
      <c r="BD336" s="121" t="s">
        <v>6</v>
      </c>
      <c r="BE336" s="121" t="s">
        <v>61</v>
      </c>
      <c r="BF336" s="121" t="s">
        <v>61</v>
      </c>
      <c r="BG336" s="121" t="s">
        <v>61</v>
      </c>
      <c r="BH336" s="121" t="s">
        <v>61</v>
      </c>
      <c r="BI336" s="121" t="s">
        <v>61</v>
      </c>
      <c r="BJ336" s="121" t="s">
        <v>61</v>
      </c>
      <c r="BK336" s="121" t="s">
        <v>61</v>
      </c>
      <c r="BL336" s="128" t="str">
        <f>IF(BK336="NA","NA",IF(BK336="Not Reported","Not Reported",IF(BK336&lt;$L$84,"Not Met","Met")))</f>
        <v>Not Reported</v>
      </c>
      <c r="BM336" s="121" t="s">
        <v>61</v>
      </c>
      <c r="BN336" s="121" t="str">
        <f>IF(BM336="NA","NA",IF(BM336="Not Reported","Not Reported",IF(BM336&lt;$L$336,"Not Met","Met")))</f>
        <v>Not Reported</v>
      </c>
      <c r="BO336" s="326" t="s">
        <v>61</v>
      </c>
      <c r="BP336" s="121" t="s">
        <v>61</v>
      </c>
      <c r="BQ336" s="326" t="s">
        <v>61</v>
      </c>
      <c r="BR336" s="121" t="s">
        <v>61</v>
      </c>
      <c r="BS336" s="26" t="s">
        <v>61</v>
      </c>
      <c r="BT336" s="121" t="str">
        <f>IF(BS336="NA","NA",IF(BS336="Not Reported","Not Reported",IF(BS336&lt;$L$336,"Not Met","Met")))</f>
        <v>Not Reported</v>
      </c>
      <c r="BU336" s="26" t="s">
        <v>61</v>
      </c>
      <c r="BV336" s="121" t="str">
        <f>IF(BU336="NA","NA",IF(BU336="Not Reported","Not Reported",IF(BU336&lt;$L$336,"Not Met","Met")))</f>
        <v>Not Reported</v>
      </c>
    </row>
    <row r="337" spans="1:74" x14ac:dyDescent="0.2">
      <c r="A337" s="121">
        <v>336</v>
      </c>
      <c r="B337" s="122" t="s">
        <v>47</v>
      </c>
      <c r="C337" s="122" t="s">
        <v>904</v>
      </c>
      <c r="D337" s="123" t="s">
        <v>109</v>
      </c>
      <c r="E337" s="123" t="s">
        <v>900</v>
      </c>
      <c r="F337" s="123" t="s">
        <v>190</v>
      </c>
      <c r="G337" s="122" t="s">
        <v>273</v>
      </c>
      <c r="H337" s="122" t="s">
        <v>192</v>
      </c>
      <c r="I337" s="124" t="s">
        <v>257</v>
      </c>
      <c r="J337" s="124" t="s">
        <v>258</v>
      </c>
      <c r="K337" s="123" t="s">
        <v>259</v>
      </c>
      <c r="L337" s="146">
        <v>0.2</v>
      </c>
      <c r="M337" s="146">
        <v>0.2</v>
      </c>
      <c r="N337" s="145" t="s">
        <v>476</v>
      </c>
      <c r="O337" s="145" t="s">
        <v>477</v>
      </c>
      <c r="P337" s="123" t="s">
        <v>207</v>
      </c>
      <c r="Q337" s="146"/>
      <c r="R337" s="147"/>
      <c r="S337" s="146"/>
      <c r="T337" s="147"/>
      <c r="U337" s="127"/>
      <c r="V337" s="147"/>
      <c r="W337" s="126">
        <v>0.14000000000000001</v>
      </c>
      <c r="X337" s="143" t="s">
        <v>251</v>
      </c>
      <c r="Y337" s="126">
        <v>0</v>
      </c>
      <c r="Z337" s="121" t="s">
        <v>251</v>
      </c>
      <c r="AA337" s="126">
        <v>0.04</v>
      </c>
      <c r="AB337" s="147" t="s">
        <v>251</v>
      </c>
      <c r="AC337" s="126">
        <v>0.03</v>
      </c>
      <c r="AD337" s="121" t="s">
        <v>251</v>
      </c>
      <c r="AE337" s="121" t="s">
        <v>61</v>
      </c>
      <c r="AF337" s="127" t="s">
        <v>61</v>
      </c>
      <c r="AG337" s="142">
        <v>0.06</v>
      </c>
      <c r="AH337" s="147" t="s">
        <v>251</v>
      </c>
      <c r="AI337" s="142">
        <v>0.03</v>
      </c>
      <c r="AJ337" s="147" t="s">
        <v>251</v>
      </c>
      <c r="AK337" s="142">
        <f>6/77</f>
        <v>7.792207792207792E-2</v>
      </c>
      <c r="AL337" s="147" t="s">
        <v>251</v>
      </c>
      <c r="AM337" s="142">
        <f>2/26</f>
        <v>7.6923076923076927E-2</v>
      </c>
      <c r="AN337" s="121" t="s">
        <v>251</v>
      </c>
      <c r="AO337" s="243">
        <v>0.03</v>
      </c>
      <c r="AP337" s="121" t="s">
        <v>251</v>
      </c>
      <c r="AQ337" s="177">
        <v>0.04</v>
      </c>
      <c r="AR337" s="121" t="s">
        <v>251</v>
      </c>
      <c r="AS337" s="177">
        <v>0.05</v>
      </c>
      <c r="AT337" s="121" t="s">
        <v>251</v>
      </c>
      <c r="AU337" s="200">
        <f>4/47</f>
        <v>8.5106382978723402E-2</v>
      </c>
      <c r="AV337" s="121" t="s">
        <v>251</v>
      </c>
      <c r="AW337" s="177">
        <f>9/54</f>
        <v>0.16666666666666666</v>
      </c>
      <c r="AX337" s="121" t="s">
        <v>251</v>
      </c>
      <c r="AY337" s="143">
        <f>4/50</f>
        <v>0.08</v>
      </c>
      <c r="AZ337" s="121" t="s">
        <v>251</v>
      </c>
      <c r="BA337" s="143">
        <f>17/151</f>
        <v>0.11258278145695365</v>
      </c>
      <c r="BB337" s="121" t="s">
        <v>251</v>
      </c>
      <c r="BC337" s="126">
        <v>0.02</v>
      </c>
      <c r="BD337" s="121" t="s">
        <v>251</v>
      </c>
      <c r="BE337" s="141">
        <f>3/48</f>
        <v>6.25E-2</v>
      </c>
      <c r="BF337" s="121" t="s">
        <v>251</v>
      </c>
      <c r="BG337" s="126">
        <v>0.06</v>
      </c>
      <c r="BH337" s="121" t="s">
        <v>251</v>
      </c>
      <c r="BI337" s="121" t="s">
        <v>61</v>
      </c>
      <c r="BJ337" s="121" t="s">
        <v>61</v>
      </c>
      <c r="BK337" s="126">
        <v>0</v>
      </c>
      <c r="BL337" s="121" t="str">
        <f>IF(BK337="NA","NA",IF(BK337="Not Reported","Not Reported",IF(BK337&lt;$L$337,"Not Met","Met")))</f>
        <v>Not Met</v>
      </c>
      <c r="BM337" s="121" t="s">
        <v>61</v>
      </c>
      <c r="BN337" s="121" t="str">
        <f>IF(BM337="NA","NA",IF(BM337="Not Reported","Not Reported",IF(BM337&lt;$L$337,"Not Met","Met")))</f>
        <v>Not Reported</v>
      </c>
      <c r="BO337" s="327">
        <v>0</v>
      </c>
      <c r="BP337" s="121" t="s">
        <v>251</v>
      </c>
      <c r="BQ337" s="326" t="s">
        <v>61</v>
      </c>
      <c r="BR337" s="121" t="s">
        <v>61</v>
      </c>
      <c r="BS337" s="26" t="s">
        <v>61</v>
      </c>
      <c r="BT337" s="121" t="str">
        <f>IF(BS337="NA","NA",IF(BS337="Not Reported","Not Reported",IF(BS337&lt;$L$337,"Not Met","Met")))</f>
        <v>Not Reported</v>
      </c>
      <c r="BU337" s="26" t="s">
        <v>61</v>
      </c>
      <c r="BV337" s="121" t="str">
        <f>IF(BU337="NA","NA",IF(BU337="Not Reported","Not Reported",IF(BU337&lt;$L$337,"Not Met","Met")))</f>
        <v>Not Reported</v>
      </c>
    </row>
    <row r="338" spans="1:74" x14ac:dyDescent="0.25">
      <c r="A338" s="121">
        <v>337</v>
      </c>
      <c r="B338" s="122" t="s">
        <v>48</v>
      </c>
      <c r="C338" s="122" t="s">
        <v>106</v>
      </c>
      <c r="D338" s="123" t="s">
        <v>920</v>
      </c>
      <c r="E338" s="123" t="s">
        <v>894</v>
      </c>
      <c r="F338" s="123" t="s">
        <v>300</v>
      </c>
      <c r="G338" s="122" t="s">
        <v>273</v>
      </c>
      <c r="H338" s="122" t="s">
        <v>192</v>
      </c>
      <c r="I338" s="124" t="s">
        <v>274</v>
      </c>
      <c r="J338" s="124" t="s">
        <v>214</v>
      </c>
      <c r="K338" s="123" t="s">
        <v>274</v>
      </c>
      <c r="L338" s="147">
        <v>90</v>
      </c>
      <c r="M338" s="146" t="s">
        <v>370</v>
      </c>
      <c r="N338" s="145" t="s">
        <v>276</v>
      </c>
      <c r="O338" s="145" t="s">
        <v>277</v>
      </c>
      <c r="P338" s="123" t="s">
        <v>207</v>
      </c>
      <c r="Q338" s="146"/>
      <c r="R338" s="147"/>
      <c r="S338" s="146"/>
      <c r="T338" s="147"/>
      <c r="U338" s="127"/>
      <c r="V338" s="147"/>
      <c r="W338" s="126" t="s">
        <v>11</v>
      </c>
      <c r="X338" s="143" t="s">
        <v>11</v>
      </c>
      <c r="Y338" s="126" t="s">
        <v>61</v>
      </c>
      <c r="Z338" s="126" t="s">
        <v>61</v>
      </c>
      <c r="AA338" s="126" t="s">
        <v>61</v>
      </c>
      <c r="AB338" s="127" t="s">
        <v>61</v>
      </c>
      <c r="AC338" s="126" t="s">
        <v>61</v>
      </c>
      <c r="AD338" s="121" t="s">
        <v>61</v>
      </c>
      <c r="AE338" s="126" t="s">
        <v>61</v>
      </c>
      <c r="AF338" s="127" t="s">
        <v>61</v>
      </c>
      <c r="AG338" s="126" t="s">
        <v>61</v>
      </c>
      <c r="AH338" s="127" t="s">
        <v>61</v>
      </c>
      <c r="AI338" s="126" t="s">
        <v>61</v>
      </c>
      <c r="AJ338" s="121" t="s">
        <v>61</v>
      </c>
      <c r="AK338" s="126" t="s">
        <v>61</v>
      </c>
      <c r="AL338" s="121" t="s">
        <v>61</v>
      </c>
      <c r="AM338" s="127" t="s">
        <v>61</v>
      </c>
      <c r="AN338" s="121" t="s">
        <v>61</v>
      </c>
      <c r="AO338" s="127" t="s">
        <v>61</v>
      </c>
      <c r="AP338" s="121" t="s">
        <v>61</v>
      </c>
      <c r="AQ338" s="127" t="s">
        <v>61</v>
      </c>
      <c r="AR338" s="121" t="s">
        <v>61</v>
      </c>
      <c r="AS338" s="127" t="s">
        <v>61</v>
      </c>
      <c r="AT338" s="121" t="s">
        <v>61</v>
      </c>
      <c r="AU338" s="127" t="s">
        <v>61</v>
      </c>
      <c r="AV338" s="121" t="s">
        <v>61</v>
      </c>
      <c r="AW338" s="147">
        <v>215</v>
      </c>
      <c r="AX338" s="121" t="s">
        <v>251</v>
      </c>
      <c r="AY338" s="121" t="s">
        <v>6</v>
      </c>
      <c r="AZ338" s="121" t="s">
        <v>61</v>
      </c>
      <c r="BA338" s="121" t="s">
        <v>6</v>
      </c>
      <c r="BB338" s="121" t="s">
        <v>61</v>
      </c>
      <c r="BC338" s="121" t="s">
        <v>777</v>
      </c>
      <c r="BD338" s="121" t="s">
        <v>251</v>
      </c>
      <c r="BE338" s="147">
        <v>243</v>
      </c>
      <c r="BF338" s="121" t="s">
        <v>251</v>
      </c>
      <c r="BG338" s="244">
        <v>270</v>
      </c>
      <c r="BH338" s="121" t="s">
        <v>251</v>
      </c>
      <c r="BI338" s="121" t="s">
        <v>6</v>
      </c>
      <c r="BJ338" s="121" t="s">
        <v>61</v>
      </c>
      <c r="BK338" s="121">
        <v>80</v>
      </c>
      <c r="BL338" s="121" t="str">
        <f>IF(BK338="NA","NA",IF(BK338="Not Reported","Not Reported",IF(BK338&gt;$L$338,"Not Met","Met")))</f>
        <v>Met</v>
      </c>
      <c r="BM338" s="280">
        <v>226</v>
      </c>
      <c r="BN338" s="121" t="str">
        <f>IF(BM338="NA","NA",IF(BM338="Not Reported","Not Reported",IF(BM338&gt;$L$338,"Not Met","Met")))</f>
        <v>Not Met</v>
      </c>
      <c r="BO338" s="26">
        <v>167</v>
      </c>
      <c r="BP338" s="121" t="s">
        <v>251</v>
      </c>
      <c r="BQ338" s="26">
        <v>187</v>
      </c>
      <c r="BR338" s="121" t="s">
        <v>251</v>
      </c>
      <c r="BS338" s="26">
        <v>230</v>
      </c>
      <c r="BT338" s="121" t="str">
        <f>IF(BS338="NA","NA",IF(BS338="Not Reported","Not Reported",IF(BS338&gt;$L$338,"Not Met","Met")))</f>
        <v>Not Met</v>
      </c>
      <c r="BU338" s="341">
        <v>222</v>
      </c>
      <c r="BV338" s="121" t="str">
        <f>IF(BU338="NA","NA",IF(BU338="Not Reported","Not Reported",IF(BU338&gt;$L$338,"Not Met","Met")))</f>
        <v>Not Met</v>
      </c>
    </row>
    <row r="339" spans="1:74" x14ac:dyDescent="0.25">
      <c r="A339" s="121">
        <v>338</v>
      </c>
      <c r="B339" s="122" t="s">
        <v>48</v>
      </c>
      <c r="C339" s="122" t="s">
        <v>106</v>
      </c>
      <c r="D339" s="123" t="s">
        <v>920</v>
      </c>
      <c r="E339" s="123" t="s">
        <v>894</v>
      </c>
      <c r="F339" s="123" t="s">
        <v>300</v>
      </c>
      <c r="G339" s="122" t="s">
        <v>273</v>
      </c>
      <c r="H339" s="122" t="s">
        <v>192</v>
      </c>
      <c r="I339" s="124" t="s">
        <v>213</v>
      </c>
      <c r="J339" s="124" t="s">
        <v>214</v>
      </c>
      <c r="K339" s="123" t="s">
        <v>213</v>
      </c>
      <c r="L339" s="147">
        <v>45</v>
      </c>
      <c r="M339" s="146" t="s">
        <v>340</v>
      </c>
      <c r="N339" s="145" t="s">
        <v>341</v>
      </c>
      <c r="O339" s="145" t="s">
        <v>342</v>
      </c>
      <c r="P339" s="123" t="s">
        <v>207</v>
      </c>
      <c r="Q339" s="146"/>
      <c r="R339" s="147"/>
      <c r="S339" s="146"/>
      <c r="T339" s="147"/>
      <c r="U339" s="127"/>
      <c r="V339" s="147"/>
      <c r="W339" s="126" t="s">
        <v>11</v>
      </c>
      <c r="X339" s="143" t="s">
        <v>11</v>
      </c>
      <c r="Y339" s="126" t="s">
        <v>61</v>
      </c>
      <c r="Z339" s="126" t="s">
        <v>61</v>
      </c>
      <c r="AA339" s="126" t="s">
        <v>61</v>
      </c>
      <c r="AB339" s="127" t="s">
        <v>61</v>
      </c>
      <c r="AC339" s="126" t="s">
        <v>61</v>
      </c>
      <c r="AD339" s="121" t="s">
        <v>61</v>
      </c>
      <c r="AE339" s="126" t="s">
        <v>61</v>
      </c>
      <c r="AF339" s="127" t="s">
        <v>61</v>
      </c>
      <c r="AG339" s="126" t="s">
        <v>61</v>
      </c>
      <c r="AH339" s="127" t="s">
        <v>61</v>
      </c>
      <c r="AI339" s="126" t="s">
        <v>61</v>
      </c>
      <c r="AJ339" s="121" t="s">
        <v>61</v>
      </c>
      <c r="AK339" s="126" t="s">
        <v>61</v>
      </c>
      <c r="AL339" s="121" t="s">
        <v>61</v>
      </c>
      <c r="AM339" s="127" t="s">
        <v>61</v>
      </c>
      <c r="AN339" s="121" t="s">
        <v>61</v>
      </c>
      <c r="AO339" s="127" t="s">
        <v>61</v>
      </c>
      <c r="AP339" s="121" t="s">
        <v>61</v>
      </c>
      <c r="AQ339" s="127" t="s">
        <v>61</v>
      </c>
      <c r="AR339" s="121" t="s">
        <v>61</v>
      </c>
      <c r="AS339" s="127" t="s">
        <v>61</v>
      </c>
      <c r="AT339" s="121" t="s">
        <v>61</v>
      </c>
      <c r="AU339" s="127" t="s">
        <v>61</v>
      </c>
      <c r="AV339" s="121" t="s">
        <v>61</v>
      </c>
      <c r="AW339" s="147">
        <v>170</v>
      </c>
      <c r="AX339" s="121" t="s">
        <v>251</v>
      </c>
      <c r="AY339" s="121" t="s">
        <v>6</v>
      </c>
      <c r="AZ339" s="121" t="s">
        <v>61</v>
      </c>
      <c r="BA339" s="121" t="s">
        <v>6</v>
      </c>
      <c r="BB339" s="121" t="s">
        <v>61</v>
      </c>
      <c r="BC339" s="121" t="s">
        <v>778</v>
      </c>
      <c r="BD339" s="121" t="s">
        <v>251</v>
      </c>
      <c r="BE339" s="147">
        <v>118</v>
      </c>
      <c r="BF339" s="121" t="s">
        <v>251</v>
      </c>
      <c r="BG339" s="244">
        <v>113</v>
      </c>
      <c r="BH339" s="121" t="s">
        <v>251</v>
      </c>
      <c r="BI339" s="121" t="s">
        <v>6</v>
      </c>
      <c r="BJ339" s="121" t="s">
        <v>61</v>
      </c>
      <c r="BK339" s="121" t="s">
        <v>735</v>
      </c>
      <c r="BL339" s="121" t="str">
        <f>IF(BK339="NA","NA",IF(BK339="Not Reported","Not Reported",IF(BK339&gt;$L$339,"Not Met","Met")))</f>
        <v>Not Met</v>
      </c>
      <c r="BM339" s="280">
        <v>128</v>
      </c>
      <c r="BN339" s="121" t="str">
        <f>IF(BM339="NA","NA",IF(BM339="Not Reported","Not Reported",IF(BM339&gt;$L$339,"Not Met","Met")))</f>
        <v>Not Met</v>
      </c>
      <c r="BO339" s="26">
        <v>113</v>
      </c>
      <c r="BP339" s="121" t="s">
        <v>251</v>
      </c>
      <c r="BQ339" s="26">
        <v>113</v>
      </c>
      <c r="BR339" s="121" t="s">
        <v>251</v>
      </c>
      <c r="BS339" s="26">
        <v>98</v>
      </c>
      <c r="BT339" s="121" t="str">
        <f>IF(BS339="NA","NA",IF(BS339="Not Reported","Not Reported",IF(BS339&gt;$L$339,"Not Met","Met")))</f>
        <v>Not Met</v>
      </c>
      <c r="BU339" s="341">
        <v>133</v>
      </c>
      <c r="BV339" s="121" t="str">
        <f>IF(BU339="NA","NA",IF(BU339="Not Reported","Not Reported",IF(BU339&gt;$L$339,"Not Met","Met")))</f>
        <v>Not Met</v>
      </c>
    </row>
    <row r="340" spans="1:74" x14ac:dyDescent="0.2">
      <c r="A340" s="121">
        <v>339</v>
      </c>
      <c r="B340" s="122" t="s">
        <v>48</v>
      </c>
      <c r="C340" s="122" t="s">
        <v>106</v>
      </c>
      <c r="D340" s="123" t="s">
        <v>920</v>
      </c>
      <c r="E340" s="123" t="s">
        <v>894</v>
      </c>
      <c r="F340" s="123" t="s">
        <v>300</v>
      </c>
      <c r="G340" s="122" t="s">
        <v>273</v>
      </c>
      <c r="H340" s="122" t="s">
        <v>192</v>
      </c>
      <c r="I340" s="124" t="s">
        <v>246</v>
      </c>
      <c r="J340" s="124" t="s">
        <v>214</v>
      </c>
      <c r="K340" s="123" t="s">
        <v>326</v>
      </c>
      <c r="L340" s="146">
        <v>0.2</v>
      </c>
      <c r="M340" s="146">
        <v>0.2</v>
      </c>
      <c r="N340" s="145" t="s">
        <v>368</v>
      </c>
      <c r="O340" s="145" t="s">
        <v>369</v>
      </c>
      <c r="P340" s="123" t="s">
        <v>207</v>
      </c>
      <c r="Q340" s="146"/>
      <c r="R340" s="147"/>
      <c r="S340" s="146"/>
      <c r="T340" s="147"/>
      <c r="U340" s="127"/>
      <c r="V340" s="147"/>
      <c r="W340" s="126" t="s">
        <v>11</v>
      </c>
      <c r="X340" s="143" t="s">
        <v>11</v>
      </c>
      <c r="Y340" s="126" t="s">
        <v>61</v>
      </c>
      <c r="Z340" s="126" t="s">
        <v>61</v>
      </c>
      <c r="AA340" s="126" t="s">
        <v>61</v>
      </c>
      <c r="AB340" s="127" t="s">
        <v>61</v>
      </c>
      <c r="AC340" s="126" t="s">
        <v>61</v>
      </c>
      <c r="AD340" s="121" t="s">
        <v>61</v>
      </c>
      <c r="AE340" s="126" t="s">
        <v>61</v>
      </c>
      <c r="AF340" s="127" t="s">
        <v>61</v>
      </c>
      <c r="AG340" s="126" t="s">
        <v>61</v>
      </c>
      <c r="AH340" s="127" t="s">
        <v>61</v>
      </c>
      <c r="AI340" s="126" t="s">
        <v>61</v>
      </c>
      <c r="AJ340" s="121" t="s">
        <v>61</v>
      </c>
      <c r="AK340" s="126" t="s">
        <v>61</v>
      </c>
      <c r="AL340" s="121" t="s">
        <v>61</v>
      </c>
      <c r="AM340" s="127" t="s">
        <v>61</v>
      </c>
      <c r="AN340" s="121" t="s">
        <v>61</v>
      </c>
      <c r="AO340" s="127" t="s">
        <v>61</v>
      </c>
      <c r="AP340" s="121" t="s">
        <v>61</v>
      </c>
      <c r="AQ340" s="127" t="s">
        <v>61</v>
      </c>
      <c r="AR340" s="121" t="s">
        <v>61</v>
      </c>
      <c r="AS340" s="127" t="s">
        <v>61</v>
      </c>
      <c r="AT340" s="121" t="s">
        <v>61</v>
      </c>
      <c r="AU340" s="127" t="s">
        <v>61</v>
      </c>
      <c r="AV340" s="121" t="s">
        <v>61</v>
      </c>
      <c r="AW340" s="146">
        <v>0.79</v>
      </c>
      <c r="AX340" s="121" t="s">
        <v>251</v>
      </c>
      <c r="AY340" s="126">
        <v>0.85</v>
      </c>
      <c r="AZ340" s="121" t="s">
        <v>251</v>
      </c>
      <c r="BA340" s="126">
        <v>0.85</v>
      </c>
      <c r="BB340" s="121" t="s">
        <v>251</v>
      </c>
      <c r="BC340" s="126">
        <v>0.59</v>
      </c>
      <c r="BD340" s="121" t="s">
        <v>251</v>
      </c>
      <c r="BE340" s="146">
        <v>0.75</v>
      </c>
      <c r="BF340" s="121" t="s">
        <v>251</v>
      </c>
      <c r="BG340" s="245">
        <v>0.73</v>
      </c>
      <c r="BH340" s="121" t="s">
        <v>251</v>
      </c>
      <c r="BI340" s="121" t="s">
        <v>6</v>
      </c>
      <c r="BJ340" s="121" t="s">
        <v>61</v>
      </c>
      <c r="BK340" s="245">
        <v>0.64</v>
      </c>
      <c r="BL340" s="174" t="str">
        <f>IF(BK340="NA","NA",IF(BK340="Not Reported","Not Reported",IF(BK340&gt;$L$340,"Not Met","Met")))</f>
        <v>Not Met</v>
      </c>
      <c r="BM340" s="281">
        <v>0.66836734693877553</v>
      </c>
      <c r="BN340" s="162" t="str">
        <f>IF(BM340="NA","NA",IF(BM340="Not Reported","Not Reported",IF(BM340&gt;$L$340,"Not Met","Met")))</f>
        <v>Not Met</v>
      </c>
      <c r="BO340" s="315">
        <v>0.71</v>
      </c>
      <c r="BP340" s="162" t="s">
        <v>251</v>
      </c>
      <c r="BQ340" s="315">
        <v>0.71</v>
      </c>
      <c r="BR340" s="162" t="s">
        <v>251</v>
      </c>
      <c r="BS340" s="315">
        <v>0.72</v>
      </c>
      <c r="BT340" s="162" t="str">
        <f>IF(BS340="NA","NA",IF(BS340="Not Reported","Not Reported",IF(BS340&gt;$L$340,"Not Met","Met")))</f>
        <v>Not Met</v>
      </c>
      <c r="BU340" s="315">
        <v>0.72</v>
      </c>
      <c r="BV340" s="162" t="str">
        <f>IF(BU340="NA","NA",IF(BU340="Not Reported","Not Reported",IF(BU340&gt;$L$340,"Not Met","Met")))</f>
        <v>Not Met</v>
      </c>
    </row>
    <row r="341" spans="1:74" x14ac:dyDescent="0.25">
      <c r="A341" s="121">
        <v>340</v>
      </c>
      <c r="B341" s="122" t="s">
        <v>48</v>
      </c>
      <c r="C341" s="122" t="s">
        <v>106</v>
      </c>
      <c r="D341" s="123" t="s">
        <v>920</v>
      </c>
      <c r="E341" s="123" t="s">
        <v>894</v>
      </c>
      <c r="F341" s="123" t="s">
        <v>300</v>
      </c>
      <c r="G341" s="122" t="s">
        <v>273</v>
      </c>
      <c r="H341" s="122" t="s">
        <v>192</v>
      </c>
      <c r="I341" s="124" t="s">
        <v>284</v>
      </c>
      <c r="J341" s="124" t="s">
        <v>285</v>
      </c>
      <c r="K341" s="123" t="s">
        <v>284</v>
      </c>
      <c r="L341" s="146">
        <v>0.6</v>
      </c>
      <c r="M341" s="146">
        <v>0.6</v>
      </c>
      <c r="N341" s="145" t="s">
        <v>287</v>
      </c>
      <c r="O341" s="145" t="s">
        <v>288</v>
      </c>
      <c r="P341" s="123" t="s">
        <v>207</v>
      </c>
      <c r="Q341" s="146"/>
      <c r="R341" s="147"/>
      <c r="S341" s="146"/>
      <c r="T341" s="147"/>
      <c r="U341" s="127"/>
      <c r="V341" s="147"/>
      <c r="W341" s="126" t="s">
        <v>11</v>
      </c>
      <c r="X341" s="143" t="s">
        <v>11</v>
      </c>
      <c r="Y341" s="126" t="s">
        <v>61</v>
      </c>
      <c r="Z341" s="126" t="s">
        <v>61</v>
      </c>
      <c r="AA341" s="126" t="s">
        <v>61</v>
      </c>
      <c r="AB341" s="127" t="s">
        <v>61</v>
      </c>
      <c r="AC341" s="126" t="s">
        <v>61</v>
      </c>
      <c r="AD341" s="121" t="s">
        <v>61</v>
      </c>
      <c r="AE341" s="126" t="s">
        <v>61</v>
      </c>
      <c r="AF341" s="127" t="s">
        <v>61</v>
      </c>
      <c r="AG341" s="126" t="s">
        <v>61</v>
      </c>
      <c r="AH341" s="127" t="s">
        <v>61</v>
      </c>
      <c r="AI341" s="126" t="s">
        <v>61</v>
      </c>
      <c r="AJ341" s="121" t="s">
        <v>61</v>
      </c>
      <c r="AK341" s="126" t="s">
        <v>61</v>
      </c>
      <c r="AL341" s="121" t="s">
        <v>61</v>
      </c>
      <c r="AM341" s="127" t="s">
        <v>61</v>
      </c>
      <c r="AN341" s="121" t="s">
        <v>61</v>
      </c>
      <c r="AO341" s="127" t="s">
        <v>61</v>
      </c>
      <c r="AP341" s="121" t="s">
        <v>61</v>
      </c>
      <c r="AQ341" s="127" t="s">
        <v>61</v>
      </c>
      <c r="AR341" s="121" t="s">
        <v>61</v>
      </c>
      <c r="AS341" s="127" t="s">
        <v>61</v>
      </c>
      <c r="AT341" s="121" t="s">
        <v>61</v>
      </c>
      <c r="AU341" s="127" t="s">
        <v>61</v>
      </c>
      <c r="AV341" s="121" t="s">
        <v>61</v>
      </c>
      <c r="AW341" s="146">
        <v>0.67</v>
      </c>
      <c r="AX341" s="121" t="s">
        <v>198</v>
      </c>
      <c r="AY341" s="126">
        <v>0.73</v>
      </c>
      <c r="AZ341" s="121" t="s">
        <v>198</v>
      </c>
      <c r="BA341" s="126">
        <v>0.61</v>
      </c>
      <c r="BB341" s="121" t="s">
        <v>198</v>
      </c>
      <c r="BC341" s="126">
        <v>0.75</v>
      </c>
      <c r="BD341" s="121" t="s">
        <v>198</v>
      </c>
      <c r="BE341" s="146">
        <v>0.66</v>
      </c>
      <c r="BF341" s="121" t="s">
        <v>198</v>
      </c>
      <c r="BG341" s="245">
        <v>0.73</v>
      </c>
      <c r="BH341" s="121" t="s">
        <v>198</v>
      </c>
      <c r="BI341" s="121" t="s">
        <v>6</v>
      </c>
      <c r="BJ341" s="121" t="s">
        <v>61</v>
      </c>
      <c r="BK341" s="126">
        <v>0.6</v>
      </c>
      <c r="BL341" s="128" t="str">
        <f>IF(BK341="NA","NA",IF(BK341="Not Reported","Not Reported",IF(BK341&lt;$L$341,"Not Met","Met")))</f>
        <v>Met</v>
      </c>
      <c r="BM341" s="281">
        <v>0.66</v>
      </c>
      <c r="BN341" s="128" t="str">
        <f>IF(BM341="NA","NA",IF(BM341="Not Reported","Not Reported",IF(BM341&lt;$L$341,"Not Met","Met")))</f>
        <v>Met</v>
      </c>
      <c r="BO341" s="315">
        <v>0.56999999999999995</v>
      </c>
      <c r="BP341" s="128" t="s">
        <v>251</v>
      </c>
      <c r="BQ341" s="340">
        <v>0.6</v>
      </c>
      <c r="BR341" s="128" t="s">
        <v>198</v>
      </c>
      <c r="BS341" s="351">
        <v>0.63</v>
      </c>
      <c r="BT341" s="128" t="str">
        <f>IF(BS341="NA","NA",IF(BS341="Not Reported","Not Reported",IF(BS341&lt;$L$341,"Not Met","Met")))</f>
        <v>Met</v>
      </c>
      <c r="BU341" s="340">
        <v>0.61</v>
      </c>
      <c r="BV341" s="128" t="str">
        <f>IF(BU341="NA","NA",IF(BU341="Not Reported","Not Reported",IF(BU341&lt;$L$341,"Not Met","Met")))</f>
        <v>Met</v>
      </c>
    </row>
    <row r="342" spans="1:74" x14ac:dyDescent="0.25">
      <c r="A342" s="121">
        <v>341</v>
      </c>
      <c r="B342" s="122" t="s">
        <v>48</v>
      </c>
      <c r="C342" s="122" t="s">
        <v>106</v>
      </c>
      <c r="D342" s="123" t="s">
        <v>920</v>
      </c>
      <c r="E342" s="123" t="s">
        <v>894</v>
      </c>
      <c r="F342" s="123" t="s">
        <v>300</v>
      </c>
      <c r="G342" s="122" t="s">
        <v>273</v>
      </c>
      <c r="H342" s="122" t="s">
        <v>192</v>
      </c>
      <c r="I342" s="124" t="s">
        <v>289</v>
      </c>
      <c r="J342" s="124" t="s">
        <v>285</v>
      </c>
      <c r="K342" s="123" t="s">
        <v>289</v>
      </c>
      <c r="L342" s="152">
        <v>4.8611111111111112E-2</v>
      </c>
      <c r="M342" s="148" t="s">
        <v>779</v>
      </c>
      <c r="N342" s="145" t="s">
        <v>290</v>
      </c>
      <c r="O342" s="145" t="s">
        <v>291</v>
      </c>
      <c r="P342" s="123" t="s">
        <v>207</v>
      </c>
      <c r="Q342" s="146"/>
      <c r="R342" s="147"/>
      <c r="S342" s="146"/>
      <c r="T342" s="147"/>
      <c r="U342" s="127"/>
      <c r="V342" s="147"/>
      <c r="W342" s="126" t="s">
        <v>11</v>
      </c>
      <c r="X342" s="143" t="s">
        <v>11</v>
      </c>
      <c r="Y342" s="126" t="s">
        <v>61</v>
      </c>
      <c r="Z342" s="126" t="s">
        <v>61</v>
      </c>
      <c r="AA342" s="126" t="s">
        <v>61</v>
      </c>
      <c r="AB342" s="127" t="s">
        <v>61</v>
      </c>
      <c r="AC342" s="126" t="s">
        <v>61</v>
      </c>
      <c r="AD342" s="121" t="s">
        <v>61</v>
      </c>
      <c r="AE342" s="126" t="s">
        <v>61</v>
      </c>
      <c r="AF342" s="127" t="s">
        <v>61</v>
      </c>
      <c r="AG342" s="126" t="s">
        <v>61</v>
      </c>
      <c r="AH342" s="127" t="s">
        <v>61</v>
      </c>
      <c r="AI342" s="126" t="s">
        <v>61</v>
      </c>
      <c r="AJ342" s="121" t="s">
        <v>61</v>
      </c>
      <c r="AK342" s="126" t="s">
        <v>61</v>
      </c>
      <c r="AL342" s="121" t="s">
        <v>61</v>
      </c>
      <c r="AM342" s="127" t="s">
        <v>61</v>
      </c>
      <c r="AN342" s="121" t="s">
        <v>61</v>
      </c>
      <c r="AO342" s="127" t="s">
        <v>61</v>
      </c>
      <c r="AP342" s="121" t="s">
        <v>61</v>
      </c>
      <c r="AQ342" s="127" t="s">
        <v>61</v>
      </c>
      <c r="AR342" s="121" t="s">
        <v>61</v>
      </c>
      <c r="AS342" s="127" t="s">
        <v>61</v>
      </c>
      <c r="AT342" s="121" t="s">
        <v>61</v>
      </c>
      <c r="AU342" s="127" t="s">
        <v>61</v>
      </c>
      <c r="AV342" s="121" t="s">
        <v>61</v>
      </c>
      <c r="AW342" s="152">
        <v>4.583333333333333E-2</v>
      </c>
      <c r="AX342" s="121" t="s">
        <v>198</v>
      </c>
      <c r="AY342" s="152">
        <v>4.6527777777777779E-2</v>
      </c>
      <c r="AZ342" s="121" t="s">
        <v>198</v>
      </c>
      <c r="BA342" s="152">
        <v>4.583333333333333E-2</v>
      </c>
      <c r="BB342" s="121" t="s">
        <v>198</v>
      </c>
      <c r="BC342" s="152">
        <v>4.583333333333333E-2</v>
      </c>
      <c r="BD342" s="121" t="s">
        <v>198</v>
      </c>
      <c r="BE342" s="152">
        <v>5.2083333333333336E-2</v>
      </c>
      <c r="BF342" s="121" t="s">
        <v>251</v>
      </c>
      <c r="BG342" s="246">
        <v>5.6250000000000001E-2</v>
      </c>
      <c r="BH342" s="121" t="s">
        <v>251</v>
      </c>
      <c r="BI342" s="121" t="s">
        <v>6</v>
      </c>
      <c r="BJ342" s="121" t="s">
        <v>61</v>
      </c>
      <c r="BK342" s="148" t="s">
        <v>779</v>
      </c>
      <c r="BL342" s="128" t="str">
        <f>IF(BK342="NA","NA",IF(BK342="Not Reported","Not Reported",IF(BK342&gt;$L$342,"Not Met","Met")))</f>
        <v>Not Met</v>
      </c>
      <c r="BM342" s="282">
        <v>5.1388888888888887E-2</v>
      </c>
      <c r="BN342" s="128" t="str">
        <f>IF(BM342="NA","NA",IF(BM342="Not Reported","Not Reported",IF(BM342&gt;$L$342,"Not Met","Met")))</f>
        <v>Not Met</v>
      </c>
      <c r="BO342" s="339">
        <v>5.5555555555555552E-2</v>
      </c>
      <c r="BP342" s="128" t="s">
        <v>251</v>
      </c>
      <c r="BQ342" s="339">
        <v>4.8611111111111112E-2</v>
      </c>
      <c r="BR342" s="128" t="s">
        <v>198</v>
      </c>
      <c r="BS342" s="339">
        <v>5.1388888888888887E-2</v>
      </c>
      <c r="BT342" s="128" t="str">
        <f>IF(BS342="NA","NA",IF(BS342="Not Reported","Not Reported",IF(BS342&gt;$L$342,"Not Met","Met")))</f>
        <v>Not Met</v>
      </c>
      <c r="BU342" s="353" t="s">
        <v>779</v>
      </c>
      <c r="BV342" s="128" t="str">
        <f>IF(BU342="NA","NA",IF(BU342="Not Reported","Not Reported",IF(BU342&gt;$L$342,"Not Met","Met")))</f>
        <v>Not Met</v>
      </c>
    </row>
    <row r="343" spans="1:74" x14ac:dyDescent="0.25">
      <c r="A343" s="121">
        <v>342</v>
      </c>
      <c r="B343" s="122" t="s">
        <v>48</v>
      </c>
      <c r="C343" s="122" t="s">
        <v>106</v>
      </c>
      <c r="D343" s="123" t="s">
        <v>920</v>
      </c>
      <c r="E343" s="123" t="s">
        <v>894</v>
      </c>
      <c r="F343" s="123" t="s">
        <v>300</v>
      </c>
      <c r="G343" s="122" t="s">
        <v>273</v>
      </c>
      <c r="H343" s="122" t="s">
        <v>192</v>
      </c>
      <c r="I343" s="124" t="s">
        <v>292</v>
      </c>
      <c r="J343" s="124" t="s">
        <v>293</v>
      </c>
      <c r="K343" s="123" t="s">
        <v>292</v>
      </c>
      <c r="L343" s="146">
        <v>0.2</v>
      </c>
      <c r="M343" s="146">
        <v>0.2</v>
      </c>
      <c r="N343" s="218" t="s">
        <v>752</v>
      </c>
      <c r="O343" s="218" t="s">
        <v>611</v>
      </c>
      <c r="P343" s="123" t="s">
        <v>207</v>
      </c>
      <c r="Q343" s="146"/>
      <c r="R343" s="147"/>
      <c r="S343" s="146"/>
      <c r="T343" s="147"/>
      <c r="U343" s="127"/>
      <c r="V343" s="147"/>
      <c r="W343" s="126" t="s">
        <v>11</v>
      </c>
      <c r="X343" s="143" t="s">
        <v>11</v>
      </c>
      <c r="Y343" s="126" t="s">
        <v>61</v>
      </c>
      <c r="Z343" s="126" t="s">
        <v>61</v>
      </c>
      <c r="AA343" s="126" t="s">
        <v>61</v>
      </c>
      <c r="AB343" s="127" t="s">
        <v>61</v>
      </c>
      <c r="AC343" s="126" t="s">
        <v>61</v>
      </c>
      <c r="AD343" s="121" t="s">
        <v>61</v>
      </c>
      <c r="AE343" s="126" t="s">
        <v>61</v>
      </c>
      <c r="AF343" s="127" t="s">
        <v>61</v>
      </c>
      <c r="AG343" s="126" t="s">
        <v>61</v>
      </c>
      <c r="AH343" s="127" t="s">
        <v>61</v>
      </c>
      <c r="AI343" s="126" t="s">
        <v>61</v>
      </c>
      <c r="AJ343" s="121" t="s">
        <v>61</v>
      </c>
      <c r="AK343" s="126" t="s">
        <v>61</v>
      </c>
      <c r="AL343" s="121" t="s">
        <v>61</v>
      </c>
      <c r="AM343" s="127" t="s">
        <v>61</v>
      </c>
      <c r="AN343" s="121" t="s">
        <v>61</v>
      </c>
      <c r="AO343" s="127" t="s">
        <v>61</v>
      </c>
      <c r="AP343" s="121" t="s">
        <v>61</v>
      </c>
      <c r="AQ343" s="127" t="s">
        <v>61</v>
      </c>
      <c r="AR343" s="121" t="s">
        <v>61</v>
      </c>
      <c r="AS343" s="127" t="s">
        <v>61</v>
      </c>
      <c r="AT343" s="121" t="s">
        <v>61</v>
      </c>
      <c r="AU343" s="127" t="s">
        <v>61</v>
      </c>
      <c r="AV343" s="121" t="s">
        <v>61</v>
      </c>
      <c r="AW343" s="126">
        <v>0.16</v>
      </c>
      <c r="AX343" s="121" t="s">
        <v>198</v>
      </c>
      <c r="AY343" s="126">
        <v>0.08</v>
      </c>
      <c r="AZ343" s="121" t="s">
        <v>198</v>
      </c>
      <c r="BA343" s="126">
        <v>0.17</v>
      </c>
      <c r="BB343" s="121" t="s">
        <v>198</v>
      </c>
      <c r="BC343" s="126">
        <v>0.03</v>
      </c>
      <c r="BD343" s="121" t="s">
        <v>198</v>
      </c>
      <c r="BE343" s="126">
        <v>0.05</v>
      </c>
      <c r="BF343" s="121" t="s">
        <v>198</v>
      </c>
      <c r="BG343" s="126">
        <v>0.04</v>
      </c>
      <c r="BH343" s="121" t="s">
        <v>198</v>
      </c>
      <c r="BI343" s="121" t="s">
        <v>6</v>
      </c>
      <c r="BJ343" s="121" t="s">
        <v>61</v>
      </c>
      <c r="BK343" s="126">
        <v>0.05</v>
      </c>
      <c r="BL343" s="128" t="str">
        <f>IF(BK343="NA","NA",IF(BK343="Not Reported","Not Reported",IF(BK343&gt;$L$343,"Not Met","Met")))</f>
        <v>Met</v>
      </c>
      <c r="BM343" s="262">
        <v>0.04</v>
      </c>
      <c r="BN343" s="128" t="str">
        <f>IF(BM343="NA","NA",IF(BM343="Not Reported","Not Reported",IF(BM343&gt;$L$343,"Not Met","Met")))</f>
        <v>Met</v>
      </c>
      <c r="BO343" s="315">
        <v>0.02</v>
      </c>
      <c r="BP343" s="128" t="s">
        <v>198</v>
      </c>
      <c r="BQ343" s="315">
        <v>0.08</v>
      </c>
      <c r="BR343" s="128" t="s">
        <v>198</v>
      </c>
      <c r="BS343" s="392">
        <v>0.08</v>
      </c>
      <c r="BT343" s="128" t="str">
        <f>IF(BS343="NA","NA",IF(BS343="Not Reported","Not Reported",IF(BS343&gt;$L$343,"Not Met","Met")))</f>
        <v>Met</v>
      </c>
      <c r="BU343" s="321">
        <v>0.18</v>
      </c>
      <c r="BV343" s="128" t="str">
        <f>IF(BU343="NA","NA",IF(BU343="Not Reported","Not Reported",IF(BU343&gt;$L$343,"Not Met","Met")))</f>
        <v>Met</v>
      </c>
    </row>
    <row r="344" spans="1:74" x14ac:dyDescent="0.25">
      <c r="A344" s="121">
        <v>343</v>
      </c>
      <c r="B344" s="122" t="s">
        <v>48</v>
      </c>
      <c r="C344" s="122" t="s">
        <v>106</v>
      </c>
      <c r="D344" s="123" t="s">
        <v>920</v>
      </c>
      <c r="E344" s="123" t="s">
        <v>894</v>
      </c>
      <c r="F344" s="123" t="s">
        <v>300</v>
      </c>
      <c r="G344" s="122" t="s">
        <v>273</v>
      </c>
      <c r="H344" s="122" t="s">
        <v>192</v>
      </c>
      <c r="I344" s="124" t="s">
        <v>296</v>
      </c>
      <c r="J344" s="124" t="s">
        <v>296</v>
      </c>
      <c r="K344" s="123" t="s">
        <v>296</v>
      </c>
      <c r="L344" s="146">
        <v>0.85</v>
      </c>
      <c r="M344" s="146">
        <v>0.85</v>
      </c>
      <c r="N344" s="145" t="s">
        <v>297</v>
      </c>
      <c r="O344" s="145" t="s">
        <v>298</v>
      </c>
      <c r="P344" s="123" t="s">
        <v>207</v>
      </c>
      <c r="Q344" s="146"/>
      <c r="R344" s="147"/>
      <c r="S344" s="146"/>
      <c r="T344" s="147"/>
      <c r="U344" s="127"/>
      <c r="V344" s="147"/>
      <c r="W344" s="126" t="s">
        <v>11</v>
      </c>
      <c r="X344" s="143" t="s">
        <v>11</v>
      </c>
      <c r="Y344" s="126" t="s">
        <v>61</v>
      </c>
      <c r="Z344" s="126" t="s">
        <v>61</v>
      </c>
      <c r="AA344" s="126" t="s">
        <v>61</v>
      </c>
      <c r="AB344" s="127" t="s">
        <v>61</v>
      </c>
      <c r="AC344" s="126" t="s">
        <v>61</v>
      </c>
      <c r="AD344" s="121" t="s">
        <v>61</v>
      </c>
      <c r="AE344" s="126" t="s">
        <v>61</v>
      </c>
      <c r="AF344" s="127" t="s">
        <v>61</v>
      </c>
      <c r="AG344" s="126" t="s">
        <v>61</v>
      </c>
      <c r="AH344" s="127" t="s">
        <v>61</v>
      </c>
      <c r="AI344" s="126" t="s">
        <v>61</v>
      </c>
      <c r="AJ344" s="121" t="s">
        <v>61</v>
      </c>
      <c r="AK344" s="126" t="s">
        <v>61</v>
      </c>
      <c r="AL344" s="121" t="s">
        <v>61</v>
      </c>
      <c r="AM344" s="127" t="s">
        <v>61</v>
      </c>
      <c r="AN344" s="121" t="s">
        <v>61</v>
      </c>
      <c r="AO344" s="127" t="s">
        <v>61</v>
      </c>
      <c r="AP344" s="121" t="s">
        <v>61</v>
      </c>
      <c r="AQ344" s="127" t="s">
        <v>61</v>
      </c>
      <c r="AR344" s="121" t="s">
        <v>61</v>
      </c>
      <c r="AS344" s="127" t="s">
        <v>61</v>
      </c>
      <c r="AT344" s="121" t="s">
        <v>61</v>
      </c>
      <c r="AU344" s="127" t="s">
        <v>61</v>
      </c>
      <c r="AV344" s="121" t="s">
        <v>61</v>
      </c>
      <c r="AW344" s="121" t="s">
        <v>286</v>
      </c>
      <c r="AX344" s="121" t="s">
        <v>286</v>
      </c>
      <c r="AY344" s="121" t="s">
        <v>6</v>
      </c>
      <c r="AZ344" s="121" t="s">
        <v>61</v>
      </c>
      <c r="BA344" s="121" t="s">
        <v>6</v>
      </c>
      <c r="BB344" s="121" t="s">
        <v>61</v>
      </c>
      <c r="BC344" s="121" t="s">
        <v>61</v>
      </c>
      <c r="BD344" s="121" t="s">
        <v>6</v>
      </c>
      <c r="BE344" s="126">
        <v>0.22</v>
      </c>
      <c r="BF344" s="121" t="s">
        <v>251</v>
      </c>
      <c r="BG344" s="126">
        <v>0.72</v>
      </c>
      <c r="BH344" s="121" t="s">
        <v>251</v>
      </c>
      <c r="BI344" s="121" t="s">
        <v>6</v>
      </c>
      <c r="BJ344" s="121" t="s">
        <v>61</v>
      </c>
      <c r="BK344" s="121" t="s">
        <v>323</v>
      </c>
      <c r="BL344" s="128" t="str">
        <f>IF(BK344="NA","NA",IF(BK344="Not Reported","Not Reported",IF(BK344&lt;$L$344,"Not Met","Met")))</f>
        <v>Met</v>
      </c>
      <c r="BM344" s="258" t="s">
        <v>323</v>
      </c>
      <c r="BN344" s="128" t="str">
        <f>IF(BM344="NA","NA",IF(BM344="Not Reported","Not Reported",IF(BM344&lt;$L$344,"Not Met","Met")))</f>
        <v>Met</v>
      </c>
      <c r="BO344" s="13" t="s">
        <v>11</v>
      </c>
      <c r="BP344" s="128" t="s">
        <v>11</v>
      </c>
      <c r="BQ344" s="315">
        <v>0.66</v>
      </c>
      <c r="BR344" s="128" t="s">
        <v>251</v>
      </c>
      <c r="BS344" s="315">
        <v>0.87</v>
      </c>
      <c r="BT344" s="128" t="str">
        <f>IF(BS344="NA","NA",IF(BS344="Not Reported","Not Reported",IF(BS344&lt;$L$344,"Not Met","Met")))</f>
        <v>Met</v>
      </c>
      <c r="BU344" s="315">
        <v>0.67</v>
      </c>
      <c r="BV344" s="128" t="str">
        <f>IF(BU344="NA","NA",IF(BU344="Not Reported","Not Reported",IF(BU344&lt;$L$344,"Not Met","Met")))</f>
        <v>Not Met</v>
      </c>
    </row>
    <row r="345" spans="1:74" x14ac:dyDescent="0.25">
      <c r="A345" s="121">
        <v>344</v>
      </c>
      <c r="B345" s="122" t="s">
        <v>48</v>
      </c>
      <c r="C345" s="122" t="s">
        <v>106</v>
      </c>
      <c r="D345" s="123" t="s">
        <v>920</v>
      </c>
      <c r="E345" s="123" t="s">
        <v>894</v>
      </c>
      <c r="F345" s="123" t="s">
        <v>300</v>
      </c>
      <c r="G345" s="122" t="s">
        <v>273</v>
      </c>
      <c r="H345" s="122" t="s">
        <v>192</v>
      </c>
      <c r="I345" s="124"/>
      <c r="J345" s="124"/>
      <c r="K345" s="123" t="s">
        <v>780</v>
      </c>
      <c r="L345" s="146">
        <v>0.2</v>
      </c>
      <c r="M345" s="146">
        <v>0.2</v>
      </c>
      <c r="N345" s="145"/>
      <c r="O345" s="145"/>
      <c r="P345" s="123"/>
      <c r="Q345" s="146"/>
      <c r="R345" s="147"/>
      <c r="S345" s="146"/>
      <c r="T345" s="147"/>
      <c r="U345" s="127"/>
      <c r="V345" s="147"/>
      <c r="W345" s="126"/>
      <c r="X345" s="143"/>
      <c r="Y345" s="126"/>
      <c r="Z345" s="126"/>
      <c r="AA345" s="126"/>
      <c r="AB345" s="127"/>
      <c r="AC345" s="126"/>
      <c r="AD345" s="121"/>
      <c r="AE345" s="126"/>
      <c r="AF345" s="127"/>
      <c r="AG345" s="126"/>
      <c r="AH345" s="127"/>
      <c r="AI345" s="126"/>
      <c r="AJ345" s="121"/>
      <c r="AK345" s="126"/>
      <c r="AL345" s="121"/>
      <c r="AM345" s="127"/>
      <c r="AN345" s="121"/>
      <c r="AO345" s="127"/>
      <c r="AP345" s="121"/>
      <c r="AQ345" s="127"/>
      <c r="AR345" s="121"/>
      <c r="AS345" s="127"/>
      <c r="AT345" s="121"/>
      <c r="AU345" s="127" t="s">
        <v>61</v>
      </c>
      <c r="AV345" s="121" t="s">
        <v>61</v>
      </c>
      <c r="AW345" s="146">
        <v>7.0000000000000007E-2</v>
      </c>
      <c r="AX345" s="121" t="s">
        <v>251</v>
      </c>
      <c r="AY345" s="126">
        <v>0.09</v>
      </c>
      <c r="AZ345" s="121" t="s">
        <v>251</v>
      </c>
      <c r="BA345" s="126">
        <v>0.08</v>
      </c>
      <c r="BB345" s="121" t="s">
        <v>251</v>
      </c>
      <c r="BC345" s="126">
        <v>0.1</v>
      </c>
      <c r="BD345" s="121" t="s">
        <v>251</v>
      </c>
      <c r="BE345" s="126">
        <v>0.11</v>
      </c>
      <c r="BF345" s="121" t="s">
        <v>251</v>
      </c>
      <c r="BG345" s="126">
        <v>0.09</v>
      </c>
      <c r="BH345" s="121" t="s">
        <v>251</v>
      </c>
      <c r="BI345" s="121" t="s">
        <v>6</v>
      </c>
      <c r="BJ345" s="121" t="s">
        <v>61</v>
      </c>
      <c r="BK345" s="126">
        <v>0.11</v>
      </c>
      <c r="BL345" s="121" t="str">
        <f>IF(BK345="NA","NA",IF(BK345="Not Reported","Not Reported",IF(BK345&lt;$L$345,"Not Met","Met")))</f>
        <v>Not Met</v>
      </c>
      <c r="BM345" s="262">
        <v>0.06</v>
      </c>
      <c r="BN345" s="121" t="str">
        <f>IF(BM345="NA","NA",IF(BM345="Not Reported","Not Reported",IF(BM345&lt;$L$345,"Not Met","Met")))</f>
        <v>Not Met</v>
      </c>
      <c r="BO345" s="26" t="s">
        <v>11</v>
      </c>
      <c r="BP345" s="121" t="s">
        <v>11</v>
      </c>
      <c r="BQ345" s="26" t="s">
        <v>11</v>
      </c>
      <c r="BR345" s="121" t="s">
        <v>11</v>
      </c>
      <c r="BS345" s="13" t="s">
        <v>11</v>
      </c>
      <c r="BT345" s="121" t="str">
        <f>IF(BS345="NA","NA",IF(BS345="Not Reported","Not Reported",IF(BS345&lt;$L$345,"Not Met","Met")))</f>
        <v>NA</v>
      </c>
      <c r="BU345" s="315" t="s">
        <v>11</v>
      </c>
      <c r="BV345" s="121" t="str">
        <f>IF(BU345="NA","NA",IF(BU345="Not Reported","Not Reported",IF(BU345&lt;$L$345,"Not Met","Met")))</f>
        <v>NA</v>
      </c>
    </row>
    <row r="346" spans="1:74" x14ac:dyDescent="0.25">
      <c r="A346" s="121">
        <v>345</v>
      </c>
      <c r="B346" s="122" t="s">
        <v>49</v>
      </c>
      <c r="C346" s="122" t="s">
        <v>903</v>
      </c>
      <c r="D346" s="123" t="s">
        <v>113</v>
      </c>
      <c r="E346" s="123" t="s">
        <v>899</v>
      </c>
      <c r="F346" s="123" t="s">
        <v>300</v>
      </c>
      <c r="G346" s="122" t="s">
        <v>273</v>
      </c>
      <c r="H346" s="122" t="s">
        <v>192</v>
      </c>
      <c r="I346" s="124" t="s">
        <v>274</v>
      </c>
      <c r="J346" s="124" t="s">
        <v>214</v>
      </c>
      <c r="K346" s="123" t="s">
        <v>274</v>
      </c>
      <c r="L346" s="147">
        <v>90</v>
      </c>
      <c r="M346" s="146" t="s">
        <v>370</v>
      </c>
      <c r="N346" s="218" t="s">
        <v>276</v>
      </c>
      <c r="O346" s="145" t="s">
        <v>277</v>
      </c>
      <c r="P346" s="123" t="s">
        <v>207</v>
      </c>
      <c r="Q346" s="146"/>
      <c r="R346" s="147"/>
      <c r="S346" s="146"/>
      <c r="T346" s="147"/>
      <c r="U346" s="127"/>
      <c r="V346" s="147"/>
      <c r="W346" s="126" t="s">
        <v>11</v>
      </c>
      <c r="X346" s="143" t="s">
        <v>11</v>
      </c>
      <c r="Y346" s="126" t="s">
        <v>11</v>
      </c>
      <c r="Z346" s="126" t="s">
        <v>11</v>
      </c>
      <c r="AA346" s="126" t="s">
        <v>11</v>
      </c>
      <c r="AB346" s="128" t="s">
        <v>11</v>
      </c>
      <c r="AC346" s="126" t="s">
        <v>11</v>
      </c>
      <c r="AD346" s="126" t="s">
        <v>11</v>
      </c>
      <c r="AE346" s="126" t="s">
        <v>11</v>
      </c>
      <c r="AF346" s="126" t="s">
        <v>11</v>
      </c>
      <c r="AG346" s="126" t="s">
        <v>606</v>
      </c>
      <c r="AH346" s="121" t="s">
        <v>198</v>
      </c>
      <c r="AI346" s="121" t="s">
        <v>11</v>
      </c>
      <c r="AJ346" s="121" t="s">
        <v>11</v>
      </c>
      <c r="AK346" s="121" t="s">
        <v>61</v>
      </c>
      <c r="AL346" s="121" t="s">
        <v>61</v>
      </c>
      <c r="AM346" s="121" t="s">
        <v>61</v>
      </c>
      <c r="AN346" s="121" t="s">
        <v>61</v>
      </c>
      <c r="AO346" s="121" t="s">
        <v>11</v>
      </c>
      <c r="AP346" s="121" t="s">
        <v>11</v>
      </c>
      <c r="AQ346" s="121" t="s">
        <v>11</v>
      </c>
      <c r="AR346" s="121" t="s">
        <v>11</v>
      </c>
      <c r="AS346" s="121" t="s">
        <v>11</v>
      </c>
      <c r="AT346" s="121" t="s">
        <v>11</v>
      </c>
      <c r="AU346" s="121" t="s">
        <v>61</v>
      </c>
      <c r="AV346" s="121" t="s">
        <v>61</v>
      </c>
      <c r="AW346" s="121" t="s">
        <v>61</v>
      </c>
      <c r="AX346" s="121" t="s">
        <v>61</v>
      </c>
      <c r="AY346" s="121" t="s">
        <v>61</v>
      </c>
      <c r="AZ346" s="121" t="s">
        <v>61</v>
      </c>
      <c r="BA346" s="121" t="s">
        <v>61</v>
      </c>
      <c r="BB346" s="121" t="s">
        <v>61</v>
      </c>
      <c r="BC346" s="121" t="s">
        <v>61</v>
      </c>
      <c r="BD346" s="121" t="s">
        <v>6</v>
      </c>
      <c r="BE346" s="121" t="s">
        <v>61</v>
      </c>
      <c r="BF346" s="121" t="s">
        <v>6</v>
      </c>
      <c r="BG346" s="121" t="s">
        <v>61</v>
      </c>
      <c r="BH346" s="121" t="s">
        <v>61</v>
      </c>
      <c r="BI346" s="121" t="s">
        <v>61</v>
      </c>
      <c r="BJ346" s="121" t="s">
        <v>61</v>
      </c>
      <c r="BK346" s="121" t="s">
        <v>61</v>
      </c>
      <c r="BL346" s="121" t="str">
        <f>IF(BK346="NA","NA",IF(BK346="Not Reported","Not Reported",IF(BK346&gt;$L$346,"Not Met","Met")))</f>
        <v>Not Reported</v>
      </c>
      <c r="BM346" s="121" t="s">
        <v>61</v>
      </c>
      <c r="BN346" s="121" t="str">
        <f t="shared" ref="BN346:BQ346" si="6">IF(BM346="NA","NA",IF(BM346="Not Reported","Not Reported",IF(BM346&gt;$L$346,"Not Met","Met")))</f>
        <v>Not Reported</v>
      </c>
      <c r="BO346" s="121" t="str">
        <f t="shared" si="6"/>
        <v>Not Reported</v>
      </c>
      <c r="BP346" s="121" t="s">
        <v>61</v>
      </c>
      <c r="BQ346" s="121" t="str">
        <f t="shared" si="6"/>
        <v>Not Reported</v>
      </c>
      <c r="BR346" s="121" t="s">
        <v>61</v>
      </c>
      <c r="BS346" s="26" t="s">
        <v>61</v>
      </c>
      <c r="BT346" s="121" t="str">
        <f t="shared" ref="BT346:BV346" si="7">IF(BS346="NA","NA",IF(BS346="Not Reported","Not Reported",IF(BS346&gt;$L$346,"Not Met","Met")))</f>
        <v>Not Reported</v>
      </c>
      <c r="BU346" s="421" t="s">
        <v>61</v>
      </c>
      <c r="BV346" s="121" t="str">
        <f t="shared" si="7"/>
        <v>Not Reported</v>
      </c>
    </row>
    <row r="347" spans="1:74" x14ac:dyDescent="0.25">
      <c r="A347" s="121">
        <v>346</v>
      </c>
      <c r="B347" s="122" t="s">
        <v>49</v>
      </c>
      <c r="C347" s="122" t="s">
        <v>903</v>
      </c>
      <c r="D347" s="123" t="s">
        <v>113</v>
      </c>
      <c r="E347" s="123" t="s">
        <v>899</v>
      </c>
      <c r="F347" s="123" t="s">
        <v>300</v>
      </c>
      <c r="G347" s="122" t="s">
        <v>273</v>
      </c>
      <c r="H347" s="122" t="s">
        <v>192</v>
      </c>
      <c r="I347" s="124" t="s">
        <v>213</v>
      </c>
      <c r="J347" s="124" t="s">
        <v>214</v>
      </c>
      <c r="K347" s="123" t="s">
        <v>213</v>
      </c>
      <c r="L347" s="147">
        <v>30</v>
      </c>
      <c r="M347" s="146" t="s">
        <v>356</v>
      </c>
      <c r="N347" s="145" t="s">
        <v>341</v>
      </c>
      <c r="O347" s="145" t="s">
        <v>342</v>
      </c>
      <c r="P347" s="123" t="s">
        <v>207</v>
      </c>
      <c r="Q347" s="146"/>
      <c r="R347" s="147"/>
      <c r="S347" s="146"/>
      <c r="T347" s="147"/>
      <c r="U347" s="127"/>
      <c r="V347" s="147"/>
      <c r="W347" s="126" t="s">
        <v>11</v>
      </c>
      <c r="X347" s="143" t="s">
        <v>11</v>
      </c>
      <c r="Y347" s="126" t="s">
        <v>11</v>
      </c>
      <c r="Z347" s="126" t="s">
        <v>11</v>
      </c>
      <c r="AA347" s="126" t="s">
        <v>11</v>
      </c>
      <c r="AB347" s="128" t="s">
        <v>11</v>
      </c>
      <c r="AC347" s="126" t="s">
        <v>11</v>
      </c>
      <c r="AD347" s="126" t="s">
        <v>11</v>
      </c>
      <c r="AE347" s="126" t="s">
        <v>11</v>
      </c>
      <c r="AF347" s="126" t="s">
        <v>11</v>
      </c>
      <c r="AG347" s="126" t="s">
        <v>718</v>
      </c>
      <c r="AH347" s="121" t="s">
        <v>198</v>
      </c>
      <c r="AI347" s="121" t="s">
        <v>11</v>
      </c>
      <c r="AJ347" s="121" t="s">
        <v>11</v>
      </c>
      <c r="AK347" s="121" t="s">
        <v>61</v>
      </c>
      <c r="AL347" s="121" t="s">
        <v>61</v>
      </c>
      <c r="AM347" s="121" t="s">
        <v>61</v>
      </c>
      <c r="AN347" s="121" t="s">
        <v>61</v>
      </c>
      <c r="AO347" s="121" t="s">
        <v>11</v>
      </c>
      <c r="AP347" s="121" t="s">
        <v>11</v>
      </c>
      <c r="AQ347" s="121" t="s">
        <v>11</v>
      </c>
      <c r="AR347" s="121" t="s">
        <v>11</v>
      </c>
      <c r="AS347" s="121" t="s">
        <v>11</v>
      </c>
      <c r="AT347" s="121" t="s">
        <v>11</v>
      </c>
      <c r="AU347" s="121" t="s">
        <v>61</v>
      </c>
      <c r="AV347" s="121" t="s">
        <v>61</v>
      </c>
      <c r="AW347" s="121" t="s">
        <v>61</v>
      </c>
      <c r="AX347" s="121" t="s">
        <v>61</v>
      </c>
      <c r="AY347" s="121" t="s">
        <v>61</v>
      </c>
      <c r="AZ347" s="121" t="s">
        <v>61</v>
      </c>
      <c r="BA347" s="121" t="s">
        <v>61</v>
      </c>
      <c r="BB347" s="121" t="s">
        <v>61</v>
      </c>
      <c r="BC347" s="121" t="s">
        <v>61</v>
      </c>
      <c r="BD347" s="121" t="s">
        <v>6</v>
      </c>
      <c r="BE347" s="121" t="s">
        <v>61</v>
      </c>
      <c r="BF347" s="121" t="s">
        <v>6</v>
      </c>
      <c r="BG347" s="121" t="s">
        <v>61</v>
      </c>
      <c r="BH347" s="121" t="s">
        <v>61</v>
      </c>
      <c r="BI347" s="121" t="s">
        <v>61</v>
      </c>
      <c r="BJ347" s="121" t="s">
        <v>61</v>
      </c>
      <c r="BK347" s="121" t="s">
        <v>61</v>
      </c>
      <c r="BL347" s="121" t="str">
        <f>IF(BK347="NA","NA",IF(BK347="Not Reported","Not Reported",IF(BK347&gt;$L$347,"Not Met","Met")))</f>
        <v>Not Reported</v>
      </c>
      <c r="BM347" s="121" t="s">
        <v>61</v>
      </c>
      <c r="BN347" s="121" t="str">
        <f>IF(BM347="NA","NA",IF(BM347="Not Reported","Not Reported",IF(BM347&gt;$L$347,"Not Met","Met")))</f>
        <v>Not Reported</v>
      </c>
      <c r="BO347" s="121" t="str">
        <f t="shared" ref="BO347:BO352" si="8">IF(BN347="NA","NA",IF(BN347="Not Reported","Not Reported",IF(BN347&gt;$L$346,"Not Met","Met")))</f>
        <v>Not Reported</v>
      </c>
      <c r="BP347" s="121" t="s">
        <v>61</v>
      </c>
      <c r="BQ347" s="121" t="str">
        <f t="shared" ref="BQ347:BQ352" si="9">IF(BP347="NA","NA",IF(BP347="Not Reported","Not Reported",IF(BP347&gt;$L$346,"Not Met","Met")))</f>
        <v>Not Reported</v>
      </c>
      <c r="BR347" s="121" t="s">
        <v>61</v>
      </c>
      <c r="BS347" s="26" t="s">
        <v>61</v>
      </c>
      <c r="BT347" s="121" t="str">
        <f>IF(BS347="NA","NA",IF(BS347="Not Reported","Not Reported",IF(BS347&gt;$L$347,"Not Met","Met")))</f>
        <v>Not Reported</v>
      </c>
      <c r="BU347" s="26" t="s">
        <v>61</v>
      </c>
      <c r="BV347" s="121" t="str">
        <f>IF(BU347="NA","NA",IF(BU347="Not Reported","Not Reported",IF(BU347&gt;$L$347,"Not Met","Met")))</f>
        <v>Not Reported</v>
      </c>
    </row>
    <row r="348" spans="1:74" x14ac:dyDescent="0.2">
      <c r="A348" s="121">
        <v>347</v>
      </c>
      <c r="B348" s="122" t="s">
        <v>49</v>
      </c>
      <c r="C348" s="122" t="s">
        <v>903</v>
      </c>
      <c r="D348" s="123" t="s">
        <v>113</v>
      </c>
      <c r="E348" s="123" t="s">
        <v>899</v>
      </c>
      <c r="F348" s="123" t="s">
        <v>300</v>
      </c>
      <c r="G348" s="122" t="s">
        <v>273</v>
      </c>
      <c r="H348" s="122" t="s">
        <v>192</v>
      </c>
      <c r="I348" s="124" t="s">
        <v>246</v>
      </c>
      <c r="J348" s="124" t="s">
        <v>214</v>
      </c>
      <c r="K348" s="123" t="s">
        <v>326</v>
      </c>
      <c r="L348" s="146">
        <v>0.2</v>
      </c>
      <c r="M348" s="146">
        <v>0.2</v>
      </c>
      <c r="N348" s="218" t="s">
        <v>368</v>
      </c>
      <c r="O348" s="145" t="s">
        <v>369</v>
      </c>
      <c r="P348" s="123" t="s">
        <v>207</v>
      </c>
      <c r="Q348" s="146"/>
      <c r="R348" s="147"/>
      <c r="S348" s="146"/>
      <c r="T348" s="147"/>
      <c r="U348" s="127"/>
      <c r="V348" s="147"/>
      <c r="W348" s="126" t="s">
        <v>11</v>
      </c>
      <c r="X348" s="143" t="s">
        <v>11</v>
      </c>
      <c r="Y348" s="126" t="s">
        <v>11</v>
      </c>
      <c r="Z348" s="126" t="s">
        <v>11</v>
      </c>
      <c r="AA348" s="126" t="s">
        <v>11</v>
      </c>
      <c r="AB348" s="128" t="s">
        <v>11</v>
      </c>
      <c r="AC348" s="126" t="s">
        <v>11</v>
      </c>
      <c r="AD348" s="126" t="s">
        <v>11</v>
      </c>
      <c r="AE348" s="126" t="s">
        <v>11</v>
      </c>
      <c r="AF348" s="126" t="s">
        <v>11</v>
      </c>
      <c r="AG348" s="126">
        <v>0.5</v>
      </c>
      <c r="AH348" s="147" t="s">
        <v>251</v>
      </c>
      <c r="AI348" s="121" t="s">
        <v>61</v>
      </c>
      <c r="AJ348" s="121" t="s">
        <v>61</v>
      </c>
      <c r="AK348" s="121" t="s">
        <v>61</v>
      </c>
      <c r="AL348" s="121" t="s">
        <v>61</v>
      </c>
      <c r="AM348" s="121" t="s">
        <v>61</v>
      </c>
      <c r="AN348" s="121" t="s">
        <v>61</v>
      </c>
      <c r="AO348" s="121" t="s">
        <v>11</v>
      </c>
      <c r="AP348" s="121" t="s">
        <v>11</v>
      </c>
      <c r="AQ348" s="121" t="s">
        <v>11</v>
      </c>
      <c r="AR348" s="121" t="s">
        <v>11</v>
      </c>
      <c r="AS348" s="121" t="s">
        <v>11</v>
      </c>
      <c r="AT348" s="121" t="s">
        <v>11</v>
      </c>
      <c r="AU348" s="121" t="s">
        <v>61</v>
      </c>
      <c r="AV348" s="121" t="s">
        <v>61</v>
      </c>
      <c r="AW348" s="121" t="s">
        <v>61</v>
      </c>
      <c r="AX348" s="121" t="s">
        <v>61</v>
      </c>
      <c r="AY348" s="121" t="s">
        <v>61</v>
      </c>
      <c r="AZ348" s="121" t="s">
        <v>61</v>
      </c>
      <c r="BA348" s="121" t="s">
        <v>61</v>
      </c>
      <c r="BB348" s="121" t="s">
        <v>61</v>
      </c>
      <c r="BC348" s="121" t="s">
        <v>61</v>
      </c>
      <c r="BD348" s="121" t="s">
        <v>6</v>
      </c>
      <c r="BE348" s="121" t="s">
        <v>61</v>
      </c>
      <c r="BF348" s="121" t="s">
        <v>6</v>
      </c>
      <c r="BG348" s="121" t="s">
        <v>61</v>
      </c>
      <c r="BH348" s="121" t="s">
        <v>61</v>
      </c>
      <c r="BI348" s="121" t="s">
        <v>61</v>
      </c>
      <c r="BJ348" s="121" t="s">
        <v>61</v>
      </c>
      <c r="BK348" s="121" t="s">
        <v>61</v>
      </c>
      <c r="BL348" s="174" t="str">
        <f>IF(BK348="NA","NA",IF(BK348="Not Reported","Not Reported",IF(BK348&gt;$L$348,"Not Met","Met")))</f>
        <v>Not Reported</v>
      </c>
      <c r="BM348" s="121" t="s">
        <v>61</v>
      </c>
      <c r="BN348" s="162" t="str">
        <f>IF(BM348="NA","NA",IF(BM348="Not Reported","Not Reported",IF(BM348&gt;$L$348,"Not Met","Met")))</f>
        <v>Not Reported</v>
      </c>
      <c r="BO348" s="121" t="str">
        <f t="shared" si="8"/>
        <v>Not Reported</v>
      </c>
      <c r="BP348" s="162" t="s">
        <v>61</v>
      </c>
      <c r="BQ348" s="121" t="str">
        <f t="shared" si="9"/>
        <v>Not Reported</v>
      </c>
      <c r="BR348" s="162" t="s">
        <v>61</v>
      </c>
      <c r="BS348" s="26" t="s">
        <v>61</v>
      </c>
      <c r="BT348" s="162" t="str">
        <f>IF(BS348="NA","NA",IF(BS348="Not Reported","Not Reported",IF(BS348&gt;$L$348,"Not Met","Met")))</f>
        <v>Not Reported</v>
      </c>
      <c r="BU348" s="26" t="s">
        <v>61</v>
      </c>
      <c r="BV348" s="162" t="str">
        <f>IF(BU348="NA","NA",IF(BU348="Not Reported","Not Reported",IF(BU348&gt;$L$348,"Not Met","Met")))</f>
        <v>Not Reported</v>
      </c>
    </row>
    <row r="349" spans="1:74" x14ac:dyDescent="0.25">
      <c r="A349" s="121">
        <v>348</v>
      </c>
      <c r="B349" s="122" t="s">
        <v>49</v>
      </c>
      <c r="C349" s="122" t="s">
        <v>903</v>
      </c>
      <c r="D349" s="123" t="s">
        <v>113</v>
      </c>
      <c r="E349" s="123" t="s">
        <v>899</v>
      </c>
      <c r="F349" s="123" t="s">
        <v>300</v>
      </c>
      <c r="G349" s="122" t="s">
        <v>273</v>
      </c>
      <c r="H349" s="122" t="s">
        <v>192</v>
      </c>
      <c r="I349" s="124" t="s">
        <v>284</v>
      </c>
      <c r="J349" s="124" t="s">
        <v>285</v>
      </c>
      <c r="K349" s="123" t="s">
        <v>284</v>
      </c>
      <c r="L349" s="146">
        <v>0.6</v>
      </c>
      <c r="M349" s="146">
        <v>0.6</v>
      </c>
      <c r="N349" s="218" t="s">
        <v>287</v>
      </c>
      <c r="O349" s="145" t="s">
        <v>288</v>
      </c>
      <c r="P349" s="123" t="s">
        <v>207</v>
      </c>
      <c r="Q349" s="146"/>
      <c r="R349" s="147"/>
      <c r="S349" s="146"/>
      <c r="T349" s="147"/>
      <c r="U349" s="127"/>
      <c r="V349" s="147"/>
      <c r="W349" s="126" t="s">
        <v>11</v>
      </c>
      <c r="X349" s="143" t="s">
        <v>11</v>
      </c>
      <c r="Y349" s="126" t="s">
        <v>11</v>
      </c>
      <c r="Z349" s="126" t="s">
        <v>11</v>
      </c>
      <c r="AA349" s="126" t="s">
        <v>11</v>
      </c>
      <c r="AB349" s="128" t="s">
        <v>11</v>
      </c>
      <c r="AC349" s="126" t="s">
        <v>11</v>
      </c>
      <c r="AD349" s="126" t="s">
        <v>11</v>
      </c>
      <c r="AE349" s="126" t="s">
        <v>11</v>
      </c>
      <c r="AF349" s="126" t="s">
        <v>11</v>
      </c>
      <c r="AG349" s="126">
        <v>0.45</v>
      </c>
      <c r="AH349" s="147" t="s">
        <v>251</v>
      </c>
      <c r="AI349" s="121" t="s">
        <v>61</v>
      </c>
      <c r="AJ349" s="121" t="s">
        <v>61</v>
      </c>
      <c r="AK349" s="121" t="s">
        <v>61</v>
      </c>
      <c r="AL349" s="121" t="s">
        <v>61</v>
      </c>
      <c r="AM349" s="121" t="s">
        <v>61</v>
      </c>
      <c r="AN349" s="121" t="s">
        <v>61</v>
      </c>
      <c r="AO349" s="121" t="s">
        <v>11</v>
      </c>
      <c r="AP349" s="121" t="s">
        <v>11</v>
      </c>
      <c r="AQ349" s="121" t="s">
        <v>11</v>
      </c>
      <c r="AR349" s="121" t="s">
        <v>11</v>
      </c>
      <c r="AS349" s="121" t="s">
        <v>11</v>
      </c>
      <c r="AT349" s="121" t="s">
        <v>11</v>
      </c>
      <c r="AU349" s="121" t="s">
        <v>61</v>
      </c>
      <c r="AV349" s="121" t="s">
        <v>61</v>
      </c>
      <c r="AW349" s="121" t="s">
        <v>61</v>
      </c>
      <c r="AX349" s="121" t="s">
        <v>61</v>
      </c>
      <c r="AY349" s="121" t="s">
        <v>61</v>
      </c>
      <c r="AZ349" s="121" t="s">
        <v>61</v>
      </c>
      <c r="BA349" s="121" t="s">
        <v>61</v>
      </c>
      <c r="BB349" s="121" t="s">
        <v>61</v>
      </c>
      <c r="BC349" s="121" t="s">
        <v>61</v>
      </c>
      <c r="BD349" s="121" t="s">
        <v>6</v>
      </c>
      <c r="BE349" s="121" t="s">
        <v>61</v>
      </c>
      <c r="BF349" s="121" t="s">
        <v>6</v>
      </c>
      <c r="BG349" s="121" t="s">
        <v>61</v>
      </c>
      <c r="BH349" s="121" t="s">
        <v>61</v>
      </c>
      <c r="BI349" s="121" t="s">
        <v>61</v>
      </c>
      <c r="BJ349" s="121" t="s">
        <v>61</v>
      </c>
      <c r="BK349" s="121" t="s">
        <v>61</v>
      </c>
      <c r="BL349" s="128" t="str">
        <f>IF(BK349="NA","NA",IF(BK349="Not Reported","Not Reported",IF(BK349&lt;$L$349,"Not Met","Met")))</f>
        <v>Not Reported</v>
      </c>
      <c r="BM349" s="121" t="s">
        <v>61</v>
      </c>
      <c r="BN349" s="128" t="str">
        <f>IF(BM349="NA","NA",IF(BM349="Not Reported","Not Reported",IF(BM349&lt;$L$349,"Not Met","Met")))</f>
        <v>Not Reported</v>
      </c>
      <c r="BO349" s="121" t="str">
        <f t="shared" si="8"/>
        <v>Not Reported</v>
      </c>
      <c r="BP349" s="128" t="s">
        <v>61</v>
      </c>
      <c r="BQ349" s="121" t="str">
        <f t="shared" si="9"/>
        <v>Not Reported</v>
      </c>
      <c r="BR349" s="128" t="s">
        <v>61</v>
      </c>
      <c r="BS349" s="26" t="s">
        <v>61</v>
      </c>
      <c r="BT349" s="128" t="str">
        <f>IF(BS349="NA","NA",IF(BS349="Not Reported","Not Reported",IF(BS349&lt;$L$349,"Not Met","Met")))</f>
        <v>Not Reported</v>
      </c>
      <c r="BU349" s="26" t="s">
        <v>61</v>
      </c>
      <c r="BV349" s="128" t="str">
        <f>IF(BU349="NA","NA",IF(BU349="Not Reported","Not Reported",IF(BU349&lt;$L$349,"Not Met","Met")))</f>
        <v>Not Reported</v>
      </c>
    </row>
    <row r="350" spans="1:74" x14ac:dyDescent="0.25">
      <c r="A350" s="121">
        <v>349</v>
      </c>
      <c r="B350" s="122" t="s">
        <v>49</v>
      </c>
      <c r="C350" s="122" t="s">
        <v>903</v>
      </c>
      <c r="D350" s="123" t="s">
        <v>113</v>
      </c>
      <c r="E350" s="123" t="s">
        <v>899</v>
      </c>
      <c r="F350" s="123" t="s">
        <v>300</v>
      </c>
      <c r="G350" s="122" t="s">
        <v>273</v>
      </c>
      <c r="H350" s="122" t="s">
        <v>192</v>
      </c>
      <c r="I350" s="124" t="s">
        <v>289</v>
      </c>
      <c r="J350" s="124" t="s">
        <v>285</v>
      </c>
      <c r="K350" s="123" t="s">
        <v>289</v>
      </c>
      <c r="L350" s="152">
        <v>4.7222222222222221E-2</v>
      </c>
      <c r="M350" s="152">
        <v>4.7222222222222221E-2</v>
      </c>
      <c r="N350" s="218" t="s">
        <v>290</v>
      </c>
      <c r="O350" s="145" t="s">
        <v>291</v>
      </c>
      <c r="P350" s="123" t="s">
        <v>207</v>
      </c>
      <c r="Q350" s="146"/>
      <c r="R350" s="147"/>
      <c r="S350" s="146"/>
      <c r="T350" s="147"/>
      <c r="U350" s="127"/>
      <c r="V350" s="147"/>
      <c r="W350" s="126" t="s">
        <v>11</v>
      </c>
      <c r="X350" s="143" t="s">
        <v>11</v>
      </c>
      <c r="Y350" s="126" t="s">
        <v>11</v>
      </c>
      <c r="Z350" s="126" t="s">
        <v>11</v>
      </c>
      <c r="AA350" s="126" t="s">
        <v>11</v>
      </c>
      <c r="AB350" s="128" t="s">
        <v>11</v>
      </c>
      <c r="AC350" s="126" t="s">
        <v>11</v>
      </c>
      <c r="AD350" s="126" t="s">
        <v>11</v>
      </c>
      <c r="AE350" s="126" t="s">
        <v>11</v>
      </c>
      <c r="AF350" s="126" t="s">
        <v>11</v>
      </c>
      <c r="AG350" s="126" t="s">
        <v>11</v>
      </c>
      <c r="AH350" s="126" t="s">
        <v>11</v>
      </c>
      <c r="AI350" s="126" t="s">
        <v>11</v>
      </c>
      <c r="AJ350" s="128" t="s">
        <v>11</v>
      </c>
      <c r="AK350" s="121" t="s">
        <v>61</v>
      </c>
      <c r="AL350" s="121" t="s">
        <v>61</v>
      </c>
      <c r="AM350" s="121" t="s">
        <v>61</v>
      </c>
      <c r="AN350" s="121" t="s">
        <v>61</v>
      </c>
      <c r="AO350" s="121" t="s">
        <v>11</v>
      </c>
      <c r="AP350" s="121" t="s">
        <v>11</v>
      </c>
      <c r="AQ350" s="121" t="s">
        <v>11</v>
      </c>
      <c r="AR350" s="121" t="s">
        <v>11</v>
      </c>
      <c r="AS350" s="121" t="s">
        <v>11</v>
      </c>
      <c r="AT350" s="121" t="s">
        <v>11</v>
      </c>
      <c r="AU350" s="121" t="s">
        <v>61</v>
      </c>
      <c r="AV350" s="121" t="s">
        <v>61</v>
      </c>
      <c r="AW350" s="121" t="s">
        <v>61</v>
      </c>
      <c r="AX350" s="121" t="s">
        <v>61</v>
      </c>
      <c r="AY350" s="121" t="s">
        <v>61</v>
      </c>
      <c r="AZ350" s="121" t="s">
        <v>61</v>
      </c>
      <c r="BA350" s="121" t="s">
        <v>61</v>
      </c>
      <c r="BB350" s="121" t="s">
        <v>61</v>
      </c>
      <c r="BC350" s="121" t="s">
        <v>61</v>
      </c>
      <c r="BD350" s="121" t="s">
        <v>6</v>
      </c>
      <c r="BE350" s="121" t="s">
        <v>61</v>
      </c>
      <c r="BF350" s="121" t="s">
        <v>6</v>
      </c>
      <c r="BG350" s="121" t="s">
        <v>61</v>
      </c>
      <c r="BH350" s="121" t="s">
        <v>61</v>
      </c>
      <c r="BI350" s="121" t="s">
        <v>61</v>
      </c>
      <c r="BJ350" s="121" t="s">
        <v>61</v>
      </c>
      <c r="BK350" s="121" t="s">
        <v>61</v>
      </c>
      <c r="BL350" s="128" t="str">
        <f>IF(BK350="NA","NA",IF(BK350="Not Reported","Not Reported",IF(BK350&gt;$L$350,"Not Met","Met")))</f>
        <v>Not Reported</v>
      </c>
      <c r="BM350" s="121" t="s">
        <v>61</v>
      </c>
      <c r="BN350" s="128" t="str">
        <f>IF(BM350="NA","NA",IF(BM350="Not Reported","Not Reported",IF(BM350&gt;$L$350,"Not Met","Met")))</f>
        <v>Not Reported</v>
      </c>
      <c r="BO350" s="121" t="str">
        <f t="shared" si="8"/>
        <v>Not Reported</v>
      </c>
      <c r="BP350" s="128" t="s">
        <v>61</v>
      </c>
      <c r="BQ350" s="121" t="str">
        <f t="shared" si="9"/>
        <v>Not Reported</v>
      </c>
      <c r="BR350" s="128" t="s">
        <v>61</v>
      </c>
      <c r="BS350" s="26" t="s">
        <v>61</v>
      </c>
      <c r="BT350" s="128" t="str">
        <f>IF(BS350="NA","NA",IF(BS350="Not Reported","Not Reported",IF(BS350&gt;$L$350,"Not Met","Met")))</f>
        <v>Not Reported</v>
      </c>
      <c r="BU350" s="26" t="s">
        <v>61</v>
      </c>
      <c r="BV350" s="128" t="str">
        <f>IF(BU350="NA","NA",IF(BU350="Not Reported","Not Reported",IF(BU350&gt;$L$350,"Not Met","Met")))</f>
        <v>Not Reported</v>
      </c>
    </row>
    <row r="351" spans="1:74" x14ac:dyDescent="0.25">
      <c r="A351" s="121">
        <v>350</v>
      </c>
      <c r="B351" s="122" t="s">
        <v>49</v>
      </c>
      <c r="C351" s="122" t="s">
        <v>903</v>
      </c>
      <c r="D351" s="123" t="s">
        <v>113</v>
      </c>
      <c r="E351" s="123" t="s">
        <v>899</v>
      </c>
      <c r="F351" s="123" t="s">
        <v>300</v>
      </c>
      <c r="G351" s="122" t="s">
        <v>273</v>
      </c>
      <c r="H351" s="122" t="s">
        <v>192</v>
      </c>
      <c r="I351" s="124" t="s">
        <v>292</v>
      </c>
      <c r="J351" s="124" t="s">
        <v>293</v>
      </c>
      <c r="K351" s="123" t="s">
        <v>292</v>
      </c>
      <c r="L351" s="146">
        <v>0.1</v>
      </c>
      <c r="M351" s="146">
        <v>0.1</v>
      </c>
      <c r="N351" s="218" t="s">
        <v>752</v>
      </c>
      <c r="O351" s="218" t="s">
        <v>611</v>
      </c>
      <c r="P351" s="123" t="s">
        <v>207</v>
      </c>
      <c r="Q351" s="146"/>
      <c r="R351" s="147"/>
      <c r="S351" s="146"/>
      <c r="T351" s="147"/>
      <c r="U351" s="127"/>
      <c r="V351" s="147"/>
      <c r="W351" s="126" t="s">
        <v>11</v>
      </c>
      <c r="X351" s="143" t="s">
        <v>11</v>
      </c>
      <c r="Y351" s="126" t="s">
        <v>11</v>
      </c>
      <c r="Z351" s="126" t="s">
        <v>11</v>
      </c>
      <c r="AA351" s="126" t="s">
        <v>11</v>
      </c>
      <c r="AB351" s="128" t="s">
        <v>11</v>
      </c>
      <c r="AC351" s="126" t="s">
        <v>11</v>
      </c>
      <c r="AD351" s="126" t="s">
        <v>11</v>
      </c>
      <c r="AE351" s="126" t="s">
        <v>11</v>
      </c>
      <c r="AF351" s="126" t="s">
        <v>11</v>
      </c>
      <c r="AG351" s="126">
        <v>0</v>
      </c>
      <c r="AH351" s="121" t="s">
        <v>198</v>
      </c>
      <c r="AI351" s="126">
        <v>0</v>
      </c>
      <c r="AJ351" s="121" t="s">
        <v>198</v>
      </c>
      <c r="AK351" s="121" t="s">
        <v>61</v>
      </c>
      <c r="AL351" s="121" t="s">
        <v>61</v>
      </c>
      <c r="AM351" s="121" t="s">
        <v>61</v>
      </c>
      <c r="AN351" s="121" t="s">
        <v>61</v>
      </c>
      <c r="AO351" s="121" t="s">
        <v>11</v>
      </c>
      <c r="AP351" s="121" t="s">
        <v>11</v>
      </c>
      <c r="AQ351" s="121" t="s">
        <v>11</v>
      </c>
      <c r="AR351" s="121" t="s">
        <v>11</v>
      </c>
      <c r="AS351" s="121" t="s">
        <v>11</v>
      </c>
      <c r="AT351" s="121" t="s">
        <v>11</v>
      </c>
      <c r="AU351" s="121" t="s">
        <v>61</v>
      </c>
      <c r="AV351" s="121" t="s">
        <v>61</v>
      </c>
      <c r="AW351" s="121" t="s">
        <v>61</v>
      </c>
      <c r="AX351" s="121" t="s">
        <v>61</v>
      </c>
      <c r="AY351" s="121" t="s">
        <v>61</v>
      </c>
      <c r="AZ351" s="121" t="s">
        <v>61</v>
      </c>
      <c r="BA351" s="121" t="s">
        <v>61</v>
      </c>
      <c r="BB351" s="121" t="s">
        <v>61</v>
      </c>
      <c r="BC351" s="121" t="s">
        <v>61</v>
      </c>
      <c r="BD351" s="121" t="s">
        <v>6</v>
      </c>
      <c r="BE351" s="121" t="s">
        <v>61</v>
      </c>
      <c r="BF351" s="121" t="s">
        <v>6</v>
      </c>
      <c r="BG351" s="121" t="s">
        <v>61</v>
      </c>
      <c r="BH351" s="121" t="s">
        <v>61</v>
      </c>
      <c r="BI351" s="121" t="s">
        <v>61</v>
      </c>
      <c r="BJ351" s="121" t="s">
        <v>61</v>
      </c>
      <c r="BK351" s="121" t="s">
        <v>61</v>
      </c>
      <c r="BL351" s="128" t="str">
        <f>IF(BK351="NA","NA",IF(BK351="Not Reported","Not Reported",IF(BK351&gt;$L$351,"Not Met","Met")))</f>
        <v>Not Reported</v>
      </c>
      <c r="BM351" s="121" t="s">
        <v>61</v>
      </c>
      <c r="BN351" s="128" t="str">
        <f>IF(BM351="NA","NA",IF(BM351="Not Reported","Not Reported",IF(BM351&gt;$L$351,"Not Met","Met")))</f>
        <v>Not Reported</v>
      </c>
      <c r="BO351" s="121" t="str">
        <f t="shared" si="8"/>
        <v>Not Reported</v>
      </c>
      <c r="BP351" s="128" t="s">
        <v>61</v>
      </c>
      <c r="BQ351" s="121" t="str">
        <f t="shared" si="9"/>
        <v>Not Reported</v>
      </c>
      <c r="BR351" s="128" t="s">
        <v>61</v>
      </c>
      <c r="BS351" s="26" t="s">
        <v>61</v>
      </c>
      <c r="BT351" s="128" t="str">
        <f>IF(BS351="NA","NA",IF(BS351="Not Reported","Not Reported",IF(BS351&gt;$L$351,"Not Met","Met")))</f>
        <v>Not Reported</v>
      </c>
      <c r="BU351" s="26" t="s">
        <v>61</v>
      </c>
      <c r="BV351" s="128" t="str">
        <f>IF(BU351="NA","NA",IF(BU351="Not Reported","Not Reported",IF(BU351&gt;$L$351,"Not Met","Met")))</f>
        <v>Not Reported</v>
      </c>
    </row>
    <row r="352" spans="1:74" x14ac:dyDescent="0.25">
      <c r="A352" s="121">
        <v>351</v>
      </c>
      <c r="B352" s="122" t="s">
        <v>49</v>
      </c>
      <c r="C352" s="122" t="s">
        <v>903</v>
      </c>
      <c r="D352" s="123" t="s">
        <v>113</v>
      </c>
      <c r="E352" s="123" t="s">
        <v>899</v>
      </c>
      <c r="F352" s="123" t="s">
        <v>300</v>
      </c>
      <c r="G352" s="122" t="s">
        <v>273</v>
      </c>
      <c r="H352" s="122" t="s">
        <v>192</v>
      </c>
      <c r="I352" s="124" t="s">
        <v>296</v>
      </c>
      <c r="J352" s="124" t="s">
        <v>296</v>
      </c>
      <c r="K352" s="123" t="s">
        <v>296</v>
      </c>
      <c r="L352" s="146">
        <v>0.9</v>
      </c>
      <c r="M352" s="146">
        <v>0.9</v>
      </c>
      <c r="N352" s="218" t="s">
        <v>297</v>
      </c>
      <c r="O352" s="145" t="s">
        <v>298</v>
      </c>
      <c r="P352" s="123" t="s">
        <v>207</v>
      </c>
      <c r="Q352" s="146"/>
      <c r="R352" s="147"/>
      <c r="S352" s="146"/>
      <c r="T352" s="147"/>
      <c r="U352" s="127"/>
      <c r="V352" s="147"/>
      <c r="W352" s="126" t="s">
        <v>11</v>
      </c>
      <c r="X352" s="143" t="s">
        <v>11</v>
      </c>
      <c r="Y352" s="126" t="s">
        <v>11</v>
      </c>
      <c r="Z352" s="126" t="s">
        <v>11</v>
      </c>
      <c r="AA352" s="126" t="s">
        <v>11</v>
      </c>
      <c r="AB352" s="128" t="s">
        <v>11</v>
      </c>
      <c r="AC352" s="126" t="s">
        <v>11</v>
      </c>
      <c r="AD352" s="126" t="s">
        <v>11</v>
      </c>
      <c r="AE352" s="126" t="s">
        <v>11</v>
      </c>
      <c r="AF352" s="126" t="s">
        <v>11</v>
      </c>
      <c r="AG352" s="126">
        <v>0.25</v>
      </c>
      <c r="AH352" s="147" t="s">
        <v>251</v>
      </c>
      <c r="AI352" s="126">
        <v>0</v>
      </c>
      <c r="AJ352" s="147" t="s">
        <v>251</v>
      </c>
      <c r="AK352" s="121" t="s">
        <v>61</v>
      </c>
      <c r="AL352" s="121" t="s">
        <v>61</v>
      </c>
      <c r="AM352" s="121" t="s">
        <v>61</v>
      </c>
      <c r="AN352" s="121" t="s">
        <v>61</v>
      </c>
      <c r="AO352" s="121" t="s">
        <v>11</v>
      </c>
      <c r="AP352" s="121" t="s">
        <v>11</v>
      </c>
      <c r="AQ352" s="121" t="s">
        <v>11</v>
      </c>
      <c r="AR352" s="121" t="s">
        <v>11</v>
      </c>
      <c r="AS352" s="121" t="s">
        <v>11</v>
      </c>
      <c r="AT352" s="121" t="s">
        <v>11</v>
      </c>
      <c r="AU352" s="121" t="s">
        <v>61</v>
      </c>
      <c r="AV352" s="121" t="s">
        <v>61</v>
      </c>
      <c r="AW352" s="121" t="s">
        <v>61</v>
      </c>
      <c r="AX352" s="121" t="s">
        <v>61</v>
      </c>
      <c r="AY352" s="121" t="s">
        <v>61</v>
      </c>
      <c r="AZ352" s="121" t="s">
        <v>61</v>
      </c>
      <c r="BA352" s="121" t="s">
        <v>61</v>
      </c>
      <c r="BB352" s="121" t="s">
        <v>61</v>
      </c>
      <c r="BC352" s="121" t="s">
        <v>61</v>
      </c>
      <c r="BD352" s="121" t="s">
        <v>6</v>
      </c>
      <c r="BE352" s="121" t="s">
        <v>61</v>
      </c>
      <c r="BF352" s="121" t="s">
        <v>6</v>
      </c>
      <c r="BG352" s="121" t="s">
        <v>61</v>
      </c>
      <c r="BH352" s="121" t="s">
        <v>61</v>
      </c>
      <c r="BI352" s="121" t="s">
        <v>61</v>
      </c>
      <c r="BJ352" s="121" t="s">
        <v>61</v>
      </c>
      <c r="BK352" s="121" t="s">
        <v>61</v>
      </c>
      <c r="BL352" s="128" t="str">
        <f>IF(BK352="NA","NA",IF(BK352="Not Reported","Not Reported",IF(BK352&lt;$L$352,"Not Met","Met")))</f>
        <v>Not Reported</v>
      </c>
      <c r="BM352" s="121" t="s">
        <v>61</v>
      </c>
      <c r="BN352" s="128" t="str">
        <f>IF(BM352="NA","NA",IF(BM352="Not Reported","Not Reported",IF(BM352&lt;$L$352,"Not Met","Met")))</f>
        <v>Not Reported</v>
      </c>
      <c r="BO352" s="121" t="str">
        <f t="shared" si="8"/>
        <v>Not Reported</v>
      </c>
      <c r="BP352" s="128" t="s">
        <v>61</v>
      </c>
      <c r="BQ352" s="121" t="str">
        <f t="shared" si="9"/>
        <v>Not Reported</v>
      </c>
      <c r="BR352" s="128" t="s">
        <v>61</v>
      </c>
      <c r="BS352" s="26" t="s">
        <v>61</v>
      </c>
      <c r="BT352" s="128" t="str">
        <f>IF(BS352="NA","NA",IF(BS352="Not Reported","Not Reported",IF(BS352&lt;$L$352,"Not Met","Met")))</f>
        <v>Not Reported</v>
      </c>
      <c r="BU352" s="26" t="s">
        <v>61</v>
      </c>
      <c r="BV352" s="128" t="str">
        <f>IF(BU352="NA","NA",IF(BU352="Not Reported","Not Reported",IF(BU352&lt;$L$352,"Not Met","Met")))</f>
        <v>Not Reported</v>
      </c>
    </row>
    <row r="353" spans="1:74" x14ac:dyDescent="0.2">
      <c r="A353" s="121">
        <v>352</v>
      </c>
      <c r="B353" s="122" t="s">
        <v>51</v>
      </c>
      <c r="C353" s="122" t="s">
        <v>903</v>
      </c>
      <c r="D353" s="123" t="s">
        <v>113</v>
      </c>
      <c r="E353" s="123" t="s">
        <v>899</v>
      </c>
      <c r="F353" s="123" t="s">
        <v>190</v>
      </c>
      <c r="G353" s="122" t="s">
        <v>273</v>
      </c>
      <c r="H353" s="122" t="s">
        <v>192</v>
      </c>
      <c r="I353" s="124" t="s">
        <v>274</v>
      </c>
      <c r="J353" s="124" t="s">
        <v>214</v>
      </c>
      <c r="K353" s="123" t="s">
        <v>781</v>
      </c>
      <c r="L353" s="147">
        <v>75</v>
      </c>
      <c r="M353" s="146" t="s">
        <v>542</v>
      </c>
      <c r="N353" s="218" t="s">
        <v>276</v>
      </c>
      <c r="O353" s="145" t="s">
        <v>277</v>
      </c>
      <c r="P353" s="123" t="s">
        <v>207</v>
      </c>
      <c r="Q353" s="146"/>
      <c r="R353" s="147"/>
      <c r="S353" s="146"/>
      <c r="T353" s="147"/>
      <c r="U353" s="127"/>
      <c r="V353" s="147"/>
      <c r="W353" s="126" t="s">
        <v>11</v>
      </c>
      <c r="X353" s="143" t="s">
        <v>11</v>
      </c>
      <c r="Y353" s="126" t="s">
        <v>220</v>
      </c>
      <c r="Z353" s="121" t="s">
        <v>198</v>
      </c>
      <c r="AA353" s="126" t="s">
        <v>782</v>
      </c>
      <c r="AB353" s="121" t="s">
        <v>198</v>
      </c>
      <c r="AC353" s="121" t="s">
        <v>61</v>
      </c>
      <c r="AD353" s="121" t="s">
        <v>61</v>
      </c>
      <c r="AE353" s="126" t="s">
        <v>604</v>
      </c>
      <c r="AF353" s="121" t="s">
        <v>198</v>
      </c>
      <c r="AG353" s="121">
        <v>48</v>
      </c>
      <c r="AH353" s="121" t="s">
        <v>198</v>
      </c>
      <c r="AI353" s="121">
        <v>64</v>
      </c>
      <c r="AJ353" s="121" t="s">
        <v>198</v>
      </c>
      <c r="AK353" s="121">
        <v>49</v>
      </c>
      <c r="AL353" s="121" t="s">
        <v>198</v>
      </c>
      <c r="AM353" s="121" t="s">
        <v>360</v>
      </c>
      <c r="AN353" s="121" t="s">
        <v>198</v>
      </c>
      <c r="AO353" s="121">
        <v>49</v>
      </c>
      <c r="AP353" s="121" t="s">
        <v>198</v>
      </c>
      <c r="AQ353" s="121" t="s">
        <v>503</v>
      </c>
      <c r="AR353" s="121" t="s">
        <v>198</v>
      </c>
      <c r="AS353" s="121" t="s">
        <v>704</v>
      </c>
      <c r="AT353" s="121" t="s">
        <v>198</v>
      </c>
      <c r="AU353" s="121">
        <v>54</v>
      </c>
      <c r="AV353" s="121" t="s">
        <v>198</v>
      </c>
      <c r="AW353" s="121">
        <v>52</v>
      </c>
      <c r="AX353" s="121" t="s">
        <v>198</v>
      </c>
      <c r="AY353" s="121" t="s">
        <v>11</v>
      </c>
      <c r="AZ353" s="121" t="s">
        <v>11</v>
      </c>
      <c r="BA353" s="121" t="s">
        <v>11</v>
      </c>
      <c r="BB353" s="121" t="s">
        <v>11</v>
      </c>
      <c r="BC353" s="147">
        <v>44</v>
      </c>
      <c r="BD353" s="121" t="s">
        <v>198</v>
      </c>
      <c r="BE353" s="162">
        <v>48</v>
      </c>
      <c r="BF353" s="121" t="s">
        <v>198</v>
      </c>
      <c r="BG353" s="162">
        <v>48</v>
      </c>
      <c r="BH353" s="121" t="s">
        <v>198</v>
      </c>
      <c r="BI353" s="147" t="s">
        <v>61</v>
      </c>
      <c r="BJ353" s="121" t="s">
        <v>61</v>
      </c>
      <c r="BK353" s="162">
        <v>56</v>
      </c>
      <c r="BL353" s="121" t="str">
        <f>IF(BK353="NA","NA",IF(BK353="Not Reported","Not Reported",IF(BK353&gt;$L$353,"Not Met","Met")))</f>
        <v>Met</v>
      </c>
      <c r="BM353" s="89">
        <v>57</v>
      </c>
      <c r="BN353" s="121" t="str">
        <f>IF(BM353="NA","NA",IF(BM353="Not Reported","Not Reported",IF(BM353&gt;$L$353,"Not Met","Met")))</f>
        <v>Met</v>
      </c>
      <c r="BO353" s="322">
        <v>52</v>
      </c>
      <c r="BP353" s="121" t="s">
        <v>198</v>
      </c>
      <c r="BQ353" s="322">
        <v>55</v>
      </c>
      <c r="BR353" s="121" t="s">
        <v>198</v>
      </c>
      <c r="BS353" s="322">
        <v>43</v>
      </c>
      <c r="BT353" s="121" t="str">
        <f>IF(BS353="NA","NA",IF(BS353="Not Reported","Not Reported",IF(BS353&gt;$L$353,"Not Met","Met")))</f>
        <v>Met</v>
      </c>
      <c r="BU353" s="322">
        <v>51</v>
      </c>
      <c r="BV353" s="121" t="str">
        <f>IF(BU353="NA","NA",IF(BU353="Not Reported","Not Reported",IF(BU353&gt;$L$353,"Not Met","Met")))</f>
        <v>Met</v>
      </c>
    </row>
    <row r="354" spans="1:74" x14ac:dyDescent="0.2">
      <c r="A354" s="121">
        <v>353</v>
      </c>
      <c r="B354" s="122" t="s">
        <v>51</v>
      </c>
      <c r="C354" s="122" t="s">
        <v>903</v>
      </c>
      <c r="D354" s="123" t="s">
        <v>113</v>
      </c>
      <c r="E354" s="123" t="s">
        <v>899</v>
      </c>
      <c r="F354" s="123" t="s">
        <v>190</v>
      </c>
      <c r="G354" s="122" t="s">
        <v>273</v>
      </c>
      <c r="H354" s="122" t="s">
        <v>192</v>
      </c>
      <c r="I354" s="124" t="s">
        <v>274</v>
      </c>
      <c r="J354" s="124" t="s">
        <v>214</v>
      </c>
      <c r="K354" s="123" t="s">
        <v>274</v>
      </c>
      <c r="L354" s="147">
        <v>90</v>
      </c>
      <c r="M354" s="146" t="s">
        <v>370</v>
      </c>
      <c r="N354" s="218" t="s">
        <v>276</v>
      </c>
      <c r="O354" s="145" t="s">
        <v>277</v>
      </c>
      <c r="P354" s="123" t="s">
        <v>207</v>
      </c>
      <c r="Q354" s="146"/>
      <c r="R354" s="147"/>
      <c r="S354" s="146"/>
      <c r="T354" s="147"/>
      <c r="U354" s="127"/>
      <c r="V354" s="147"/>
      <c r="W354" s="126" t="s">
        <v>11</v>
      </c>
      <c r="X354" s="143" t="s">
        <v>11</v>
      </c>
      <c r="Y354" s="126" t="s">
        <v>625</v>
      </c>
      <c r="Z354" s="121" t="s">
        <v>198</v>
      </c>
      <c r="AA354" s="126" t="s">
        <v>782</v>
      </c>
      <c r="AB354" s="121" t="s">
        <v>198</v>
      </c>
      <c r="AC354" s="121" t="s">
        <v>61</v>
      </c>
      <c r="AD354" s="121" t="s">
        <v>61</v>
      </c>
      <c r="AE354" s="126" t="s">
        <v>605</v>
      </c>
      <c r="AF354" s="121" t="s">
        <v>198</v>
      </c>
      <c r="AG354" s="121">
        <v>72</v>
      </c>
      <c r="AH354" s="121" t="s">
        <v>198</v>
      </c>
      <c r="AI354" s="121">
        <v>46</v>
      </c>
      <c r="AJ354" s="121" t="s">
        <v>198</v>
      </c>
      <c r="AK354" s="121">
        <v>43</v>
      </c>
      <c r="AL354" s="121" t="s">
        <v>198</v>
      </c>
      <c r="AM354" s="121" t="s">
        <v>509</v>
      </c>
      <c r="AN354" s="121" t="s">
        <v>198</v>
      </c>
      <c r="AO354" s="121">
        <v>75</v>
      </c>
      <c r="AP354" s="121" t="s">
        <v>198</v>
      </c>
      <c r="AQ354" s="121" t="s">
        <v>553</v>
      </c>
      <c r="AR354" s="121" t="s">
        <v>198</v>
      </c>
      <c r="AS354" s="121" t="s">
        <v>547</v>
      </c>
      <c r="AT354" s="121" t="s">
        <v>198</v>
      </c>
      <c r="AU354" s="121">
        <v>94</v>
      </c>
      <c r="AV354" s="121" t="s">
        <v>251</v>
      </c>
      <c r="AW354" s="121">
        <v>73</v>
      </c>
      <c r="AX354" s="121" t="s">
        <v>198</v>
      </c>
      <c r="AY354" s="121">
        <v>65</v>
      </c>
      <c r="AZ354" s="121" t="s">
        <v>198</v>
      </c>
      <c r="BA354" s="121">
        <v>61</v>
      </c>
      <c r="BB354" s="121" t="s">
        <v>198</v>
      </c>
      <c r="BC354" s="147">
        <v>68</v>
      </c>
      <c r="BD354" s="121" t="s">
        <v>198</v>
      </c>
      <c r="BE354" s="162">
        <v>72</v>
      </c>
      <c r="BF354" s="121" t="s">
        <v>198</v>
      </c>
      <c r="BG354" s="162">
        <v>75</v>
      </c>
      <c r="BH354" s="121" t="s">
        <v>198</v>
      </c>
      <c r="BI354" s="147" t="s">
        <v>61</v>
      </c>
      <c r="BJ354" s="121" t="s">
        <v>61</v>
      </c>
      <c r="BK354" s="162">
        <v>75</v>
      </c>
      <c r="BL354" s="121" t="str">
        <f>IF(BK354="NA","NA",IF(BK354="Not Reported","Not Reported",IF(BK354&gt;$L$354,"Not Met","Met")))</f>
        <v>Met</v>
      </c>
      <c r="BM354" s="89">
        <v>59</v>
      </c>
      <c r="BN354" s="121" t="str">
        <f>IF(BM354="NA","NA",IF(BM354="Not Reported","Not Reported",IF(BM354&gt;$L$354,"Not Met","Met")))</f>
        <v>Met</v>
      </c>
      <c r="BO354" s="322">
        <v>66</v>
      </c>
      <c r="BP354" s="121" t="s">
        <v>198</v>
      </c>
      <c r="BQ354" s="322">
        <v>67</v>
      </c>
      <c r="BR354" s="121" t="s">
        <v>198</v>
      </c>
      <c r="BS354" s="322">
        <v>72</v>
      </c>
      <c r="BT354" s="121" t="str">
        <f>IF(BS354="NA","NA",IF(BS354="Not Reported","Not Reported",IF(BS354&gt;$L$354,"Not Met","Met")))</f>
        <v>Met</v>
      </c>
      <c r="BU354" s="322">
        <v>75</v>
      </c>
      <c r="BV354" s="121" t="str">
        <f>IF(BU354="NA","NA",IF(BU354="Not Reported","Not Reported",IF(BU354&gt;$L$354,"Not Met","Met")))</f>
        <v>Met</v>
      </c>
    </row>
    <row r="355" spans="1:74" x14ac:dyDescent="0.2">
      <c r="A355" s="121">
        <v>354</v>
      </c>
      <c r="B355" s="122" t="s">
        <v>51</v>
      </c>
      <c r="C355" s="122" t="s">
        <v>903</v>
      </c>
      <c r="D355" s="123" t="s">
        <v>113</v>
      </c>
      <c r="E355" s="123" t="s">
        <v>899</v>
      </c>
      <c r="F355" s="123" t="s">
        <v>190</v>
      </c>
      <c r="G355" s="122" t="s">
        <v>273</v>
      </c>
      <c r="H355" s="122" t="s">
        <v>192</v>
      </c>
      <c r="I355" s="124" t="s">
        <v>213</v>
      </c>
      <c r="J355" s="124" t="s">
        <v>214</v>
      </c>
      <c r="K355" s="123" t="s">
        <v>783</v>
      </c>
      <c r="L355" s="147">
        <v>30</v>
      </c>
      <c r="M355" s="146" t="s">
        <v>356</v>
      </c>
      <c r="N355" s="145" t="s">
        <v>341</v>
      </c>
      <c r="O355" s="145" t="s">
        <v>342</v>
      </c>
      <c r="P355" s="123" t="s">
        <v>207</v>
      </c>
      <c r="Q355" s="146"/>
      <c r="R355" s="147"/>
      <c r="S355" s="146"/>
      <c r="T355" s="147"/>
      <c r="U355" s="127"/>
      <c r="V355" s="147"/>
      <c r="W355" s="126" t="s">
        <v>11</v>
      </c>
      <c r="X355" s="143" t="s">
        <v>11</v>
      </c>
      <c r="Y355" s="126" t="s">
        <v>442</v>
      </c>
      <c r="Z355" s="121" t="s">
        <v>198</v>
      </c>
      <c r="AA355" s="126" t="s">
        <v>447</v>
      </c>
      <c r="AB355" s="121" t="s">
        <v>198</v>
      </c>
      <c r="AC355" s="121" t="s">
        <v>61</v>
      </c>
      <c r="AD355" s="121" t="s">
        <v>61</v>
      </c>
      <c r="AE355" s="126" t="s">
        <v>447</v>
      </c>
      <c r="AF355" s="121" t="s">
        <v>198</v>
      </c>
      <c r="AG355" s="121">
        <v>23</v>
      </c>
      <c r="AH355" s="121" t="s">
        <v>198</v>
      </c>
      <c r="AI355" s="121">
        <v>18</v>
      </c>
      <c r="AJ355" s="121" t="s">
        <v>198</v>
      </c>
      <c r="AK355" s="121">
        <v>18</v>
      </c>
      <c r="AL355" s="121" t="s">
        <v>198</v>
      </c>
      <c r="AM355" s="121">
        <v>18</v>
      </c>
      <c r="AN355" s="121" t="s">
        <v>198</v>
      </c>
      <c r="AO355" s="121">
        <v>29</v>
      </c>
      <c r="AP355" s="121" t="s">
        <v>198</v>
      </c>
      <c r="AQ355" s="121" t="s">
        <v>222</v>
      </c>
      <c r="AR355" s="121" t="s">
        <v>198</v>
      </c>
      <c r="AS355" s="121" t="s">
        <v>499</v>
      </c>
      <c r="AT355" s="121" t="s">
        <v>198</v>
      </c>
      <c r="AU355" s="121">
        <v>22</v>
      </c>
      <c r="AV355" s="121" t="s">
        <v>198</v>
      </c>
      <c r="AW355" s="121">
        <v>15</v>
      </c>
      <c r="AX355" s="121" t="s">
        <v>198</v>
      </c>
      <c r="AY355" s="121" t="s">
        <v>11</v>
      </c>
      <c r="AZ355" s="121" t="s">
        <v>11</v>
      </c>
      <c r="BA355" s="121" t="s">
        <v>11</v>
      </c>
      <c r="BB355" s="121" t="s">
        <v>11</v>
      </c>
      <c r="BC355" s="147">
        <v>16</v>
      </c>
      <c r="BD355" s="121" t="s">
        <v>198</v>
      </c>
      <c r="BE355" s="162">
        <v>18</v>
      </c>
      <c r="BF355" s="121" t="s">
        <v>198</v>
      </c>
      <c r="BG355" s="162">
        <v>23</v>
      </c>
      <c r="BH355" s="121" t="s">
        <v>198</v>
      </c>
      <c r="BI355" s="147" t="s">
        <v>61</v>
      </c>
      <c r="BJ355" s="121" t="s">
        <v>61</v>
      </c>
      <c r="BK355" s="162">
        <v>21</v>
      </c>
      <c r="BL355" s="121" t="str">
        <f>IF(BK355="NA","NA",IF(BK355="Not Reported","Not Reported",IF(BK355&gt;$L$355,"Not Met","Met")))</f>
        <v>Met</v>
      </c>
      <c r="BM355" s="89">
        <v>19</v>
      </c>
      <c r="BN355" s="121" t="str">
        <f>IF(BM355="NA","NA",IF(BM355="Not Reported","Not Reported",IF(BM355&gt;$L$355,"Not Met","Met")))</f>
        <v>Met</v>
      </c>
      <c r="BO355" s="322">
        <v>17</v>
      </c>
      <c r="BP355" s="121" t="s">
        <v>198</v>
      </c>
      <c r="BQ355" s="322">
        <v>19</v>
      </c>
      <c r="BR355" s="121" t="s">
        <v>198</v>
      </c>
      <c r="BS355" s="322">
        <v>21</v>
      </c>
      <c r="BT355" s="121" t="str">
        <f>IF(BS355="NA","NA",IF(BS355="Not Reported","Not Reported",IF(BS355&gt;$L$355,"Not Met","Met")))</f>
        <v>Met</v>
      </c>
      <c r="BU355" s="322">
        <v>22</v>
      </c>
      <c r="BV355" s="121" t="str">
        <f>IF(BU355="NA","NA",IF(BU355="Not Reported","Not Reported",IF(BU355&gt;$L$355,"Not Met","Met")))</f>
        <v>Met</v>
      </c>
    </row>
    <row r="356" spans="1:74" x14ac:dyDescent="0.2">
      <c r="A356" s="121">
        <v>355</v>
      </c>
      <c r="B356" s="122" t="s">
        <v>51</v>
      </c>
      <c r="C356" s="122" t="s">
        <v>903</v>
      </c>
      <c r="D356" s="123" t="s">
        <v>113</v>
      </c>
      <c r="E356" s="123" t="s">
        <v>899</v>
      </c>
      <c r="F356" s="123" t="s">
        <v>190</v>
      </c>
      <c r="G356" s="122" t="s">
        <v>273</v>
      </c>
      <c r="H356" s="122" t="s">
        <v>192</v>
      </c>
      <c r="I356" s="124" t="s">
        <v>213</v>
      </c>
      <c r="J356" s="124" t="s">
        <v>214</v>
      </c>
      <c r="K356" s="123" t="s">
        <v>213</v>
      </c>
      <c r="L356" s="147">
        <v>40</v>
      </c>
      <c r="M356" s="146" t="s">
        <v>478</v>
      </c>
      <c r="N356" s="145" t="s">
        <v>341</v>
      </c>
      <c r="O356" s="145" t="s">
        <v>342</v>
      </c>
      <c r="P356" s="123" t="s">
        <v>207</v>
      </c>
      <c r="Q356" s="146"/>
      <c r="R356" s="147"/>
      <c r="S356" s="146"/>
      <c r="T356" s="147"/>
      <c r="U356" s="127"/>
      <c r="V356" s="147"/>
      <c r="W356" s="126" t="s">
        <v>11</v>
      </c>
      <c r="X356" s="143" t="s">
        <v>11</v>
      </c>
      <c r="Y356" s="126" t="s">
        <v>220</v>
      </c>
      <c r="Z356" s="121" t="s">
        <v>198</v>
      </c>
      <c r="AA356" s="126" t="s">
        <v>450</v>
      </c>
      <c r="AB356" s="121" t="s">
        <v>198</v>
      </c>
      <c r="AC356" s="121" t="s">
        <v>61</v>
      </c>
      <c r="AD356" s="121" t="s">
        <v>61</v>
      </c>
      <c r="AE356" s="126" t="s">
        <v>607</v>
      </c>
      <c r="AF356" s="121" t="s">
        <v>198</v>
      </c>
      <c r="AG356" s="121">
        <v>41</v>
      </c>
      <c r="AH356" s="121" t="s">
        <v>198</v>
      </c>
      <c r="AI356" s="121">
        <v>25</v>
      </c>
      <c r="AJ356" s="121" t="s">
        <v>198</v>
      </c>
      <c r="AK356" s="121">
        <v>35</v>
      </c>
      <c r="AL356" s="121" t="s">
        <v>198</v>
      </c>
      <c r="AM356" s="121" t="s">
        <v>470</v>
      </c>
      <c r="AN356" s="121" t="s">
        <v>198</v>
      </c>
      <c r="AO356" s="121">
        <v>38</v>
      </c>
      <c r="AP356" s="121" t="s">
        <v>198</v>
      </c>
      <c r="AQ356" s="121" t="s">
        <v>347</v>
      </c>
      <c r="AR356" s="121" t="s">
        <v>198</v>
      </c>
      <c r="AS356" s="121" t="s">
        <v>346</v>
      </c>
      <c r="AT356" s="121" t="s">
        <v>198</v>
      </c>
      <c r="AU356" s="121">
        <v>34</v>
      </c>
      <c r="AV356" s="121" t="s">
        <v>198</v>
      </c>
      <c r="AW356" s="121">
        <v>36</v>
      </c>
      <c r="AX356" s="121" t="s">
        <v>198</v>
      </c>
      <c r="AY356" s="121">
        <v>24</v>
      </c>
      <c r="AZ356" s="121" t="s">
        <v>198</v>
      </c>
      <c r="BA356" s="121">
        <v>25</v>
      </c>
      <c r="BB356" s="121" t="s">
        <v>198</v>
      </c>
      <c r="BC356" s="147">
        <v>27</v>
      </c>
      <c r="BD356" s="121" t="s">
        <v>198</v>
      </c>
      <c r="BE356" s="162">
        <v>32</v>
      </c>
      <c r="BF356" s="121" t="s">
        <v>198</v>
      </c>
      <c r="BG356" s="162">
        <v>32</v>
      </c>
      <c r="BH356" s="121" t="s">
        <v>198</v>
      </c>
      <c r="BI356" s="147" t="s">
        <v>61</v>
      </c>
      <c r="BJ356" s="121" t="s">
        <v>61</v>
      </c>
      <c r="BK356" s="162">
        <v>24</v>
      </c>
      <c r="BL356" s="121" t="str">
        <f>IF(BK356="NA","NA",IF(BK356="Not Reported","Not Reported",IF(BK356&gt;$L$356,"Not Met","Met")))</f>
        <v>Met</v>
      </c>
      <c r="BM356" s="89">
        <v>32</v>
      </c>
      <c r="BN356" s="121" t="str">
        <f>IF(BM356="NA","NA",IF(BM356="Not Reported","Not Reported",IF(BM356&gt;$L$356,"Not Met","Met")))</f>
        <v>Met</v>
      </c>
      <c r="BO356" s="322">
        <v>23</v>
      </c>
      <c r="BP356" s="121" t="s">
        <v>198</v>
      </c>
      <c r="BQ356" s="322">
        <v>26</v>
      </c>
      <c r="BR356" s="121" t="s">
        <v>198</v>
      </c>
      <c r="BS356" s="322">
        <v>26</v>
      </c>
      <c r="BT356" s="121" t="str">
        <f>IF(BS356="NA","NA",IF(BS356="Not Reported","Not Reported",IF(BS356&gt;$L$356,"Not Met","Met")))</f>
        <v>Met</v>
      </c>
      <c r="BU356" s="322">
        <v>33</v>
      </c>
      <c r="BV356" s="121" t="str">
        <f>IF(BU356="NA","NA",IF(BU356="Not Reported","Not Reported",IF(BU356&gt;$L$356,"Not Met","Met")))</f>
        <v>Met</v>
      </c>
    </row>
    <row r="357" spans="1:74" x14ac:dyDescent="0.2">
      <c r="A357" s="121">
        <v>356</v>
      </c>
      <c r="B357" s="122" t="s">
        <v>51</v>
      </c>
      <c r="C357" s="122" t="s">
        <v>903</v>
      </c>
      <c r="D357" s="123" t="s">
        <v>113</v>
      </c>
      <c r="E357" s="123" t="s">
        <v>899</v>
      </c>
      <c r="F357" s="123" t="s">
        <v>190</v>
      </c>
      <c r="G357" s="122" t="s">
        <v>273</v>
      </c>
      <c r="H357" s="122" t="s">
        <v>192</v>
      </c>
      <c r="I357" s="124" t="s">
        <v>246</v>
      </c>
      <c r="J357" s="124" t="s">
        <v>214</v>
      </c>
      <c r="K357" s="123" t="s">
        <v>326</v>
      </c>
      <c r="L357" s="146">
        <v>0.2</v>
      </c>
      <c r="M357" s="146" t="s">
        <v>627</v>
      </c>
      <c r="N357" s="218" t="s">
        <v>368</v>
      </c>
      <c r="O357" s="145" t="s">
        <v>369</v>
      </c>
      <c r="P357" s="123" t="s">
        <v>207</v>
      </c>
      <c r="Q357" s="146"/>
      <c r="R357" s="147"/>
      <c r="S357" s="146"/>
      <c r="T357" s="147"/>
      <c r="U357" s="127"/>
      <c r="V357" s="147"/>
      <c r="W357" s="126" t="s">
        <v>11</v>
      </c>
      <c r="X357" s="143" t="s">
        <v>11</v>
      </c>
      <c r="Y357" s="126">
        <v>0.5</v>
      </c>
      <c r="Z357" s="121" t="s">
        <v>251</v>
      </c>
      <c r="AA357" s="126">
        <v>0.11</v>
      </c>
      <c r="AB357" s="147" t="s">
        <v>251</v>
      </c>
      <c r="AC357" s="121" t="s">
        <v>61</v>
      </c>
      <c r="AD357" s="121" t="s">
        <v>61</v>
      </c>
      <c r="AE357" s="126">
        <v>0.46</v>
      </c>
      <c r="AF357" s="147" t="s">
        <v>251</v>
      </c>
      <c r="AG357" s="128">
        <v>0.31506849315068491</v>
      </c>
      <c r="AH357" s="147" t="s">
        <v>251</v>
      </c>
      <c r="AI357" s="128">
        <v>0.58333333333333337</v>
      </c>
      <c r="AJ357" s="147" t="s">
        <v>251</v>
      </c>
      <c r="AK357" s="128">
        <f>87/178</f>
        <v>0.4887640449438202</v>
      </c>
      <c r="AL357" s="147" t="s">
        <v>251</v>
      </c>
      <c r="AM357" s="128">
        <v>0.34</v>
      </c>
      <c r="AN357" s="121" t="s">
        <v>251</v>
      </c>
      <c r="AO357" s="128">
        <v>0.22</v>
      </c>
      <c r="AP357" s="121" t="s">
        <v>251</v>
      </c>
      <c r="AQ357" s="128">
        <v>0.52</v>
      </c>
      <c r="AR357" s="121" t="s">
        <v>251</v>
      </c>
      <c r="AS357" s="128">
        <v>0.52</v>
      </c>
      <c r="AT357" s="121" t="s">
        <v>251</v>
      </c>
      <c r="AU357" s="126">
        <v>0.62</v>
      </c>
      <c r="AV357" s="121" t="s">
        <v>251</v>
      </c>
      <c r="AW357" s="126">
        <v>0.21</v>
      </c>
      <c r="AX357" s="121" t="s">
        <v>251</v>
      </c>
      <c r="AY357" s="177">
        <f>29/84</f>
        <v>0.34523809523809523</v>
      </c>
      <c r="AZ357" s="121" t="s">
        <v>251</v>
      </c>
      <c r="BA357" s="177">
        <f>29/84</f>
        <v>0.34523809523809523</v>
      </c>
      <c r="BB357" s="121" t="s">
        <v>251</v>
      </c>
      <c r="BC357" s="183">
        <f>18/118*100</f>
        <v>15.254237288135593</v>
      </c>
      <c r="BD357" s="121" t="s">
        <v>198</v>
      </c>
      <c r="BE357" s="173">
        <f>20/67*100</f>
        <v>29.850746268656714</v>
      </c>
      <c r="BF357" s="121" t="s">
        <v>251</v>
      </c>
      <c r="BG357" s="177">
        <f>15/77</f>
        <v>0.19480519480519481</v>
      </c>
      <c r="BH357" s="121" t="s">
        <v>198</v>
      </c>
      <c r="BI357" s="147" t="s">
        <v>61</v>
      </c>
      <c r="BJ357" s="121" t="s">
        <v>61</v>
      </c>
      <c r="BK357" s="178">
        <f>8/70</f>
        <v>0.11428571428571428</v>
      </c>
      <c r="BL357" s="174" t="str">
        <f>IF(BK357="NA","NA",IF(BK357="Not Reported","Not Reported",IF(BK357&gt;$L$357,"Not Met","Met")))</f>
        <v>Met</v>
      </c>
      <c r="BM357" s="279">
        <f>9/65</f>
        <v>0.13846153846153847</v>
      </c>
      <c r="BN357" s="162" t="str">
        <f>IF(BM357="NA","NA",IF(BM357="Not Reported","Not Reported",IF(BM357&gt;$L$357,"Not Met","Met")))</f>
        <v>Met</v>
      </c>
      <c r="BO357" s="323">
        <v>4.2253521126760563E-2</v>
      </c>
      <c r="BP357" s="162" t="s">
        <v>198</v>
      </c>
      <c r="BQ357" s="323">
        <v>0.04</v>
      </c>
      <c r="BR357" s="162" t="s">
        <v>198</v>
      </c>
      <c r="BS357" s="323">
        <f>26/142</f>
        <v>0.18309859154929578</v>
      </c>
      <c r="BT357" s="162" t="str">
        <f>IF(BS357="NA","NA",IF(BS357="Not Reported","Not Reported",IF(BS357&gt;$L$357,"Not Met","Met")))</f>
        <v>Met</v>
      </c>
      <c r="BU357" s="323">
        <v>0.18</v>
      </c>
      <c r="BV357" s="162" t="str">
        <f>IF(BU357="NA","NA",IF(BU357="Not Reported","Not Reported",IF(BU357&gt;$L$357,"Not Met","Met")))</f>
        <v>Met</v>
      </c>
    </row>
    <row r="358" spans="1:74" x14ac:dyDescent="0.2">
      <c r="A358" s="121">
        <v>357</v>
      </c>
      <c r="B358" s="122" t="s">
        <v>51</v>
      </c>
      <c r="C358" s="122" t="s">
        <v>903</v>
      </c>
      <c r="D358" s="123" t="s">
        <v>113</v>
      </c>
      <c r="E358" s="123" t="s">
        <v>899</v>
      </c>
      <c r="F358" s="123" t="s">
        <v>190</v>
      </c>
      <c r="G358" s="122" t="s">
        <v>273</v>
      </c>
      <c r="H358" s="122" t="s">
        <v>192</v>
      </c>
      <c r="I358" s="124" t="s">
        <v>284</v>
      </c>
      <c r="J358" s="124" t="s">
        <v>285</v>
      </c>
      <c r="K358" s="123" t="s">
        <v>284</v>
      </c>
      <c r="L358" s="146">
        <v>0.6</v>
      </c>
      <c r="M358" s="146">
        <v>0.6</v>
      </c>
      <c r="N358" s="218" t="s">
        <v>287</v>
      </c>
      <c r="O358" s="145" t="s">
        <v>288</v>
      </c>
      <c r="P358" s="123" t="s">
        <v>207</v>
      </c>
      <c r="Q358" s="146"/>
      <c r="R358" s="147"/>
      <c r="S358" s="146"/>
      <c r="T358" s="147"/>
      <c r="U358" s="127"/>
      <c r="V358" s="147"/>
      <c r="W358" s="126" t="s">
        <v>11</v>
      </c>
      <c r="X358" s="143" t="s">
        <v>11</v>
      </c>
      <c r="Y358" s="126">
        <v>0.78</v>
      </c>
      <c r="Z358" s="121" t="s">
        <v>198</v>
      </c>
      <c r="AA358" s="126">
        <v>0.73</v>
      </c>
      <c r="AB358" s="121" t="s">
        <v>198</v>
      </c>
      <c r="AC358" s="121" t="s">
        <v>61</v>
      </c>
      <c r="AD358" s="121" t="s">
        <v>61</v>
      </c>
      <c r="AE358" s="126">
        <v>0.6</v>
      </c>
      <c r="AF358" s="121" t="s">
        <v>198</v>
      </c>
      <c r="AG358" s="143">
        <v>0.45</v>
      </c>
      <c r="AH358" s="147" t="s">
        <v>251</v>
      </c>
      <c r="AI358" s="128">
        <v>0.45962732919254656</v>
      </c>
      <c r="AJ358" s="147" t="s">
        <v>251</v>
      </c>
      <c r="AK358" s="128">
        <f>441/789</f>
        <v>0.55893536121673004</v>
      </c>
      <c r="AL358" s="147" t="s">
        <v>251</v>
      </c>
      <c r="AM358" s="128">
        <v>0.83</v>
      </c>
      <c r="AN358" s="121" t="s">
        <v>198</v>
      </c>
      <c r="AO358" s="128">
        <v>0.7</v>
      </c>
      <c r="AP358" s="121" t="s">
        <v>198</v>
      </c>
      <c r="AQ358" s="128">
        <v>0.8</v>
      </c>
      <c r="AR358" s="121" t="s">
        <v>198</v>
      </c>
      <c r="AS358" s="128">
        <v>0.8</v>
      </c>
      <c r="AT358" s="121" t="s">
        <v>198</v>
      </c>
      <c r="AU358" s="126">
        <v>0.68</v>
      </c>
      <c r="AV358" s="121" t="s">
        <v>198</v>
      </c>
      <c r="AW358" s="126">
        <v>0.72</v>
      </c>
      <c r="AX358" s="121" t="s">
        <v>198</v>
      </c>
      <c r="AY358" s="177">
        <f>248/371</f>
        <v>0.66846361185983827</v>
      </c>
      <c r="AZ358" s="121" t="s">
        <v>198</v>
      </c>
      <c r="BA358" s="177">
        <f>847/1257</f>
        <v>0.67382657120127287</v>
      </c>
      <c r="BB358" s="121" t="s">
        <v>198</v>
      </c>
      <c r="BC358" s="183">
        <f>420/597*100</f>
        <v>70.35175879396985</v>
      </c>
      <c r="BD358" s="121" t="s">
        <v>198</v>
      </c>
      <c r="BE358" s="177">
        <f>302/466</f>
        <v>0.64806866952789699</v>
      </c>
      <c r="BF358" s="121" t="s">
        <v>198</v>
      </c>
      <c r="BG358" s="177">
        <f>334/457</f>
        <v>0.73085339168490149</v>
      </c>
      <c r="BH358" s="121" t="s">
        <v>198</v>
      </c>
      <c r="BI358" s="147" t="s">
        <v>61</v>
      </c>
      <c r="BJ358" s="121" t="s">
        <v>61</v>
      </c>
      <c r="BK358" s="247">
        <f>270/382</f>
        <v>0.70680628272251311</v>
      </c>
      <c r="BL358" s="128" t="str">
        <f>IF(BK358="NA","NA",IF(BK358="Not Reported","Not Reported",IF(BK358&lt;$L$358,"Not Met","Met")))</f>
        <v>Met</v>
      </c>
      <c r="BM358" s="279">
        <f>364/513</f>
        <v>0.70955165692007793</v>
      </c>
      <c r="BN358" s="128" t="str">
        <f>IF(BM358="NA","NA",IF(BM358="Not Reported","Not Reported",IF(BM358&lt;$L$358,"Not Met","Met")))</f>
        <v>Met</v>
      </c>
      <c r="BO358" s="323">
        <v>0.83252032520325203</v>
      </c>
      <c r="BP358" s="128" t="s">
        <v>198</v>
      </c>
      <c r="BQ358" s="323">
        <v>0.74222488038277512</v>
      </c>
      <c r="BR358" s="128" t="s">
        <v>198</v>
      </c>
      <c r="BS358" s="323">
        <f>503/726</f>
        <v>0.69283746556473824</v>
      </c>
      <c r="BT358" s="128" t="str">
        <f>IF(BS358="NA","NA",IF(BS358="Not Reported","Not Reported",IF(BS358&lt;$L$358,"Not Met","Met")))</f>
        <v>Met</v>
      </c>
      <c r="BU358" s="323">
        <f>3980/5657</f>
        <v>0.70355312002828352</v>
      </c>
      <c r="BV358" s="128" t="str">
        <f>IF(BU358="NA","NA",IF(BU358="Not Reported","Not Reported",IF(BU358&lt;$L$358,"Not Met","Met")))</f>
        <v>Met</v>
      </c>
    </row>
    <row r="359" spans="1:74" x14ac:dyDescent="0.25">
      <c r="A359" s="121">
        <v>358</v>
      </c>
      <c r="B359" s="122" t="s">
        <v>51</v>
      </c>
      <c r="C359" s="122" t="s">
        <v>903</v>
      </c>
      <c r="D359" s="123" t="s">
        <v>113</v>
      </c>
      <c r="E359" s="123" t="s">
        <v>899</v>
      </c>
      <c r="F359" s="123" t="s">
        <v>190</v>
      </c>
      <c r="G359" s="122" t="s">
        <v>273</v>
      </c>
      <c r="H359" s="122" t="s">
        <v>192</v>
      </c>
      <c r="I359" s="124" t="s">
        <v>289</v>
      </c>
      <c r="J359" s="124" t="s">
        <v>285</v>
      </c>
      <c r="K359" s="123" t="s">
        <v>289</v>
      </c>
      <c r="L359" s="152">
        <v>4.583333333333333E-2</v>
      </c>
      <c r="M359" s="152">
        <v>4.583333333333333E-2</v>
      </c>
      <c r="N359" s="218" t="s">
        <v>290</v>
      </c>
      <c r="O359" s="145" t="s">
        <v>291</v>
      </c>
      <c r="P359" s="123" t="s">
        <v>207</v>
      </c>
      <c r="Q359" s="146"/>
      <c r="R359" s="147"/>
      <c r="S359" s="146"/>
      <c r="T359" s="147"/>
      <c r="U359" s="127"/>
      <c r="V359" s="147"/>
      <c r="W359" s="126" t="s">
        <v>11</v>
      </c>
      <c r="X359" s="143" t="s">
        <v>11</v>
      </c>
      <c r="Y359" s="126">
        <v>0.25</v>
      </c>
      <c r="Z359" s="121" t="s">
        <v>198</v>
      </c>
      <c r="AA359" s="194">
        <v>4.3749999999999997E-2</v>
      </c>
      <c r="AB359" s="121" t="s">
        <v>198</v>
      </c>
      <c r="AC359" s="121" t="s">
        <v>61</v>
      </c>
      <c r="AD359" s="121" t="s">
        <v>61</v>
      </c>
      <c r="AE359" s="194">
        <v>4.583333333333333E-2</v>
      </c>
      <c r="AF359" s="121" t="s">
        <v>198</v>
      </c>
      <c r="AG359" s="194">
        <v>5.1388888888888887E-2</v>
      </c>
      <c r="AH359" s="147" t="s">
        <v>251</v>
      </c>
      <c r="AI359" s="152">
        <v>0.28541666666666665</v>
      </c>
      <c r="AJ359" s="147" t="s">
        <v>251</v>
      </c>
      <c r="AK359" s="152">
        <v>0.18402777777777779</v>
      </c>
      <c r="AL359" s="147" t="s">
        <v>251</v>
      </c>
      <c r="AM359" s="152">
        <v>4.583333333333333E-2</v>
      </c>
      <c r="AN359" s="121" t="s">
        <v>198</v>
      </c>
      <c r="AO359" s="152">
        <v>4.5138888888888888E-2</v>
      </c>
      <c r="AP359" s="121" t="s">
        <v>198</v>
      </c>
      <c r="AQ359" s="152">
        <v>4.4444444444444446E-2</v>
      </c>
      <c r="AR359" s="121" t="s">
        <v>198</v>
      </c>
      <c r="AS359" s="152">
        <v>4.4444444444444446E-2</v>
      </c>
      <c r="AT359" s="121" t="s">
        <v>198</v>
      </c>
      <c r="AU359" s="194">
        <v>4.583333333333333E-2</v>
      </c>
      <c r="AV359" s="121" t="s">
        <v>198</v>
      </c>
      <c r="AW359" s="194">
        <v>4.791666666666667E-2</v>
      </c>
      <c r="AX359" s="121" t="s">
        <v>251</v>
      </c>
      <c r="AY359" s="194">
        <v>4.6527777777777779E-2</v>
      </c>
      <c r="AZ359" s="121" t="s">
        <v>251</v>
      </c>
      <c r="BA359" s="194">
        <v>4.6527777777777779E-2</v>
      </c>
      <c r="BB359" s="121" t="s">
        <v>251</v>
      </c>
      <c r="BC359" s="152">
        <v>4.7222222222222221E-2</v>
      </c>
      <c r="BD359" s="121" t="s">
        <v>251</v>
      </c>
      <c r="BE359" s="192">
        <v>0.05</v>
      </c>
      <c r="BF359" s="121" t="s">
        <v>251</v>
      </c>
      <c r="BG359" s="192">
        <v>4.583333333333333E-2</v>
      </c>
      <c r="BH359" s="121" t="s">
        <v>198</v>
      </c>
      <c r="BI359" s="147" t="s">
        <v>61</v>
      </c>
      <c r="BJ359" s="121" t="s">
        <v>61</v>
      </c>
      <c r="BK359" s="194">
        <v>4.3749999999999997E-2</v>
      </c>
      <c r="BL359" s="128" t="str">
        <f>IF(BK359="NA","NA",IF(BK359="Not Reported","Not Reported",IF(BK359&gt;$L$359,"Not Met","Met")))</f>
        <v>Met</v>
      </c>
      <c r="BM359" s="261">
        <v>4.7222222222222221E-2</v>
      </c>
      <c r="BN359" s="128" t="str">
        <f>IF(BM359="NA","NA",IF(BM359="Not Reported","Not Reported",IF(BM359&gt;$L$359,"Not Met","Met")))</f>
        <v>Not Met</v>
      </c>
      <c r="BO359" s="324">
        <v>4.7222222222222221E-2</v>
      </c>
      <c r="BP359" s="128" t="s">
        <v>251</v>
      </c>
      <c r="BQ359" s="324">
        <v>4.7222222222222221E-2</v>
      </c>
      <c r="BR359" s="128" t="s">
        <v>251</v>
      </c>
      <c r="BS359" s="395">
        <v>4.7222222222222221E-2</v>
      </c>
      <c r="BT359" s="128" t="str">
        <f>IF(BS359="NA","NA",IF(BS359="Not Reported","Not Reported",IF(BS359&gt;$L$359,"Not Met","Met")))</f>
        <v>Not Met</v>
      </c>
      <c r="BU359" s="324">
        <v>4.6527777777777779E-2</v>
      </c>
      <c r="BV359" s="128" t="str">
        <f>IF(BU359="NA","NA",IF(BU359="Not Reported","Not Reported",IF(BU359&gt;$L$359,"Not Met","Met")))</f>
        <v>Not Met</v>
      </c>
    </row>
    <row r="360" spans="1:74" x14ac:dyDescent="0.2">
      <c r="A360" s="121">
        <v>359</v>
      </c>
      <c r="B360" s="122" t="s">
        <v>51</v>
      </c>
      <c r="C360" s="122" t="s">
        <v>903</v>
      </c>
      <c r="D360" s="123" t="s">
        <v>113</v>
      </c>
      <c r="E360" s="123" t="s">
        <v>899</v>
      </c>
      <c r="F360" s="123" t="s">
        <v>190</v>
      </c>
      <c r="G360" s="122" t="s">
        <v>273</v>
      </c>
      <c r="H360" s="122" t="s">
        <v>192</v>
      </c>
      <c r="I360" s="124" t="s">
        <v>292</v>
      </c>
      <c r="J360" s="124" t="s">
        <v>293</v>
      </c>
      <c r="K360" s="123" t="s">
        <v>292</v>
      </c>
      <c r="L360" s="146">
        <v>0.15</v>
      </c>
      <c r="M360" s="146">
        <v>0.15</v>
      </c>
      <c r="N360" s="218" t="s">
        <v>752</v>
      </c>
      <c r="O360" s="218" t="s">
        <v>611</v>
      </c>
      <c r="P360" s="123" t="s">
        <v>207</v>
      </c>
      <c r="Q360" s="146"/>
      <c r="R360" s="147"/>
      <c r="S360" s="146"/>
      <c r="T360" s="147"/>
      <c r="U360" s="127"/>
      <c r="V360" s="147"/>
      <c r="W360" s="126" t="s">
        <v>11</v>
      </c>
      <c r="X360" s="143" t="s">
        <v>11</v>
      </c>
      <c r="Y360" s="126">
        <v>0.09</v>
      </c>
      <c r="Z360" s="121" t="s">
        <v>198</v>
      </c>
      <c r="AA360" s="126">
        <v>0</v>
      </c>
      <c r="AB360" s="121" t="s">
        <v>198</v>
      </c>
      <c r="AC360" s="121" t="s">
        <v>61</v>
      </c>
      <c r="AD360" s="121" t="s">
        <v>61</v>
      </c>
      <c r="AE360" s="126">
        <v>0.04</v>
      </c>
      <c r="AF360" s="121" t="s">
        <v>198</v>
      </c>
      <c r="AG360" s="126">
        <v>0</v>
      </c>
      <c r="AH360" s="121" t="s">
        <v>198</v>
      </c>
      <c r="AI360" s="126">
        <v>7.0000000000000007E-2</v>
      </c>
      <c r="AJ360" s="121" t="s">
        <v>198</v>
      </c>
      <c r="AK360" s="126">
        <f>7/93</f>
        <v>7.5268817204301078E-2</v>
      </c>
      <c r="AL360" s="121" t="s">
        <v>198</v>
      </c>
      <c r="AM360" s="126">
        <v>0.04</v>
      </c>
      <c r="AN360" s="121" t="s">
        <v>198</v>
      </c>
      <c r="AO360" s="126">
        <v>0.02</v>
      </c>
      <c r="AP360" s="121" t="s">
        <v>198</v>
      </c>
      <c r="AQ360" s="126">
        <v>0.06</v>
      </c>
      <c r="AR360" s="121" t="s">
        <v>198</v>
      </c>
      <c r="AS360" s="126">
        <v>0.08</v>
      </c>
      <c r="AT360" s="121" t="s">
        <v>198</v>
      </c>
      <c r="AU360" s="126">
        <v>0.24</v>
      </c>
      <c r="AV360" s="121" t="s">
        <v>251</v>
      </c>
      <c r="AW360" s="126">
        <v>0.02</v>
      </c>
      <c r="AX360" s="121" t="s">
        <v>198</v>
      </c>
      <c r="AY360" s="143">
        <f>7/53</f>
        <v>0.13207547169811321</v>
      </c>
      <c r="AZ360" s="121" t="s">
        <v>198</v>
      </c>
      <c r="BA360" s="143">
        <f>42/170</f>
        <v>0.24705882352941178</v>
      </c>
      <c r="BB360" s="121" t="s">
        <v>251</v>
      </c>
      <c r="BC360" s="128">
        <f>19/60</f>
        <v>0.31666666666666665</v>
      </c>
      <c r="BD360" s="121" t="s">
        <v>251</v>
      </c>
      <c r="BE360" s="177">
        <f>21/55</f>
        <v>0.38181818181818183</v>
      </c>
      <c r="BF360" s="121" t="s">
        <v>251</v>
      </c>
      <c r="BG360" s="177">
        <f>19/54</f>
        <v>0.35185185185185186</v>
      </c>
      <c r="BH360" s="121" t="s">
        <v>251</v>
      </c>
      <c r="BI360" s="147" t="s">
        <v>61</v>
      </c>
      <c r="BJ360" s="121" t="s">
        <v>61</v>
      </c>
      <c r="BK360" s="126">
        <v>0.59</v>
      </c>
      <c r="BL360" s="128" t="str">
        <f>IF(BK360="NA","NA",IF(BK360="Not Reported","Not Reported",IF(BK360&gt;$L$360,"Not Met","Met")))</f>
        <v>Not Met</v>
      </c>
      <c r="BM360" s="279">
        <v>0.08</v>
      </c>
      <c r="BN360" s="128" t="str">
        <f>IF(BM360="NA","NA",IF(BM360="Not Reported","Not Reported",IF(BM360&gt;$L$360,"Not Met","Met")))</f>
        <v>Met</v>
      </c>
      <c r="BO360" s="128">
        <v>0.02</v>
      </c>
      <c r="BP360" s="128" t="s">
        <v>198</v>
      </c>
      <c r="BQ360" s="128">
        <v>0.08</v>
      </c>
      <c r="BR360" s="128" t="s">
        <v>198</v>
      </c>
      <c r="BS360" s="128">
        <v>7.0000000000000007E-2</v>
      </c>
      <c r="BT360" s="128" t="str">
        <f>IF(BS360="NA","NA",IF(BS360="Not Reported","Not Reported",IF(BS360&gt;$L$360,"Not Met","Met")))</f>
        <v>Met</v>
      </c>
      <c r="BU360" s="279">
        <v>0.13</v>
      </c>
      <c r="BV360" s="128" t="str">
        <f>IF(BU360="NA","NA",IF(BU360="Not Reported","Not Reported",IF(BU360&gt;$L$360,"Not Met","Met")))</f>
        <v>Met</v>
      </c>
    </row>
    <row r="361" spans="1:74" x14ac:dyDescent="0.2">
      <c r="A361" s="121">
        <v>360</v>
      </c>
      <c r="B361" s="122" t="s">
        <v>51</v>
      </c>
      <c r="C361" s="122" t="s">
        <v>903</v>
      </c>
      <c r="D361" s="123" t="s">
        <v>113</v>
      </c>
      <c r="E361" s="123" t="s">
        <v>899</v>
      </c>
      <c r="F361" s="123" t="s">
        <v>190</v>
      </c>
      <c r="G361" s="122" t="s">
        <v>191</v>
      </c>
      <c r="H361" s="122" t="s">
        <v>212</v>
      </c>
      <c r="I361" s="124" t="s">
        <v>296</v>
      </c>
      <c r="J361" s="124" t="s">
        <v>296</v>
      </c>
      <c r="K361" s="123" t="s">
        <v>296</v>
      </c>
      <c r="L361" s="146">
        <v>0.9</v>
      </c>
      <c r="M361" s="146">
        <v>0.9</v>
      </c>
      <c r="N361" s="218" t="s">
        <v>297</v>
      </c>
      <c r="O361" s="145" t="s">
        <v>298</v>
      </c>
      <c r="P361" s="123" t="s">
        <v>207</v>
      </c>
      <c r="Q361" s="146"/>
      <c r="R361" s="147"/>
      <c r="S361" s="146"/>
      <c r="T361" s="147"/>
      <c r="U361" s="127"/>
      <c r="V361" s="147"/>
      <c r="W361" s="126" t="s">
        <v>11</v>
      </c>
      <c r="X361" s="143" t="s">
        <v>11</v>
      </c>
      <c r="Y361" s="126">
        <v>0.56999999999999995</v>
      </c>
      <c r="Z361" s="121" t="s">
        <v>251</v>
      </c>
      <c r="AA361" s="126">
        <v>0.57999999999999996</v>
      </c>
      <c r="AB361" s="147" t="s">
        <v>251</v>
      </c>
      <c r="AC361" s="121" t="s">
        <v>61</v>
      </c>
      <c r="AD361" s="121" t="s">
        <v>61</v>
      </c>
      <c r="AE361" s="126">
        <v>0.38</v>
      </c>
      <c r="AF361" s="147" t="s">
        <v>251</v>
      </c>
      <c r="AG361" s="126">
        <v>0.42</v>
      </c>
      <c r="AH361" s="121" t="s">
        <v>251</v>
      </c>
      <c r="AI361" s="143">
        <v>0.26666666666666666</v>
      </c>
      <c r="AJ361" s="147" t="s">
        <v>251</v>
      </c>
      <c r="AK361" s="143">
        <v>0.81</v>
      </c>
      <c r="AL361" s="147" t="s">
        <v>251</v>
      </c>
      <c r="AM361" s="143">
        <v>0.38</v>
      </c>
      <c r="AN361" s="121" t="s">
        <v>251</v>
      </c>
      <c r="AO361" s="143">
        <v>0.32</v>
      </c>
      <c r="AP361" s="121" t="s">
        <v>251</v>
      </c>
      <c r="AQ361" s="143">
        <v>0.97</v>
      </c>
      <c r="AR361" s="121" t="s">
        <v>198</v>
      </c>
      <c r="AS361" s="143">
        <v>0.63</v>
      </c>
      <c r="AT361" s="121" t="s">
        <v>251</v>
      </c>
      <c r="AU361" s="126">
        <v>1.1299999999999999</v>
      </c>
      <c r="AV361" s="121" t="s">
        <v>198</v>
      </c>
      <c r="AW361" s="126">
        <v>1.1000000000000001</v>
      </c>
      <c r="AX361" s="121" t="s">
        <v>198</v>
      </c>
      <c r="AY361" s="177">
        <f>46/84</f>
        <v>0.54761904761904767</v>
      </c>
      <c r="AZ361" s="121" t="s">
        <v>251</v>
      </c>
      <c r="BA361" s="177">
        <f>157/84</f>
        <v>1.8690476190476191</v>
      </c>
      <c r="BB361" s="121" t="s">
        <v>198</v>
      </c>
      <c r="BC361" s="146">
        <f>48/118</f>
        <v>0.40677966101694918</v>
      </c>
      <c r="BD361" s="121" t="s">
        <v>251</v>
      </c>
      <c r="BE361" s="177">
        <f>36/67</f>
        <v>0.53731343283582089</v>
      </c>
      <c r="BF361" s="121" t="s">
        <v>251</v>
      </c>
      <c r="BG361" s="177">
        <f>48/77</f>
        <v>0.62337662337662336</v>
      </c>
      <c r="BH361" s="121" t="s">
        <v>251</v>
      </c>
      <c r="BI361" s="147" t="s">
        <v>61</v>
      </c>
      <c r="BJ361" s="121" t="s">
        <v>61</v>
      </c>
      <c r="BK361" s="247">
        <f>40/70</f>
        <v>0.5714285714285714</v>
      </c>
      <c r="BL361" s="128" t="str">
        <f>IF(BK361="NA","NA",IF(BK361="Not Reported","Not Reported",IF(BK361&lt;$L$361,"Not Met","Met")))</f>
        <v>Not Met</v>
      </c>
      <c r="BM361" s="279">
        <v>0.43</v>
      </c>
      <c r="BN361" s="128" t="str">
        <f>IF(BM361="NA","NA",IF(BM361="Not Reported","Not Reported",IF(BM361&lt;$L$361,"Not Met","Met")))</f>
        <v>Not Met</v>
      </c>
      <c r="BO361" s="323">
        <v>0.35164835164835168</v>
      </c>
      <c r="BP361" s="128" t="s">
        <v>251</v>
      </c>
      <c r="BQ361" s="323">
        <v>0.53488372093023251</v>
      </c>
      <c r="BR361" s="128" t="s">
        <v>251</v>
      </c>
      <c r="BS361" s="391">
        <v>0.25</v>
      </c>
      <c r="BT361" s="128" t="str">
        <f>IF(BS361="NA","NA",IF(BS361="Not Reported","Not Reported",IF(BS361&lt;$L$361,"Not Met","Met")))</f>
        <v>Not Met</v>
      </c>
      <c r="BU361" s="323">
        <v>0.59</v>
      </c>
      <c r="BV361" s="128" t="str">
        <f>IF(BU361="NA","NA",IF(BU361="Not Reported","Not Reported",IF(BU361&lt;$L$361,"Not Met","Met")))</f>
        <v>Not Met</v>
      </c>
    </row>
    <row r="362" spans="1:74" x14ac:dyDescent="0.2">
      <c r="A362" s="121">
        <v>361</v>
      </c>
      <c r="B362" s="122" t="s">
        <v>51</v>
      </c>
      <c r="C362" s="122" t="s">
        <v>903</v>
      </c>
      <c r="D362" s="123" t="s">
        <v>113</v>
      </c>
      <c r="E362" s="123" t="s">
        <v>899</v>
      </c>
      <c r="F362" s="123" t="s">
        <v>190</v>
      </c>
      <c r="G362" s="122" t="s">
        <v>273</v>
      </c>
      <c r="H362" s="122" t="s">
        <v>192</v>
      </c>
      <c r="I362" s="124" t="s">
        <v>296</v>
      </c>
      <c r="J362" s="124" t="s">
        <v>296</v>
      </c>
      <c r="K362" s="123" t="s">
        <v>259</v>
      </c>
      <c r="L362" s="146">
        <v>0.05</v>
      </c>
      <c r="M362" s="146">
        <v>0.05</v>
      </c>
      <c r="N362" s="218"/>
      <c r="O362" s="145"/>
      <c r="P362" s="123"/>
      <c r="Q362" s="146"/>
      <c r="R362" s="147"/>
      <c r="S362" s="146"/>
      <c r="T362" s="147"/>
      <c r="U362" s="127"/>
      <c r="V362" s="147"/>
      <c r="W362" s="126"/>
      <c r="X362" s="143"/>
      <c r="Y362" s="126"/>
      <c r="Z362" s="121"/>
      <c r="AA362" s="126"/>
      <c r="AB362" s="147"/>
      <c r="AC362" s="121"/>
      <c r="AD362" s="121"/>
      <c r="AE362" s="126"/>
      <c r="AF362" s="147"/>
      <c r="AG362" s="126"/>
      <c r="AH362" s="121"/>
      <c r="AI362" s="143"/>
      <c r="AJ362" s="147"/>
      <c r="AK362" s="143"/>
      <c r="AL362" s="147"/>
      <c r="AM362" s="143"/>
      <c r="AN362" s="121"/>
      <c r="AO362" s="143" t="s">
        <v>11</v>
      </c>
      <c r="AP362" s="143" t="s">
        <v>11</v>
      </c>
      <c r="AQ362" s="143">
        <v>0.09</v>
      </c>
      <c r="AR362" s="121" t="s">
        <v>198</v>
      </c>
      <c r="AS362" s="143">
        <v>0.09</v>
      </c>
      <c r="AT362" s="121" t="s">
        <v>198</v>
      </c>
      <c r="AU362" s="126">
        <v>0.04</v>
      </c>
      <c r="AV362" s="121" t="s">
        <v>251</v>
      </c>
      <c r="AW362" s="126">
        <v>0.11</v>
      </c>
      <c r="AX362" s="121" t="s">
        <v>198</v>
      </c>
      <c r="AY362" s="177">
        <f>7/42</f>
        <v>0.16666666666666666</v>
      </c>
      <c r="AZ362" s="121" t="s">
        <v>198</v>
      </c>
      <c r="BA362" s="178">
        <f>15/151</f>
        <v>9.9337748344370855E-2</v>
      </c>
      <c r="BB362" s="121" t="s">
        <v>198</v>
      </c>
      <c r="BC362" s="185">
        <f>7/48</f>
        <v>0.14583333333333334</v>
      </c>
      <c r="BD362" s="121" t="s">
        <v>198</v>
      </c>
      <c r="BE362" s="177">
        <f>5/36</f>
        <v>0.1388888888888889</v>
      </c>
      <c r="BF362" s="121" t="s">
        <v>198</v>
      </c>
      <c r="BG362" s="177">
        <f>4/48</f>
        <v>8.3333333333333329E-2</v>
      </c>
      <c r="BH362" s="121" t="s">
        <v>198</v>
      </c>
      <c r="BI362" s="147" t="s">
        <v>61</v>
      </c>
      <c r="BJ362" s="121" t="s">
        <v>61</v>
      </c>
      <c r="BK362" s="247">
        <f>0/40</f>
        <v>0</v>
      </c>
      <c r="BL362" s="121" t="str">
        <f>IF(BK362="NA","NA",IF(BK362="Not Reported","Not Reported",IF(BK362&lt;$L$362,"Not Met","Met")))</f>
        <v>Not Met</v>
      </c>
      <c r="BM362" s="279">
        <v>0.14000000000000001</v>
      </c>
      <c r="BN362" s="121" t="str">
        <f>IF(BM362="NA","NA",IF(BM362="Not Reported","Not Reported",IF(BM362&lt;$L$362,"Not Met","Met")))</f>
        <v>Met</v>
      </c>
      <c r="BO362" s="323">
        <v>3.125E-2</v>
      </c>
      <c r="BP362" s="121" t="s">
        <v>251</v>
      </c>
      <c r="BQ362" s="323">
        <v>5.0724637681159424E-2</v>
      </c>
      <c r="BR362" s="121" t="s">
        <v>198</v>
      </c>
      <c r="BS362" s="396">
        <v>0.08</v>
      </c>
      <c r="BT362" s="121" t="str">
        <f>IF(BS362="NA","NA",IF(BS362="Not Reported","Not Reported",IF(BS362&lt;$L$362,"Not Met","Met")))</f>
        <v>Met</v>
      </c>
      <c r="BU362" s="323">
        <v>8.8095238095238101E-2</v>
      </c>
      <c r="BV362" s="121" t="str">
        <f>IF(BU362="NA","NA",IF(BU362="Not Reported","Not Reported",IF(BU362&lt;$L$362,"Not Met","Met")))</f>
        <v>Met</v>
      </c>
    </row>
    <row r="363" spans="1:74" x14ac:dyDescent="0.2">
      <c r="A363" s="121">
        <v>362</v>
      </c>
      <c r="B363" s="122" t="s">
        <v>51</v>
      </c>
      <c r="C363" s="122" t="s">
        <v>903</v>
      </c>
      <c r="D363" s="123" t="s">
        <v>113</v>
      </c>
      <c r="E363" s="123" t="s">
        <v>899</v>
      </c>
      <c r="F363" s="123" t="s">
        <v>190</v>
      </c>
      <c r="G363" s="122" t="s">
        <v>191</v>
      </c>
      <c r="H363" s="122" t="s">
        <v>212</v>
      </c>
      <c r="I363" s="124"/>
      <c r="J363" s="124"/>
      <c r="K363" s="123" t="s">
        <v>213</v>
      </c>
      <c r="L363" s="147">
        <v>0.9</v>
      </c>
      <c r="M363" s="146">
        <v>0.9</v>
      </c>
      <c r="N363" s="218"/>
      <c r="O363" s="145"/>
      <c r="P363" s="123" t="s">
        <v>207</v>
      </c>
      <c r="Q363" s="146"/>
      <c r="R363" s="147"/>
      <c r="S363" s="146"/>
      <c r="T363" s="147"/>
      <c r="U363" s="127"/>
      <c r="V363" s="147"/>
      <c r="W363" s="126"/>
      <c r="X363" s="143"/>
      <c r="Y363" s="126"/>
      <c r="Z363" s="121"/>
      <c r="AA363" s="126" t="s">
        <v>11</v>
      </c>
      <c r="AB363" s="126" t="s">
        <v>11</v>
      </c>
      <c r="AC363" s="121"/>
      <c r="AD363" s="121"/>
      <c r="AE363" s="126">
        <v>0.28000000000000003</v>
      </c>
      <c r="AF363" s="147" t="s">
        <v>251</v>
      </c>
      <c r="AG363" s="146">
        <v>0.67</v>
      </c>
      <c r="AH363" s="147" t="s">
        <v>251</v>
      </c>
      <c r="AI363" s="177">
        <f>35/41</f>
        <v>0.85365853658536583</v>
      </c>
      <c r="AJ363" s="147" t="s">
        <v>251</v>
      </c>
      <c r="AK363" s="177">
        <v>0.82</v>
      </c>
      <c r="AL363" s="147" t="s">
        <v>251</v>
      </c>
      <c r="AM363" s="177">
        <v>0.64</v>
      </c>
      <c r="AN363" s="121" t="s">
        <v>251</v>
      </c>
      <c r="AO363" s="177">
        <v>0.72</v>
      </c>
      <c r="AP363" s="121" t="s">
        <v>251</v>
      </c>
      <c r="AQ363" s="177">
        <v>0.85</v>
      </c>
      <c r="AR363" s="121" t="s">
        <v>251</v>
      </c>
      <c r="AS363" s="177">
        <v>0.81</v>
      </c>
      <c r="AT363" s="121" t="s">
        <v>251</v>
      </c>
      <c r="AU363" s="126">
        <v>0.8</v>
      </c>
      <c r="AV363" s="121" t="s">
        <v>251</v>
      </c>
      <c r="AW363" s="126">
        <v>0.82</v>
      </c>
      <c r="AX363" s="121" t="s">
        <v>251</v>
      </c>
      <c r="AY363" s="177">
        <f>42/47</f>
        <v>0.8936170212765957</v>
      </c>
      <c r="AZ363" s="121" t="s">
        <v>251</v>
      </c>
      <c r="BA363" s="177">
        <f>129/149</f>
        <v>0.86577181208053688</v>
      </c>
      <c r="BB363" s="121" t="s">
        <v>251</v>
      </c>
      <c r="BC363" s="185">
        <f>42/48</f>
        <v>0.875</v>
      </c>
      <c r="BD363" s="121" t="s">
        <v>251</v>
      </c>
      <c r="BE363" s="177">
        <f>32/51</f>
        <v>0.62745098039215685</v>
      </c>
      <c r="BF363" s="121" t="s">
        <v>251</v>
      </c>
      <c r="BG363" s="177">
        <f>39/50</f>
        <v>0.78</v>
      </c>
      <c r="BH363" s="121" t="s">
        <v>251</v>
      </c>
      <c r="BI363" s="147" t="s">
        <v>61</v>
      </c>
      <c r="BJ363" s="121" t="s">
        <v>61</v>
      </c>
      <c r="BK363" s="247">
        <f>(14+19)/37</f>
        <v>0.89189189189189189</v>
      </c>
      <c r="BL363" s="121" t="str">
        <f>IF(BK363="NA","NA",IF(BK363="Not Reported","Not Reported",IF(BK363&gt;$L$15,"Not Met","Met")))</f>
        <v>Met</v>
      </c>
      <c r="BM363" s="279">
        <v>0.9</v>
      </c>
      <c r="BN363" s="121" t="str">
        <f>IF(BM363="NA","NA",IF(BM363="Not Reported","Not Reported",IF(BM363&lt;$L$363,"Not Met","Met")))</f>
        <v>Met</v>
      </c>
      <c r="BO363" s="325">
        <v>0.89830508474576276</v>
      </c>
      <c r="BP363" s="121" t="s">
        <v>251</v>
      </c>
      <c r="BQ363" s="325">
        <v>0.89928057553956831</v>
      </c>
      <c r="BR363" s="121" t="s">
        <v>251</v>
      </c>
      <c r="BS363" s="390">
        <v>88</v>
      </c>
      <c r="BT363" s="121" t="str">
        <f>IF(BS363="NA","NA",IF(BS363="Not Reported","Not Reported",IF(BS363&lt;$L$363,"Not Met","Met")))</f>
        <v>Met</v>
      </c>
      <c r="BU363" s="325">
        <v>0.84</v>
      </c>
      <c r="BV363" s="121" t="str">
        <f>IF(BU363="NA","NA",IF(BU363="Not Reported","Not Reported",IF(BU363&lt;$L$363,"Not Met","Met")))</f>
        <v>Not Met</v>
      </c>
    </row>
    <row r="364" spans="1:74" x14ac:dyDescent="0.25">
      <c r="A364" s="121">
        <v>363</v>
      </c>
      <c r="B364" s="122" t="s">
        <v>52</v>
      </c>
      <c r="C364" s="122" t="s">
        <v>903</v>
      </c>
      <c r="D364" s="123" t="s">
        <v>133</v>
      </c>
      <c r="E364" s="123" t="s">
        <v>899</v>
      </c>
      <c r="F364" s="123" t="s">
        <v>300</v>
      </c>
      <c r="G364" s="122" t="s">
        <v>273</v>
      </c>
      <c r="H364" s="122" t="s">
        <v>192</v>
      </c>
      <c r="I364" s="124"/>
      <c r="J364" s="124"/>
      <c r="K364" s="123" t="s">
        <v>784</v>
      </c>
      <c r="L364" s="147">
        <v>100</v>
      </c>
      <c r="M364" s="146" t="s">
        <v>540</v>
      </c>
      <c r="N364" s="218"/>
      <c r="O364" s="145"/>
      <c r="P364" s="123"/>
      <c r="Q364" s="146"/>
      <c r="R364" s="147"/>
      <c r="S364" s="146"/>
      <c r="T364" s="147"/>
      <c r="U364" s="127"/>
      <c r="V364" s="147"/>
      <c r="W364" s="126"/>
      <c r="X364" s="143"/>
      <c r="Y364" s="126"/>
      <c r="Z364" s="121"/>
      <c r="AA364" s="126"/>
      <c r="AB364" s="147"/>
      <c r="AC364" s="121"/>
      <c r="AD364" s="121"/>
      <c r="AE364" s="126"/>
      <c r="AF364" s="147"/>
      <c r="AG364" s="126" t="s">
        <v>11</v>
      </c>
      <c r="AH364" s="126" t="s">
        <v>11</v>
      </c>
      <c r="AI364" s="143" t="s">
        <v>785</v>
      </c>
      <c r="AJ364" s="121" t="s">
        <v>198</v>
      </c>
      <c r="AK364" s="143" t="s">
        <v>785</v>
      </c>
      <c r="AL364" s="121" t="s">
        <v>198</v>
      </c>
      <c r="AM364" s="143" t="s">
        <v>730</v>
      </c>
      <c r="AN364" s="121" t="s">
        <v>251</v>
      </c>
      <c r="AO364" s="143" t="s">
        <v>537</v>
      </c>
      <c r="AP364" s="121" t="s">
        <v>251</v>
      </c>
      <c r="AQ364" s="209">
        <v>98</v>
      </c>
      <c r="AR364" s="121" t="s">
        <v>198</v>
      </c>
      <c r="AS364" s="209">
        <v>94</v>
      </c>
      <c r="AT364" s="121" t="s">
        <v>198</v>
      </c>
      <c r="AU364" s="209">
        <v>115</v>
      </c>
      <c r="AV364" s="121" t="s">
        <v>251</v>
      </c>
      <c r="AW364" s="209">
        <v>98</v>
      </c>
      <c r="AX364" s="121" t="s">
        <v>198</v>
      </c>
      <c r="AY364" s="121">
        <v>80</v>
      </c>
      <c r="AZ364" s="121" t="s">
        <v>198</v>
      </c>
      <c r="BA364" s="209">
        <v>97</v>
      </c>
      <c r="BB364" s="121" t="s">
        <v>198</v>
      </c>
      <c r="BC364" s="121">
        <v>68</v>
      </c>
      <c r="BD364" s="121" t="s">
        <v>198</v>
      </c>
      <c r="BE364" s="121">
        <v>56</v>
      </c>
      <c r="BF364" s="121" t="s">
        <v>198</v>
      </c>
      <c r="BG364" s="121">
        <v>35</v>
      </c>
      <c r="BH364" s="121" t="s">
        <v>198</v>
      </c>
      <c r="BI364" s="121" t="s">
        <v>61</v>
      </c>
      <c r="BJ364" s="121" t="s">
        <v>61</v>
      </c>
      <c r="BK364" s="167">
        <v>82</v>
      </c>
      <c r="BL364" s="121" t="str">
        <f>IF(BK364="NA","NA",IF(BK364="Not Reported","Not Reported",IF(BK364&gt;$L$364,"Not Met","Met")))</f>
        <v>Met</v>
      </c>
      <c r="BM364" s="258">
        <v>52</v>
      </c>
      <c r="BN364" s="121" t="str">
        <f>IF(BM364="NA","NA",IF(BM364="Not Reported","Not Reported",IF(BM364&gt;$L$364,"Not Met","Met")))</f>
        <v>Met</v>
      </c>
      <c r="BO364" s="121">
        <v>91</v>
      </c>
      <c r="BP364" s="121" t="s">
        <v>198</v>
      </c>
      <c r="BQ364" s="121" t="s">
        <v>61</v>
      </c>
      <c r="BR364" s="121" t="s">
        <v>61</v>
      </c>
      <c r="BS364" s="26">
        <v>60</v>
      </c>
      <c r="BT364" s="121" t="str">
        <f>IF(BS364="NA","NA",IF(BS364="Not Reported","Not Reported",IF(BS364&gt;$L$364,"Not Met","Met")))</f>
        <v>Met</v>
      </c>
      <c r="BU364" s="422">
        <v>74</v>
      </c>
      <c r="BV364" s="121" t="str">
        <f>IF(BU364="NA","NA",IF(BU364="Not Reported","Not Reported",IF(BU364&gt;$L$364,"Not Met","Met")))</f>
        <v>Met</v>
      </c>
    </row>
    <row r="365" spans="1:74" x14ac:dyDescent="0.25">
      <c r="A365" s="121">
        <v>364</v>
      </c>
      <c r="B365" s="122" t="s">
        <v>52</v>
      </c>
      <c r="C365" s="122" t="s">
        <v>903</v>
      </c>
      <c r="D365" s="123" t="s">
        <v>133</v>
      </c>
      <c r="E365" s="123" t="s">
        <v>899</v>
      </c>
      <c r="F365" s="123" t="s">
        <v>300</v>
      </c>
      <c r="G365" s="122" t="s">
        <v>273</v>
      </c>
      <c r="H365" s="122" t="s">
        <v>192</v>
      </c>
      <c r="I365" s="124"/>
      <c r="J365" s="124"/>
      <c r="K365" s="123" t="s">
        <v>786</v>
      </c>
      <c r="L365" s="147">
        <v>100</v>
      </c>
      <c r="M365" s="146" t="s">
        <v>540</v>
      </c>
      <c r="N365" s="218"/>
      <c r="O365" s="145"/>
      <c r="P365" s="123"/>
      <c r="Q365" s="146"/>
      <c r="R365" s="147"/>
      <c r="S365" s="146"/>
      <c r="T365" s="147"/>
      <c r="U365" s="127"/>
      <c r="V365" s="147"/>
      <c r="W365" s="126"/>
      <c r="X365" s="143"/>
      <c r="Y365" s="126"/>
      <c r="Z365" s="121"/>
      <c r="AA365" s="126"/>
      <c r="AB365" s="147"/>
      <c r="AC365" s="121"/>
      <c r="AD365" s="121"/>
      <c r="AE365" s="126"/>
      <c r="AF365" s="147"/>
      <c r="AG365" s="126" t="s">
        <v>11</v>
      </c>
      <c r="AH365" s="126" t="s">
        <v>11</v>
      </c>
      <c r="AI365" s="143" t="s">
        <v>484</v>
      </c>
      <c r="AJ365" s="121" t="s">
        <v>198</v>
      </c>
      <c r="AK365" s="143" t="s">
        <v>484</v>
      </c>
      <c r="AL365" s="121" t="s">
        <v>198</v>
      </c>
      <c r="AM365" s="143" t="s">
        <v>11</v>
      </c>
      <c r="AN365" s="128" t="s">
        <v>11</v>
      </c>
      <c r="AO365" s="143" t="s">
        <v>11</v>
      </c>
      <c r="AP365" s="128" t="s">
        <v>11</v>
      </c>
      <c r="AQ365" s="209">
        <v>43</v>
      </c>
      <c r="AR365" s="121" t="s">
        <v>198</v>
      </c>
      <c r="AS365" s="209">
        <v>43</v>
      </c>
      <c r="AT365" s="121" t="s">
        <v>198</v>
      </c>
      <c r="AU365" s="209">
        <v>194</v>
      </c>
      <c r="AV365" s="121" t="s">
        <v>251</v>
      </c>
      <c r="AW365" s="209">
        <v>136</v>
      </c>
      <c r="AX365" s="121" t="s">
        <v>251</v>
      </c>
      <c r="AY365" s="121">
        <v>77</v>
      </c>
      <c r="AZ365" s="121" t="s">
        <v>198</v>
      </c>
      <c r="BA365" s="209">
        <v>135</v>
      </c>
      <c r="BB365" s="121" t="s">
        <v>251</v>
      </c>
      <c r="BC365" s="121">
        <v>164</v>
      </c>
      <c r="BD365" s="121" t="s">
        <v>251</v>
      </c>
      <c r="BE365" s="121">
        <v>71</v>
      </c>
      <c r="BF365" s="121" t="s">
        <v>198</v>
      </c>
      <c r="BG365" s="121">
        <v>86</v>
      </c>
      <c r="BH365" s="121" t="s">
        <v>198</v>
      </c>
      <c r="BI365" s="121" t="s">
        <v>61</v>
      </c>
      <c r="BJ365" s="121" t="s">
        <v>61</v>
      </c>
      <c r="BK365" s="121" t="s">
        <v>11</v>
      </c>
      <c r="BL365" s="121" t="str">
        <f>IF(BK365="NA","NA",IF(BK365="Not Reported","Not Reported",IF(BK365&gt;$L$365,"Not Met","Met")))</f>
        <v>NA</v>
      </c>
      <c r="BM365" s="89">
        <v>207</v>
      </c>
      <c r="BN365" s="121" t="str">
        <f>IF(BM365="NA","NA",IF(BM365="Not Reported","Not Reported",IF(BM365&gt;$L$365,"Not Met","Met")))</f>
        <v>Not Met</v>
      </c>
      <c r="BO365" s="121">
        <v>73</v>
      </c>
      <c r="BP365" s="121" t="s">
        <v>198</v>
      </c>
      <c r="BQ365" s="121" t="s">
        <v>61</v>
      </c>
      <c r="BR365" s="121" t="s">
        <v>61</v>
      </c>
      <c r="BS365" s="26">
        <v>94</v>
      </c>
      <c r="BT365" s="121" t="str">
        <f>IF(BS365="NA","NA",IF(BS365="Not Reported","Not Reported",IF(BS365&gt;$L$365,"Not Met","Met")))</f>
        <v>Met</v>
      </c>
      <c r="BU365" s="422">
        <v>122</v>
      </c>
      <c r="BV365" s="121" t="str">
        <f>IF(BU365="NA","NA",IF(BU365="Not Reported","Not Reported",IF(BU365&gt;$L$365,"Not Met","Met")))</f>
        <v>Not Met</v>
      </c>
    </row>
    <row r="366" spans="1:74" x14ac:dyDescent="0.2">
      <c r="A366" s="121">
        <v>365</v>
      </c>
      <c r="B366" s="122" t="s">
        <v>52</v>
      </c>
      <c r="C366" s="122" t="s">
        <v>903</v>
      </c>
      <c r="D366" s="123" t="s">
        <v>133</v>
      </c>
      <c r="E366" s="123" t="s">
        <v>899</v>
      </c>
      <c r="F366" s="123" t="s">
        <v>300</v>
      </c>
      <c r="G366" s="122" t="s">
        <v>273</v>
      </c>
      <c r="H366" s="122" t="s">
        <v>192</v>
      </c>
      <c r="I366" s="124"/>
      <c r="J366" s="124"/>
      <c r="K366" s="123" t="s">
        <v>787</v>
      </c>
      <c r="L366" s="147">
        <v>45</v>
      </c>
      <c r="M366" s="146" t="s">
        <v>361</v>
      </c>
      <c r="N366" s="218"/>
      <c r="O366" s="145"/>
      <c r="P366" s="123"/>
      <c r="Q366" s="146"/>
      <c r="R366" s="147"/>
      <c r="S366" s="146"/>
      <c r="T366" s="147"/>
      <c r="U366" s="127"/>
      <c r="V366" s="147"/>
      <c r="W366" s="126"/>
      <c r="X366" s="143"/>
      <c r="Y366" s="126"/>
      <c r="Z366" s="121"/>
      <c r="AA366" s="126"/>
      <c r="AB366" s="147"/>
      <c r="AC366" s="121"/>
      <c r="AD366" s="121"/>
      <c r="AE366" s="126"/>
      <c r="AF366" s="147"/>
      <c r="AG366" s="126" t="s">
        <v>11</v>
      </c>
      <c r="AH366" s="126" t="s">
        <v>11</v>
      </c>
      <c r="AI366" s="143" t="s">
        <v>537</v>
      </c>
      <c r="AJ366" s="147" t="s">
        <v>251</v>
      </c>
      <c r="AK366" s="143" t="s">
        <v>537</v>
      </c>
      <c r="AL366" s="147" t="s">
        <v>251</v>
      </c>
      <c r="AM366" s="143" t="s">
        <v>629</v>
      </c>
      <c r="AN366" s="121" t="s">
        <v>198</v>
      </c>
      <c r="AO366" s="143" t="s">
        <v>501</v>
      </c>
      <c r="AP366" s="121" t="s">
        <v>198</v>
      </c>
      <c r="AQ366" s="196">
        <v>33</v>
      </c>
      <c r="AR366" s="121" t="s">
        <v>198</v>
      </c>
      <c r="AS366" s="209">
        <v>39</v>
      </c>
      <c r="AT366" s="121" t="s">
        <v>198</v>
      </c>
      <c r="AU366" s="196">
        <v>49</v>
      </c>
      <c r="AV366" s="121" t="s">
        <v>251</v>
      </c>
      <c r="AW366" s="196">
        <v>55</v>
      </c>
      <c r="AX366" s="121" t="s">
        <v>251</v>
      </c>
      <c r="AY366" s="121">
        <v>64</v>
      </c>
      <c r="AZ366" s="121" t="s">
        <v>251</v>
      </c>
      <c r="BA366" s="196">
        <v>56</v>
      </c>
      <c r="BB366" s="121" t="s">
        <v>251</v>
      </c>
      <c r="BC366" s="121">
        <v>41</v>
      </c>
      <c r="BD366" s="121" t="s">
        <v>198</v>
      </c>
      <c r="BE366" s="121" t="s">
        <v>11</v>
      </c>
      <c r="BF366" s="248" t="s">
        <v>11</v>
      </c>
      <c r="BG366" s="121">
        <v>79</v>
      </c>
      <c r="BH366" s="121" t="s">
        <v>251</v>
      </c>
      <c r="BI366" s="121" t="s">
        <v>61</v>
      </c>
      <c r="BJ366" s="121" t="s">
        <v>61</v>
      </c>
      <c r="BK366" s="121">
        <v>49</v>
      </c>
      <c r="BL366" s="121" t="str">
        <f>IF(BK366="NA","NA",IF(BK366="Not Reported","Not Reported",IF(BK366&gt;$L$366,"Not Met","Met")))</f>
        <v>Not Met</v>
      </c>
      <c r="BM366" s="258">
        <v>27</v>
      </c>
      <c r="BN366" s="121" t="str">
        <f>IF(BM366="NA","NA",IF(BM366="Not Reported","Not Reported",IF(BM366&gt;$L$366,"Not Met","Met")))</f>
        <v>Met</v>
      </c>
      <c r="BO366" s="121">
        <v>71</v>
      </c>
      <c r="BP366" s="121" t="s">
        <v>251</v>
      </c>
      <c r="BQ366" s="121" t="s">
        <v>61</v>
      </c>
      <c r="BR366" s="121" t="s">
        <v>61</v>
      </c>
      <c r="BS366" s="26">
        <v>40</v>
      </c>
      <c r="BT366" s="121" t="str">
        <f>IF(BS366="NA","NA",IF(BS366="Not Reported","Not Reported",IF(BS366&gt;$L$366,"Not Met","Met")))</f>
        <v>Met</v>
      </c>
      <c r="BU366" s="423">
        <v>53</v>
      </c>
      <c r="BV366" s="121" t="str">
        <f>IF(BU366="NA","NA",IF(BU366="Not Reported","Not Reported",IF(BU366&gt;$L$366,"Not Met","Met")))</f>
        <v>Not Met</v>
      </c>
    </row>
    <row r="367" spans="1:74" x14ac:dyDescent="0.2">
      <c r="A367" s="121">
        <v>366</v>
      </c>
      <c r="B367" s="122" t="s">
        <v>52</v>
      </c>
      <c r="C367" s="122" t="s">
        <v>903</v>
      </c>
      <c r="D367" s="123" t="s">
        <v>133</v>
      </c>
      <c r="E367" s="123" t="s">
        <v>899</v>
      </c>
      <c r="F367" s="123" t="s">
        <v>300</v>
      </c>
      <c r="G367" s="122" t="s">
        <v>273</v>
      </c>
      <c r="H367" s="122" t="s">
        <v>192</v>
      </c>
      <c r="I367" s="124"/>
      <c r="J367" s="124"/>
      <c r="K367" s="123" t="s">
        <v>788</v>
      </c>
      <c r="L367" s="147">
        <v>100</v>
      </c>
      <c r="M367" s="146" t="s">
        <v>540</v>
      </c>
      <c r="N367" s="218"/>
      <c r="O367" s="145"/>
      <c r="P367" s="123"/>
      <c r="Q367" s="146"/>
      <c r="R367" s="147"/>
      <c r="S367" s="146"/>
      <c r="T367" s="147"/>
      <c r="U367" s="127"/>
      <c r="V367" s="147"/>
      <c r="W367" s="126"/>
      <c r="X367" s="143"/>
      <c r="Y367" s="126"/>
      <c r="Z367" s="121"/>
      <c r="AA367" s="126"/>
      <c r="AB367" s="147"/>
      <c r="AC367" s="121"/>
      <c r="AD367" s="121"/>
      <c r="AE367" s="126"/>
      <c r="AF367" s="147"/>
      <c r="AG367" s="126" t="s">
        <v>11</v>
      </c>
      <c r="AH367" s="126" t="s">
        <v>11</v>
      </c>
      <c r="AI367" s="143" t="s">
        <v>11</v>
      </c>
      <c r="AJ367" s="128" t="s">
        <v>11</v>
      </c>
      <c r="AK367" s="143" t="s">
        <v>11</v>
      </c>
      <c r="AL367" s="128" t="s">
        <v>11</v>
      </c>
      <c r="AM367" s="143" t="s">
        <v>546</v>
      </c>
      <c r="AN367" s="121" t="s">
        <v>198</v>
      </c>
      <c r="AO367" s="143" t="s">
        <v>623</v>
      </c>
      <c r="AP367" s="121" t="s">
        <v>198</v>
      </c>
      <c r="AQ367" s="209">
        <v>69</v>
      </c>
      <c r="AR367" s="121" t="s">
        <v>198</v>
      </c>
      <c r="AS367" s="209">
        <v>69</v>
      </c>
      <c r="AT367" s="121" t="s">
        <v>198</v>
      </c>
      <c r="AU367" s="209">
        <v>47</v>
      </c>
      <c r="AV367" s="121" t="s">
        <v>198</v>
      </c>
      <c r="AW367" s="143" t="s">
        <v>11</v>
      </c>
      <c r="AX367" s="128" t="s">
        <v>11</v>
      </c>
      <c r="AY367" s="128" t="s">
        <v>11</v>
      </c>
      <c r="AZ367" s="128" t="s">
        <v>11</v>
      </c>
      <c r="BA367" s="209">
        <v>47</v>
      </c>
      <c r="BB367" s="121" t="s">
        <v>198</v>
      </c>
      <c r="BC367" s="127" t="s">
        <v>11</v>
      </c>
      <c r="BD367" s="128" t="s">
        <v>11</v>
      </c>
      <c r="BE367" s="127" t="s">
        <v>11</v>
      </c>
      <c r="BF367" s="248" t="s">
        <v>11</v>
      </c>
      <c r="BG367" s="127" t="s">
        <v>11</v>
      </c>
      <c r="BH367" s="128" t="s">
        <v>11</v>
      </c>
      <c r="BI367" s="121" t="s">
        <v>61</v>
      </c>
      <c r="BJ367" s="121" t="s">
        <v>61</v>
      </c>
      <c r="BK367" s="128" t="s">
        <v>11</v>
      </c>
      <c r="BL367" s="121" t="str">
        <f>IF(BK367="NA","NA",IF(BK367="Not Reported","Not Reported",IF(BK367&gt;$L$367,"Not Met","Met")))</f>
        <v>NA</v>
      </c>
      <c r="BM367" s="258">
        <v>54</v>
      </c>
      <c r="BN367" s="121" t="str">
        <f>IF(BM367="NA","NA",IF(BM367="Not Reported","Not Reported",IF(BM367&gt;$L$367,"Not Met","Met")))</f>
        <v>Met</v>
      </c>
      <c r="BO367" s="121">
        <v>84</v>
      </c>
      <c r="BP367" s="121" t="s">
        <v>198</v>
      </c>
      <c r="BQ367" s="121" t="s">
        <v>61</v>
      </c>
      <c r="BR367" s="121" t="s">
        <v>61</v>
      </c>
      <c r="BS367" s="26">
        <v>104</v>
      </c>
      <c r="BT367" s="121" t="str">
        <f>IF(BS367="NA","NA",IF(BS367="Not Reported","Not Reported",IF(BS367&gt;$L$367,"Not Met","Met")))</f>
        <v>Not Met</v>
      </c>
      <c r="BU367" s="422">
        <v>72</v>
      </c>
      <c r="BV367" s="121" t="str">
        <f>IF(BU367="NA","NA",IF(BU367="Not Reported","Not Reported",IF(BU367&gt;$L$367,"Not Met","Met")))</f>
        <v>Met</v>
      </c>
    </row>
    <row r="368" spans="1:74" x14ac:dyDescent="0.2">
      <c r="A368" s="121">
        <v>367</v>
      </c>
      <c r="B368" s="122" t="s">
        <v>52</v>
      </c>
      <c r="C368" s="122" t="s">
        <v>903</v>
      </c>
      <c r="D368" s="123" t="s">
        <v>133</v>
      </c>
      <c r="E368" s="123" t="s">
        <v>899</v>
      </c>
      <c r="F368" s="123" t="s">
        <v>300</v>
      </c>
      <c r="G368" s="122" t="s">
        <v>273</v>
      </c>
      <c r="H368" s="122" t="s">
        <v>192</v>
      </c>
      <c r="I368" s="124"/>
      <c r="J368" s="124"/>
      <c r="K368" s="123" t="s">
        <v>789</v>
      </c>
      <c r="L368" s="147">
        <v>85</v>
      </c>
      <c r="M368" s="146" t="s">
        <v>771</v>
      </c>
      <c r="N368" s="218"/>
      <c r="O368" s="145"/>
      <c r="P368" s="123"/>
      <c r="Q368" s="146"/>
      <c r="R368" s="147"/>
      <c r="S368" s="146"/>
      <c r="T368" s="147"/>
      <c r="U368" s="127"/>
      <c r="V368" s="147"/>
      <c r="W368" s="126"/>
      <c r="X368" s="143"/>
      <c r="Y368" s="126"/>
      <c r="Z368" s="121"/>
      <c r="AA368" s="126"/>
      <c r="AB368" s="147"/>
      <c r="AC368" s="121"/>
      <c r="AD368" s="121"/>
      <c r="AE368" s="126"/>
      <c r="AF368" s="147"/>
      <c r="AG368" s="126" t="s">
        <v>11</v>
      </c>
      <c r="AH368" s="126" t="s">
        <v>11</v>
      </c>
      <c r="AI368" s="143" t="s">
        <v>626</v>
      </c>
      <c r="AJ368" s="121" t="s">
        <v>198</v>
      </c>
      <c r="AK368" s="143" t="s">
        <v>626</v>
      </c>
      <c r="AL368" s="121" t="s">
        <v>198</v>
      </c>
      <c r="AM368" s="143" t="s">
        <v>771</v>
      </c>
      <c r="AN368" s="121" t="s">
        <v>198</v>
      </c>
      <c r="AO368" s="143" t="s">
        <v>11</v>
      </c>
      <c r="AP368" s="128" t="s">
        <v>11</v>
      </c>
      <c r="AQ368" s="143" t="s">
        <v>11</v>
      </c>
      <c r="AR368" s="143" t="s">
        <v>11</v>
      </c>
      <c r="AS368" s="209">
        <v>85</v>
      </c>
      <c r="AT368" s="121" t="s">
        <v>198</v>
      </c>
      <c r="AU368" s="143" t="s">
        <v>11</v>
      </c>
      <c r="AV368" s="143" t="s">
        <v>11</v>
      </c>
      <c r="AW368" s="143" t="s">
        <v>11</v>
      </c>
      <c r="AX368" s="128" t="s">
        <v>11</v>
      </c>
      <c r="AY368" s="128" t="s">
        <v>11</v>
      </c>
      <c r="AZ368" s="128" t="s">
        <v>11</v>
      </c>
      <c r="BA368" s="143" t="s">
        <v>11</v>
      </c>
      <c r="BB368" s="128" t="s">
        <v>11</v>
      </c>
      <c r="BC368" s="127" t="s">
        <v>11</v>
      </c>
      <c r="BD368" s="128" t="s">
        <v>11</v>
      </c>
      <c r="BE368" s="127" t="s">
        <v>11</v>
      </c>
      <c r="BF368" s="248" t="s">
        <v>11</v>
      </c>
      <c r="BG368" s="127">
        <v>47</v>
      </c>
      <c r="BH368" s="121" t="s">
        <v>198</v>
      </c>
      <c r="BI368" s="121" t="s">
        <v>61</v>
      </c>
      <c r="BJ368" s="121" t="s">
        <v>61</v>
      </c>
      <c r="BK368" s="128" t="s">
        <v>11</v>
      </c>
      <c r="BL368" s="121" t="str">
        <f>IF(BK368="NA","NA",IF(BK368="Not Reported","Not Reported",IF(BK368&gt;$L$368,"Not Met","Met")))</f>
        <v>NA</v>
      </c>
      <c r="BM368" s="258" t="s">
        <v>11</v>
      </c>
      <c r="BN368" s="121" t="str">
        <f>IF(BM368="NA","NA",IF(BM368="Not Reported","Not Reported",IF(BM368&gt;$L$368,"Not Met","Met")))</f>
        <v>NA</v>
      </c>
      <c r="BO368" s="121">
        <v>104</v>
      </c>
      <c r="BP368" s="121" t="s">
        <v>251</v>
      </c>
      <c r="BQ368" s="121" t="s">
        <v>61</v>
      </c>
      <c r="BR368" s="121" t="s">
        <v>61</v>
      </c>
      <c r="BS368" s="26" t="s">
        <v>11</v>
      </c>
      <c r="BT368" s="121" t="str">
        <f>IF(BS368="NA","NA",IF(BS368="Not Reported","Not Reported",IF(BS368&gt;$L$368,"Not Met","Met")))</f>
        <v>NA</v>
      </c>
      <c r="BU368" s="423">
        <v>76</v>
      </c>
      <c r="BV368" s="121" t="str">
        <f>IF(BU368="NA","NA",IF(BU368="Not Reported","Not Reported",IF(BU368&gt;$L$368,"Not Met","Met")))</f>
        <v>Met</v>
      </c>
    </row>
    <row r="369" spans="1:74" x14ac:dyDescent="0.2">
      <c r="A369" s="121">
        <v>368</v>
      </c>
      <c r="B369" s="122" t="s">
        <v>52</v>
      </c>
      <c r="C369" s="122" t="s">
        <v>903</v>
      </c>
      <c r="D369" s="123" t="s">
        <v>133</v>
      </c>
      <c r="E369" s="123" t="s">
        <v>899</v>
      </c>
      <c r="F369" s="123" t="s">
        <v>300</v>
      </c>
      <c r="G369" s="122" t="s">
        <v>273</v>
      </c>
      <c r="H369" s="122" t="s">
        <v>192</v>
      </c>
      <c r="I369" s="124"/>
      <c r="J369" s="124"/>
      <c r="K369" s="123" t="s">
        <v>790</v>
      </c>
      <c r="L369" s="147">
        <v>100</v>
      </c>
      <c r="M369" s="146" t="s">
        <v>540</v>
      </c>
      <c r="N369" s="218"/>
      <c r="O369" s="145"/>
      <c r="P369" s="123"/>
      <c r="Q369" s="146"/>
      <c r="R369" s="147"/>
      <c r="S369" s="146"/>
      <c r="T369" s="147"/>
      <c r="U369" s="127"/>
      <c r="V369" s="147"/>
      <c r="W369" s="126"/>
      <c r="X369" s="143"/>
      <c r="Y369" s="126"/>
      <c r="Z369" s="121"/>
      <c r="AA369" s="126"/>
      <c r="AB369" s="147"/>
      <c r="AC369" s="121"/>
      <c r="AD369" s="121"/>
      <c r="AE369" s="126"/>
      <c r="AF369" s="147"/>
      <c r="AG369" s="126" t="s">
        <v>11</v>
      </c>
      <c r="AH369" s="126" t="s">
        <v>11</v>
      </c>
      <c r="AI369" s="143" t="s">
        <v>11</v>
      </c>
      <c r="AJ369" s="128" t="s">
        <v>11</v>
      </c>
      <c r="AK369" s="143" t="s">
        <v>11</v>
      </c>
      <c r="AL369" s="128" t="s">
        <v>11</v>
      </c>
      <c r="AM369" s="143" t="s">
        <v>623</v>
      </c>
      <c r="AN369" s="121" t="s">
        <v>198</v>
      </c>
      <c r="AO369" s="143" t="s">
        <v>478</v>
      </c>
      <c r="AP369" s="121" t="s">
        <v>198</v>
      </c>
      <c r="AQ369" s="209">
        <v>47</v>
      </c>
      <c r="AR369" s="121" t="s">
        <v>198</v>
      </c>
      <c r="AS369" s="143" t="s">
        <v>626</v>
      </c>
      <c r="AT369" s="121" t="s">
        <v>198</v>
      </c>
      <c r="AU369" s="209">
        <v>51</v>
      </c>
      <c r="AV369" s="121" t="s">
        <v>198</v>
      </c>
      <c r="AW369" s="143" t="s">
        <v>11</v>
      </c>
      <c r="AX369" s="128" t="s">
        <v>11</v>
      </c>
      <c r="AY369" s="130">
        <v>13</v>
      </c>
      <c r="AZ369" s="121" t="s">
        <v>198</v>
      </c>
      <c r="BA369" s="209">
        <v>48</v>
      </c>
      <c r="BB369" s="121" t="s">
        <v>198</v>
      </c>
      <c r="BC369" s="130">
        <v>117</v>
      </c>
      <c r="BD369" s="121" t="s">
        <v>251</v>
      </c>
      <c r="BE369" s="130" t="s">
        <v>11</v>
      </c>
      <c r="BF369" s="248" t="s">
        <v>11</v>
      </c>
      <c r="BG369" s="130">
        <v>75</v>
      </c>
      <c r="BH369" s="121" t="s">
        <v>198</v>
      </c>
      <c r="BI369" s="121" t="s">
        <v>61</v>
      </c>
      <c r="BJ369" s="121" t="s">
        <v>61</v>
      </c>
      <c r="BK369" s="130">
        <v>117</v>
      </c>
      <c r="BL369" s="121" t="str">
        <f>IF(BK369="NA","NA",IF(BK369="Not Reported","Not Reported",IF(BK369&gt;$L$369,"Not Met","Met")))</f>
        <v>Not Met</v>
      </c>
      <c r="BM369" s="258" t="s">
        <v>11</v>
      </c>
      <c r="BN369" s="121" t="str">
        <f>IF(BM369="NA","NA",IF(BM369="Not Reported","Not Reported",IF(BM369&gt;$L$369,"Not Met","Met")))</f>
        <v>NA</v>
      </c>
      <c r="BO369" s="121">
        <v>113</v>
      </c>
      <c r="BP369" s="121" t="s">
        <v>251</v>
      </c>
      <c r="BQ369" s="121" t="s">
        <v>61</v>
      </c>
      <c r="BR369" s="121" t="s">
        <v>61</v>
      </c>
      <c r="BS369" s="26">
        <v>63</v>
      </c>
      <c r="BT369" s="121" t="str">
        <f>IF(BS369="NA","NA",IF(BS369="Not Reported","Not Reported",IF(BS369&gt;$L$369,"Not Met","Met")))</f>
        <v>Met</v>
      </c>
      <c r="BU369" s="422">
        <v>83</v>
      </c>
      <c r="BV369" s="121" t="str">
        <f>IF(BU369="NA","NA",IF(BU369="Not Reported","Not Reported",IF(BU369&gt;$L$369,"Not Met","Met")))</f>
        <v>Met</v>
      </c>
    </row>
    <row r="370" spans="1:74" x14ac:dyDescent="0.25">
      <c r="A370" s="121">
        <v>369</v>
      </c>
      <c r="B370" s="122" t="s">
        <v>52</v>
      </c>
      <c r="C370" s="122" t="s">
        <v>903</v>
      </c>
      <c r="D370" s="123" t="s">
        <v>133</v>
      </c>
      <c r="E370" s="123" t="s">
        <v>899</v>
      </c>
      <c r="F370" s="123" t="s">
        <v>300</v>
      </c>
      <c r="G370" s="122" t="s">
        <v>273</v>
      </c>
      <c r="H370" s="122" t="s">
        <v>192</v>
      </c>
      <c r="I370" s="124"/>
      <c r="J370" s="124"/>
      <c r="K370" s="123" t="s">
        <v>791</v>
      </c>
      <c r="L370" s="147">
        <v>100</v>
      </c>
      <c r="M370" s="146" t="s">
        <v>540</v>
      </c>
      <c r="N370" s="218"/>
      <c r="O370" s="145"/>
      <c r="P370" s="123"/>
      <c r="Q370" s="146"/>
      <c r="R370" s="147"/>
      <c r="S370" s="146"/>
      <c r="T370" s="147"/>
      <c r="U370" s="127"/>
      <c r="V370" s="147"/>
      <c r="W370" s="126"/>
      <c r="X370" s="143"/>
      <c r="Y370" s="126"/>
      <c r="Z370" s="121"/>
      <c r="AA370" s="126"/>
      <c r="AB370" s="147"/>
      <c r="AC370" s="121"/>
      <c r="AD370" s="121"/>
      <c r="AE370" s="126"/>
      <c r="AF370" s="147"/>
      <c r="AG370" s="126" t="s">
        <v>11</v>
      </c>
      <c r="AH370" s="126" t="s">
        <v>11</v>
      </c>
      <c r="AI370" s="143" t="s">
        <v>11</v>
      </c>
      <c r="AJ370" s="128" t="s">
        <v>11</v>
      </c>
      <c r="AK370" s="143" t="s">
        <v>11</v>
      </c>
      <c r="AL370" s="128" t="s">
        <v>11</v>
      </c>
      <c r="AM370" s="143" t="s">
        <v>579</v>
      </c>
      <c r="AN370" s="121" t="s">
        <v>198</v>
      </c>
      <c r="AO370" s="143" t="s">
        <v>11</v>
      </c>
      <c r="AP370" s="128" t="s">
        <v>11</v>
      </c>
      <c r="AQ370" s="143" t="s">
        <v>11</v>
      </c>
      <c r="AR370" s="143" t="s">
        <v>11</v>
      </c>
      <c r="AS370" s="143" t="s">
        <v>579</v>
      </c>
      <c r="AT370" s="121" t="s">
        <v>198</v>
      </c>
      <c r="AU370" s="143" t="s">
        <v>11</v>
      </c>
      <c r="AV370" s="143" t="s">
        <v>11</v>
      </c>
      <c r="AW370" s="143" t="s">
        <v>11</v>
      </c>
      <c r="AX370" s="128" t="s">
        <v>11</v>
      </c>
      <c r="AY370" s="128" t="s">
        <v>11</v>
      </c>
      <c r="AZ370" s="128" t="s">
        <v>11</v>
      </c>
      <c r="BA370" s="143" t="s">
        <v>11</v>
      </c>
      <c r="BB370" s="128" t="s">
        <v>11</v>
      </c>
      <c r="BC370" s="127" t="s">
        <v>11</v>
      </c>
      <c r="BD370" s="128" t="s">
        <v>11</v>
      </c>
      <c r="BE370" s="127">
        <v>251</v>
      </c>
      <c r="BF370" s="121" t="s">
        <v>251</v>
      </c>
      <c r="BG370" s="127" t="s">
        <v>11</v>
      </c>
      <c r="BH370" s="128" t="s">
        <v>11</v>
      </c>
      <c r="BI370" s="121" t="s">
        <v>61</v>
      </c>
      <c r="BJ370" s="121" t="s">
        <v>61</v>
      </c>
      <c r="BK370" s="172">
        <v>31</v>
      </c>
      <c r="BL370" s="121" t="str">
        <f>IF(BK370="NA","NA",IF(BK370="Not Reported","Not Reported",IF(BK370&gt;$L$370,"Not Met","Met")))</f>
        <v>Met</v>
      </c>
      <c r="BM370" s="258">
        <v>47</v>
      </c>
      <c r="BN370" s="121" t="str">
        <f>IF(BM370="NA","NA",IF(BM370="Not Reported","Not Reported",IF(BM370&gt;$L$370,"Not Met","Met")))</f>
        <v>Met</v>
      </c>
      <c r="BO370" s="121">
        <v>70</v>
      </c>
      <c r="BP370" s="121" t="s">
        <v>198</v>
      </c>
      <c r="BQ370" s="121" t="s">
        <v>61</v>
      </c>
      <c r="BR370" s="121" t="s">
        <v>61</v>
      </c>
      <c r="BS370" s="26" t="s">
        <v>11</v>
      </c>
      <c r="BT370" s="121" t="str">
        <f>IF(BS370="NA","NA",IF(BS370="Not Reported","Not Reported",IF(BS370&gt;$L$370,"Not Met","Met")))</f>
        <v>NA</v>
      </c>
      <c r="BU370" s="423">
        <v>100</v>
      </c>
      <c r="BV370" s="121" t="str">
        <f>IF(BU370="NA","NA",IF(BU370="Not Reported","Not Reported",IF(BU370&gt;$L$370,"Not Met","Met")))</f>
        <v>Met</v>
      </c>
    </row>
    <row r="371" spans="1:74" x14ac:dyDescent="0.25">
      <c r="A371" s="121">
        <v>370</v>
      </c>
      <c r="B371" s="122" t="s">
        <v>52</v>
      </c>
      <c r="C371" s="122" t="s">
        <v>903</v>
      </c>
      <c r="D371" s="123" t="s">
        <v>133</v>
      </c>
      <c r="E371" s="123" t="s">
        <v>899</v>
      </c>
      <c r="F371" s="123" t="s">
        <v>300</v>
      </c>
      <c r="G371" s="122" t="s">
        <v>273</v>
      </c>
      <c r="H371" s="122" t="s">
        <v>192</v>
      </c>
      <c r="I371" s="124"/>
      <c r="J371" s="124"/>
      <c r="K371" s="123" t="s">
        <v>792</v>
      </c>
      <c r="L371" s="147">
        <v>40</v>
      </c>
      <c r="M371" s="146" t="s">
        <v>478</v>
      </c>
      <c r="N371" s="218"/>
      <c r="O371" s="145"/>
      <c r="P371" s="123"/>
      <c r="Q371" s="146"/>
      <c r="R371" s="147"/>
      <c r="S371" s="146"/>
      <c r="T371" s="147"/>
      <c r="U371" s="127"/>
      <c r="V371" s="147"/>
      <c r="W371" s="126"/>
      <c r="X371" s="143"/>
      <c r="Y371" s="126"/>
      <c r="Z371" s="121"/>
      <c r="AA371" s="126"/>
      <c r="AB371" s="147"/>
      <c r="AC371" s="121"/>
      <c r="AD371" s="121"/>
      <c r="AE371" s="126"/>
      <c r="AF371" s="147"/>
      <c r="AG371" s="126" t="s">
        <v>11</v>
      </c>
      <c r="AH371" s="126" t="s">
        <v>11</v>
      </c>
      <c r="AI371" s="143" t="s">
        <v>624</v>
      </c>
      <c r="AJ371" s="147" t="s">
        <v>251</v>
      </c>
      <c r="AK371" s="143" t="s">
        <v>624</v>
      </c>
      <c r="AL371" s="147" t="s">
        <v>251</v>
      </c>
      <c r="AM371" s="143" t="s">
        <v>546</v>
      </c>
      <c r="AN371" s="121" t="s">
        <v>251</v>
      </c>
      <c r="AO371" s="143" t="s">
        <v>442</v>
      </c>
      <c r="AP371" s="121" t="s">
        <v>198</v>
      </c>
      <c r="AQ371" s="209">
        <v>37</v>
      </c>
      <c r="AR371" s="121" t="s">
        <v>198</v>
      </c>
      <c r="AS371" s="209">
        <v>37</v>
      </c>
      <c r="AT371" s="121" t="s">
        <v>198</v>
      </c>
      <c r="AU371" s="209">
        <v>64</v>
      </c>
      <c r="AV371" s="121" t="s">
        <v>251</v>
      </c>
      <c r="AW371" s="209">
        <v>50</v>
      </c>
      <c r="AX371" s="121" t="s">
        <v>251</v>
      </c>
      <c r="AY371" s="121">
        <v>61</v>
      </c>
      <c r="AZ371" s="121" t="s">
        <v>251</v>
      </c>
      <c r="BA371" s="209">
        <v>58</v>
      </c>
      <c r="BB371" s="121" t="s">
        <v>251</v>
      </c>
      <c r="BC371" s="121">
        <v>25</v>
      </c>
      <c r="BD371" s="121" t="s">
        <v>198</v>
      </c>
      <c r="BE371" s="121">
        <v>27</v>
      </c>
      <c r="BF371" s="121" t="s">
        <v>198</v>
      </c>
      <c r="BG371" s="121">
        <v>42</v>
      </c>
      <c r="BH371" s="121" t="s">
        <v>251</v>
      </c>
      <c r="BI371" s="121" t="s">
        <v>61</v>
      </c>
      <c r="BJ371" s="121" t="s">
        <v>61</v>
      </c>
      <c r="BK371" s="121">
        <v>44</v>
      </c>
      <c r="BL371" s="121" t="str">
        <f>IF(BK371="NA","NA",IF(BK371="Not Reported","Not Reported",IF(BK371&gt;$L$371,"Not Met","Met")))</f>
        <v>Not Met</v>
      </c>
      <c r="BM371" s="258">
        <v>40</v>
      </c>
      <c r="BN371" s="121" t="str">
        <f>IF(BM371="NA","NA",IF(BM371="Not Reported","Not Reported",IF(BM371&gt;$L$371,"Not Met","Met")))</f>
        <v>Met</v>
      </c>
      <c r="BO371" s="121">
        <v>26</v>
      </c>
      <c r="BP371" s="121" t="s">
        <v>198</v>
      </c>
      <c r="BQ371" s="121" t="s">
        <v>61</v>
      </c>
      <c r="BR371" s="121" t="s">
        <v>61</v>
      </c>
      <c r="BS371" s="26">
        <v>37</v>
      </c>
      <c r="BT371" s="121" t="str">
        <f>IF(BS371="NA","NA",IF(BS371="Not Reported","Not Reported",IF(BS371&gt;$L$371,"Not Met","Met")))</f>
        <v>Met</v>
      </c>
      <c r="BU371" s="422">
        <v>42</v>
      </c>
      <c r="BV371" s="121" t="str">
        <f>IF(BU371="NA","NA",IF(BU371="Not Reported","Not Reported",IF(BU371&gt;$L$371,"Not Met","Met")))</f>
        <v>Not Met</v>
      </c>
    </row>
    <row r="372" spans="1:74" x14ac:dyDescent="0.25">
      <c r="A372" s="121">
        <v>371</v>
      </c>
      <c r="B372" s="122" t="s">
        <v>52</v>
      </c>
      <c r="C372" s="122" t="s">
        <v>903</v>
      </c>
      <c r="D372" s="123" t="s">
        <v>133</v>
      </c>
      <c r="E372" s="123" t="s">
        <v>899</v>
      </c>
      <c r="F372" s="123" t="s">
        <v>300</v>
      </c>
      <c r="G372" s="122" t="s">
        <v>273</v>
      </c>
      <c r="H372" s="122" t="s">
        <v>192</v>
      </c>
      <c r="I372" s="124"/>
      <c r="J372" s="124"/>
      <c r="K372" s="123" t="s">
        <v>793</v>
      </c>
      <c r="L372" s="147">
        <v>40</v>
      </c>
      <c r="M372" s="146" t="s">
        <v>478</v>
      </c>
      <c r="N372" s="218"/>
      <c r="O372" s="145"/>
      <c r="P372" s="123"/>
      <c r="Q372" s="146"/>
      <c r="R372" s="147"/>
      <c r="S372" s="146"/>
      <c r="T372" s="147"/>
      <c r="U372" s="127"/>
      <c r="V372" s="147"/>
      <c r="W372" s="126"/>
      <c r="X372" s="143"/>
      <c r="Y372" s="126"/>
      <c r="Z372" s="121"/>
      <c r="AA372" s="126"/>
      <c r="AB372" s="147"/>
      <c r="AC372" s="121"/>
      <c r="AD372" s="121"/>
      <c r="AE372" s="126"/>
      <c r="AF372" s="147"/>
      <c r="AG372" s="126" t="s">
        <v>11</v>
      </c>
      <c r="AH372" s="126" t="s">
        <v>11</v>
      </c>
      <c r="AI372" s="143" t="s">
        <v>615</v>
      </c>
      <c r="AJ372" s="147" t="s">
        <v>251</v>
      </c>
      <c r="AK372" s="143" t="s">
        <v>615</v>
      </c>
      <c r="AL372" s="147" t="s">
        <v>251</v>
      </c>
      <c r="AM372" s="143" t="s">
        <v>606</v>
      </c>
      <c r="AN372" s="121" t="s">
        <v>251</v>
      </c>
      <c r="AO372" s="143" t="s">
        <v>604</v>
      </c>
      <c r="AP372" s="121" t="s">
        <v>251</v>
      </c>
      <c r="AQ372" s="209">
        <v>14</v>
      </c>
      <c r="AR372" s="121" t="s">
        <v>198</v>
      </c>
      <c r="AS372" s="209">
        <v>39</v>
      </c>
      <c r="AT372" s="121" t="s">
        <v>198</v>
      </c>
      <c r="AU372" s="209">
        <v>89</v>
      </c>
      <c r="AV372" s="121" t="s">
        <v>251</v>
      </c>
      <c r="AW372" s="209">
        <v>49</v>
      </c>
      <c r="AX372" s="121" t="s">
        <v>251</v>
      </c>
      <c r="AY372" s="121">
        <v>71</v>
      </c>
      <c r="AZ372" s="121" t="s">
        <v>251</v>
      </c>
      <c r="BA372" s="209">
        <v>69</v>
      </c>
      <c r="BB372" s="121" t="s">
        <v>251</v>
      </c>
      <c r="BC372" s="121">
        <v>81</v>
      </c>
      <c r="BD372" s="121" t="s">
        <v>251</v>
      </c>
      <c r="BE372" s="121">
        <v>234</v>
      </c>
      <c r="BF372" s="121" t="s">
        <v>251</v>
      </c>
      <c r="BG372" s="121">
        <v>218</v>
      </c>
      <c r="BH372" s="121" t="s">
        <v>251</v>
      </c>
      <c r="BI372" s="121" t="s">
        <v>61</v>
      </c>
      <c r="BJ372" s="121" t="s">
        <v>61</v>
      </c>
      <c r="BK372" s="121">
        <v>44</v>
      </c>
      <c r="BL372" s="121" t="str">
        <f>IF(BK372="NA","NA",IF(BK372="Not Reported","Not Reported",IF(BK372&gt;$L$372,"Not Met","Met")))</f>
        <v>Not Met</v>
      </c>
      <c r="BM372" s="258">
        <v>34</v>
      </c>
      <c r="BN372" s="121" t="str">
        <f>IF(BM372="NA","NA",IF(BM372="Not Reported","Not Reported",IF(BM372&gt;$L$372,"Not Met","Met")))</f>
        <v>Met</v>
      </c>
      <c r="BO372" s="121">
        <v>44</v>
      </c>
      <c r="BP372" s="121" t="s">
        <v>251</v>
      </c>
      <c r="BQ372" s="121" t="s">
        <v>61</v>
      </c>
      <c r="BR372" s="121" t="s">
        <v>61</v>
      </c>
      <c r="BS372" s="26">
        <v>79</v>
      </c>
      <c r="BT372" s="121" t="str">
        <f>IF(BS372="NA","NA",IF(BS372="Not Reported","Not Reported",IF(BS372&gt;$L$372,"Not Met","Met")))</f>
        <v>Not Met</v>
      </c>
      <c r="BU372" s="422">
        <v>94</v>
      </c>
      <c r="BV372" s="121" t="str">
        <f>IF(BU372="NA","NA",IF(BU372="Not Reported","Not Reported",IF(BU372&gt;$L$372,"Not Met","Met")))</f>
        <v>Not Met</v>
      </c>
    </row>
    <row r="373" spans="1:74" x14ac:dyDescent="0.25">
      <c r="A373" s="121">
        <v>372</v>
      </c>
      <c r="B373" s="122" t="s">
        <v>52</v>
      </c>
      <c r="C373" s="122" t="s">
        <v>903</v>
      </c>
      <c r="D373" s="123" t="s">
        <v>133</v>
      </c>
      <c r="E373" s="123" t="s">
        <v>899</v>
      </c>
      <c r="F373" s="123" t="s">
        <v>300</v>
      </c>
      <c r="G373" s="122" t="s">
        <v>273</v>
      </c>
      <c r="H373" s="122" t="s">
        <v>192</v>
      </c>
      <c r="I373" s="124"/>
      <c r="J373" s="124"/>
      <c r="K373" s="123" t="s">
        <v>794</v>
      </c>
      <c r="L373" s="147">
        <v>25</v>
      </c>
      <c r="M373" s="146" t="s">
        <v>499</v>
      </c>
      <c r="N373" s="218"/>
      <c r="O373" s="145"/>
      <c r="P373" s="123"/>
      <c r="Q373" s="146"/>
      <c r="R373" s="147"/>
      <c r="S373" s="146"/>
      <c r="T373" s="147"/>
      <c r="U373" s="127"/>
      <c r="V373" s="147"/>
      <c r="W373" s="126"/>
      <c r="X373" s="143"/>
      <c r="Y373" s="126"/>
      <c r="Z373" s="121"/>
      <c r="AA373" s="126"/>
      <c r="AB373" s="147"/>
      <c r="AC373" s="121"/>
      <c r="AD373" s="121"/>
      <c r="AE373" s="126"/>
      <c r="AF373" s="147"/>
      <c r="AG373" s="126" t="s">
        <v>11</v>
      </c>
      <c r="AH373" s="126" t="s">
        <v>11</v>
      </c>
      <c r="AI373" s="143" t="s">
        <v>546</v>
      </c>
      <c r="AJ373" s="147" t="s">
        <v>251</v>
      </c>
      <c r="AK373" s="143" t="s">
        <v>546</v>
      </c>
      <c r="AL373" s="147" t="s">
        <v>251</v>
      </c>
      <c r="AM373" s="143" t="s">
        <v>222</v>
      </c>
      <c r="AN373" s="121" t="s">
        <v>251</v>
      </c>
      <c r="AO373" s="143" t="s">
        <v>499</v>
      </c>
      <c r="AP373" s="121" t="s">
        <v>198</v>
      </c>
      <c r="AQ373" s="196">
        <v>25</v>
      </c>
      <c r="AR373" s="121" t="s">
        <v>198</v>
      </c>
      <c r="AS373" s="209">
        <v>26</v>
      </c>
      <c r="AT373" s="121" t="s">
        <v>251</v>
      </c>
      <c r="AU373" s="196">
        <v>27</v>
      </c>
      <c r="AV373" s="121" t="s">
        <v>251</v>
      </c>
      <c r="AW373" s="196">
        <v>30</v>
      </c>
      <c r="AX373" s="121" t="s">
        <v>251</v>
      </c>
      <c r="AY373" s="121">
        <v>30</v>
      </c>
      <c r="AZ373" s="121" t="s">
        <v>251</v>
      </c>
      <c r="BA373" s="196">
        <v>29</v>
      </c>
      <c r="BB373" s="121" t="s">
        <v>251</v>
      </c>
      <c r="BC373" s="121">
        <v>29</v>
      </c>
      <c r="BD373" s="121" t="s">
        <v>251</v>
      </c>
      <c r="BE373" s="121">
        <v>23</v>
      </c>
      <c r="BF373" s="121" t="s">
        <v>198</v>
      </c>
      <c r="BG373" s="121" t="s">
        <v>11</v>
      </c>
      <c r="BH373" s="128" t="s">
        <v>11</v>
      </c>
      <c r="BI373" s="121" t="s">
        <v>61</v>
      </c>
      <c r="BJ373" s="121" t="s">
        <v>61</v>
      </c>
      <c r="BK373" s="121">
        <v>42</v>
      </c>
      <c r="BL373" s="121" t="str">
        <f>IF(BK373="NA","NA",IF(BK373="Not Reported","Not Reported",IF(BK373&gt;$L$373,"Not Met","Met")))</f>
        <v>Not Met</v>
      </c>
      <c r="BM373" s="258">
        <v>41</v>
      </c>
      <c r="BN373" s="121" t="str">
        <f>IF(BM373="NA","NA",IF(BM373="Not Reported","Not Reported",IF(BM373&gt;$L$373,"Not Met","Met")))</f>
        <v>Not Met</v>
      </c>
      <c r="BO373" s="121">
        <v>24</v>
      </c>
      <c r="BP373" s="121" t="s">
        <v>198</v>
      </c>
      <c r="BQ373" s="121" t="s">
        <v>61</v>
      </c>
      <c r="BR373" s="121" t="s">
        <v>61</v>
      </c>
      <c r="BS373" s="26">
        <v>30</v>
      </c>
      <c r="BT373" s="121" t="str">
        <f>IF(BS373="NA","NA",IF(BS373="Not Reported","Not Reported",IF(BS373&gt;$L$373,"Not Met","Met")))</f>
        <v>Not Met</v>
      </c>
      <c r="BU373" s="423">
        <v>28</v>
      </c>
      <c r="BV373" s="121" t="str">
        <f>IF(BU373="NA","NA",IF(BU373="Not Reported","Not Reported",IF(BU373&gt;$L$373,"Not Met","Met")))</f>
        <v>Not Met</v>
      </c>
    </row>
    <row r="374" spans="1:74" x14ac:dyDescent="0.2">
      <c r="A374" s="121">
        <v>373</v>
      </c>
      <c r="B374" s="122" t="s">
        <v>52</v>
      </c>
      <c r="C374" s="122" t="s">
        <v>903</v>
      </c>
      <c r="D374" s="123" t="s">
        <v>133</v>
      </c>
      <c r="E374" s="123" t="s">
        <v>899</v>
      </c>
      <c r="F374" s="123" t="s">
        <v>300</v>
      </c>
      <c r="G374" s="122" t="s">
        <v>273</v>
      </c>
      <c r="H374" s="122" t="s">
        <v>192</v>
      </c>
      <c r="I374" s="124"/>
      <c r="J374" s="124"/>
      <c r="K374" s="123" t="s">
        <v>795</v>
      </c>
      <c r="L374" s="147">
        <v>40</v>
      </c>
      <c r="M374" s="146" t="s">
        <v>478</v>
      </c>
      <c r="N374" s="218"/>
      <c r="O374" s="145"/>
      <c r="P374" s="123"/>
      <c r="Q374" s="146"/>
      <c r="R374" s="147"/>
      <c r="S374" s="146"/>
      <c r="T374" s="147"/>
      <c r="U374" s="127"/>
      <c r="V374" s="147"/>
      <c r="W374" s="126"/>
      <c r="X374" s="143"/>
      <c r="Y374" s="126"/>
      <c r="Z374" s="121"/>
      <c r="AA374" s="126"/>
      <c r="AB374" s="147"/>
      <c r="AC374" s="121"/>
      <c r="AD374" s="121"/>
      <c r="AE374" s="126"/>
      <c r="AF374" s="147"/>
      <c r="AG374" s="126" t="s">
        <v>11</v>
      </c>
      <c r="AH374" s="126" t="s">
        <v>11</v>
      </c>
      <c r="AI374" s="143" t="s">
        <v>11</v>
      </c>
      <c r="AJ374" s="128" t="s">
        <v>11</v>
      </c>
      <c r="AK374" s="143" t="s">
        <v>11</v>
      </c>
      <c r="AL374" s="128" t="s">
        <v>11</v>
      </c>
      <c r="AM374" s="143" t="s">
        <v>608</v>
      </c>
      <c r="AN374" s="121" t="s">
        <v>198</v>
      </c>
      <c r="AO374" s="143" t="s">
        <v>481</v>
      </c>
      <c r="AP374" s="121" t="s">
        <v>251</v>
      </c>
      <c r="AQ374" s="209">
        <v>56</v>
      </c>
      <c r="AR374" s="121" t="s">
        <v>251</v>
      </c>
      <c r="AS374" s="209">
        <v>40</v>
      </c>
      <c r="AT374" s="121" t="s">
        <v>198</v>
      </c>
      <c r="AU374" s="209">
        <v>15</v>
      </c>
      <c r="AV374" s="121" t="s">
        <v>198</v>
      </c>
      <c r="AW374" s="143" t="s">
        <v>11</v>
      </c>
      <c r="AX374" s="128" t="s">
        <v>11</v>
      </c>
      <c r="AY374" s="128" t="s">
        <v>11</v>
      </c>
      <c r="AZ374" s="128" t="s">
        <v>11</v>
      </c>
      <c r="BA374" s="209">
        <v>15</v>
      </c>
      <c r="BB374" s="121" t="s">
        <v>198</v>
      </c>
      <c r="BC374" s="127" t="s">
        <v>11</v>
      </c>
      <c r="BD374" s="128" t="s">
        <v>11</v>
      </c>
      <c r="BE374" s="127" t="s">
        <v>11</v>
      </c>
      <c r="BF374" s="248" t="s">
        <v>11</v>
      </c>
      <c r="BG374" s="127" t="s">
        <v>11</v>
      </c>
      <c r="BH374" s="128" t="s">
        <v>11</v>
      </c>
      <c r="BI374" s="121" t="s">
        <v>61</v>
      </c>
      <c r="BJ374" s="121" t="s">
        <v>61</v>
      </c>
      <c r="BK374" s="128" t="s">
        <v>11</v>
      </c>
      <c r="BL374" s="121" t="str">
        <f>IF(BK374="NA","NA",IF(BK374="Not Reported","Not Reported",IF(BK374&gt;$L$374,"Not Met","Met")))</f>
        <v>NA</v>
      </c>
      <c r="BM374" s="258">
        <v>41</v>
      </c>
      <c r="BN374" s="121" t="str">
        <f>IF(BM374="NA","NA",IF(BM374="Not Reported","Not Reported",IF(BM374&gt;$L$374,"Not Met","Met")))</f>
        <v>Not Met</v>
      </c>
      <c r="BO374" s="121">
        <v>58</v>
      </c>
      <c r="BP374" s="121" t="s">
        <v>251</v>
      </c>
      <c r="BQ374" s="121" t="s">
        <v>61</v>
      </c>
      <c r="BR374" s="121" t="s">
        <v>61</v>
      </c>
      <c r="BS374" s="26" t="s">
        <v>11</v>
      </c>
      <c r="BT374" s="121" t="str">
        <f>IF(BS374="NA","NA",IF(BS374="Not Reported","Not Reported",IF(BS374&gt;$L$374,"Not Met","Met")))</f>
        <v>NA</v>
      </c>
      <c r="BU374" s="422">
        <v>38</v>
      </c>
      <c r="BV374" s="121" t="str">
        <f>IF(BU374="NA","NA",IF(BU374="Not Reported","Not Reported",IF(BU374&gt;$L$374,"Not Met","Met")))</f>
        <v>Met</v>
      </c>
    </row>
    <row r="375" spans="1:74" x14ac:dyDescent="0.25">
      <c r="A375" s="121">
        <v>374</v>
      </c>
      <c r="B375" s="122" t="s">
        <v>52</v>
      </c>
      <c r="C375" s="122" t="s">
        <v>903</v>
      </c>
      <c r="D375" s="123" t="s">
        <v>133</v>
      </c>
      <c r="E375" s="123" t="s">
        <v>899</v>
      </c>
      <c r="F375" s="123" t="s">
        <v>300</v>
      </c>
      <c r="G375" s="122" t="s">
        <v>273</v>
      </c>
      <c r="H375" s="122" t="s">
        <v>192</v>
      </c>
      <c r="I375" s="124"/>
      <c r="J375" s="124"/>
      <c r="K375" s="123" t="s">
        <v>796</v>
      </c>
      <c r="L375" s="147">
        <v>25</v>
      </c>
      <c r="M375" s="146" t="s">
        <v>499</v>
      </c>
      <c r="N375" s="218"/>
      <c r="O375" s="145"/>
      <c r="P375" s="123"/>
      <c r="Q375" s="146"/>
      <c r="R375" s="147"/>
      <c r="S375" s="146"/>
      <c r="T375" s="147"/>
      <c r="U375" s="127"/>
      <c r="V375" s="147"/>
      <c r="W375" s="126"/>
      <c r="X375" s="143"/>
      <c r="Y375" s="126"/>
      <c r="Z375" s="121"/>
      <c r="AA375" s="126"/>
      <c r="AB375" s="147"/>
      <c r="AC375" s="121"/>
      <c r="AD375" s="121"/>
      <c r="AE375" s="126"/>
      <c r="AF375" s="147"/>
      <c r="AG375" s="126" t="s">
        <v>11</v>
      </c>
      <c r="AH375" s="126" t="s">
        <v>11</v>
      </c>
      <c r="AI375" s="143" t="s">
        <v>478</v>
      </c>
      <c r="AJ375" s="147" t="s">
        <v>251</v>
      </c>
      <c r="AK375" s="143" t="s">
        <v>478</v>
      </c>
      <c r="AL375" s="147" t="s">
        <v>251</v>
      </c>
      <c r="AM375" s="143" t="s">
        <v>11</v>
      </c>
      <c r="AN375" s="128" t="s">
        <v>11</v>
      </c>
      <c r="AO375" s="143" t="s">
        <v>11</v>
      </c>
      <c r="AP375" s="128" t="s">
        <v>11</v>
      </c>
      <c r="AQ375" s="143" t="s">
        <v>11</v>
      </c>
      <c r="AR375" s="143" t="s">
        <v>11</v>
      </c>
      <c r="AS375" s="209" t="s">
        <v>11</v>
      </c>
      <c r="AT375" s="147" t="s">
        <v>11</v>
      </c>
      <c r="AU375" s="143" t="s">
        <v>11</v>
      </c>
      <c r="AV375" s="143" t="s">
        <v>11</v>
      </c>
      <c r="AW375" s="143" t="s">
        <v>11</v>
      </c>
      <c r="AX375" s="128" t="s">
        <v>11</v>
      </c>
      <c r="AY375" s="128" t="s">
        <v>11</v>
      </c>
      <c r="AZ375" s="128" t="s">
        <v>11</v>
      </c>
      <c r="BA375" s="143" t="s">
        <v>11</v>
      </c>
      <c r="BB375" s="128" t="s">
        <v>11</v>
      </c>
      <c r="BC375" s="127" t="s">
        <v>11</v>
      </c>
      <c r="BD375" s="128" t="s">
        <v>11</v>
      </c>
      <c r="BE375" s="127">
        <v>14</v>
      </c>
      <c r="BF375" s="121" t="s">
        <v>198</v>
      </c>
      <c r="BG375" s="127">
        <v>41</v>
      </c>
      <c r="BH375" s="121" t="s">
        <v>251</v>
      </c>
      <c r="BI375" s="121" t="s">
        <v>61</v>
      </c>
      <c r="BJ375" s="121" t="s">
        <v>61</v>
      </c>
      <c r="BK375" s="128" t="s">
        <v>11</v>
      </c>
      <c r="BL375" s="121" t="str">
        <f>IF(BK375="NA","NA",IF(BK375="Not Reported","Not Reported",IF(BK375&gt;$L$375,"Not Met","Met")))</f>
        <v>NA</v>
      </c>
      <c r="BM375" s="258" t="s">
        <v>11</v>
      </c>
      <c r="BN375" s="121" t="str">
        <f>IF(BM375="NA","NA",IF(BM375="Not Reported","Not Reported",IF(BM375&gt;$L$375,"Not Met","Met")))</f>
        <v>NA</v>
      </c>
      <c r="BO375" s="121" t="s">
        <v>11</v>
      </c>
      <c r="BP375" s="121" t="s">
        <v>11</v>
      </c>
      <c r="BQ375" s="121" t="s">
        <v>61</v>
      </c>
      <c r="BR375" s="121" t="s">
        <v>61</v>
      </c>
      <c r="BS375" s="26">
        <v>49</v>
      </c>
      <c r="BT375" s="121" t="str">
        <f>IF(BS375="NA","NA",IF(BS375="Not Reported","Not Reported",IF(BS375&gt;$L$375,"Not Met","Met")))</f>
        <v>Not Met</v>
      </c>
      <c r="BU375" s="423">
        <v>35</v>
      </c>
      <c r="BV375" s="121" t="str">
        <f>IF(BU375="NA","NA",IF(BU375="Not Reported","Not Reported",IF(BU375&gt;$L$375,"Not Met","Met")))</f>
        <v>Not Met</v>
      </c>
    </row>
    <row r="376" spans="1:74" x14ac:dyDescent="0.25">
      <c r="A376" s="121">
        <v>375</v>
      </c>
      <c r="B376" s="122" t="s">
        <v>52</v>
      </c>
      <c r="C376" s="122" t="s">
        <v>903</v>
      </c>
      <c r="D376" s="123" t="s">
        <v>133</v>
      </c>
      <c r="E376" s="123" t="s">
        <v>899</v>
      </c>
      <c r="F376" s="123" t="s">
        <v>300</v>
      </c>
      <c r="G376" s="122" t="s">
        <v>273</v>
      </c>
      <c r="H376" s="122" t="s">
        <v>192</v>
      </c>
      <c r="I376" s="124"/>
      <c r="J376" s="124"/>
      <c r="K376" s="123" t="s">
        <v>797</v>
      </c>
      <c r="L376" s="147">
        <v>40</v>
      </c>
      <c r="M376" s="146" t="s">
        <v>478</v>
      </c>
      <c r="N376" s="218"/>
      <c r="O376" s="145"/>
      <c r="P376" s="123"/>
      <c r="Q376" s="146"/>
      <c r="R376" s="147"/>
      <c r="S376" s="146"/>
      <c r="T376" s="147"/>
      <c r="U376" s="127"/>
      <c r="V376" s="147"/>
      <c r="W376" s="126"/>
      <c r="X376" s="143"/>
      <c r="Y376" s="126"/>
      <c r="Z376" s="121"/>
      <c r="AA376" s="126"/>
      <c r="AB376" s="147"/>
      <c r="AC376" s="121"/>
      <c r="AD376" s="121"/>
      <c r="AE376" s="126"/>
      <c r="AF376" s="147"/>
      <c r="AG376" s="126" t="s">
        <v>11</v>
      </c>
      <c r="AH376" s="126" t="s">
        <v>11</v>
      </c>
      <c r="AI376" s="143" t="s">
        <v>11</v>
      </c>
      <c r="AJ376" s="128" t="s">
        <v>11</v>
      </c>
      <c r="AK376" s="143" t="s">
        <v>11</v>
      </c>
      <c r="AL376" s="128" t="s">
        <v>11</v>
      </c>
      <c r="AM376" s="143" t="s">
        <v>360</v>
      </c>
      <c r="AN376" s="121" t="s">
        <v>198</v>
      </c>
      <c r="AO376" s="143" t="s">
        <v>499</v>
      </c>
      <c r="AP376" s="121" t="s">
        <v>198</v>
      </c>
      <c r="AQ376" s="209">
        <v>27</v>
      </c>
      <c r="AR376" s="121" t="s">
        <v>198</v>
      </c>
      <c r="AS376" s="143" t="s">
        <v>440</v>
      </c>
      <c r="AT376" s="121" t="s">
        <v>198</v>
      </c>
      <c r="AU376" s="209">
        <v>53</v>
      </c>
      <c r="AV376" s="121" t="s">
        <v>251</v>
      </c>
      <c r="AW376" s="209">
        <v>13</v>
      </c>
      <c r="AX376" s="121" t="s">
        <v>198</v>
      </c>
      <c r="AY376" s="121">
        <v>13</v>
      </c>
      <c r="AZ376" s="121" t="s">
        <v>198</v>
      </c>
      <c r="BA376" s="209">
        <v>26</v>
      </c>
      <c r="BB376" s="121" t="s">
        <v>198</v>
      </c>
      <c r="BC376" s="121">
        <v>21</v>
      </c>
      <c r="BD376" s="121" t="s">
        <v>198</v>
      </c>
      <c r="BE376" s="121">
        <v>41</v>
      </c>
      <c r="BF376" s="121" t="s">
        <v>251</v>
      </c>
      <c r="BG376" s="121">
        <v>34</v>
      </c>
      <c r="BH376" s="121" t="s">
        <v>198</v>
      </c>
      <c r="BI376" s="121" t="s">
        <v>61</v>
      </c>
      <c r="BJ376" s="121" t="s">
        <v>61</v>
      </c>
      <c r="BK376" s="128" t="s">
        <v>11</v>
      </c>
      <c r="BL376" s="121" t="str">
        <f>IF(BK376="NA","NA",IF(BK376="Not Reported","Not Reported",IF(BK376&gt;$L$376,"Not Met","Met")))</f>
        <v>NA</v>
      </c>
      <c r="BM376" s="258">
        <v>26</v>
      </c>
      <c r="BN376" s="121" t="str">
        <f>IF(BM376="NA","NA",IF(BM376="Not Reported","Not Reported",IF(BM376&gt;$L$376,"Not Met","Met")))</f>
        <v>Met</v>
      </c>
      <c r="BO376" s="121" t="s">
        <v>11</v>
      </c>
      <c r="BP376" s="121" t="s">
        <v>11</v>
      </c>
      <c r="BQ376" s="121" t="s">
        <v>61</v>
      </c>
      <c r="BR376" s="121" t="s">
        <v>61</v>
      </c>
      <c r="BS376" s="26">
        <v>96</v>
      </c>
      <c r="BT376" s="121" t="str">
        <f>IF(BS376="NA","NA",IF(BS376="Not Reported","Not Reported",IF(BS376&gt;$L$376,"Not Met","Met")))</f>
        <v>Not Met</v>
      </c>
      <c r="BU376" s="424">
        <v>37</v>
      </c>
      <c r="BV376" s="121" t="str">
        <f>IF(BU376="NA","NA",IF(BU376="Not Reported","Not Reported",IF(BU376&gt;$L$376,"Not Met","Met")))</f>
        <v>Met</v>
      </c>
    </row>
    <row r="377" spans="1:74" x14ac:dyDescent="0.2">
      <c r="A377" s="121">
        <v>376</v>
      </c>
      <c r="B377" s="122" t="s">
        <v>52</v>
      </c>
      <c r="C377" s="122" t="s">
        <v>903</v>
      </c>
      <c r="D377" s="123" t="s">
        <v>133</v>
      </c>
      <c r="E377" s="123" t="s">
        <v>899</v>
      </c>
      <c r="F377" s="123" t="s">
        <v>300</v>
      </c>
      <c r="G377" s="122" t="s">
        <v>273</v>
      </c>
      <c r="H377" s="122" t="s">
        <v>192</v>
      </c>
      <c r="I377" s="124"/>
      <c r="J377" s="124"/>
      <c r="K377" s="123" t="s">
        <v>798</v>
      </c>
      <c r="L377" s="147">
        <v>40</v>
      </c>
      <c r="M377" s="146" t="s">
        <v>478</v>
      </c>
      <c r="N377" s="218"/>
      <c r="O377" s="145"/>
      <c r="P377" s="123"/>
      <c r="Q377" s="146"/>
      <c r="R377" s="147"/>
      <c r="S377" s="146"/>
      <c r="T377" s="147"/>
      <c r="U377" s="127"/>
      <c r="V377" s="147"/>
      <c r="W377" s="126"/>
      <c r="X377" s="143"/>
      <c r="Y377" s="126"/>
      <c r="Z377" s="121"/>
      <c r="AA377" s="126"/>
      <c r="AB377" s="147"/>
      <c r="AC377" s="121"/>
      <c r="AD377" s="121"/>
      <c r="AE377" s="126"/>
      <c r="AF377" s="147"/>
      <c r="AG377" s="126" t="s">
        <v>11</v>
      </c>
      <c r="AH377" s="126" t="s">
        <v>11</v>
      </c>
      <c r="AI377" s="143" t="s">
        <v>11</v>
      </c>
      <c r="AJ377" s="128" t="s">
        <v>11</v>
      </c>
      <c r="AK377" s="143" t="s">
        <v>11</v>
      </c>
      <c r="AL377" s="128" t="s">
        <v>11</v>
      </c>
      <c r="AM377" s="143" t="s">
        <v>625</v>
      </c>
      <c r="AN377" s="121" t="s">
        <v>251</v>
      </c>
      <c r="AO377" s="143" t="s">
        <v>11</v>
      </c>
      <c r="AP377" s="128" t="s">
        <v>11</v>
      </c>
      <c r="AQ377" s="143" t="s">
        <v>11</v>
      </c>
      <c r="AR377" s="143" t="s">
        <v>11</v>
      </c>
      <c r="AS377" s="143" t="s">
        <v>625</v>
      </c>
      <c r="AT377" s="121" t="s">
        <v>251</v>
      </c>
      <c r="AU377" s="209">
        <v>127</v>
      </c>
      <c r="AV377" s="121" t="s">
        <v>251</v>
      </c>
      <c r="AW377" s="143" t="s">
        <v>11</v>
      </c>
      <c r="AX377" s="128" t="s">
        <v>11</v>
      </c>
      <c r="AY377" s="128" t="s">
        <v>11</v>
      </c>
      <c r="AZ377" s="128" t="s">
        <v>11</v>
      </c>
      <c r="BA377" s="209">
        <v>127</v>
      </c>
      <c r="BB377" s="121" t="s">
        <v>251</v>
      </c>
      <c r="BC377" s="127" t="s">
        <v>11</v>
      </c>
      <c r="BD377" s="128" t="s">
        <v>11</v>
      </c>
      <c r="BE377" s="127" t="s">
        <v>11</v>
      </c>
      <c r="BF377" s="248" t="s">
        <v>11</v>
      </c>
      <c r="BG377" s="127">
        <v>10</v>
      </c>
      <c r="BH377" s="121" t="s">
        <v>198</v>
      </c>
      <c r="BI377" s="121" t="s">
        <v>61</v>
      </c>
      <c r="BJ377" s="121" t="s">
        <v>61</v>
      </c>
      <c r="BK377" s="172">
        <v>29</v>
      </c>
      <c r="BL377" s="121" t="str">
        <f>IF(BK377="NA","NA",IF(BK377="Not Reported","Not Reported",IF(BK377&gt;$L$377,"Not Met","Met")))</f>
        <v>Met</v>
      </c>
      <c r="BM377" s="258" t="s">
        <v>11</v>
      </c>
      <c r="BN377" s="121" t="str">
        <f>IF(BM377="NA","NA",IF(BM377="Not Reported","Not Reported",IF(BM377&gt;$L$377,"Not Met","Met")))</f>
        <v>NA</v>
      </c>
      <c r="BO377" s="121" t="s">
        <v>11</v>
      </c>
      <c r="BP377" s="121" t="s">
        <v>11</v>
      </c>
      <c r="BQ377" s="121" t="s">
        <v>61</v>
      </c>
      <c r="BR377" s="121" t="s">
        <v>61</v>
      </c>
      <c r="BS377" s="26">
        <v>29</v>
      </c>
      <c r="BT377" s="121" t="str">
        <f>IF(BS377="NA","NA",IF(BS377="Not Reported","Not Reported",IF(BS377&gt;$L$377,"Not Met","Met")))</f>
        <v>Met</v>
      </c>
      <c r="BU377" s="422">
        <v>49</v>
      </c>
      <c r="BV377" s="121" t="str">
        <f>IF(BU377="NA","NA",IF(BU377="Not Reported","Not Reported",IF(BU377&gt;$L$377,"Not Met","Met")))</f>
        <v>Not Met</v>
      </c>
    </row>
    <row r="378" spans="1:74" x14ac:dyDescent="0.2">
      <c r="A378" s="121">
        <v>377</v>
      </c>
      <c r="B378" s="122" t="s">
        <v>52</v>
      </c>
      <c r="C378" s="122" t="s">
        <v>903</v>
      </c>
      <c r="D378" s="123" t="s">
        <v>133</v>
      </c>
      <c r="E378" s="123" t="s">
        <v>899</v>
      </c>
      <c r="F378" s="123" t="s">
        <v>300</v>
      </c>
      <c r="G378" s="122" t="s">
        <v>273</v>
      </c>
      <c r="H378" s="122" t="s">
        <v>192</v>
      </c>
      <c r="I378" s="124"/>
      <c r="J378" s="124"/>
      <c r="K378" s="123" t="s">
        <v>799</v>
      </c>
      <c r="L378" s="146">
        <v>0.1</v>
      </c>
      <c r="M378" s="146">
        <v>0.1</v>
      </c>
      <c r="N378" s="218"/>
      <c r="O378" s="145"/>
      <c r="P378" s="123"/>
      <c r="Q378" s="146"/>
      <c r="R378" s="147"/>
      <c r="S378" s="146"/>
      <c r="T378" s="147"/>
      <c r="U378" s="127"/>
      <c r="V378" s="147"/>
      <c r="W378" s="126"/>
      <c r="X378" s="143"/>
      <c r="Y378" s="126"/>
      <c r="Z378" s="121"/>
      <c r="AA378" s="126"/>
      <c r="AB378" s="147"/>
      <c r="AC378" s="121"/>
      <c r="AD378" s="121"/>
      <c r="AE378" s="126"/>
      <c r="AF378" s="147"/>
      <c r="AG378" s="126" t="s">
        <v>11</v>
      </c>
      <c r="AH378" s="126" t="s">
        <v>11</v>
      </c>
      <c r="AI378" s="146">
        <v>0.08</v>
      </c>
      <c r="AJ378" s="121" t="s">
        <v>198</v>
      </c>
      <c r="AK378" s="146">
        <v>0.08</v>
      </c>
      <c r="AL378" s="121" t="s">
        <v>198</v>
      </c>
      <c r="AM378" s="146">
        <v>0.08</v>
      </c>
      <c r="AN378" s="121" t="s">
        <v>198</v>
      </c>
      <c r="AO378" s="146">
        <v>0.11</v>
      </c>
      <c r="AP378" s="121" t="s">
        <v>251</v>
      </c>
      <c r="AQ378" s="146">
        <v>0.28999999999999998</v>
      </c>
      <c r="AR378" s="121" t="s">
        <v>251</v>
      </c>
      <c r="AS378" s="146">
        <v>0.14000000000000001</v>
      </c>
      <c r="AT378" s="121" t="s">
        <v>251</v>
      </c>
      <c r="AU378" s="146">
        <v>0.11</v>
      </c>
      <c r="AV378" s="121" t="s">
        <v>251</v>
      </c>
      <c r="AW378" s="146">
        <v>0.44</v>
      </c>
      <c r="AX378" s="121" t="s">
        <v>251</v>
      </c>
      <c r="AY378" s="126">
        <v>7.0000000000000007E-2</v>
      </c>
      <c r="AZ378" s="121" t="s">
        <v>198</v>
      </c>
      <c r="BA378" s="146">
        <v>0.18</v>
      </c>
      <c r="BB378" s="121" t="s">
        <v>251</v>
      </c>
      <c r="BC378" s="126">
        <v>0</v>
      </c>
      <c r="BD378" s="121" t="s">
        <v>198</v>
      </c>
      <c r="BE378" s="126">
        <v>0.08</v>
      </c>
      <c r="BF378" s="121" t="s">
        <v>198</v>
      </c>
      <c r="BG378" s="126">
        <v>0</v>
      </c>
      <c r="BH378" s="121" t="s">
        <v>198</v>
      </c>
      <c r="BI378" s="121" t="s">
        <v>61</v>
      </c>
      <c r="BJ378" s="121" t="s">
        <v>61</v>
      </c>
      <c r="BK378" s="225">
        <v>0</v>
      </c>
      <c r="BL378" s="174" t="str">
        <f>IF(BK378="NA","NA",IF(BK378="Not Reported","Not Reported",IF(BK378&gt;$L$378,"Not Met","Met")))</f>
        <v>Met</v>
      </c>
      <c r="BM378" s="100">
        <v>0</v>
      </c>
      <c r="BN378" s="162" t="str">
        <f>IF(BM378="NA","NA",IF(BM378="Not Reported","Not Reported",IF(BM378&gt;$L$378,"Not Met","Met")))</f>
        <v>Met</v>
      </c>
      <c r="BO378" s="178">
        <v>7.0000000000000007E-2</v>
      </c>
      <c r="BP378" s="162" t="s">
        <v>198</v>
      </c>
      <c r="BQ378" s="121" t="s">
        <v>61</v>
      </c>
      <c r="BR378" s="162" t="s">
        <v>61</v>
      </c>
      <c r="BS378" s="315">
        <v>0.22</v>
      </c>
      <c r="BT378" s="162" t="str">
        <f>IF(BS378="NA","NA",IF(BS378="Not Reported","Not Reported",IF(BS378&gt;$L$378,"Not Met","Met")))</f>
        <v>Not Met</v>
      </c>
      <c r="BU378" s="310">
        <v>0.22</v>
      </c>
      <c r="BV378" s="162" t="str">
        <f>IF(BU378="NA","NA",IF(BU378="Not Reported","Not Reported",IF(BU378&gt;$L$378,"Not Met","Met")))</f>
        <v>Not Met</v>
      </c>
    </row>
    <row r="379" spans="1:74" x14ac:dyDescent="0.2">
      <c r="A379" s="121">
        <v>378</v>
      </c>
      <c r="B379" s="122" t="s">
        <v>52</v>
      </c>
      <c r="C379" s="122" t="s">
        <v>903</v>
      </c>
      <c r="D379" s="123" t="s">
        <v>133</v>
      </c>
      <c r="E379" s="123" t="s">
        <v>899</v>
      </c>
      <c r="F379" s="123" t="s">
        <v>300</v>
      </c>
      <c r="G379" s="122" t="s">
        <v>273</v>
      </c>
      <c r="H379" s="122" t="s">
        <v>192</v>
      </c>
      <c r="I379" s="124"/>
      <c r="J379" s="124"/>
      <c r="K379" s="123" t="s">
        <v>800</v>
      </c>
      <c r="L379" s="146">
        <v>0.1</v>
      </c>
      <c r="M379" s="146">
        <v>0.1</v>
      </c>
      <c r="N379" s="218"/>
      <c r="O379" s="145"/>
      <c r="P379" s="123"/>
      <c r="Q379" s="146"/>
      <c r="R379" s="147"/>
      <c r="S379" s="146"/>
      <c r="T379" s="147"/>
      <c r="U379" s="127"/>
      <c r="V379" s="147"/>
      <c r="W379" s="126"/>
      <c r="X379" s="143"/>
      <c r="Y379" s="126"/>
      <c r="Z379" s="121"/>
      <c r="AA379" s="126"/>
      <c r="AB379" s="147"/>
      <c r="AC379" s="121"/>
      <c r="AD379" s="121"/>
      <c r="AE379" s="126"/>
      <c r="AF379" s="147"/>
      <c r="AG379" s="126" t="s">
        <v>11</v>
      </c>
      <c r="AH379" s="126" t="s">
        <v>11</v>
      </c>
      <c r="AI379" s="146">
        <v>0.5</v>
      </c>
      <c r="AJ379" s="147" t="s">
        <v>251</v>
      </c>
      <c r="AK379" s="146">
        <v>0.5</v>
      </c>
      <c r="AL379" s="147" t="s">
        <v>251</v>
      </c>
      <c r="AM379" s="146">
        <v>0.11</v>
      </c>
      <c r="AN379" s="121" t="s">
        <v>251</v>
      </c>
      <c r="AO379" s="146">
        <v>0.15</v>
      </c>
      <c r="AP379" s="121" t="s">
        <v>251</v>
      </c>
      <c r="AQ379" s="146">
        <v>0.13</v>
      </c>
      <c r="AR379" s="121" t="s">
        <v>251</v>
      </c>
      <c r="AS379" s="146">
        <v>0.14000000000000001</v>
      </c>
      <c r="AT379" s="121" t="s">
        <v>251</v>
      </c>
      <c r="AU379" s="146">
        <v>0.38</v>
      </c>
      <c r="AV379" s="121" t="s">
        <v>251</v>
      </c>
      <c r="AW379" s="146">
        <v>0.28999999999999998</v>
      </c>
      <c r="AX379" s="121" t="s">
        <v>251</v>
      </c>
      <c r="AY379" s="126">
        <v>0.46</v>
      </c>
      <c r="AZ379" s="121" t="s">
        <v>251</v>
      </c>
      <c r="BA379" s="146">
        <v>0.38</v>
      </c>
      <c r="BB379" s="121" t="s">
        <v>251</v>
      </c>
      <c r="BC379" s="126">
        <v>0.2</v>
      </c>
      <c r="BD379" s="121" t="s">
        <v>251</v>
      </c>
      <c r="BE379" s="126">
        <v>0.63</v>
      </c>
      <c r="BF379" s="121" t="s">
        <v>251</v>
      </c>
      <c r="BG379" s="126">
        <v>7.0000000000000007E-2</v>
      </c>
      <c r="BH379" s="121" t="s">
        <v>198</v>
      </c>
      <c r="BI379" s="121" t="s">
        <v>61</v>
      </c>
      <c r="BJ379" s="121" t="s">
        <v>61</v>
      </c>
      <c r="BK379" s="225">
        <v>0.05</v>
      </c>
      <c r="BL379" s="174" t="str">
        <f>IF(BK379="NA","NA",IF(BK379="Not Reported","Not Reported",IF(BK379&gt;$L$379,"Not Met","Met")))</f>
        <v>Met</v>
      </c>
      <c r="BM379" s="100">
        <f>0/26</f>
        <v>0</v>
      </c>
      <c r="BN379" s="162" t="str">
        <f>IF(BM379="NA","NA",IF(BM379="Not Reported","Not Reported",IF(BM379&gt;$L$379,"Not Met","Met")))</f>
        <v>Met</v>
      </c>
      <c r="BO379" s="178">
        <v>0.17</v>
      </c>
      <c r="BP379" s="162" t="s">
        <v>251</v>
      </c>
      <c r="BQ379" s="121" t="s">
        <v>61</v>
      </c>
      <c r="BR379" s="162" t="s">
        <v>61</v>
      </c>
      <c r="BS379" s="315">
        <v>0.18</v>
      </c>
      <c r="BT379" s="162" t="str">
        <f>IF(BS379="NA","NA",IF(BS379="Not Reported","Not Reported",IF(BS379&gt;$L$379,"Not Met","Met")))</f>
        <v>Not Met</v>
      </c>
      <c r="BU379" s="310">
        <v>0.18</v>
      </c>
      <c r="BV379" s="162" t="str">
        <f>IF(BU379="NA","NA",IF(BU379="Not Reported","Not Reported",IF(BU379&gt;$L$379,"Not Met","Met")))</f>
        <v>Not Met</v>
      </c>
    </row>
    <row r="380" spans="1:74" x14ac:dyDescent="0.2">
      <c r="A380" s="121">
        <v>379</v>
      </c>
      <c r="B380" s="122" t="s">
        <v>52</v>
      </c>
      <c r="C380" s="122" t="s">
        <v>903</v>
      </c>
      <c r="D380" s="123" t="s">
        <v>133</v>
      </c>
      <c r="E380" s="123" t="s">
        <v>899</v>
      </c>
      <c r="F380" s="123" t="s">
        <v>300</v>
      </c>
      <c r="G380" s="122" t="s">
        <v>273</v>
      </c>
      <c r="H380" s="122" t="s">
        <v>192</v>
      </c>
      <c r="I380" s="124"/>
      <c r="J380" s="124"/>
      <c r="K380" s="123" t="s">
        <v>801</v>
      </c>
      <c r="L380" s="146">
        <v>0.1</v>
      </c>
      <c r="M380" s="146">
        <v>0.1</v>
      </c>
      <c r="N380" s="218"/>
      <c r="O380" s="145"/>
      <c r="P380" s="123"/>
      <c r="Q380" s="146"/>
      <c r="R380" s="147"/>
      <c r="S380" s="146"/>
      <c r="T380" s="147"/>
      <c r="U380" s="127"/>
      <c r="V380" s="147"/>
      <c r="W380" s="126"/>
      <c r="X380" s="143"/>
      <c r="Y380" s="126"/>
      <c r="Z380" s="121"/>
      <c r="AA380" s="126"/>
      <c r="AB380" s="147"/>
      <c r="AC380" s="121"/>
      <c r="AD380" s="121"/>
      <c r="AE380" s="126"/>
      <c r="AF380" s="147"/>
      <c r="AG380" s="126" t="s">
        <v>11</v>
      </c>
      <c r="AH380" s="126" t="s">
        <v>11</v>
      </c>
      <c r="AI380" s="146">
        <v>0.25</v>
      </c>
      <c r="AJ380" s="147" t="s">
        <v>251</v>
      </c>
      <c r="AK380" s="146">
        <v>0.25</v>
      </c>
      <c r="AL380" s="147" t="s">
        <v>251</v>
      </c>
      <c r="AM380" s="146">
        <v>0</v>
      </c>
      <c r="AN380" s="121" t="s">
        <v>198</v>
      </c>
      <c r="AO380" s="146">
        <v>0.4</v>
      </c>
      <c r="AP380" s="121" t="s">
        <v>251</v>
      </c>
      <c r="AQ380" s="146">
        <v>0.09</v>
      </c>
      <c r="AR380" s="121" t="s">
        <v>198</v>
      </c>
      <c r="AS380" s="146">
        <v>0.19</v>
      </c>
      <c r="AT380" s="121" t="s">
        <v>251</v>
      </c>
      <c r="AU380" s="146">
        <v>0</v>
      </c>
      <c r="AV380" s="121" t="s">
        <v>198</v>
      </c>
      <c r="AW380" s="146">
        <v>0</v>
      </c>
      <c r="AX380" s="121" t="s">
        <v>198</v>
      </c>
      <c r="AY380" s="126">
        <v>0</v>
      </c>
      <c r="AZ380" s="121" t="s">
        <v>198</v>
      </c>
      <c r="BA380" s="146">
        <v>0</v>
      </c>
      <c r="BB380" s="121" t="s">
        <v>198</v>
      </c>
      <c r="BC380" s="126">
        <v>0</v>
      </c>
      <c r="BD380" s="121" t="s">
        <v>198</v>
      </c>
      <c r="BE380" s="126">
        <v>0</v>
      </c>
      <c r="BF380" s="121" t="s">
        <v>198</v>
      </c>
      <c r="BG380" s="126">
        <v>0.5</v>
      </c>
      <c r="BH380" s="121" t="s">
        <v>251</v>
      </c>
      <c r="BI380" s="121" t="s">
        <v>61</v>
      </c>
      <c r="BJ380" s="121" t="s">
        <v>61</v>
      </c>
      <c r="BK380" s="126">
        <v>0</v>
      </c>
      <c r="BL380" s="174" t="str">
        <f>IF(BK380="NA","NA",IF(BK380="Not Reported","Not Reported",IF(BK380&gt;$L$380,"Not Met","Met")))</f>
        <v>Met</v>
      </c>
      <c r="BM380" s="100">
        <f>0/3</f>
        <v>0</v>
      </c>
      <c r="BN380" s="162" t="str">
        <f>IF(BM380="NA","NA",IF(BM380="Not Reported","Not Reported",IF(BM380&gt;$L$380,"Not Met","Met")))</f>
        <v>Met</v>
      </c>
      <c r="BO380" s="178">
        <v>0</v>
      </c>
      <c r="BP380" s="162" t="s">
        <v>198</v>
      </c>
      <c r="BQ380" s="121" t="s">
        <v>61</v>
      </c>
      <c r="BR380" s="162" t="s">
        <v>61</v>
      </c>
      <c r="BS380" s="315">
        <v>0</v>
      </c>
      <c r="BT380" s="162" t="str">
        <f>IF(BS380="NA","NA",IF(BS380="Not Reported","Not Reported",IF(BS380&gt;$L$380,"Not Met","Met")))</f>
        <v>Met</v>
      </c>
      <c r="BU380" s="310">
        <v>0</v>
      </c>
      <c r="BV380" s="162" t="str">
        <f>IF(BU380="NA","NA",IF(BU380="Not Reported","Not Reported",IF(BU380&gt;$L$380,"Not Met","Met")))</f>
        <v>Met</v>
      </c>
    </row>
    <row r="381" spans="1:74" x14ac:dyDescent="0.2">
      <c r="A381" s="121">
        <v>380</v>
      </c>
      <c r="B381" s="122" t="s">
        <v>52</v>
      </c>
      <c r="C381" s="122" t="s">
        <v>903</v>
      </c>
      <c r="D381" s="123" t="s">
        <v>133</v>
      </c>
      <c r="E381" s="123" t="s">
        <v>899</v>
      </c>
      <c r="F381" s="123" t="s">
        <v>300</v>
      </c>
      <c r="G381" s="122" t="s">
        <v>273</v>
      </c>
      <c r="H381" s="122" t="s">
        <v>192</v>
      </c>
      <c r="I381" s="124"/>
      <c r="J381" s="124"/>
      <c r="K381" s="123" t="s">
        <v>802</v>
      </c>
      <c r="L381" s="146">
        <v>0.1</v>
      </c>
      <c r="M381" s="146">
        <v>0.1</v>
      </c>
      <c r="N381" s="218"/>
      <c r="O381" s="145"/>
      <c r="P381" s="123"/>
      <c r="Q381" s="146"/>
      <c r="R381" s="147"/>
      <c r="S381" s="146"/>
      <c r="T381" s="147"/>
      <c r="U381" s="127"/>
      <c r="V381" s="147"/>
      <c r="W381" s="126"/>
      <c r="X381" s="143"/>
      <c r="Y381" s="126"/>
      <c r="Z381" s="121"/>
      <c r="AA381" s="126"/>
      <c r="AB381" s="147"/>
      <c r="AC381" s="121"/>
      <c r="AD381" s="121"/>
      <c r="AE381" s="126"/>
      <c r="AF381" s="147"/>
      <c r="AG381" s="126" t="s">
        <v>11</v>
      </c>
      <c r="AH381" s="126" t="s">
        <v>11</v>
      </c>
      <c r="AI381" s="146">
        <v>0</v>
      </c>
      <c r="AJ381" s="121" t="s">
        <v>198</v>
      </c>
      <c r="AK381" s="146">
        <v>0</v>
      </c>
      <c r="AL381" s="121" t="s">
        <v>198</v>
      </c>
      <c r="AM381" s="146">
        <v>0</v>
      </c>
      <c r="AN381" s="121" t="s">
        <v>198</v>
      </c>
      <c r="AO381" s="146">
        <v>0</v>
      </c>
      <c r="AP381" s="121" t="s">
        <v>198</v>
      </c>
      <c r="AQ381" s="146">
        <v>0</v>
      </c>
      <c r="AR381" s="121" t="s">
        <v>198</v>
      </c>
      <c r="AS381" s="146">
        <v>0</v>
      </c>
      <c r="AT381" s="121" t="s">
        <v>198</v>
      </c>
      <c r="AU381" s="146">
        <v>0</v>
      </c>
      <c r="AV381" s="121" t="s">
        <v>198</v>
      </c>
      <c r="AW381" s="143" t="s">
        <v>11</v>
      </c>
      <c r="AX381" s="128" t="s">
        <v>11</v>
      </c>
      <c r="AY381" s="128" t="s">
        <v>11</v>
      </c>
      <c r="AZ381" s="128" t="s">
        <v>11</v>
      </c>
      <c r="BA381" s="143" t="s">
        <v>11</v>
      </c>
      <c r="BB381" s="128" t="s">
        <v>11</v>
      </c>
      <c r="BC381" s="127" t="s">
        <v>11</v>
      </c>
      <c r="BD381" s="128" t="s">
        <v>11</v>
      </c>
      <c r="BE381" s="142">
        <v>0</v>
      </c>
      <c r="BF381" s="121" t="s">
        <v>198</v>
      </c>
      <c r="BG381" s="142">
        <v>0</v>
      </c>
      <c r="BH381" s="121" t="s">
        <v>198</v>
      </c>
      <c r="BI381" s="121" t="s">
        <v>61</v>
      </c>
      <c r="BJ381" s="121" t="s">
        <v>61</v>
      </c>
      <c r="BK381" s="128">
        <v>0</v>
      </c>
      <c r="BL381" s="174" t="str">
        <f>IF(BK381="NA","NA",IF(BK381="Not Reported","Not Reported",IF(BK381&gt;$L$381,"Not Met","Met")))</f>
        <v>Met</v>
      </c>
      <c r="BM381" s="100">
        <v>0</v>
      </c>
      <c r="BN381" s="162" t="str">
        <f>IF(BM381="NA","NA",IF(BM381="Not Reported","Not Reported",IF(BM381&gt;$L$381,"Not Met","Met")))</f>
        <v>Met</v>
      </c>
      <c r="BO381" s="178">
        <v>0</v>
      </c>
      <c r="BP381" s="162" t="s">
        <v>198</v>
      </c>
      <c r="BQ381" s="121" t="s">
        <v>61</v>
      </c>
      <c r="BR381" s="162" t="s">
        <v>61</v>
      </c>
      <c r="BS381" s="315">
        <v>0</v>
      </c>
      <c r="BT381" s="162" t="str">
        <f>IF(BS381="NA","NA",IF(BS381="Not Reported","Not Reported",IF(BS381&gt;$L$381,"Not Met","Met")))</f>
        <v>Met</v>
      </c>
      <c r="BU381" s="316">
        <v>0</v>
      </c>
      <c r="BV381" s="162" t="str">
        <f>IF(BU381="NA","NA",IF(BU381="Not Reported","Not Reported",IF(BU381&gt;$L$381,"Not Met","Met")))</f>
        <v>Met</v>
      </c>
    </row>
    <row r="382" spans="1:74" x14ac:dyDescent="0.2">
      <c r="A382" s="121">
        <v>381</v>
      </c>
      <c r="B382" s="122" t="s">
        <v>52</v>
      </c>
      <c r="C382" s="122" t="s">
        <v>903</v>
      </c>
      <c r="D382" s="123" t="s">
        <v>133</v>
      </c>
      <c r="E382" s="123" t="s">
        <v>899</v>
      </c>
      <c r="F382" s="123" t="s">
        <v>300</v>
      </c>
      <c r="G382" s="122" t="s">
        <v>273</v>
      </c>
      <c r="H382" s="122" t="s">
        <v>192</v>
      </c>
      <c r="I382" s="124"/>
      <c r="J382" s="124"/>
      <c r="K382" s="123" t="s">
        <v>803</v>
      </c>
      <c r="L382" s="146">
        <v>0.1</v>
      </c>
      <c r="M382" s="146">
        <v>0.1</v>
      </c>
      <c r="N382" s="218"/>
      <c r="O382" s="145"/>
      <c r="P382" s="123"/>
      <c r="Q382" s="146"/>
      <c r="R382" s="147"/>
      <c r="S382" s="146"/>
      <c r="T382" s="147"/>
      <c r="U382" s="127"/>
      <c r="V382" s="147"/>
      <c r="W382" s="126"/>
      <c r="X382" s="143"/>
      <c r="Y382" s="126"/>
      <c r="Z382" s="121"/>
      <c r="AA382" s="126"/>
      <c r="AB382" s="147"/>
      <c r="AC382" s="121"/>
      <c r="AD382" s="121"/>
      <c r="AE382" s="126"/>
      <c r="AF382" s="147"/>
      <c r="AG382" s="126" t="s">
        <v>11</v>
      </c>
      <c r="AH382" s="126" t="s">
        <v>11</v>
      </c>
      <c r="AI382" s="146">
        <v>0</v>
      </c>
      <c r="AJ382" s="121" t="s">
        <v>198</v>
      </c>
      <c r="AK382" s="146">
        <v>0</v>
      </c>
      <c r="AL382" s="121" t="s">
        <v>198</v>
      </c>
      <c r="AM382" s="146" t="s">
        <v>11</v>
      </c>
      <c r="AN382" s="128" t="s">
        <v>11</v>
      </c>
      <c r="AO382" s="146" t="s">
        <v>11</v>
      </c>
      <c r="AP382" s="128" t="s">
        <v>11</v>
      </c>
      <c r="AQ382" s="143" t="s">
        <v>11</v>
      </c>
      <c r="AR382" s="128" t="s">
        <v>11</v>
      </c>
      <c r="AS382" s="146">
        <v>0</v>
      </c>
      <c r="AT382" s="121" t="s">
        <v>198</v>
      </c>
      <c r="AU382" s="143" t="s">
        <v>11</v>
      </c>
      <c r="AV382" s="128" t="s">
        <v>11</v>
      </c>
      <c r="AW382" s="143" t="s">
        <v>11</v>
      </c>
      <c r="AX382" s="128" t="s">
        <v>11</v>
      </c>
      <c r="AY382" s="128" t="s">
        <v>11</v>
      </c>
      <c r="AZ382" s="128" t="s">
        <v>11</v>
      </c>
      <c r="BA382" s="143" t="s">
        <v>11</v>
      </c>
      <c r="BB382" s="128" t="s">
        <v>11</v>
      </c>
      <c r="BC382" s="127" t="s">
        <v>11</v>
      </c>
      <c r="BD382" s="128" t="s">
        <v>11</v>
      </c>
      <c r="BE382" s="142">
        <v>0</v>
      </c>
      <c r="BF382" s="121" t="s">
        <v>198</v>
      </c>
      <c r="BG382" s="142">
        <v>0</v>
      </c>
      <c r="BH382" s="121" t="s">
        <v>198</v>
      </c>
      <c r="BI382" s="121" t="s">
        <v>61</v>
      </c>
      <c r="BJ382" s="121" t="s">
        <v>61</v>
      </c>
      <c r="BK382" s="128">
        <v>0</v>
      </c>
      <c r="BL382" s="174" t="str">
        <f>IF(BK382="NA","NA",IF(BK382="Not Reported","Not Reported",IF(BK382&gt;$L$382,"Not Met","Met")))</f>
        <v>Met</v>
      </c>
      <c r="BM382" s="258" t="s">
        <v>11</v>
      </c>
      <c r="BN382" s="162" t="str">
        <f>IF(BM382="NA","NA",IF(BM382="Not Reported","Not Reported",IF(BM382&gt;$L$382,"Not Met","Met")))</f>
        <v>NA</v>
      </c>
      <c r="BO382" s="178">
        <v>0.5</v>
      </c>
      <c r="BP382" s="162" t="s">
        <v>251</v>
      </c>
      <c r="BQ382" s="121" t="s">
        <v>61</v>
      </c>
      <c r="BR382" s="162" t="s">
        <v>61</v>
      </c>
      <c r="BS382" s="315">
        <v>0.5</v>
      </c>
      <c r="BT382" s="162" t="str">
        <f>IF(BS382="NA","NA",IF(BS382="Not Reported","Not Reported",IF(BS382&gt;$L$382,"Not Met","Met")))</f>
        <v>Not Met</v>
      </c>
      <c r="BU382" s="316">
        <v>0.5</v>
      </c>
      <c r="BV382" s="162" t="str">
        <f>IF(BU382="NA","NA",IF(BU382="Not Reported","Not Reported",IF(BU382&gt;$L$382,"Not Met","Met")))</f>
        <v>Not Met</v>
      </c>
    </row>
    <row r="383" spans="1:74" x14ac:dyDescent="0.2">
      <c r="A383" s="121">
        <v>382</v>
      </c>
      <c r="B383" s="122" t="s">
        <v>52</v>
      </c>
      <c r="C383" s="122" t="s">
        <v>903</v>
      </c>
      <c r="D383" s="123" t="s">
        <v>133</v>
      </c>
      <c r="E383" s="123" t="s">
        <v>899</v>
      </c>
      <c r="F383" s="123" t="s">
        <v>300</v>
      </c>
      <c r="G383" s="122" t="s">
        <v>273</v>
      </c>
      <c r="H383" s="122" t="s">
        <v>192</v>
      </c>
      <c r="I383" s="124"/>
      <c r="J383" s="124"/>
      <c r="K383" s="123" t="s">
        <v>804</v>
      </c>
      <c r="L383" s="146">
        <v>0.1</v>
      </c>
      <c r="M383" s="146">
        <v>0.1</v>
      </c>
      <c r="N383" s="218"/>
      <c r="O383" s="145"/>
      <c r="P383" s="123"/>
      <c r="Q383" s="146"/>
      <c r="R383" s="147"/>
      <c r="S383" s="146"/>
      <c r="T383" s="147"/>
      <c r="U383" s="127"/>
      <c r="V383" s="147"/>
      <c r="W383" s="126"/>
      <c r="X383" s="143"/>
      <c r="Y383" s="126"/>
      <c r="Z383" s="121"/>
      <c r="AA383" s="126"/>
      <c r="AB383" s="147"/>
      <c r="AC383" s="121"/>
      <c r="AD383" s="121"/>
      <c r="AE383" s="126"/>
      <c r="AF383" s="147"/>
      <c r="AG383" s="126" t="s">
        <v>11</v>
      </c>
      <c r="AH383" s="126" t="s">
        <v>11</v>
      </c>
      <c r="AI383" s="146">
        <v>0</v>
      </c>
      <c r="AJ383" s="121" t="s">
        <v>198</v>
      </c>
      <c r="AK383" s="146">
        <v>0</v>
      </c>
      <c r="AL383" s="121" t="s">
        <v>198</v>
      </c>
      <c r="AM383" s="146">
        <v>0</v>
      </c>
      <c r="AN383" s="121" t="s">
        <v>198</v>
      </c>
      <c r="AO383" s="146">
        <v>0</v>
      </c>
      <c r="AP383" s="121" t="s">
        <v>198</v>
      </c>
      <c r="AQ383" s="146">
        <v>0</v>
      </c>
      <c r="AR383" s="121" t="s">
        <v>198</v>
      </c>
      <c r="AS383" s="146">
        <v>0</v>
      </c>
      <c r="AT383" s="121" t="s">
        <v>198</v>
      </c>
      <c r="AU383" s="146">
        <v>0</v>
      </c>
      <c r="AV383" s="121" t="s">
        <v>198</v>
      </c>
      <c r="AW383" s="146">
        <v>0</v>
      </c>
      <c r="AX383" s="121" t="s">
        <v>198</v>
      </c>
      <c r="AY383" s="126">
        <v>0</v>
      </c>
      <c r="AZ383" s="121" t="s">
        <v>198</v>
      </c>
      <c r="BA383" s="146">
        <v>0</v>
      </c>
      <c r="BB383" s="121" t="s">
        <v>198</v>
      </c>
      <c r="BC383" s="126">
        <v>0.08</v>
      </c>
      <c r="BD383" s="121" t="s">
        <v>198</v>
      </c>
      <c r="BE383" s="126">
        <v>0.5</v>
      </c>
      <c r="BF383" s="121" t="s">
        <v>251</v>
      </c>
      <c r="BG383" s="126">
        <v>0</v>
      </c>
      <c r="BH383" s="121" t="s">
        <v>198</v>
      </c>
      <c r="BI383" s="121" t="s">
        <v>61</v>
      </c>
      <c r="BJ383" s="121" t="s">
        <v>61</v>
      </c>
      <c r="BK383" s="126">
        <v>0</v>
      </c>
      <c r="BL383" s="174" t="str">
        <f>IF(BK383="NA","NA",IF(BK383="Not Reported","Not Reported",IF(BK383&gt;$L$383,"Not Met","Met")))</f>
        <v>Met</v>
      </c>
      <c r="BM383" s="262">
        <v>0</v>
      </c>
      <c r="BN383" s="162" t="str">
        <f>IF(BM383="NA","NA",IF(BM383="Not Reported","Not Reported",IF(BM383&gt;$L$383,"Not Met","Met")))</f>
        <v>Met</v>
      </c>
      <c r="BO383" s="178">
        <v>0.5</v>
      </c>
      <c r="BP383" s="162" t="s">
        <v>251</v>
      </c>
      <c r="BQ383" s="121" t="s">
        <v>61</v>
      </c>
      <c r="BR383" s="162" t="s">
        <v>61</v>
      </c>
      <c r="BS383" s="315">
        <v>0</v>
      </c>
      <c r="BT383" s="162" t="str">
        <f>IF(BS383="NA","NA",IF(BS383="Not Reported","Not Reported",IF(BS383&gt;$L$383,"Not Met","Met")))</f>
        <v>Met</v>
      </c>
      <c r="BU383" s="310">
        <v>0</v>
      </c>
      <c r="BV383" s="162" t="str">
        <f>IF(BU383="NA","NA",IF(BU383="Not Reported","Not Reported",IF(BU383&gt;$L$383,"Not Met","Met")))</f>
        <v>Met</v>
      </c>
    </row>
    <row r="384" spans="1:74" x14ac:dyDescent="0.2">
      <c r="A384" s="121">
        <v>383</v>
      </c>
      <c r="B384" s="122" t="s">
        <v>52</v>
      </c>
      <c r="C384" s="122" t="s">
        <v>903</v>
      </c>
      <c r="D384" s="123" t="s">
        <v>133</v>
      </c>
      <c r="E384" s="123" t="s">
        <v>899</v>
      </c>
      <c r="F384" s="123" t="s">
        <v>300</v>
      </c>
      <c r="G384" s="122" t="s">
        <v>273</v>
      </c>
      <c r="H384" s="122" t="s">
        <v>192</v>
      </c>
      <c r="I384" s="124"/>
      <c r="J384" s="124"/>
      <c r="K384" s="123" t="s">
        <v>805</v>
      </c>
      <c r="L384" s="146">
        <v>0.1</v>
      </c>
      <c r="M384" s="146">
        <v>0.1</v>
      </c>
      <c r="N384" s="218"/>
      <c r="O384" s="145"/>
      <c r="P384" s="123"/>
      <c r="Q384" s="146"/>
      <c r="R384" s="147"/>
      <c r="S384" s="146"/>
      <c r="T384" s="147"/>
      <c r="U384" s="127"/>
      <c r="V384" s="147"/>
      <c r="W384" s="126"/>
      <c r="X384" s="143"/>
      <c r="Y384" s="126"/>
      <c r="Z384" s="121"/>
      <c r="AA384" s="126"/>
      <c r="AB384" s="147"/>
      <c r="AC384" s="121"/>
      <c r="AD384" s="121"/>
      <c r="AE384" s="126"/>
      <c r="AF384" s="147"/>
      <c r="AG384" s="126" t="s">
        <v>11</v>
      </c>
      <c r="AH384" s="126" t="s">
        <v>11</v>
      </c>
      <c r="AI384" s="146">
        <v>0.33</v>
      </c>
      <c r="AJ384" s="147" t="s">
        <v>251</v>
      </c>
      <c r="AK384" s="146">
        <v>0.33</v>
      </c>
      <c r="AL384" s="147" t="s">
        <v>251</v>
      </c>
      <c r="AM384" s="146" t="s">
        <v>11</v>
      </c>
      <c r="AN384" s="128" t="s">
        <v>11</v>
      </c>
      <c r="AO384" s="146">
        <v>0.5</v>
      </c>
      <c r="AP384" s="121" t="s">
        <v>251</v>
      </c>
      <c r="AQ384" s="146">
        <v>0.5</v>
      </c>
      <c r="AR384" s="121" t="s">
        <v>251</v>
      </c>
      <c r="AS384" s="146">
        <v>0.5</v>
      </c>
      <c r="AT384" s="121" t="s">
        <v>251</v>
      </c>
      <c r="AU384" s="146">
        <v>0</v>
      </c>
      <c r="AV384" s="121" t="s">
        <v>198</v>
      </c>
      <c r="AW384" s="146">
        <v>0</v>
      </c>
      <c r="AX384" s="121" t="s">
        <v>198</v>
      </c>
      <c r="AY384" s="126">
        <v>0</v>
      </c>
      <c r="AZ384" s="121" t="s">
        <v>198</v>
      </c>
      <c r="BA384" s="146">
        <v>0</v>
      </c>
      <c r="BB384" s="121" t="s">
        <v>198</v>
      </c>
      <c r="BC384" s="126">
        <v>0</v>
      </c>
      <c r="BD384" s="121" t="s">
        <v>198</v>
      </c>
      <c r="BE384" s="126">
        <v>0</v>
      </c>
      <c r="BF384" s="121" t="s">
        <v>198</v>
      </c>
      <c r="BG384" s="126">
        <v>0</v>
      </c>
      <c r="BH384" s="121" t="s">
        <v>198</v>
      </c>
      <c r="BI384" s="121" t="s">
        <v>61</v>
      </c>
      <c r="BJ384" s="121" t="s">
        <v>61</v>
      </c>
      <c r="BK384" s="126">
        <v>0</v>
      </c>
      <c r="BL384" s="174" t="str">
        <f>IF(BK384="NA","NA",IF(BK384="Not Reported","Not Reported",IF(BK384&gt;$L$384,"Not Met","Met")))</f>
        <v>Met</v>
      </c>
      <c r="BM384" s="100">
        <v>0</v>
      </c>
      <c r="BN384" s="162" t="str">
        <f>IF(BM384="NA","NA",IF(BM384="Not Reported","Not Reported",IF(BM384&gt;$L$384,"Not Met","Met")))</f>
        <v>Met</v>
      </c>
      <c r="BO384" s="178">
        <v>0</v>
      </c>
      <c r="BP384" s="162" t="s">
        <v>198</v>
      </c>
      <c r="BQ384" s="121" t="s">
        <v>61</v>
      </c>
      <c r="BR384" s="162" t="s">
        <v>61</v>
      </c>
      <c r="BS384" s="315">
        <v>0</v>
      </c>
      <c r="BT384" s="162" t="str">
        <f>IF(BS384="NA","NA",IF(BS384="Not Reported","Not Reported",IF(BS384&gt;$L$384,"Not Met","Met")))</f>
        <v>Met</v>
      </c>
      <c r="BU384" s="310">
        <v>0</v>
      </c>
      <c r="BV384" s="162" t="str">
        <f>IF(BU384="NA","NA",IF(BU384="Not Reported","Not Reported",IF(BU384&gt;$L$384,"Not Met","Met")))</f>
        <v>Met</v>
      </c>
    </row>
    <row r="385" spans="1:74" x14ac:dyDescent="0.25">
      <c r="A385" s="121">
        <v>384</v>
      </c>
      <c r="B385" s="122" t="s">
        <v>52</v>
      </c>
      <c r="C385" s="122" t="s">
        <v>903</v>
      </c>
      <c r="D385" s="123" t="s">
        <v>133</v>
      </c>
      <c r="E385" s="123" t="s">
        <v>899</v>
      </c>
      <c r="F385" s="123" t="s">
        <v>300</v>
      </c>
      <c r="G385" s="122" t="s">
        <v>273</v>
      </c>
      <c r="H385" s="122" t="s">
        <v>192</v>
      </c>
      <c r="I385" s="124"/>
      <c r="J385" s="124"/>
      <c r="K385" s="123" t="s">
        <v>806</v>
      </c>
      <c r="L385" s="146">
        <v>0.6</v>
      </c>
      <c r="M385" s="146">
        <v>0.6</v>
      </c>
      <c r="N385" s="218"/>
      <c r="O385" s="145"/>
      <c r="P385" s="123"/>
      <c r="Q385" s="146"/>
      <c r="R385" s="147"/>
      <c r="S385" s="146"/>
      <c r="T385" s="147"/>
      <c r="U385" s="127"/>
      <c r="V385" s="147"/>
      <c r="W385" s="126"/>
      <c r="X385" s="143"/>
      <c r="Y385" s="126"/>
      <c r="Z385" s="121"/>
      <c r="AA385" s="126"/>
      <c r="AB385" s="147"/>
      <c r="AC385" s="121"/>
      <c r="AD385" s="121"/>
      <c r="AE385" s="126"/>
      <c r="AF385" s="147"/>
      <c r="AG385" s="126" t="s">
        <v>11</v>
      </c>
      <c r="AH385" s="126" t="s">
        <v>11</v>
      </c>
      <c r="AI385" s="146">
        <v>0.53</v>
      </c>
      <c r="AJ385" s="147" t="s">
        <v>251</v>
      </c>
      <c r="AK385" s="146">
        <v>0.53</v>
      </c>
      <c r="AL385" s="147" t="s">
        <v>251</v>
      </c>
      <c r="AM385" s="146">
        <v>0.81</v>
      </c>
      <c r="AN385" s="121" t="s">
        <v>198</v>
      </c>
      <c r="AO385" s="146">
        <v>0.71</v>
      </c>
      <c r="AP385" s="121" t="s">
        <v>198</v>
      </c>
      <c r="AQ385" s="146">
        <v>0.6</v>
      </c>
      <c r="AR385" s="121" t="s">
        <v>198</v>
      </c>
      <c r="AS385" s="146">
        <v>0.74</v>
      </c>
      <c r="AT385" s="121" t="s">
        <v>198</v>
      </c>
      <c r="AU385" s="146">
        <v>0.59</v>
      </c>
      <c r="AV385" s="121" t="s">
        <v>251</v>
      </c>
      <c r="AW385" s="146">
        <v>0.66</v>
      </c>
      <c r="AX385" s="121" t="s">
        <v>198</v>
      </c>
      <c r="AY385" s="126">
        <v>0.8</v>
      </c>
      <c r="AZ385" s="121" t="s">
        <v>198</v>
      </c>
      <c r="BA385" s="146">
        <v>0.7</v>
      </c>
      <c r="BB385" s="121" t="s">
        <v>198</v>
      </c>
      <c r="BC385" s="126">
        <v>0.61</v>
      </c>
      <c r="BD385" s="121" t="s">
        <v>198</v>
      </c>
      <c r="BE385" s="126">
        <v>0.63</v>
      </c>
      <c r="BF385" s="121" t="s">
        <v>198</v>
      </c>
      <c r="BG385" s="126">
        <v>0.9</v>
      </c>
      <c r="BH385" s="121" t="s">
        <v>198</v>
      </c>
      <c r="BI385" s="121" t="s">
        <v>61</v>
      </c>
      <c r="BJ385" s="121" t="s">
        <v>61</v>
      </c>
      <c r="BK385" s="126">
        <v>0.57999999999999996</v>
      </c>
      <c r="BL385" s="128" t="str">
        <f>IF(BK385="NA","NA",IF(BK385="Not Reported","Not Reported",IF(BK385&lt;$L$385,"Not Met","Met")))</f>
        <v>Not Met</v>
      </c>
      <c r="BM385" s="273">
        <v>0.89</v>
      </c>
      <c r="BN385" s="128" t="str">
        <f>IF(BM385="NA","NA",IF(BM385="Not Reported","Not Reported",IF(BM385&lt;$L$385,"Not Met","Met")))</f>
        <v>Met</v>
      </c>
      <c r="BO385" s="128">
        <v>0.54</v>
      </c>
      <c r="BP385" s="128" t="s">
        <v>251</v>
      </c>
      <c r="BQ385" s="121" t="s">
        <v>61</v>
      </c>
      <c r="BR385" s="128" t="s">
        <v>61</v>
      </c>
      <c r="BS385" s="315">
        <v>0.48</v>
      </c>
      <c r="BT385" s="128" t="str">
        <f>IF(BS385="NA","NA",IF(BS385="Not Reported","Not Reported",IF(BS385&lt;$L$385,"Not Met","Met")))</f>
        <v>Not Met</v>
      </c>
      <c r="BU385" s="425">
        <v>0.66</v>
      </c>
      <c r="BV385" s="128" t="str">
        <f>IF(BU385="NA","NA",IF(BU385="Not Reported","Not Reported",IF(BU385&lt;$L$385,"Not Met","Met")))</f>
        <v>Met</v>
      </c>
    </row>
    <row r="386" spans="1:74" x14ac:dyDescent="0.25">
      <c r="A386" s="121">
        <v>385</v>
      </c>
      <c r="B386" s="122" t="s">
        <v>52</v>
      </c>
      <c r="C386" s="122" t="s">
        <v>903</v>
      </c>
      <c r="D386" s="123" t="s">
        <v>133</v>
      </c>
      <c r="E386" s="123" t="s">
        <v>899</v>
      </c>
      <c r="F386" s="123" t="s">
        <v>300</v>
      </c>
      <c r="G386" s="122" t="s">
        <v>273</v>
      </c>
      <c r="H386" s="122" t="s">
        <v>192</v>
      </c>
      <c r="I386" s="124"/>
      <c r="J386" s="124"/>
      <c r="K386" s="123" t="s">
        <v>807</v>
      </c>
      <c r="L386" s="146">
        <v>0.6</v>
      </c>
      <c r="M386" s="146">
        <v>0.6</v>
      </c>
      <c r="N386" s="218"/>
      <c r="O386" s="145"/>
      <c r="P386" s="123"/>
      <c r="Q386" s="146"/>
      <c r="R386" s="147"/>
      <c r="S386" s="146"/>
      <c r="T386" s="147"/>
      <c r="U386" s="127"/>
      <c r="V386" s="147"/>
      <c r="W386" s="126"/>
      <c r="X386" s="143"/>
      <c r="Y386" s="126"/>
      <c r="Z386" s="121"/>
      <c r="AA386" s="126"/>
      <c r="AB386" s="147"/>
      <c r="AC386" s="121"/>
      <c r="AD386" s="121"/>
      <c r="AE386" s="126"/>
      <c r="AF386" s="147"/>
      <c r="AG386" s="126" t="s">
        <v>11</v>
      </c>
      <c r="AH386" s="126" t="s">
        <v>11</v>
      </c>
      <c r="AI386" s="146">
        <v>0.28999999999999998</v>
      </c>
      <c r="AJ386" s="147" t="s">
        <v>251</v>
      </c>
      <c r="AK386" s="146">
        <v>0.28999999999999998</v>
      </c>
      <c r="AL386" s="147" t="s">
        <v>251</v>
      </c>
      <c r="AM386" s="146">
        <v>0.8</v>
      </c>
      <c r="AN386" s="121" t="s">
        <v>198</v>
      </c>
      <c r="AO386" s="146">
        <v>0.88</v>
      </c>
      <c r="AP386" s="121" t="s">
        <v>198</v>
      </c>
      <c r="AQ386" s="146">
        <v>0.89</v>
      </c>
      <c r="AR386" s="121" t="s">
        <v>198</v>
      </c>
      <c r="AS386" s="146">
        <v>0.85</v>
      </c>
      <c r="AT386" s="121" t="s">
        <v>198</v>
      </c>
      <c r="AU386" s="146">
        <v>0.63</v>
      </c>
      <c r="AV386" s="121" t="s">
        <v>198</v>
      </c>
      <c r="AW386" s="146">
        <v>0.62</v>
      </c>
      <c r="AX386" s="121" t="s">
        <v>198</v>
      </c>
      <c r="AY386" s="126">
        <v>0.71</v>
      </c>
      <c r="AZ386" s="121" t="s">
        <v>198</v>
      </c>
      <c r="BA386" s="146">
        <v>0.65</v>
      </c>
      <c r="BB386" s="121" t="s">
        <v>198</v>
      </c>
      <c r="BC386" s="126">
        <v>0.78</v>
      </c>
      <c r="BD386" s="121" t="s">
        <v>198</v>
      </c>
      <c r="BE386" s="126">
        <v>0.66</v>
      </c>
      <c r="BF386" s="121" t="s">
        <v>198</v>
      </c>
      <c r="BG386" s="126">
        <v>0.59</v>
      </c>
      <c r="BH386" s="121" t="s">
        <v>251</v>
      </c>
      <c r="BI386" s="121" t="s">
        <v>61</v>
      </c>
      <c r="BJ386" s="121" t="s">
        <v>61</v>
      </c>
      <c r="BK386" s="126">
        <v>0.67</v>
      </c>
      <c r="BL386" s="128" t="str">
        <f>IF(BK386="NA","NA",IF(BK386="Not Reported","Not Reported",IF(BK386&lt;$L$386,"Not Met","Met")))</f>
        <v>Met</v>
      </c>
      <c r="BM386" s="273">
        <f>81/111</f>
        <v>0.72972972972972971</v>
      </c>
      <c r="BN386" s="128" t="str">
        <f>IF(BM386="NA","NA",IF(BM386="Not Reported","Not Reported",IF(BM386&lt;$L$386,"Not Met","Met")))</f>
        <v>Met</v>
      </c>
      <c r="BO386" s="128">
        <v>0.79</v>
      </c>
      <c r="BP386" s="128" t="s">
        <v>198</v>
      </c>
      <c r="BQ386" s="121" t="s">
        <v>61</v>
      </c>
      <c r="BR386" s="128" t="s">
        <v>61</v>
      </c>
      <c r="BS386" s="315">
        <v>0.67</v>
      </c>
      <c r="BT386" s="128" t="str">
        <f>IF(BS386="NA","NA",IF(BS386="Not Reported","Not Reported",IF(BS386&lt;$L$386,"Not Met","Met")))</f>
        <v>Met</v>
      </c>
      <c r="BU386" s="310">
        <v>0.68</v>
      </c>
      <c r="BV386" s="128" t="str">
        <f>IF(BU386="NA","NA",IF(BU386="Not Reported","Not Reported",IF(BU386&lt;$L$386,"Not Met","Met")))</f>
        <v>Met</v>
      </c>
    </row>
    <row r="387" spans="1:74" x14ac:dyDescent="0.25">
      <c r="A387" s="121">
        <v>386</v>
      </c>
      <c r="B387" s="122" t="s">
        <v>52</v>
      </c>
      <c r="C387" s="122" t="s">
        <v>903</v>
      </c>
      <c r="D387" s="123" t="s">
        <v>133</v>
      </c>
      <c r="E387" s="123" t="s">
        <v>899</v>
      </c>
      <c r="F387" s="123" t="s">
        <v>300</v>
      </c>
      <c r="G387" s="122" t="s">
        <v>273</v>
      </c>
      <c r="H387" s="122" t="s">
        <v>192</v>
      </c>
      <c r="I387" s="124"/>
      <c r="J387" s="124"/>
      <c r="K387" s="123" t="s">
        <v>808</v>
      </c>
      <c r="L387" s="146">
        <v>0.6</v>
      </c>
      <c r="M387" s="146">
        <v>0.6</v>
      </c>
      <c r="N387" s="218"/>
      <c r="O387" s="145"/>
      <c r="P387" s="123"/>
      <c r="Q387" s="146"/>
      <c r="R387" s="147"/>
      <c r="S387" s="146"/>
      <c r="T387" s="147"/>
      <c r="U387" s="127"/>
      <c r="V387" s="147"/>
      <c r="W387" s="126"/>
      <c r="X387" s="143"/>
      <c r="Y387" s="126"/>
      <c r="Z387" s="121"/>
      <c r="AA387" s="126"/>
      <c r="AB387" s="147"/>
      <c r="AC387" s="121"/>
      <c r="AD387" s="121"/>
      <c r="AE387" s="126"/>
      <c r="AF387" s="147"/>
      <c r="AG387" s="126" t="s">
        <v>11</v>
      </c>
      <c r="AH387" s="126" t="s">
        <v>11</v>
      </c>
      <c r="AI387" s="146">
        <v>0.77</v>
      </c>
      <c r="AJ387" s="121" t="s">
        <v>198</v>
      </c>
      <c r="AK387" s="146">
        <v>0.77</v>
      </c>
      <c r="AL387" s="121" t="s">
        <v>198</v>
      </c>
      <c r="AM387" s="146">
        <v>0.71</v>
      </c>
      <c r="AN387" s="121" t="s">
        <v>198</v>
      </c>
      <c r="AO387" s="146">
        <v>0.51</v>
      </c>
      <c r="AP387" s="121" t="s">
        <v>251</v>
      </c>
      <c r="AQ387" s="146">
        <v>0.85</v>
      </c>
      <c r="AR387" s="121" t="s">
        <v>198</v>
      </c>
      <c r="AS387" s="146">
        <v>0.68</v>
      </c>
      <c r="AT387" s="121" t="s">
        <v>198</v>
      </c>
      <c r="AU387" s="146">
        <v>0.44</v>
      </c>
      <c r="AV387" s="121" t="s">
        <v>251</v>
      </c>
      <c r="AW387" s="146">
        <v>0.7</v>
      </c>
      <c r="AX387" s="121" t="s">
        <v>198</v>
      </c>
      <c r="AY387" s="126">
        <v>0.87</v>
      </c>
      <c r="AZ387" s="121" t="s">
        <v>198</v>
      </c>
      <c r="BA387" s="146">
        <v>0.71</v>
      </c>
      <c r="BB387" s="121" t="s">
        <v>198</v>
      </c>
      <c r="BC387" s="126">
        <v>0.86</v>
      </c>
      <c r="BD387" s="121" t="s">
        <v>198</v>
      </c>
      <c r="BE387" s="126">
        <v>0.79</v>
      </c>
      <c r="BF387" s="121" t="s">
        <v>198</v>
      </c>
      <c r="BG387" s="126">
        <v>0.79</v>
      </c>
      <c r="BH387" s="121" t="s">
        <v>198</v>
      </c>
      <c r="BI387" s="121" t="s">
        <v>61</v>
      </c>
      <c r="BJ387" s="121" t="s">
        <v>61</v>
      </c>
      <c r="BK387" s="126">
        <v>1</v>
      </c>
      <c r="BL387" s="128" t="str">
        <f>IF(BK387="NA","NA",IF(BK387="Not Reported","Not Reported",IF(BK387&lt;$L$387,"Not Met","Met")))</f>
        <v>Met</v>
      </c>
      <c r="BM387" s="273">
        <v>0.88</v>
      </c>
      <c r="BN387" s="128" t="str">
        <f>IF(BM387="NA","NA",IF(BM387="Not Reported","Not Reported",IF(BM387&lt;$L$387,"Not Met","Met")))</f>
        <v>Met</v>
      </c>
      <c r="BO387" s="128">
        <v>1</v>
      </c>
      <c r="BP387" s="128" t="s">
        <v>198</v>
      </c>
      <c r="BQ387" s="121" t="s">
        <v>61</v>
      </c>
      <c r="BR387" s="128" t="s">
        <v>61</v>
      </c>
      <c r="BS387" s="315">
        <v>0.91</v>
      </c>
      <c r="BT387" s="128" t="str">
        <f>IF(BS387="NA","NA",IF(BS387="Not Reported","Not Reported",IF(BS387&lt;$L$387,"Not Met","Met")))</f>
        <v>Met</v>
      </c>
      <c r="BU387" s="310">
        <v>0.83</v>
      </c>
      <c r="BV387" s="128" t="str">
        <f>IF(BU387="NA","NA",IF(BU387="Not Reported","Not Reported",IF(BU387&lt;$L$387,"Not Met","Met")))</f>
        <v>Met</v>
      </c>
    </row>
    <row r="388" spans="1:74" x14ac:dyDescent="0.2">
      <c r="A388" s="121">
        <v>387</v>
      </c>
      <c r="B388" s="122" t="s">
        <v>52</v>
      </c>
      <c r="C388" s="122" t="s">
        <v>903</v>
      </c>
      <c r="D388" s="123" t="s">
        <v>133</v>
      </c>
      <c r="E388" s="123" t="s">
        <v>899</v>
      </c>
      <c r="F388" s="123" t="s">
        <v>300</v>
      </c>
      <c r="G388" s="122" t="s">
        <v>273</v>
      </c>
      <c r="H388" s="122" t="s">
        <v>192</v>
      </c>
      <c r="I388" s="124"/>
      <c r="J388" s="124"/>
      <c r="K388" s="123" t="s">
        <v>809</v>
      </c>
      <c r="L388" s="146">
        <v>0.6</v>
      </c>
      <c r="M388" s="146">
        <v>0.6</v>
      </c>
      <c r="N388" s="218"/>
      <c r="O388" s="145"/>
      <c r="P388" s="123"/>
      <c r="Q388" s="146"/>
      <c r="R388" s="147"/>
      <c r="S388" s="146"/>
      <c r="T388" s="147"/>
      <c r="U388" s="127"/>
      <c r="V388" s="147"/>
      <c r="W388" s="126"/>
      <c r="X388" s="143"/>
      <c r="Y388" s="126"/>
      <c r="Z388" s="121"/>
      <c r="AA388" s="126"/>
      <c r="AB388" s="147"/>
      <c r="AC388" s="121"/>
      <c r="AD388" s="121"/>
      <c r="AE388" s="126"/>
      <c r="AF388" s="147"/>
      <c r="AG388" s="126" t="s">
        <v>11</v>
      </c>
      <c r="AH388" s="126" t="s">
        <v>11</v>
      </c>
      <c r="AI388" s="146">
        <v>0.5</v>
      </c>
      <c r="AJ388" s="147" t="s">
        <v>251</v>
      </c>
      <c r="AK388" s="146">
        <v>0.5</v>
      </c>
      <c r="AL388" s="147" t="s">
        <v>251</v>
      </c>
      <c r="AM388" s="146">
        <v>0.78</v>
      </c>
      <c r="AN388" s="121" t="s">
        <v>198</v>
      </c>
      <c r="AO388" s="146">
        <v>0.64</v>
      </c>
      <c r="AP388" s="121" t="s">
        <v>198</v>
      </c>
      <c r="AQ388" s="146">
        <v>0.67</v>
      </c>
      <c r="AR388" s="121" t="s">
        <v>198</v>
      </c>
      <c r="AS388" s="146">
        <v>0.7</v>
      </c>
      <c r="AT388" s="121" t="s">
        <v>198</v>
      </c>
      <c r="AU388" s="146">
        <v>0.75</v>
      </c>
      <c r="AV388" s="121" t="s">
        <v>198</v>
      </c>
      <c r="AW388" s="143" t="s">
        <v>11</v>
      </c>
      <c r="AX388" s="128" t="s">
        <v>11</v>
      </c>
      <c r="AY388" s="128" t="s">
        <v>11</v>
      </c>
      <c r="AZ388" s="128" t="s">
        <v>11</v>
      </c>
      <c r="BA388" s="146">
        <v>0.75</v>
      </c>
      <c r="BB388" s="121" t="s">
        <v>198</v>
      </c>
      <c r="BC388" s="127" t="s">
        <v>11</v>
      </c>
      <c r="BD388" s="128" t="s">
        <v>11</v>
      </c>
      <c r="BE388" s="126" t="s">
        <v>11</v>
      </c>
      <c r="BF388" s="248" t="s">
        <v>11</v>
      </c>
      <c r="BG388" s="127" t="s">
        <v>11</v>
      </c>
      <c r="BH388" s="128" t="s">
        <v>11</v>
      </c>
      <c r="BI388" s="121" t="s">
        <v>61</v>
      </c>
      <c r="BJ388" s="121" t="s">
        <v>61</v>
      </c>
      <c r="BK388" s="128">
        <v>0.56000000000000005</v>
      </c>
      <c r="BL388" s="128" t="str">
        <f>IF(BK388="NA","NA",IF(BK388="Not Reported","Not Reported",IF(BK388&lt;$L$388,"Not Met","Met")))</f>
        <v>Not Met</v>
      </c>
      <c r="BM388" s="273">
        <v>0.88</v>
      </c>
      <c r="BN388" s="128" t="str">
        <f>IF(BM388="NA","NA",IF(BM388="Not Reported","Not Reported",IF(BM388&lt;$L$388,"Not Met","Met")))</f>
        <v>Met</v>
      </c>
      <c r="BO388" s="128" t="s">
        <v>11</v>
      </c>
      <c r="BP388" s="128" t="s">
        <v>11</v>
      </c>
      <c r="BQ388" s="121" t="s">
        <v>61</v>
      </c>
      <c r="BR388" s="128" t="s">
        <v>61</v>
      </c>
      <c r="BS388" s="26" t="s">
        <v>11</v>
      </c>
      <c r="BT388" s="128" t="str">
        <f>IF(BS388="NA","NA",IF(BS388="Not Reported","Not Reported",IF(BS388&lt;$L$388,"Not Met","Met")))</f>
        <v>NA</v>
      </c>
      <c r="BU388" s="310">
        <v>0.56000000000000005</v>
      </c>
      <c r="BV388" s="128" t="str">
        <f>IF(BU388="NA","NA",IF(BU388="Not Reported","Not Reported",IF(BU388&lt;$L$388,"Not Met","Met")))</f>
        <v>Not Met</v>
      </c>
    </row>
    <row r="389" spans="1:74" x14ac:dyDescent="0.25">
      <c r="A389" s="121">
        <v>388</v>
      </c>
      <c r="B389" s="122" t="s">
        <v>52</v>
      </c>
      <c r="C389" s="122" t="s">
        <v>903</v>
      </c>
      <c r="D389" s="123" t="s">
        <v>133</v>
      </c>
      <c r="E389" s="123" t="s">
        <v>899</v>
      </c>
      <c r="F389" s="123" t="s">
        <v>300</v>
      </c>
      <c r="G389" s="122" t="s">
        <v>273</v>
      </c>
      <c r="H389" s="122" t="s">
        <v>192</v>
      </c>
      <c r="I389" s="124"/>
      <c r="J389" s="124"/>
      <c r="K389" s="123" t="s">
        <v>810</v>
      </c>
      <c r="L389" s="146">
        <v>0.6</v>
      </c>
      <c r="M389" s="146">
        <v>0.6</v>
      </c>
      <c r="N389" s="218"/>
      <c r="O389" s="145"/>
      <c r="P389" s="123"/>
      <c r="Q389" s="146"/>
      <c r="R389" s="147"/>
      <c r="S389" s="146"/>
      <c r="T389" s="147"/>
      <c r="U389" s="127"/>
      <c r="V389" s="147"/>
      <c r="W389" s="126"/>
      <c r="X389" s="143"/>
      <c r="Y389" s="126"/>
      <c r="Z389" s="121"/>
      <c r="AA389" s="126"/>
      <c r="AB389" s="147"/>
      <c r="AC389" s="121"/>
      <c r="AD389" s="121"/>
      <c r="AE389" s="126"/>
      <c r="AF389" s="147"/>
      <c r="AG389" s="126" t="s">
        <v>11</v>
      </c>
      <c r="AH389" s="126" t="s">
        <v>11</v>
      </c>
      <c r="AI389" s="146" t="s">
        <v>11</v>
      </c>
      <c r="AJ389" s="128" t="s">
        <v>11</v>
      </c>
      <c r="AK389" s="146" t="s">
        <v>11</v>
      </c>
      <c r="AL389" s="128" t="s">
        <v>11</v>
      </c>
      <c r="AM389" s="146">
        <v>0.67</v>
      </c>
      <c r="AN389" s="121" t="s">
        <v>198</v>
      </c>
      <c r="AO389" s="146">
        <v>0.67</v>
      </c>
      <c r="AP389" s="121" t="s">
        <v>198</v>
      </c>
      <c r="AQ389" s="143" t="s">
        <v>11</v>
      </c>
      <c r="AR389" s="121" t="s">
        <v>11</v>
      </c>
      <c r="AS389" s="146">
        <v>0.67</v>
      </c>
      <c r="AT389" s="121" t="s">
        <v>198</v>
      </c>
      <c r="AU389" s="143" t="s">
        <v>11</v>
      </c>
      <c r="AV389" s="121" t="s">
        <v>11</v>
      </c>
      <c r="AW389" s="143" t="s">
        <v>11</v>
      </c>
      <c r="AX389" s="128" t="s">
        <v>11</v>
      </c>
      <c r="AY389" s="128" t="s">
        <v>11</v>
      </c>
      <c r="AZ389" s="128" t="s">
        <v>11</v>
      </c>
      <c r="BA389" s="143" t="s">
        <v>11</v>
      </c>
      <c r="BB389" s="128" t="s">
        <v>11</v>
      </c>
      <c r="BC389" s="127" t="s">
        <v>11</v>
      </c>
      <c r="BD389" s="128" t="s">
        <v>11</v>
      </c>
      <c r="BE389" s="126">
        <v>0.74</v>
      </c>
      <c r="BF389" s="121" t="s">
        <v>198</v>
      </c>
      <c r="BG389" s="142">
        <v>1</v>
      </c>
      <c r="BH389" s="121" t="s">
        <v>198</v>
      </c>
      <c r="BI389" s="121" t="s">
        <v>61</v>
      </c>
      <c r="BJ389" s="121" t="s">
        <v>61</v>
      </c>
      <c r="BK389" s="128" t="s">
        <v>11</v>
      </c>
      <c r="BL389" s="128" t="str">
        <f>IF(BK389="NA","NA",IF(BK389="Not Reported","Not Reported",IF(BK389&lt;$L$389,"Not Met","Met")))</f>
        <v>NA</v>
      </c>
      <c r="BM389" s="258" t="s">
        <v>11</v>
      </c>
      <c r="BN389" s="128" t="str">
        <f>IF(BM389="NA","NA",IF(BM389="Not Reported","Not Reported",IF(BM389&lt;$L$389,"Not Met","Met")))</f>
        <v>NA</v>
      </c>
      <c r="BO389" s="128">
        <v>0.82</v>
      </c>
      <c r="BP389" s="128" t="s">
        <v>198</v>
      </c>
      <c r="BQ389" s="121" t="s">
        <v>61</v>
      </c>
      <c r="BR389" s="128" t="s">
        <v>61</v>
      </c>
      <c r="BS389" s="315">
        <v>0.25</v>
      </c>
      <c r="BT389" s="128" t="str">
        <f>IF(BS389="NA","NA",IF(BS389="Not Reported","Not Reported",IF(BS389&lt;$L$389,"Not Met","Met")))</f>
        <v>Not Met</v>
      </c>
      <c r="BU389" s="316">
        <v>0.76</v>
      </c>
      <c r="BV389" s="128" t="str">
        <f>IF(BU389="NA","NA",IF(BU389="Not Reported","Not Reported",IF(BU389&lt;$L$389,"Not Met","Met")))</f>
        <v>Met</v>
      </c>
    </row>
    <row r="390" spans="1:74" x14ac:dyDescent="0.25">
      <c r="A390" s="121">
        <v>389</v>
      </c>
      <c r="B390" s="122" t="s">
        <v>52</v>
      </c>
      <c r="C390" s="122" t="s">
        <v>903</v>
      </c>
      <c r="D390" s="123" t="s">
        <v>133</v>
      </c>
      <c r="E390" s="123" t="s">
        <v>899</v>
      </c>
      <c r="F390" s="123" t="s">
        <v>300</v>
      </c>
      <c r="G390" s="122" t="s">
        <v>273</v>
      </c>
      <c r="H390" s="122" t="s">
        <v>192</v>
      </c>
      <c r="I390" s="124"/>
      <c r="J390" s="124"/>
      <c r="K390" s="123" t="s">
        <v>811</v>
      </c>
      <c r="L390" s="146">
        <v>0.6</v>
      </c>
      <c r="M390" s="146">
        <v>0.6</v>
      </c>
      <c r="N390" s="218"/>
      <c r="O390" s="145"/>
      <c r="P390" s="123"/>
      <c r="Q390" s="146"/>
      <c r="R390" s="147"/>
      <c r="S390" s="146"/>
      <c r="T390" s="147"/>
      <c r="U390" s="127"/>
      <c r="V390" s="147"/>
      <c r="W390" s="126"/>
      <c r="X390" s="143"/>
      <c r="Y390" s="126"/>
      <c r="Z390" s="121"/>
      <c r="AA390" s="126"/>
      <c r="AB390" s="147"/>
      <c r="AC390" s="121"/>
      <c r="AD390" s="121"/>
      <c r="AE390" s="126"/>
      <c r="AF390" s="147"/>
      <c r="AG390" s="126" t="s">
        <v>11</v>
      </c>
      <c r="AH390" s="126" t="s">
        <v>11</v>
      </c>
      <c r="AI390" s="146">
        <v>0.64</v>
      </c>
      <c r="AJ390" s="121" t="s">
        <v>198</v>
      </c>
      <c r="AK390" s="146">
        <v>0.64</v>
      </c>
      <c r="AL390" s="121" t="s">
        <v>198</v>
      </c>
      <c r="AM390" s="146">
        <v>0.57999999999999996</v>
      </c>
      <c r="AN390" s="121" t="s">
        <v>251</v>
      </c>
      <c r="AO390" s="146">
        <v>0.95</v>
      </c>
      <c r="AP390" s="121" t="s">
        <v>198</v>
      </c>
      <c r="AQ390" s="146">
        <v>0.81</v>
      </c>
      <c r="AR390" s="121" t="s">
        <v>198</v>
      </c>
      <c r="AS390" s="146">
        <v>0.78</v>
      </c>
      <c r="AT390" s="121" t="s">
        <v>198</v>
      </c>
      <c r="AU390" s="146">
        <v>0.85</v>
      </c>
      <c r="AV390" s="121" t="s">
        <v>198</v>
      </c>
      <c r="AW390" s="146">
        <v>0.71</v>
      </c>
      <c r="AX390" s="121" t="s">
        <v>198</v>
      </c>
      <c r="AY390" s="126">
        <v>0.47</v>
      </c>
      <c r="AZ390" s="121" t="s">
        <v>251</v>
      </c>
      <c r="BA390" s="146">
        <v>0.69</v>
      </c>
      <c r="BB390" s="121" t="s">
        <v>198</v>
      </c>
      <c r="BC390" s="126">
        <v>0.91</v>
      </c>
      <c r="BD390" s="121" t="s">
        <v>198</v>
      </c>
      <c r="BE390" s="126">
        <v>0.67</v>
      </c>
      <c r="BF390" s="121" t="s">
        <v>198</v>
      </c>
      <c r="BG390" s="126">
        <v>0.7</v>
      </c>
      <c r="BH390" s="121" t="s">
        <v>198</v>
      </c>
      <c r="BI390" s="121" t="s">
        <v>61</v>
      </c>
      <c r="BJ390" s="121" t="s">
        <v>61</v>
      </c>
      <c r="BK390" s="126">
        <v>1</v>
      </c>
      <c r="BL390" s="128" t="str">
        <f>IF(BK390="NA","NA",IF(BK390="Not Reported","Not Reported",IF(BK390&lt;$L$390,"Not Met","Met")))</f>
        <v>Met</v>
      </c>
      <c r="BM390" s="258" t="s">
        <v>11</v>
      </c>
      <c r="BN390" s="128" t="str">
        <f>IF(BM390="NA","NA",IF(BM390="Not Reported","Not Reported",IF(BM390&lt;$L$390,"Not Met","Met")))</f>
        <v>NA</v>
      </c>
      <c r="BO390" s="128">
        <v>1</v>
      </c>
      <c r="BP390" s="128" t="s">
        <v>198</v>
      </c>
      <c r="BQ390" s="121" t="s">
        <v>61</v>
      </c>
      <c r="BR390" s="128" t="s">
        <v>61</v>
      </c>
      <c r="BS390" s="315">
        <v>0.5</v>
      </c>
      <c r="BT390" s="128" t="str">
        <f>IF(BS390="NA","NA",IF(BS390="Not Reported","Not Reported",IF(BS390&lt;$L$390,"Not Met","Met")))</f>
        <v>Not Met</v>
      </c>
      <c r="BU390" s="310">
        <v>0.73</v>
      </c>
      <c r="BV390" s="128" t="str">
        <f>IF(BU390="NA","NA",IF(BU390="Not Reported","Not Reported",IF(BU390&lt;$L$390,"Not Met","Met")))</f>
        <v>Met</v>
      </c>
    </row>
    <row r="391" spans="1:74" x14ac:dyDescent="0.25">
      <c r="A391" s="121">
        <v>390</v>
      </c>
      <c r="B391" s="122" t="s">
        <v>52</v>
      </c>
      <c r="C391" s="122" t="s">
        <v>903</v>
      </c>
      <c r="D391" s="123" t="s">
        <v>133</v>
      </c>
      <c r="E391" s="123" t="s">
        <v>899</v>
      </c>
      <c r="F391" s="123" t="s">
        <v>300</v>
      </c>
      <c r="G391" s="122" t="s">
        <v>273</v>
      </c>
      <c r="H391" s="122" t="s">
        <v>192</v>
      </c>
      <c r="I391" s="124"/>
      <c r="J391" s="124"/>
      <c r="K391" s="123" t="s">
        <v>812</v>
      </c>
      <c r="L391" s="146">
        <v>0.6</v>
      </c>
      <c r="M391" s="146">
        <v>0.6</v>
      </c>
      <c r="N391" s="218"/>
      <c r="O391" s="145"/>
      <c r="P391" s="123"/>
      <c r="Q391" s="146"/>
      <c r="R391" s="147"/>
      <c r="S391" s="146"/>
      <c r="T391" s="147"/>
      <c r="U391" s="127"/>
      <c r="V391" s="147"/>
      <c r="W391" s="126"/>
      <c r="X391" s="143"/>
      <c r="Y391" s="126"/>
      <c r="Z391" s="121"/>
      <c r="AA391" s="126"/>
      <c r="AB391" s="147"/>
      <c r="AC391" s="121"/>
      <c r="AD391" s="121"/>
      <c r="AE391" s="126"/>
      <c r="AF391" s="147"/>
      <c r="AG391" s="126" t="s">
        <v>11</v>
      </c>
      <c r="AH391" s="126" t="s">
        <v>11</v>
      </c>
      <c r="AI391" s="146">
        <v>0.63</v>
      </c>
      <c r="AJ391" s="121" t="s">
        <v>198</v>
      </c>
      <c r="AK391" s="146">
        <v>0.63</v>
      </c>
      <c r="AL391" s="121" t="s">
        <v>198</v>
      </c>
      <c r="AM391" s="146">
        <v>0.75</v>
      </c>
      <c r="AN391" s="121" t="s">
        <v>198</v>
      </c>
      <c r="AO391" s="146">
        <v>0.67</v>
      </c>
      <c r="AP391" s="121" t="s">
        <v>198</v>
      </c>
      <c r="AQ391" s="146">
        <v>0.56999999999999995</v>
      </c>
      <c r="AR391" s="121" t="s">
        <v>251</v>
      </c>
      <c r="AS391" s="146">
        <v>0.69</v>
      </c>
      <c r="AT391" s="121" t="s">
        <v>198</v>
      </c>
      <c r="AU391" s="146">
        <v>0.68</v>
      </c>
      <c r="AV391" s="121" t="s">
        <v>198</v>
      </c>
      <c r="AW391" s="143" t="s">
        <v>11</v>
      </c>
      <c r="AX391" s="128" t="s">
        <v>11</v>
      </c>
      <c r="AY391" s="128">
        <v>0.8</v>
      </c>
      <c r="AZ391" s="121" t="s">
        <v>198</v>
      </c>
      <c r="BA391" s="146">
        <v>0.7</v>
      </c>
      <c r="BB391" s="121" t="s">
        <v>198</v>
      </c>
      <c r="BC391" s="127" t="s">
        <v>11</v>
      </c>
      <c r="BD391" s="128" t="s">
        <v>11</v>
      </c>
      <c r="BE391" s="126">
        <v>0.5</v>
      </c>
      <c r="BF391" s="121" t="s">
        <v>251</v>
      </c>
      <c r="BG391" s="142">
        <v>0.73</v>
      </c>
      <c r="BH391" s="121" t="s">
        <v>198</v>
      </c>
      <c r="BI391" s="121" t="s">
        <v>61</v>
      </c>
      <c r="BJ391" s="121" t="s">
        <v>61</v>
      </c>
      <c r="BK391" s="128">
        <v>0.83</v>
      </c>
      <c r="BL391" s="128" t="str">
        <f>IF(BK391="NA","NA",IF(BK391="Not Reported","Not Reported",IF(BK391&lt;$L$391,"Not Met","Met")))</f>
        <v>Met</v>
      </c>
      <c r="BM391" s="262">
        <v>0.88</v>
      </c>
      <c r="BN391" s="128" t="str">
        <f>IF(BM391="NA","NA",IF(BM391="Not Reported","Not Reported",IF(BM391&lt;$L$391,"Not Met","Met")))</f>
        <v>Met</v>
      </c>
      <c r="BO391" s="128">
        <v>0.8</v>
      </c>
      <c r="BP391" s="128" t="s">
        <v>198</v>
      </c>
      <c r="BQ391" s="121" t="s">
        <v>61</v>
      </c>
      <c r="BR391" s="128" t="s">
        <v>61</v>
      </c>
      <c r="BS391" s="315">
        <v>0.76</v>
      </c>
      <c r="BT391" s="128" t="str">
        <f>IF(BS391="NA","NA",IF(BS391="Not Reported","Not Reported",IF(BS391&lt;$L$391,"Not Met","Met")))</f>
        <v>Met</v>
      </c>
      <c r="BU391" s="310">
        <v>0.76</v>
      </c>
      <c r="BV391" s="128" t="str">
        <f>IF(BU391="NA","NA",IF(BU391="Not Reported","Not Reported",IF(BU391&lt;$L$391,"Not Met","Met")))</f>
        <v>Met</v>
      </c>
    </row>
    <row r="392" spans="1:74" x14ac:dyDescent="0.25">
      <c r="A392" s="121">
        <v>391</v>
      </c>
      <c r="B392" s="122" t="s">
        <v>52</v>
      </c>
      <c r="C392" s="122" t="s">
        <v>903</v>
      </c>
      <c r="D392" s="123" t="s">
        <v>133</v>
      </c>
      <c r="E392" s="123" t="s">
        <v>899</v>
      </c>
      <c r="F392" s="123" t="s">
        <v>300</v>
      </c>
      <c r="G392" s="122" t="s">
        <v>273</v>
      </c>
      <c r="H392" s="122" t="s">
        <v>192</v>
      </c>
      <c r="I392" s="124"/>
      <c r="J392" s="124"/>
      <c r="K392" s="123" t="s">
        <v>813</v>
      </c>
      <c r="L392" s="146">
        <v>0.15</v>
      </c>
      <c r="M392" s="146">
        <v>0.15</v>
      </c>
      <c r="N392" s="218"/>
      <c r="O392" s="145"/>
      <c r="P392" s="123"/>
      <c r="Q392" s="146"/>
      <c r="R392" s="147"/>
      <c r="S392" s="146"/>
      <c r="T392" s="147"/>
      <c r="U392" s="127"/>
      <c r="V392" s="147"/>
      <c r="W392" s="126"/>
      <c r="X392" s="143"/>
      <c r="Y392" s="126"/>
      <c r="Z392" s="121"/>
      <c r="AA392" s="126"/>
      <c r="AB392" s="147"/>
      <c r="AC392" s="121"/>
      <c r="AD392" s="121"/>
      <c r="AE392" s="126"/>
      <c r="AF392" s="147"/>
      <c r="AG392" s="126" t="s">
        <v>11</v>
      </c>
      <c r="AH392" s="126" t="s">
        <v>11</v>
      </c>
      <c r="AI392" s="146">
        <v>0.12</v>
      </c>
      <c r="AJ392" s="147" t="s">
        <v>251</v>
      </c>
      <c r="AK392" s="146">
        <v>0.12</v>
      </c>
      <c r="AL392" s="147" t="s">
        <v>251</v>
      </c>
      <c r="AM392" s="146">
        <v>7.0000000000000007E-2</v>
      </c>
      <c r="AN392" s="121" t="s">
        <v>251</v>
      </c>
      <c r="AO392" s="146">
        <v>0.11</v>
      </c>
      <c r="AP392" s="121" t="s">
        <v>251</v>
      </c>
      <c r="AQ392" s="146">
        <v>0</v>
      </c>
      <c r="AR392" s="121" t="s">
        <v>251</v>
      </c>
      <c r="AS392" s="146">
        <v>7.0000000000000007E-2</v>
      </c>
      <c r="AT392" s="121" t="s">
        <v>251</v>
      </c>
      <c r="AU392" s="146">
        <v>0.05</v>
      </c>
      <c r="AV392" s="121" t="s">
        <v>251</v>
      </c>
      <c r="AW392" s="146">
        <v>0.06</v>
      </c>
      <c r="AX392" s="121" t="s">
        <v>251</v>
      </c>
      <c r="AY392" s="126">
        <v>0.15</v>
      </c>
      <c r="AZ392" s="121" t="s">
        <v>198</v>
      </c>
      <c r="BA392" s="146">
        <v>0.1</v>
      </c>
      <c r="BB392" s="121" t="s">
        <v>251</v>
      </c>
      <c r="BC392" s="126">
        <v>0.05</v>
      </c>
      <c r="BD392" s="121" t="s">
        <v>251</v>
      </c>
      <c r="BE392" s="126">
        <v>0.11</v>
      </c>
      <c r="BF392" s="121" t="s">
        <v>251</v>
      </c>
      <c r="BG392" s="126">
        <v>0.19</v>
      </c>
      <c r="BH392" s="121" t="s">
        <v>198</v>
      </c>
      <c r="BI392" s="121" t="s">
        <v>61</v>
      </c>
      <c r="BJ392" s="121" t="s">
        <v>61</v>
      </c>
      <c r="BK392" s="126">
        <v>0.06</v>
      </c>
      <c r="BL392" s="128" t="str">
        <f>IF(BK392="NA","NA",IF(BK392="Not Reported","Not Reported",IF(BK392&lt;$L$392,"Not Met","Met")))</f>
        <v>Not Met</v>
      </c>
      <c r="BM392" s="273">
        <v>0.25</v>
      </c>
      <c r="BN392" s="128" t="str">
        <f>IF(BM392="NA","NA",IF(BM392="Not Reported","Not Reported",IF(BM392&lt;$L$392,"Not Met","Met")))</f>
        <v>Met</v>
      </c>
      <c r="BO392" s="128">
        <v>0.05</v>
      </c>
      <c r="BP392" s="128" t="s">
        <v>251</v>
      </c>
      <c r="BQ392" s="121" t="s">
        <v>61</v>
      </c>
      <c r="BR392" s="128" t="s">
        <v>61</v>
      </c>
      <c r="BS392" s="315">
        <v>0.04</v>
      </c>
      <c r="BT392" s="128" t="str">
        <f>IF(BS392="NA","NA",IF(BS392="Not Reported","Not Reported",IF(BS392&lt;$L$392,"Not Met","Met")))</f>
        <v>Not Met</v>
      </c>
      <c r="BU392" s="310">
        <v>0.09</v>
      </c>
      <c r="BV392" s="128" t="str">
        <f>IF(BU392="NA","NA",IF(BU392="Not Reported","Not Reported",IF(BU392&lt;$L$392,"Not Met","Met")))</f>
        <v>Not Met</v>
      </c>
    </row>
    <row r="393" spans="1:74" x14ac:dyDescent="0.25">
      <c r="A393" s="121">
        <v>392</v>
      </c>
      <c r="B393" s="122" t="s">
        <v>52</v>
      </c>
      <c r="C393" s="122" t="s">
        <v>903</v>
      </c>
      <c r="D393" s="123" t="s">
        <v>133</v>
      </c>
      <c r="E393" s="123" t="s">
        <v>899</v>
      </c>
      <c r="F393" s="123" t="s">
        <v>300</v>
      </c>
      <c r="G393" s="122" t="s">
        <v>273</v>
      </c>
      <c r="H393" s="122" t="s">
        <v>192</v>
      </c>
      <c r="I393" s="124"/>
      <c r="J393" s="124"/>
      <c r="K393" s="123" t="s">
        <v>814</v>
      </c>
      <c r="L393" s="146">
        <v>0.15</v>
      </c>
      <c r="M393" s="146">
        <v>0.15</v>
      </c>
      <c r="N393" s="218"/>
      <c r="O393" s="145"/>
      <c r="P393" s="123"/>
      <c r="Q393" s="146"/>
      <c r="R393" s="147"/>
      <c r="S393" s="146"/>
      <c r="T393" s="147"/>
      <c r="U393" s="127"/>
      <c r="V393" s="147"/>
      <c r="W393" s="126"/>
      <c r="X393" s="143"/>
      <c r="Y393" s="126"/>
      <c r="Z393" s="121"/>
      <c r="AA393" s="126"/>
      <c r="AB393" s="147"/>
      <c r="AC393" s="121"/>
      <c r="AD393" s="121"/>
      <c r="AE393" s="126"/>
      <c r="AF393" s="147"/>
      <c r="AG393" s="126" t="s">
        <v>11</v>
      </c>
      <c r="AH393" s="126" t="s">
        <v>11</v>
      </c>
      <c r="AI393" s="146">
        <v>0.14000000000000001</v>
      </c>
      <c r="AJ393" s="147" t="s">
        <v>251</v>
      </c>
      <c r="AK393" s="146">
        <v>0.14000000000000001</v>
      </c>
      <c r="AL393" s="147" t="s">
        <v>251</v>
      </c>
      <c r="AM393" s="146">
        <v>0.12</v>
      </c>
      <c r="AN393" s="121" t="s">
        <v>251</v>
      </c>
      <c r="AO393" s="146">
        <v>0</v>
      </c>
      <c r="AP393" s="121" t="s">
        <v>251</v>
      </c>
      <c r="AQ393" s="146">
        <v>7.0000000000000007E-2</v>
      </c>
      <c r="AR393" s="121" t="s">
        <v>251</v>
      </c>
      <c r="AS393" s="146">
        <v>0.08</v>
      </c>
      <c r="AT393" s="121" t="s">
        <v>251</v>
      </c>
      <c r="AU393" s="146">
        <v>0</v>
      </c>
      <c r="AV393" s="121" t="s">
        <v>251</v>
      </c>
      <c r="AW393" s="146">
        <v>0.04</v>
      </c>
      <c r="AX393" s="121" t="s">
        <v>251</v>
      </c>
      <c r="AY393" s="126">
        <v>0.05</v>
      </c>
      <c r="AZ393" s="121" t="s">
        <v>251</v>
      </c>
      <c r="BA393" s="146">
        <v>0.03</v>
      </c>
      <c r="BB393" s="121" t="s">
        <v>251</v>
      </c>
      <c r="BC393" s="126">
        <v>0</v>
      </c>
      <c r="BD393" s="121" t="s">
        <v>251</v>
      </c>
      <c r="BE393" s="126">
        <v>0.06</v>
      </c>
      <c r="BF393" s="121" t="s">
        <v>251</v>
      </c>
      <c r="BG393" s="126">
        <v>0.01</v>
      </c>
      <c r="BH393" s="121" t="s">
        <v>251</v>
      </c>
      <c r="BI393" s="121" t="s">
        <v>61</v>
      </c>
      <c r="BJ393" s="121" t="s">
        <v>61</v>
      </c>
      <c r="BK393" s="126">
        <v>0.06</v>
      </c>
      <c r="BL393" s="128" t="str">
        <f>IF(BK393="NA","NA",IF(BK393="Not Reported","Not Reported",IF(BK393&lt;$L$393,"Not Met","Met")))</f>
        <v>Not Met</v>
      </c>
      <c r="BM393" s="273">
        <f>6/111</f>
        <v>5.4054054054054057E-2</v>
      </c>
      <c r="BN393" s="128" t="str">
        <f>IF(BM393="NA","NA",IF(BM393="Not Reported","Not Reported",IF(BM393&lt;$L$393,"Not Met","Met")))</f>
        <v>Not Met</v>
      </c>
      <c r="BO393" s="128">
        <v>0.01</v>
      </c>
      <c r="BP393" s="128" t="s">
        <v>251</v>
      </c>
      <c r="BQ393" s="121" t="s">
        <v>61</v>
      </c>
      <c r="BR393" s="128" t="s">
        <v>61</v>
      </c>
      <c r="BS393" s="315">
        <v>0.05</v>
      </c>
      <c r="BT393" s="128" t="str">
        <f>IF(BS393="NA","NA",IF(BS393="Not Reported","Not Reported",IF(BS393&lt;$L$393,"Not Met","Met")))</f>
        <v>Not Met</v>
      </c>
      <c r="BU393" s="310">
        <v>0.04</v>
      </c>
      <c r="BV393" s="128" t="str">
        <f>IF(BU393="NA","NA",IF(BU393="Not Reported","Not Reported",IF(BU393&lt;$L$393,"Not Met","Met")))</f>
        <v>Not Met</v>
      </c>
    </row>
    <row r="394" spans="1:74" x14ac:dyDescent="0.25">
      <c r="A394" s="121">
        <v>393</v>
      </c>
      <c r="B394" s="122" t="s">
        <v>52</v>
      </c>
      <c r="C394" s="122" t="s">
        <v>903</v>
      </c>
      <c r="D394" s="123" t="s">
        <v>133</v>
      </c>
      <c r="E394" s="123" t="s">
        <v>899</v>
      </c>
      <c r="F394" s="123" t="s">
        <v>300</v>
      </c>
      <c r="G394" s="122" t="s">
        <v>273</v>
      </c>
      <c r="H394" s="122" t="s">
        <v>192</v>
      </c>
      <c r="I394" s="124"/>
      <c r="J394" s="124"/>
      <c r="K394" s="123" t="s">
        <v>815</v>
      </c>
      <c r="L394" s="146">
        <v>0.2</v>
      </c>
      <c r="M394" s="146">
        <v>0.2</v>
      </c>
      <c r="N394" s="218"/>
      <c r="O394" s="145"/>
      <c r="P394" s="123"/>
      <c r="Q394" s="146"/>
      <c r="R394" s="147"/>
      <c r="S394" s="146"/>
      <c r="T394" s="147"/>
      <c r="U394" s="127"/>
      <c r="V394" s="147"/>
      <c r="W394" s="126"/>
      <c r="X394" s="143"/>
      <c r="Y394" s="126"/>
      <c r="Z394" s="121"/>
      <c r="AA394" s="126"/>
      <c r="AB394" s="147"/>
      <c r="AC394" s="121"/>
      <c r="AD394" s="121"/>
      <c r="AE394" s="126"/>
      <c r="AF394" s="147"/>
      <c r="AG394" s="126" t="s">
        <v>11</v>
      </c>
      <c r="AH394" s="126" t="s">
        <v>11</v>
      </c>
      <c r="AI394" s="146">
        <v>0.1</v>
      </c>
      <c r="AJ394" s="147" t="s">
        <v>251</v>
      </c>
      <c r="AK394" s="146">
        <v>0.1</v>
      </c>
      <c r="AL394" s="147" t="s">
        <v>251</v>
      </c>
      <c r="AM394" s="146">
        <v>0.06</v>
      </c>
      <c r="AN394" s="121" t="s">
        <v>251</v>
      </c>
      <c r="AO394" s="146">
        <v>0.08</v>
      </c>
      <c r="AP394" s="121" t="s">
        <v>251</v>
      </c>
      <c r="AQ394" s="146">
        <v>0.15</v>
      </c>
      <c r="AR394" s="121" t="s">
        <v>251</v>
      </c>
      <c r="AS394" s="146">
        <v>0.1</v>
      </c>
      <c r="AT394" s="121" t="s">
        <v>251</v>
      </c>
      <c r="AU394" s="146">
        <v>7.0000000000000007E-2</v>
      </c>
      <c r="AV394" s="121" t="s">
        <v>251</v>
      </c>
      <c r="AW394" s="146">
        <v>0.2</v>
      </c>
      <c r="AX394" s="121" t="s">
        <v>198</v>
      </c>
      <c r="AY394" s="126">
        <v>0.09</v>
      </c>
      <c r="AZ394" s="121" t="s">
        <v>251</v>
      </c>
      <c r="BA394" s="146">
        <v>0.1</v>
      </c>
      <c r="BB394" s="121" t="s">
        <v>251</v>
      </c>
      <c r="BC394" s="126">
        <v>7.0000000000000007E-2</v>
      </c>
      <c r="BD394" s="121" t="s">
        <v>251</v>
      </c>
      <c r="BE394" s="126">
        <v>0.05</v>
      </c>
      <c r="BF394" s="121" t="s">
        <v>251</v>
      </c>
      <c r="BG394" s="126">
        <v>0.11</v>
      </c>
      <c r="BH394" s="121" t="s">
        <v>251</v>
      </c>
      <c r="BI394" s="121" t="s">
        <v>61</v>
      </c>
      <c r="BJ394" s="121" t="s">
        <v>61</v>
      </c>
      <c r="BK394" s="225">
        <v>0</v>
      </c>
      <c r="BL394" s="128" t="str">
        <f>IF(BK394="NA","NA",IF(BK394="Not Reported","Not Reported",IF(BK394&lt;$L$394,"Not Met","Met")))</f>
        <v>Not Met</v>
      </c>
      <c r="BM394" s="273">
        <v>0.06</v>
      </c>
      <c r="BN394" s="128" t="str">
        <f>IF(BM394="NA","NA",IF(BM394="Not Reported","Not Reported",IF(BM394&lt;$L$394,"Not Met","Met")))</f>
        <v>Not Met</v>
      </c>
      <c r="BO394" s="128">
        <v>0.13</v>
      </c>
      <c r="BP394" s="128" t="s">
        <v>251</v>
      </c>
      <c r="BQ394" s="121" t="s">
        <v>61</v>
      </c>
      <c r="BR394" s="128" t="s">
        <v>61</v>
      </c>
      <c r="BS394" s="315">
        <v>0.09</v>
      </c>
      <c r="BT394" s="128" t="str">
        <f>IF(BS394="NA","NA",IF(BS394="Not Reported","Not Reported",IF(BS394&lt;$L$394,"Not Met","Met")))</f>
        <v>Not Met</v>
      </c>
      <c r="BU394" s="310">
        <v>0.08</v>
      </c>
      <c r="BV394" s="128" t="str">
        <f>IF(BU394="NA","NA",IF(BU394="Not Reported","Not Reported",IF(BU394&lt;$L$394,"Not Met","Met")))</f>
        <v>Not Met</v>
      </c>
    </row>
    <row r="395" spans="1:74" x14ac:dyDescent="0.2">
      <c r="A395" s="121">
        <v>394</v>
      </c>
      <c r="B395" s="122" t="s">
        <v>52</v>
      </c>
      <c r="C395" s="122" t="s">
        <v>903</v>
      </c>
      <c r="D395" s="123" t="s">
        <v>133</v>
      </c>
      <c r="E395" s="123" t="s">
        <v>899</v>
      </c>
      <c r="F395" s="123" t="s">
        <v>300</v>
      </c>
      <c r="G395" s="122" t="s">
        <v>273</v>
      </c>
      <c r="H395" s="122" t="s">
        <v>192</v>
      </c>
      <c r="I395" s="124"/>
      <c r="J395" s="124"/>
      <c r="K395" s="123" t="s">
        <v>816</v>
      </c>
      <c r="L395" s="146">
        <v>0.15</v>
      </c>
      <c r="M395" s="146">
        <v>0.15</v>
      </c>
      <c r="N395" s="218"/>
      <c r="O395" s="145"/>
      <c r="P395" s="123"/>
      <c r="Q395" s="146"/>
      <c r="R395" s="147"/>
      <c r="S395" s="146"/>
      <c r="T395" s="147"/>
      <c r="U395" s="127"/>
      <c r="V395" s="147"/>
      <c r="W395" s="126"/>
      <c r="X395" s="143"/>
      <c r="Y395" s="126"/>
      <c r="Z395" s="121"/>
      <c r="AA395" s="126"/>
      <c r="AB395" s="147"/>
      <c r="AC395" s="121"/>
      <c r="AD395" s="121"/>
      <c r="AE395" s="126"/>
      <c r="AF395" s="147"/>
      <c r="AG395" s="126" t="s">
        <v>11</v>
      </c>
      <c r="AH395" s="126" t="s">
        <v>11</v>
      </c>
      <c r="AI395" s="146">
        <v>7.0000000000000007E-2</v>
      </c>
      <c r="AJ395" s="147" t="s">
        <v>251</v>
      </c>
      <c r="AK395" s="146">
        <v>7.0000000000000007E-2</v>
      </c>
      <c r="AL395" s="147" t="s">
        <v>251</v>
      </c>
      <c r="AM395" s="146">
        <v>7.0000000000000007E-2</v>
      </c>
      <c r="AN395" s="121" t="s">
        <v>251</v>
      </c>
      <c r="AO395" s="146">
        <v>0.05</v>
      </c>
      <c r="AP395" s="121" t="s">
        <v>251</v>
      </c>
      <c r="AQ395" s="146">
        <v>0.11</v>
      </c>
      <c r="AR395" s="121" t="s">
        <v>251</v>
      </c>
      <c r="AS395" s="146">
        <v>7.0000000000000007E-2</v>
      </c>
      <c r="AT395" s="121" t="s">
        <v>251</v>
      </c>
      <c r="AU395" s="146">
        <v>0.25</v>
      </c>
      <c r="AV395" s="121" t="s">
        <v>198</v>
      </c>
      <c r="AW395" s="143" t="s">
        <v>11</v>
      </c>
      <c r="AX395" s="128" t="s">
        <v>11</v>
      </c>
      <c r="AY395" s="128" t="s">
        <v>11</v>
      </c>
      <c r="AZ395" s="128" t="s">
        <v>11</v>
      </c>
      <c r="BA395" s="146">
        <v>0.25</v>
      </c>
      <c r="BB395" s="121" t="s">
        <v>198</v>
      </c>
      <c r="BC395" s="127" t="s">
        <v>11</v>
      </c>
      <c r="BD395" s="128" t="s">
        <v>11</v>
      </c>
      <c r="BE395" s="126" t="s">
        <v>11</v>
      </c>
      <c r="BF395" s="248" t="s">
        <v>11</v>
      </c>
      <c r="BG395" s="127" t="s">
        <v>11</v>
      </c>
      <c r="BH395" s="128" t="s">
        <v>11</v>
      </c>
      <c r="BI395" s="121" t="s">
        <v>61</v>
      </c>
      <c r="BJ395" s="121" t="s">
        <v>61</v>
      </c>
      <c r="BK395" s="128">
        <v>0.17</v>
      </c>
      <c r="BL395" s="128" t="str">
        <f>IF(BK395="NA","NA",IF(BK395="Not Reported","Not Reported",IF(BK395&lt;$L$395,"Not Met","Met")))</f>
        <v>Met</v>
      </c>
      <c r="BM395" s="273">
        <v>0.06</v>
      </c>
      <c r="BN395" s="128" t="str">
        <f>IF(BM395="NA","NA",IF(BM395="Not Reported","Not Reported",IF(BM395&lt;$L$395,"Not Met","Met")))</f>
        <v>Not Met</v>
      </c>
      <c r="BO395" s="128" t="s">
        <v>11</v>
      </c>
      <c r="BP395" s="128" t="s">
        <v>11</v>
      </c>
      <c r="BQ395" s="121" t="s">
        <v>61</v>
      </c>
      <c r="BR395" s="128" t="s">
        <v>61</v>
      </c>
      <c r="BS395" s="26" t="s">
        <v>11</v>
      </c>
      <c r="BT395" s="128" t="str">
        <f>IF(BS395="NA","NA",IF(BS395="Not Reported","Not Reported",IF(BS395&lt;$L$395,"Not Met","Met")))</f>
        <v>NA</v>
      </c>
      <c r="BU395" s="310">
        <v>0.13</v>
      </c>
      <c r="BV395" s="128" t="str">
        <f>IF(BU395="NA","NA",IF(BU395="Not Reported","Not Reported",IF(BU395&lt;$L$395,"Not Met","Met")))</f>
        <v>Not Met</v>
      </c>
    </row>
    <row r="396" spans="1:74" x14ac:dyDescent="0.25">
      <c r="A396" s="121">
        <v>395</v>
      </c>
      <c r="B396" s="122" t="s">
        <v>52</v>
      </c>
      <c r="C396" s="122" t="s">
        <v>903</v>
      </c>
      <c r="D396" s="123" t="s">
        <v>133</v>
      </c>
      <c r="E396" s="123" t="s">
        <v>899</v>
      </c>
      <c r="F396" s="123" t="s">
        <v>300</v>
      </c>
      <c r="G396" s="122" t="s">
        <v>273</v>
      </c>
      <c r="H396" s="122" t="s">
        <v>192</v>
      </c>
      <c r="I396" s="124"/>
      <c r="J396" s="124"/>
      <c r="K396" s="123" t="s">
        <v>817</v>
      </c>
      <c r="L396" s="146">
        <v>0.2</v>
      </c>
      <c r="M396" s="146">
        <v>0.2</v>
      </c>
      <c r="N396" s="218"/>
      <c r="O396" s="145"/>
      <c r="P396" s="123"/>
      <c r="Q396" s="146"/>
      <c r="R396" s="147"/>
      <c r="S396" s="146"/>
      <c r="T396" s="147"/>
      <c r="U396" s="127"/>
      <c r="V396" s="147"/>
      <c r="W396" s="126"/>
      <c r="X396" s="143"/>
      <c r="Y396" s="126"/>
      <c r="Z396" s="121"/>
      <c r="AA396" s="126"/>
      <c r="AB396" s="147"/>
      <c r="AC396" s="121"/>
      <c r="AD396" s="121"/>
      <c r="AE396" s="126"/>
      <c r="AF396" s="147"/>
      <c r="AG396" s="126" t="s">
        <v>11</v>
      </c>
      <c r="AH396" s="126" t="s">
        <v>11</v>
      </c>
      <c r="AI396" s="146" t="s">
        <v>11</v>
      </c>
      <c r="AJ396" s="128" t="s">
        <v>11</v>
      </c>
      <c r="AK396" s="146" t="s">
        <v>11</v>
      </c>
      <c r="AL396" s="128" t="s">
        <v>11</v>
      </c>
      <c r="AM396" s="146" t="s">
        <v>11</v>
      </c>
      <c r="AN396" s="128" t="s">
        <v>11</v>
      </c>
      <c r="AO396" s="146" t="s">
        <v>11</v>
      </c>
      <c r="AP396" s="128" t="s">
        <v>11</v>
      </c>
      <c r="AQ396" s="143" t="s">
        <v>11</v>
      </c>
      <c r="AR396" s="128" t="s">
        <v>11</v>
      </c>
      <c r="AS396" s="146">
        <v>0</v>
      </c>
      <c r="AT396" s="121" t="s">
        <v>251</v>
      </c>
      <c r="AU396" s="143" t="s">
        <v>11</v>
      </c>
      <c r="AV396" s="128" t="s">
        <v>11</v>
      </c>
      <c r="AW396" s="143" t="s">
        <v>11</v>
      </c>
      <c r="AX396" s="128" t="s">
        <v>11</v>
      </c>
      <c r="AY396" s="128" t="s">
        <v>11</v>
      </c>
      <c r="AZ396" s="128" t="s">
        <v>11</v>
      </c>
      <c r="BA396" s="143" t="s">
        <v>11</v>
      </c>
      <c r="BB396" s="128" t="s">
        <v>11</v>
      </c>
      <c r="BC396" s="127" t="s">
        <v>11</v>
      </c>
      <c r="BD396" s="128" t="s">
        <v>11</v>
      </c>
      <c r="BE396" s="126">
        <v>0.05</v>
      </c>
      <c r="BF396" s="121" t="s">
        <v>251</v>
      </c>
      <c r="BG396" s="142">
        <v>0</v>
      </c>
      <c r="BH396" s="121" t="s">
        <v>251</v>
      </c>
      <c r="BI396" s="121" t="s">
        <v>61</v>
      </c>
      <c r="BJ396" s="121" t="s">
        <v>61</v>
      </c>
      <c r="BK396" s="128" t="s">
        <v>11</v>
      </c>
      <c r="BL396" s="128" t="str">
        <f>IF(BK396="NA","NA",IF(BK396="Not Reported","Not Reported",IF(BK396&lt;$L$396,"Not Met","Met")))</f>
        <v>NA</v>
      </c>
      <c r="BM396" s="258" t="s">
        <v>11</v>
      </c>
      <c r="BN396" s="128" t="str">
        <f>IF(BM396="NA","NA",IF(BM396="Not Reported","Not Reported",IF(BM396&lt;$L$396,"Not Met","Met")))</f>
        <v>NA</v>
      </c>
      <c r="BO396" s="128">
        <v>0</v>
      </c>
      <c r="BP396" s="128" t="s">
        <v>251</v>
      </c>
      <c r="BQ396" s="121" t="s">
        <v>61</v>
      </c>
      <c r="BR396" s="128" t="s">
        <v>61</v>
      </c>
      <c r="BS396" s="315">
        <v>0.25</v>
      </c>
      <c r="BT396" s="128" t="str">
        <f>IF(BS396="NA","NA",IF(BS396="Not Reported","Not Reported",IF(BS396&lt;$L$396,"Not Met","Met")))</f>
        <v>Met</v>
      </c>
      <c r="BU396" s="316">
        <v>0.05</v>
      </c>
      <c r="BV396" s="128" t="str">
        <f>IF(BU396="NA","NA",IF(BU396="Not Reported","Not Reported",IF(BU396&lt;$L$396,"Not Met","Met")))</f>
        <v>Not Met</v>
      </c>
    </row>
    <row r="397" spans="1:74" x14ac:dyDescent="0.25">
      <c r="A397" s="121">
        <v>396</v>
      </c>
      <c r="B397" s="122" t="s">
        <v>52</v>
      </c>
      <c r="C397" s="122" t="s">
        <v>903</v>
      </c>
      <c r="D397" s="123" t="s">
        <v>133</v>
      </c>
      <c r="E397" s="123" t="s">
        <v>899</v>
      </c>
      <c r="F397" s="123" t="s">
        <v>300</v>
      </c>
      <c r="G397" s="122" t="s">
        <v>273</v>
      </c>
      <c r="H397" s="122" t="s">
        <v>192</v>
      </c>
      <c r="I397" s="124"/>
      <c r="J397" s="124"/>
      <c r="K397" s="123" t="s">
        <v>818</v>
      </c>
      <c r="L397" s="146">
        <v>0.15</v>
      </c>
      <c r="M397" s="146">
        <v>0.15</v>
      </c>
      <c r="N397" s="218"/>
      <c r="O397" s="145"/>
      <c r="P397" s="123"/>
      <c r="Q397" s="146"/>
      <c r="R397" s="147"/>
      <c r="S397" s="146"/>
      <c r="T397" s="147"/>
      <c r="U397" s="127"/>
      <c r="V397" s="147"/>
      <c r="W397" s="126"/>
      <c r="X397" s="143"/>
      <c r="Y397" s="126"/>
      <c r="Z397" s="121"/>
      <c r="AA397" s="126"/>
      <c r="AB397" s="147"/>
      <c r="AC397" s="121"/>
      <c r="AD397" s="121"/>
      <c r="AE397" s="126"/>
      <c r="AF397" s="147"/>
      <c r="AG397" s="126" t="s">
        <v>11</v>
      </c>
      <c r="AH397" s="126" t="s">
        <v>11</v>
      </c>
      <c r="AI397" s="146" t="s">
        <v>11</v>
      </c>
      <c r="AJ397" s="128" t="s">
        <v>11</v>
      </c>
      <c r="AK397" s="146" t="s">
        <v>11</v>
      </c>
      <c r="AL397" s="128" t="s">
        <v>11</v>
      </c>
      <c r="AM397" s="146">
        <v>0.04</v>
      </c>
      <c r="AN397" s="121" t="s">
        <v>251</v>
      </c>
      <c r="AO397" s="146">
        <v>0.05</v>
      </c>
      <c r="AP397" s="121" t="s">
        <v>251</v>
      </c>
      <c r="AQ397" s="146">
        <v>0.08</v>
      </c>
      <c r="AR397" s="121" t="s">
        <v>251</v>
      </c>
      <c r="AS397" s="146">
        <v>0.05</v>
      </c>
      <c r="AT397" s="121" t="s">
        <v>251</v>
      </c>
      <c r="AU397" s="146">
        <v>0.02</v>
      </c>
      <c r="AV397" s="121" t="s">
        <v>251</v>
      </c>
      <c r="AW397" s="146">
        <v>0</v>
      </c>
      <c r="AX397" s="121" t="s">
        <v>251</v>
      </c>
      <c r="AY397" s="126">
        <v>0.12</v>
      </c>
      <c r="AZ397" s="121" t="s">
        <v>251</v>
      </c>
      <c r="BA397" s="146">
        <v>0.05</v>
      </c>
      <c r="BB397" s="121" t="s">
        <v>251</v>
      </c>
      <c r="BC397" s="126">
        <v>0.09</v>
      </c>
      <c r="BD397" s="121" t="s">
        <v>251</v>
      </c>
      <c r="BE397" s="126">
        <v>0.15</v>
      </c>
      <c r="BF397" s="121" t="s">
        <v>198</v>
      </c>
      <c r="BG397" s="126">
        <v>0.2</v>
      </c>
      <c r="BH397" s="121" t="s">
        <v>198</v>
      </c>
      <c r="BI397" s="121" t="s">
        <v>61</v>
      </c>
      <c r="BJ397" s="121" t="s">
        <v>61</v>
      </c>
      <c r="BK397" s="126">
        <v>0</v>
      </c>
      <c r="BL397" s="128" t="str">
        <f>IF(BK397="NA","NA",IF(BK397="Not Reported","Not Reported",IF(BK397&lt;$L$397,"Not Met","Met")))</f>
        <v>Not Met</v>
      </c>
      <c r="BM397" s="258" t="s">
        <v>11</v>
      </c>
      <c r="BN397" s="128" t="str">
        <f>IF(BM397="NA","NA",IF(BM397="Not Reported","Not Reported",IF(BM397&lt;$L$397,"Not Met","Met")))</f>
        <v>NA</v>
      </c>
      <c r="BO397" s="128">
        <v>0</v>
      </c>
      <c r="BP397" s="128" t="s">
        <v>251</v>
      </c>
      <c r="BQ397" s="121" t="s">
        <v>61</v>
      </c>
      <c r="BR397" s="128" t="s">
        <v>61</v>
      </c>
      <c r="BS397" s="315">
        <v>7.0000000000000007E-2</v>
      </c>
      <c r="BT397" s="128" t="str">
        <f>IF(BS397="NA","NA",IF(BS397="Not Reported","Not Reported",IF(BS397&lt;$L$397,"Not Met","Met")))</f>
        <v>Not Met</v>
      </c>
      <c r="BU397" s="310">
        <v>0.08</v>
      </c>
      <c r="BV397" s="128" t="str">
        <f>IF(BU397="NA","NA",IF(BU397="Not Reported","Not Reported",IF(BU397&lt;$L$397,"Not Met","Met")))</f>
        <v>Not Met</v>
      </c>
    </row>
    <row r="398" spans="1:74" x14ac:dyDescent="0.25">
      <c r="A398" s="121">
        <v>397</v>
      </c>
      <c r="B398" s="122" t="s">
        <v>52</v>
      </c>
      <c r="C398" s="122" t="s">
        <v>903</v>
      </c>
      <c r="D398" s="123" t="s">
        <v>133</v>
      </c>
      <c r="E398" s="123" t="s">
        <v>899</v>
      </c>
      <c r="F398" s="123" t="s">
        <v>300</v>
      </c>
      <c r="G398" s="122" t="s">
        <v>273</v>
      </c>
      <c r="H398" s="122" t="s">
        <v>192</v>
      </c>
      <c r="I398" s="124"/>
      <c r="J398" s="124"/>
      <c r="K398" s="123" t="s">
        <v>819</v>
      </c>
      <c r="L398" s="146">
        <v>0.15</v>
      </c>
      <c r="M398" s="146">
        <v>0.15</v>
      </c>
      <c r="N398" s="218"/>
      <c r="O398" s="145"/>
      <c r="P398" s="123"/>
      <c r="Q398" s="146"/>
      <c r="R398" s="147"/>
      <c r="S398" s="146"/>
      <c r="T398" s="147"/>
      <c r="U398" s="127"/>
      <c r="V398" s="147"/>
      <c r="W398" s="126"/>
      <c r="X398" s="143"/>
      <c r="Y398" s="126"/>
      <c r="Z398" s="121"/>
      <c r="AA398" s="126"/>
      <c r="AB398" s="147"/>
      <c r="AC398" s="121"/>
      <c r="AD398" s="121"/>
      <c r="AE398" s="126"/>
      <c r="AF398" s="147"/>
      <c r="AG398" s="126" t="s">
        <v>11</v>
      </c>
      <c r="AH398" s="126" t="s">
        <v>11</v>
      </c>
      <c r="AI398" s="146">
        <v>0.05</v>
      </c>
      <c r="AJ398" s="147" t="s">
        <v>251</v>
      </c>
      <c r="AK398" s="146">
        <v>0.05</v>
      </c>
      <c r="AL398" s="147" t="s">
        <v>251</v>
      </c>
      <c r="AM398" s="146">
        <v>0.19</v>
      </c>
      <c r="AN398" s="121" t="s">
        <v>198</v>
      </c>
      <c r="AO398" s="146">
        <v>0</v>
      </c>
      <c r="AP398" s="121" t="s">
        <v>251</v>
      </c>
      <c r="AQ398" s="146">
        <v>0</v>
      </c>
      <c r="AR398" s="121" t="s">
        <v>251</v>
      </c>
      <c r="AS398" s="146">
        <v>0.1</v>
      </c>
      <c r="AT398" s="121" t="s">
        <v>251</v>
      </c>
      <c r="AU398" s="146">
        <v>0.08</v>
      </c>
      <c r="AV398" s="121" t="s">
        <v>251</v>
      </c>
      <c r="AW398" s="143" t="s">
        <v>11</v>
      </c>
      <c r="AX398" s="128" t="s">
        <v>11</v>
      </c>
      <c r="AY398" s="128">
        <v>0.2</v>
      </c>
      <c r="AZ398" s="121" t="s">
        <v>198</v>
      </c>
      <c r="BA398" s="146">
        <v>0.1</v>
      </c>
      <c r="BB398" s="121" t="s">
        <v>251</v>
      </c>
      <c r="BC398" s="127" t="s">
        <v>11</v>
      </c>
      <c r="BD398" s="128" t="s">
        <v>11</v>
      </c>
      <c r="BE398" s="126">
        <v>0</v>
      </c>
      <c r="BF398" s="121" t="s">
        <v>251</v>
      </c>
      <c r="BG398" s="127">
        <v>27</v>
      </c>
      <c r="BH398" s="121" t="s">
        <v>198</v>
      </c>
      <c r="BI398" s="121" t="s">
        <v>61</v>
      </c>
      <c r="BJ398" s="121" t="s">
        <v>61</v>
      </c>
      <c r="BK398" s="128">
        <v>0.17</v>
      </c>
      <c r="BL398" s="128" t="str">
        <f>IF(BK398="NA","NA",IF(BK398="Not Reported","Not Reported",IF(BK398&lt;$L$398,"Not Met","Met")))</f>
        <v>Met</v>
      </c>
      <c r="BM398" s="100">
        <v>0</v>
      </c>
      <c r="BN398" s="128" t="str">
        <f>IF(BM398="NA","NA",IF(BM398="Not Reported","Not Reported",IF(BM398&lt;$L$398,"Not Met","Met")))</f>
        <v>Not Met</v>
      </c>
      <c r="BO398" s="128">
        <v>0</v>
      </c>
      <c r="BP398" s="128" t="s">
        <v>251</v>
      </c>
      <c r="BQ398" s="121" t="s">
        <v>61</v>
      </c>
      <c r="BR398" s="128" t="s">
        <v>61</v>
      </c>
      <c r="BS398" s="315">
        <v>0.05</v>
      </c>
      <c r="BT398" s="128" t="str">
        <f>IF(BS398="NA","NA",IF(BS398="Not Reported","Not Reported",IF(BS398&lt;$L$398,"Not Met","Met")))</f>
        <v>Not Met</v>
      </c>
      <c r="BU398" s="310">
        <v>0.08</v>
      </c>
      <c r="BV398" s="128" t="str">
        <f>IF(BU398="NA","NA",IF(BU398="Not Reported","Not Reported",IF(BU398&lt;$L$398,"Not Met","Met")))</f>
        <v>Not Met</v>
      </c>
    </row>
    <row r="399" spans="1:74" x14ac:dyDescent="0.25">
      <c r="A399" s="121">
        <v>398</v>
      </c>
      <c r="B399" s="122" t="s">
        <v>52</v>
      </c>
      <c r="C399" s="122" t="s">
        <v>903</v>
      </c>
      <c r="D399" s="123" t="s">
        <v>133</v>
      </c>
      <c r="E399" s="123" t="s">
        <v>899</v>
      </c>
      <c r="F399" s="123" t="s">
        <v>300</v>
      </c>
      <c r="G399" s="122" t="s">
        <v>273</v>
      </c>
      <c r="H399" s="122" t="s">
        <v>192</v>
      </c>
      <c r="I399" s="124"/>
      <c r="J399" s="124"/>
      <c r="K399" s="123" t="s">
        <v>820</v>
      </c>
      <c r="L399" s="146">
        <v>0.1</v>
      </c>
      <c r="M399" s="146">
        <v>0.1</v>
      </c>
      <c r="N399" s="218"/>
      <c r="O399" s="145"/>
      <c r="P399" s="123"/>
      <c r="Q399" s="146"/>
      <c r="R399" s="147"/>
      <c r="S399" s="146"/>
      <c r="T399" s="147"/>
      <c r="U399" s="127"/>
      <c r="V399" s="147"/>
      <c r="W399" s="126"/>
      <c r="X399" s="143"/>
      <c r="Y399" s="126"/>
      <c r="Z399" s="121"/>
      <c r="AA399" s="126"/>
      <c r="AB399" s="147"/>
      <c r="AC399" s="121"/>
      <c r="AD399" s="121"/>
      <c r="AE399" s="126"/>
      <c r="AF399" s="147"/>
      <c r="AG399" s="126" t="s">
        <v>11</v>
      </c>
      <c r="AH399" s="126" t="s">
        <v>11</v>
      </c>
      <c r="AI399" s="146">
        <v>0.2</v>
      </c>
      <c r="AJ399" s="147" t="s">
        <v>251</v>
      </c>
      <c r="AK399" s="146">
        <v>0.2</v>
      </c>
      <c r="AL399" s="147" t="s">
        <v>251</v>
      </c>
      <c r="AM399" s="146">
        <v>0.14000000000000001</v>
      </c>
      <c r="AN399" s="121" t="s">
        <v>251</v>
      </c>
      <c r="AO399" s="146">
        <v>0</v>
      </c>
      <c r="AP399" s="121" t="s">
        <v>198</v>
      </c>
      <c r="AQ399" s="146">
        <v>0</v>
      </c>
      <c r="AR399" s="121" t="s">
        <v>198</v>
      </c>
      <c r="AS399" s="146">
        <v>0.14000000000000001</v>
      </c>
      <c r="AT399" s="121" t="s">
        <v>251</v>
      </c>
      <c r="AU399" s="146">
        <v>0</v>
      </c>
      <c r="AV399" s="121" t="s">
        <v>198</v>
      </c>
      <c r="AW399" s="146">
        <v>0.5</v>
      </c>
      <c r="AX399" s="121" t="s">
        <v>251</v>
      </c>
      <c r="AY399" s="126">
        <v>0.25</v>
      </c>
      <c r="AZ399" s="121" t="s">
        <v>251</v>
      </c>
      <c r="BA399" s="146">
        <v>0.27</v>
      </c>
      <c r="BB399" s="121" t="s">
        <v>251</v>
      </c>
      <c r="BC399" s="126">
        <v>0.25</v>
      </c>
      <c r="BD399" s="121" t="s">
        <v>251</v>
      </c>
      <c r="BE399" s="126">
        <v>0.25</v>
      </c>
      <c r="BF399" s="121" t="s">
        <v>251</v>
      </c>
      <c r="BG399" s="126">
        <v>0.1</v>
      </c>
      <c r="BH399" s="121" t="s">
        <v>198</v>
      </c>
      <c r="BI399" s="121" t="s">
        <v>61</v>
      </c>
      <c r="BJ399" s="121" t="s">
        <v>61</v>
      </c>
      <c r="BK399" s="126">
        <v>0.5</v>
      </c>
      <c r="BL399" s="128" t="str">
        <f>IF(BK399="NA","NA",IF(BK399="Not Reported","Not Reported",IF(BK399&gt;$L$399,"Not Met","Met")))</f>
        <v>Not Met</v>
      </c>
      <c r="BM399" s="262">
        <v>0.2</v>
      </c>
      <c r="BN399" s="128" t="str">
        <f>IF(BM399="NA","NA",IF(BM399="Not Reported","Not Reported",IF(BM399&gt;$L$399,"Not Met","Met")))</f>
        <v>Not Met</v>
      </c>
      <c r="BO399" s="128">
        <v>0.14000000000000001</v>
      </c>
      <c r="BP399" s="128" t="s">
        <v>251</v>
      </c>
      <c r="BQ399" s="121" t="s">
        <v>61</v>
      </c>
      <c r="BR399" s="128" t="s">
        <v>61</v>
      </c>
      <c r="BS399" s="315">
        <v>0.17</v>
      </c>
      <c r="BT399" s="128" t="str">
        <f>IF(BS399="NA","NA",IF(BS399="Not Reported","Not Reported",IF(BS399&gt;$L$399,"Not Met","Met")))</f>
        <v>Not Met</v>
      </c>
      <c r="BU399" s="310">
        <v>0.19</v>
      </c>
      <c r="BV399" s="128" t="str">
        <f>IF(BU399="NA","NA",IF(BU399="Not Reported","Not Reported",IF(BU399&gt;$L$399,"Not Met","Met")))</f>
        <v>Not Met</v>
      </c>
    </row>
    <row r="400" spans="1:74" x14ac:dyDescent="0.25">
      <c r="A400" s="121">
        <v>399</v>
      </c>
      <c r="B400" s="122" t="s">
        <v>52</v>
      </c>
      <c r="C400" s="122" t="s">
        <v>903</v>
      </c>
      <c r="D400" s="123" t="s">
        <v>133</v>
      </c>
      <c r="E400" s="123" t="s">
        <v>899</v>
      </c>
      <c r="F400" s="123" t="s">
        <v>300</v>
      </c>
      <c r="G400" s="122" t="s">
        <v>273</v>
      </c>
      <c r="H400" s="122" t="s">
        <v>192</v>
      </c>
      <c r="I400" s="124"/>
      <c r="J400" s="124"/>
      <c r="K400" s="123" t="s">
        <v>821</v>
      </c>
      <c r="L400" s="146">
        <v>0.1</v>
      </c>
      <c r="M400" s="146">
        <v>0.1</v>
      </c>
      <c r="N400" s="218"/>
      <c r="O400" s="145"/>
      <c r="P400" s="123"/>
      <c r="Q400" s="146"/>
      <c r="R400" s="147"/>
      <c r="S400" s="146"/>
      <c r="T400" s="147"/>
      <c r="U400" s="127"/>
      <c r="V400" s="147"/>
      <c r="W400" s="126"/>
      <c r="X400" s="143"/>
      <c r="Y400" s="126"/>
      <c r="Z400" s="121"/>
      <c r="AA400" s="126"/>
      <c r="AB400" s="147"/>
      <c r="AC400" s="121"/>
      <c r="AD400" s="121"/>
      <c r="AE400" s="126"/>
      <c r="AF400" s="147"/>
      <c r="AG400" s="126" t="s">
        <v>11</v>
      </c>
      <c r="AH400" s="126" t="s">
        <v>11</v>
      </c>
      <c r="AI400" s="146">
        <v>0</v>
      </c>
      <c r="AJ400" s="121" t="s">
        <v>198</v>
      </c>
      <c r="AK400" s="146">
        <v>0</v>
      </c>
      <c r="AL400" s="121" t="s">
        <v>198</v>
      </c>
      <c r="AM400" s="146">
        <v>0</v>
      </c>
      <c r="AN400" s="121" t="s">
        <v>198</v>
      </c>
      <c r="AO400" s="146">
        <v>0</v>
      </c>
      <c r="AP400" s="121" t="s">
        <v>198</v>
      </c>
      <c r="AQ400" s="146">
        <v>0.67</v>
      </c>
      <c r="AR400" s="121" t="s">
        <v>251</v>
      </c>
      <c r="AS400" s="146">
        <v>0.67</v>
      </c>
      <c r="AT400" s="121" t="s">
        <v>251</v>
      </c>
      <c r="AU400" s="146">
        <v>0.67</v>
      </c>
      <c r="AV400" s="121" t="s">
        <v>251</v>
      </c>
      <c r="AW400" s="146">
        <f>1/1</f>
        <v>1</v>
      </c>
      <c r="AX400" s="121" t="s">
        <v>251</v>
      </c>
      <c r="AY400" s="126">
        <v>0.25</v>
      </c>
      <c r="AZ400" s="121" t="s">
        <v>251</v>
      </c>
      <c r="BA400" s="146">
        <v>0.63</v>
      </c>
      <c r="BB400" s="121" t="s">
        <v>251</v>
      </c>
      <c r="BC400" s="126">
        <v>0.2</v>
      </c>
      <c r="BD400" s="121" t="s">
        <v>251</v>
      </c>
      <c r="BE400" s="126">
        <v>2</v>
      </c>
      <c r="BF400" s="121" t="s">
        <v>251</v>
      </c>
      <c r="BG400" s="126">
        <v>0</v>
      </c>
      <c r="BH400" s="121" t="s">
        <v>198</v>
      </c>
      <c r="BI400" s="121" t="s">
        <v>61</v>
      </c>
      <c r="BJ400" s="121" t="s">
        <v>61</v>
      </c>
      <c r="BK400" s="126">
        <v>0</v>
      </c>
      <c r="BL400" s="128" t="str">
        <f>IF(BK400="NA","NA",IF(BK400="Not Reported","Not Reported",IF(BK400&gt;$L$400,"Not Met","Met")))</f>
        <v>Met</v>
      </c>
      <c r="BM400" s="273">
        <f>1/7</f>
        <v>0.14285714285714285</v>
      </c>
      <c r="BN400" s="128" t="str">
        <f>IF(BM400="NA","NA",IF(BM400="Not Reported","Not Reported",IF(BM400&gt;$L$400,"Not Met","Met")))</f>
        <v>Not Met</v>
      </c>
      <c r="BO400" s="128">
        <v>1</v>
      </c>
      <c r="BP400" s="128" t="s">
        <v>251</v>
      </c>
      <c r="BQ400" s="121" t="s">
        <v>61</v>
      </c>
      <c r="BR400" s="128" t="s">
        <v>61</v>
      </c>
      <c r="BS400" s="315">
        <v>0</v>
      </c>
      <c r="BT400" s="128" t="str">
        <f>IF(BS400="NA","NA",IF(BS400="Not Reported","Not Reported",IF(BS400&gt;$L$400,"Not Met","Met")))</f>
        <v>Met</v>
      </c>
      <c r="BU400" s="310">
        <v>0.37</v>
      </c>
      <c r="BV400" s="128" t="str">
        <f>IF(BU400="NA","NA",IF(BU400="Not Reported","Not Reported",IF(BU400&gt;$L$400,"Not Met","Met")))</f>
        <v>Not Met</v>
      </c>
    </row>
    <row r="401" spans="1:74" x14ac:dyDescent="0.25">
      <c r="A401" s="121">
        <v>400</v>
      </c>
      <c r="B401" s="122" t="s">
        <v>52</v>
      </c>
      <c r="C401" s="122" t="s">
        <v>903</v>
      </c>
      <c r="D401" s="123" t="s">
        <v>133</v>
      </c>
      <c r="E401" s="123" t="s">
        <v>899</v>
      </c>
      <c r="F401" s="123" t="s">
        <v>300</v>
      </c>
      <c r="G401" s="122" t="s">
        <v>273</v>
      </c>
      <c r="H401" s="122" t="s">
        <v>192</v>
      </c>
      <c r="I401" s="124"/>
      <c r="J401" s="124"/>
      <c r="K401" s="123" t="s">
        <v>822</v>
      </c>
      <c r="L401" s="146">
        <v>0.1</v>
      </c>
      <c r="M401" s="146">
        <v>0.1</v>
      </c>
      <c r="N401" s="218"/>
      <c r="O401" s="145"/>
      <c r="P401" s="123"/>
      <c r="Q401" s="146"/>
      <c r="R401" s="147"/>
      <c r="S401" s="146"/>
      <c r="T401" s="147"/>
      <c r="U401" s="127"/>
      <c r="V401" s="147"/>
      <c r="W401" s="126"/>
      <c r="X401" s="143"/>
      <c r="Y401" s="126"/>
      <c r="Z401" s="121"/>
      <c r="AA401" s="126"/>
      <c r="AB401" s="147"/>
      <c r="AC401" s="121"/>
      <c r="AD401" s="121"/>
      <c r="AE401" s="126"/>
      <c r="AF401" s="147"/>
      <c r="AG401" s="126" t="s">
        <v>11</v>
      </c>
      <c r="AH401" s="126" t="s">
        <v>11</v>
      </c>
      <c r="AI401" s="146">
        <v>0.33</v>
      </c>
      <c r="AJ401" s="147" t="s">
        <v>251</v>
      </c>
      <c r="AK401" s="146">
        <v>0.33</v>
      </c>
      <c r="AL401" s="147" t="s">
        <v>251</v>
      </c>
      <c r="AM401" s="146">
        <v>0</v>
      </c>
      <c r="AN401" s="121" t="s">
        <v>198</v>
      </c>
      <c r="AO401" s="146">
        <v>0</v>
      </c>
      <c r="AP401" s="121" t="s">
        <v>198</v>
      </c>
      <c r="AQ401" s="146">
        <v>0</v>
      </c>
      <c r="AR401" s="121" t="s">
        <v>198</v>
      </c>
      <c r="AS401" s="146">
        <v>0</v>
      </c>
      <c r="AT401" s="121" t="s">
        <v>198</v>
      </c>
      <c r="AU401" s="146">
        <v>0</v>
      </c>
      <c r="AV401" s="121" t="s">
        <v>198</v>
      </c>
      <c r="AW401" s="146">
        <v>0.25</v>
      </c>
      <c r="AX401" s="121" t="s">
        <v>251</v>
      </c>
      <c r="AY401" s="126">
        <v>0</v>
      </c>
      <c r="AZ401" s="121" t="s">
        <v>198</v>
      </c>
      <c r="BA401" s="146">
        <v>0.38</v>
      </c>
      <c r="BB401" s="121" t="s">
        <v>251</v>
      </c>
      <c r="BC401" s="126">
        <v>0</v>
      </c>
      <c r="BD401" s="121" t="s">
        <v>198</v>
      </c>
      <c r="BE401" s="126">
        <v>0</v>
      </c>
      <c r="BF401" s="121" t="s">
        <v>198</v>
      </c>
      <c r="BG401" s="126">
        <v>0</v>
      </c>
      <c r="BH401" s="121" t="s">
        <v>198</v>
      </c>
      <c r="BI401" s="121" t="s">
        <v>61</v>
      </c>
      <c r="BJ401" s="121" t="s">
        <v>61</v>
      </c>
      <c r="BK401" s="126">
        <v>0</v>
      </c>
      <c r="BL401" s="128" t="str">
        <f>IF(BK401="NA","NA",IF(BK401="Not Reported","Not Reported",IF(BK401&gt;$L$401,"Not Met","Met")))</f>
        <v>Met</v>
      </c>
      <c r="BM401" s="100">
        <v>0</v>
      </c>
      <c r="BN401" s="128" t="str">
        <f>IF(BM401="NA","NA",IF(BM401="Not Reported","Not Reported",IF(BM401&gt;$L$401,"Not Met","Met")))</f>
        <v>Met</v>
      </c>
      <c r="BO401" s="128">
        <v>0</v>
      </c>
      <c r="BP401" s="128" t="s">
        <v>198</v>
      </c>
      <c r="BQ401" s="121" t="s">
        <v>61</v>
      </c>
      <c r="BR401" s="128" t="s">
        <v>61</v>
      </c>
      <c r="BS401" s="26" t="s">
        <v>11</v>
      </c>
      <c r="BT401" s="128" t="str">
        <f>IF(BS401="NA","NA",IF(BS401="Not Reported","Not Reported",IF(BS401&gt;$L$401,"Not Met","Met")))</f>
        <v>NA</v>
      </c>
      <c r="BU401" s="310">
        <v>0.16</v>
      </c>
      <c r="BV401" s="128" t="str">
        <f>IF(BU401="NA","NA",IF(BU401="Not Reported","Not Reported",IF(BU401&gt;$L$401,"Not Met","Met")))</f>
        <v>Not Met</v>
      </c>
    </row>
    <row r="402" spans="1:74" x14ac:dyDescent="0.2">
      <c r="A402" s="121">
        <v>401</v>
      </c>
      <c r="B402" s="122" t="s">
        <v>52</v>
      </c>
      <c r="C402" s="122" t="s">
        <v>903</v>
      </c>
      <c r="D402" s="123" t="s">
        <v>133</v>
      </c>
      <c r="E402" s="123" t="s">
        <v>899</v>
      </c>
      <c r="F402" s="123" t="s">
        <v>300</v>
      </c>
      <c r="G402" s="122" t="s">
        <v>273</v>
      </c>
      <c r="H402" s="122" t="s">
        <v>192</v>
      </c>
      <c r="I402" s="124"/>
      <c r="J402" s="124"/>
      <c r="K402" s="123" t="s">
        <v>823</v>
      </c>
      <c r="L402" s="146">
        <v>0.1</v>
      </c>
      <c r="M402" s="146">
        <v>0.1</v>
      </c>
      <c r="N402" s="218"/>
      <c r="O402" s="145"/>
      <c r="P402" s="123"/>
      <c r="Q402" s="146"/>
      <c r="R402" s="147"/>
      <c r="S402" s="146"/>
      <c r="T402" s="147"/>
      <c r="U402" s="127"/>
      <c r="V402" s="147"/>
      <c r="W402" s="126"/>
      <c r="X402" s="143"/>
      <c r="Y402" s="126"/>
      <c r="Z402" s="121"/>
      <c r="AA402" s="126"/>
      <c r="AB402" s="147"/>
      <c r="AC402" s="121"/>
      <c r="AD402" s="121"/>
      <c r="AE402" s="126"/>
      <c r="AF402" s="147"/>
      <c r="AG402" s="126" t="s">
        <v>11</v>
      </c>
      <c r="AH402" s="126" t="s">
        <v>11</v>
      </c>
      <c r="AI402" s="146">
        <v>0</v>
      </c>
      <c r="AJ402" s="121" t="s">
        <v>198</v>
      </c>
      <c r="AK402" s="146">
        <v>0</v>
      </c>
      <c r="AL402" s="121" t="s">
        <v>198</v>
      </c>
      <c r="AM402" s="146">
        <v>0</v>
      </c>
      <c r="AN402" s="121" t="s">
        <v>198</v>
      </c>
      <c r="AO402" s="146">
        <v>0</v>
      </c>
      <c r="AP402" s="121" t="s">
        <v>198</v>
      </c>
      <c r="AQ402" s="146">
        <v>0.5</v>
      </c>
      <c r="AR402" s="121" t="s">
        <v>251</v>
      </c>
      <c r="AS402" s="146">
        <v>0.5</v>
      </c>
      <c r="AT402" s="121" t="s">
        <v>251</v>
      </c>
      <c r="AU402" s="146">
        <v>0</v>
      </c>
      <c r="AV402" s="121" t="s">
        <v>198</v>
      </c>
      <c r="AW402" s="143" t="s">
        <v>11</v>
      </c>
      <c r="AX402" s="128" t="s">
        <v>11</v>
      </c>
      <c r="AY402" s="128" t="s">
        <v>11</v>
      </c>
      <c r="AZ402" s="128" t="s">
        <v>11</v>
      </c>
      <c r="BA402" s="146">
        <v>0</v>
      </c>
      <c r="BB402" s="121" t="s">
        <v>198</v>
      </c>
      <c r="BC402" s="127" t="s">
        <v>11</v>
      </c>
      <c r="BD402" s="128" t="s">
        <v>11</v>
      </c>
      <c r="BE402" s="127" t="s">
        <v>11</v>
      </c>
      <c r="BF402" s="248" t="s">
        <v>11</v>
      </c>
      <c r="BG402" s="127" t="s">
        <v>11</v>
      </c>
      <c r="BH402" s="128" t="s">
        <v>11</v>
      </c>
      <c r="BI402" s="121" t="s">
        <v>61</v>
      </c>
      <c r="BJ402" s="121" t="s">
        <v>61</v>
      </c>
      <c r="BK402" s="128" t="s">
        <v>11</v>
      </c>
      <c r="BL402" s="128" t="str">
        <f>IF(BK402="NA","NA",IF(BK402="Not Reported","Not Reported",IF(BK402&gt;$L$402,"Not Met","Met")))</f>
        <v>NA</v>
      </c>
      <c r="BM402" s="100">
        <v>0</v>
      </c>
      <c r="BN402" s="128" t="str">
        <f>IF(BM402="NA","NA",IF(BM402="Not Reported","Not Reported",IF(BM402&gt;$L$402,"Not Met","Met")))</f>
        <v>Met</v>
      </c>
      <c r="BO402" s="128">
        <v>0</v>
      </c>
      <c r="BP402" s="128" t="s">
        <v>198</v>
      </c>
      <c r="BQ402" s="121" t="s">
        <v>61</v>
      </c>
      <c r="BR402" s="128" t="s">
        <v>61</v>
      </c>
      <c r="BS402" s="315">
        <v>0</v>
      </c>
      <c r="BT402" s="128" t="str">
        <f>IF(BS402="NA","NA",IF(BS402="Not Reported","Not Reported",IF(BS402&gt;$L$402,"Not Met","Met")))</f>
        <v>Met</v>
      </c>
      <c r="BU402" s="310">
        <v>0</v>
      </c>
      <c r="BV402" s="128" t="str">
        <f>IF(BU402="NA","NA",IF(BU402="Not Reported","Not Reported",IF(BU402&gt;$L$402,"Not Met","Met")))</f>
        <v>Met</v>
      </c>
    </row>
    <row r="403" spans="1:74" x14ac:dyDescent="0.25">
      <c r="A403" s="121">
        <v>402</v>
      </c>
      <c r="B403" s="122" t="s">
        <v>52</v>
      </c>
      <c r="C403" s="122" t="s">
        <v>903</v>
      </c>
      <c r="D403" s="123" t="s">
        <v>133</v>
      </c>
      <c r="E403" s="123" t="s">
        <v>899</v>
      </c>
      <c r="F403" s="123" t="s">
        <v>300</v>
      </c>
      <c r="G403" s="122" t="s">
        <v>273</v>
      </c>
      <c r="H403" s="122" t="s">
        <v>192</v>
      </c>
      <c r="I403" s="124"/>
      <c r="J403" s="124"/>
      <c r="K403" s="123" t="s">
        <v>824</v>
      </c>
      <c r="L403" s="146">
        <v>0.1</v>
      </c>
      <c r="M403" s="146">
        <v>0.1</v>
      </c>
      <c r="N403" s="218"/>
      <c r="O403" s="145"/>
      <c r="P403" s="123"/>
      <c r="Q403" s="146"/>
      <c r="R403" s="147"/>
      <c r="S403" s="146"/>
      <c r="T403" s="147"/>
      <c r="U403" s="127"/>
      <c r="V403" s="147"/>
      <c r="W403" s="126"/>
      <c r="X403" s="143"/>
      <c r="Y403" s="126"/>
      <c r="Z403" s="121"/>
      <c r="AA403" s="126"/>
      <c r="AB403" s="147"/>
      <c r="AC403" s="121"/>
      <c r="AD403" s="121"/>
      <c r="AE403" s="126"/>
      <c r="AF403" s="147"/>
      <c r="AG403" s="126" t="s">
        <v>11</v>
      </c>
      <c r="AH403" s="126" t="s">
        <v>11</v>
      </c>
      <c r="AI403" s="146">
        <v>0</v>
      </c>
      <c r="AJ403" s="121" t="s">
        <v>198</v>
      </c>
      <c r="AK403" s="146">
        <v>0</v>
      </c>
      <c r="AL403" s="121" t="s">
        <v>198</v>
      </c>
      <c r="AM403" s="146" t="s">
        <v>11</v>
      </c>
      <c r="AN403" s="128" t="s">
        <v>11</v>
      </c>
      <c r="AO403" s="146" t="s">
        <v>11</v>
      </c>
      <c r="AP403" s="128" t="s">
        <v>11</v>
      </c>
      <c r="AQ403" s="143" t="s">
        <v>11</v>
      </c>
      <c r="AR403" s="128" t="s">
        <v>11</v>
      </c>
      <c r="AS403" s="147" t="s">
        <v>11</v>
      </c>
      <c r="AT403" s="128" t="s">
        <v>11</v>
      </c>
      <c r="AU403" s="143" t="s">
        <v>11</v>
      </c>
      <c r="AV403" s="128" t="s">
        <v>11</v>
      </c>
      <c r="AW403" s="146">
        <v>0</v>
      </c>
      <c r="AX403" s="121" t="s">
        <v>198</v>
      </c>
      <c r="AY403" s="121" t="s">
        <v>11</v>
      </c>
      <c r="AZ403" s="121" t="s">
        <v>11</v>
      </c>
      <c r="BA403" s="143" t="s">
        <v>11</v>
      </c>
      <c r="BB403" s="128" t="s">
        <v>11</v>
      </c>
      <c r="BC403" s="127" t="s">
        <v>11</v>
      </c>
      <c r="BD403" s="128" t="s">
        <v>11</v>
      </c>
      <c r="BE403" s="142">
        <v>0</v>
      </c>
      <c r="BF403" s="121" t="s">
        <v>198</v>
      </c>
      <c r="BG403" s="127">
        <v>0</v>
      </c>
      <c r="BH403" s="121" t="s">
        <v>198</v>
      </c>
      <c r="BI403" s="121" t="s">
        <v>61</v>
      </c>
      <c r="BJ403" s="121" t="s">
        <v>61</v>
      </c>
      <c r="BK403" s="121" t="s">
        <v>11</v>
      </c>
      <c r="BL403" s="128" t="str">
        <f>IF(BK403="NA","NA",IF(BK403="Not Reported","Not Reported",IF(BK403&gt;$L$403,"Not Met","Met")))</f>
        <v>NA</v>
      </c>
      <c r="BM403" s="258" t="s">
        <v>11</v>
      </c>
      <c r="BN403" s="128" t="str">
        <f>IF(BM403="NA","NA",IF(BM403="Not Reported","Not Reported",IF(BM403&gt;$L$403,"Not Met","Met")))</f>
        <v>NA</v>
      </c>
      <c r="BO403" s="128" t="s">
        <v>11</v>
      </c>
      <c r="BP403" s="128" t="s">
        <v>11</v>
      </c>
      <c r="BQ403" s="121" t="s">
        <v>61</v>
      </c>
      <c r="BR403" s="128" t="s">
        <v>61</v>
      </c>
      <c r="BS403" s="315">
        <v>0</v>
      </c>
      <c r="BT403" s="128" t="str">
        <f>IF(BS403="NA","NA",IF(BS403="Not Reported","Not Reported",IF(BS403&gt;$L$403,"Not Met","Met")))</f>
        <v>Met</v>
      </c>
      <c r="BU403" s="316">
        <v>0</v>
      </c>
      <c r="BV403" s="128" t="str">
        <f>IF(BU403="NA","NA",IF(BU403="Not Reported","Not Reported",IF(BU403&gt;$L$403,"Not Met","Met")))</f>
        <v>Met</v>
      </c>
    </row>
    <row r="404" spans="1:74" x14ac:dyDescent="0.25">
      <c r="A404" s="121">
        <v>403</v>
      </c>
      <c r="B404" s="122" t="s">
        <v>52</v>
      </c>
      <c r="C404" s="122" t="s">
        <v>903</v>
      </c>
      <c r="D404" s="123" t="s">
        <v>133</v>
      </c>
      <c r="E404" s="123" t="s">
        <v>899</v>
      </c>
      <c r="F404" s="123" t="s">
        <v>300</v>
      </c>
      <c r="G404" s="122" t="s">
        <v>273</v>
      </c>
      <c r="H404" s="122" t="s">
        <v>192</v>
      </c>
      <c r="I404" s="124"/>
      <c r="J404" s="124"/>
      <c r="K404" s="123" t="s">
        <v>825</v>
      </c>
      <c r="L404" s="146">
        <v>0.1</v>
      </c>
      <c r="M404" s="146">
        <v>0.1</v>
      </c>
      <c r="N404" s="218"/>
      <c r="O404" s="145"/>
      <c r="P404" s="123"/>
      <c r="Q404" s="146"/>
      <c r="R404" s="147"/>
      <c r="S404" s="146"/>
      <c r="T404" s="147"/>
      <c r="U404" s="127"/>
      <c r="V404" s="147"/>
      <c r="W404" s="126"/>
      <c r="X404" s="143"/>
      <c r="Y404" s="126"/>
      <c r="Z404" s="121"/>
      <c r="AA404" s="126"/>
      <c r="AB404" s="147"/>
      <c r="AC404" s="121"/>
      <c r="AD404" s="121"/>
      <c r="AE404" s="126"/>
      <c r="AF404" s="147"/>
      <c r="AG404" s="126" t="s">
        <v>11</v>
      </c>
      <c r="AH404" s="126" t="s">
        <v>11</v>
      </c>
      <c r="AI404" s="146">
        <v>0</v>
      </c>
      <c r="AJ404" s="121" t="s">
        <v>198</v>
      </c>
      <c r="AK404" s="146">
        <v>0</v>
      </c>
      <c r="AL404" s="121" t="s">
        <v>198</v>
      </c>
      <c r="AM404" s="146">
        <v>0</v>
      </c>
      <c r="AN404" s="121" t="s">
        <v>198</v>
      </c>
      <c r="AO404" s="146">
        <v>0</v>
      </c>
      <c r="AP404" s="121" t="s">
        <v>198</v>
      </c>
      <c r="AQ404" s="146">
        <v>0.5</v>
      </c>
      <c r="AR404" s="121" t="s">
        <v>251</v>
      </c>
      <c r="AS404" s="146">
        <v>0</v>
      </c>
      <c r="AT404" s="121" t="s">
        <v>198</v>
      </c>
      <c r="AU404" s="146">
        <v>0</v>
      </c>
      <c r="AV404" s="121" t="s">
        <v>198</v>
      </c>
      <c r="AW404" s="143" t="s">
        <v>11</v>
      </c>
      <c r="AX404" s="128" t="s">
        <v>11</v>
      </c>
      <c r="AY404" s="128">
        <v>0</v>
      </c>
      <c r="AZ404" s="121" t="s">
        <v>198</v>
      </c>
      <c r="BA404" s="146">
        <v>0</v>
      </c>
      <c r="BB404" s="121" t="s">
        <v>198</v>
      </c>
      <c r="BC404" s="128">
        <v>0.67</v>
      </c>
      <c r="BD404" s="121" t="s">
        <v>251</v>
      </c>
      <c r="BE404" s="128">
        <v>0.2</v>
      </c>
      <c r="BF404" s="121" t="s">
        <v>251</v>
      </c>
      <c r="BG404" s="128">
        <v>0</v>
      </c>
      <c r="BH404" s="121" t="s">
        <v>198</v>
      </c>
      <c r="BI404" s="121" t="s">
        <v>61</v>
      </c>
      <c r="BJ404" s="121" t="s">
        <v>61</v>
      </c>
      <c r="BK404" s="128" t="s">
        <v>11</v>
      </c>
      <c r="BL404" s="128" t="str">
        <f>IF(BK404="NA","NA",IF(BK404="Not Reported","Not Reported",IF(BK404&gt;$L$404,"Not Met","Met")))</f>
        <v>NA</v>
      </c>
      <c r="BM404" s="100">
        <v>0</v>
      </c>
      <c r="BN404" s="128" t="str">
        <f>IF(BM404="NA","NA",IF(BM404="Not Reported","Not Reported",IF(BM404&gt;$L$404,"Not Met","Met")))</f>
        <v>Met</v>
      </c>
      <c r="BO404" s="128" t="s">
        <v>11</v>
      </c>
      <c r="BP404" s="128" t="s">
        <v>11</v>
      </c>
      <c r="BQ404" s="121" t="s">
        <v>61</v>
      </c>
      <c r="BR404" s="128" t="s">
        <v>61</v>
      </c>
      <c r="BS404" s="315">
        <v>0</v>
      </c>
      <c r="BT404" s="128" t="str">
        <f>IF(BS404="NA","NA",IF(BS404="Not Reported","Not Reported",IF(BS404&gt;$L$404,"Not Met","Met")))</f>
        <v>Met</v>
      </c>
      <c r="BU404" s="310">
        <v>0.23</v>
      </c>
      <c r="BV404" s="128" t="str">
        <f>IF(BU404="NA","NA",IF(BU404="Not Reported","Not Reported",IF(BU404&gt;$L$404,"Not Met","Met")))</f>
        <v>Not Met</v>
      </c>
    </row>
    <row r="405" spans="1:74" x14ac:dyDescent="0.2">
      <c r="A405" s="121">
        <v>404</v>
      </c>
      <c r="B405" s="122" t="s">
        <v>52</v>
      </c>
      <c r="C405" s="122" t="s">
        <v>903</v>
      </c>
      <c r="D405" s="123" t="s">
        <v>133</v>
      </c>
      <c r="E405" s="123" t="s">
        <v>899</v>
      </c>
      <c r="F405" s="123" t="s">
        <v>300</v>
      </c>
      <c r="G405" s="122" t="s">
        <v>273</v>
      </c>
      <c r="H405" s="122" t="s">
        <v>192</v>
      </c>
      <c r="I405" s="124"/>
      <c r="J405" s="124"/>
      <c r="K405" s="123" t="s">
        <v>826</v>
      </c>
      <c r="L405" s="146">
        <v>0.1</v>
      </c>
      <c r="M405" s="146">
        <v>0.1</v>
      </c>
      <c r="N405" s="218"/>
      <c r="O405" s="145"/>
      <c r="P405" s="123"/>
      <c r="Q405" s="146"/>
      <c r="R405" s="147"/>
      <c r="S405" s="146"/>
      <c r="T405" s="147"/>
      <c r="U405" s="127"/>
      <c r="V405" s="147"/>
      <c r="W405" s="126"/>
      <c r="X405" s="143"/>
      <c r="Y405" s="126"/>
      <c r="Z405" s="121"/>
      <c r="AA405" s="126"/>
      <c r="AB405" s="147"/>
      <c r="AC405" s="121"/>
      <c r="AD405" s="121"/>
      <c r="AE405" s="126"/>
      <c r="AF405" s="147"/>
      <c r="AG405" s="126" t="s">
        <v>11</v>
      </c>
      <c r="AH405" s="126" t="s">
        <v>11</v>
      </c>
      <c r="AI405" s="146">
        <v>0</v>
      </c>
      <c r="AJ405" s="121" t="s">
        <v>198</v>
      </c>
      <c r="AK405" s="146">
        <v>0</v>
      </c>
      <c r="AL405" s="121" t="s">
        <v>198</v>
      </c>
      <c r="AM405" s="146">
        <v>0.33</v>
      </c>
      <c r="AN405" s="121" t="s">
        <v>251</v>
      </c>
      <c r="AO405" s="146" t="s">
        <v>11</v>
      </c>
      <c r="AP405" s="128" t="s">
        <v>11</v>
      </c>
      <c r="AQ405" s="146">
        <v>1</v>
      </c>
      <c r="AR405" s="121" t="s">
        <v>251</v>
      </c>
      <c r="AS405" s="146">
        <v>0.5</v>
      </c>
      <c r="AT405" s="121" t="s">
        <v>251</v>
      </c>
      <c r="AU405" s="146">
        <v>1</v>
      </c>
      <c r="AV405" s="121" t="s">
        <v>251</v>
      </c>
      <c r="AW405" s="146">
        <v>0</v>
      </c>
      <c r="AX405" s="121" t="s">
        <v>198</v>
      </c>
      <c r="AY405" s="121" t="s">
        <v>11</v>
      </c>
      <c r="AZ405" s="121" t="s">
        <v>11</v>
      </c>
      <c r="BA405" s="146">
        <v>1</v>
      </c>
      <c r="BB405" s="121" t="s">
        <v>251</v>
      </c>
      <c r="BC405" s="126">
        <v>0</v>
      </c>
      <c r="BD405" s="121" t="s">
        <v>198</v>
      </c>
      <c r="BE405" s="126" t="s">
        <v>11</v>
      </c>
      <c r="BF405" s="248" t="s">
        <v>11</v>
      </c>
      <c r="BG405" s="126">
        <v>0</v>
      </c>
      <c r="BH405" s="121" t="s">
        <v>198</v>
      </c>
      <c r="BI405" s="121" t="s">
        <v>61</v>
      </c>
      <c r="BJ405" s="121" t="s">
        <v>61</v>
      </c>
      <c r="BK405" s="126">
        <v>0</v>
      </c>
      <c r="BL405" s="128" t="str">
        <f>IF(BK405="NA","NA",IF(BK405="Not Reported","Not Reported",IF(BK405&gt;$L$405,"Not Met","Met")))</f>
        <v>Met</v>
      </c>
      <c r="BM405" s="258" t="s">
        <v>11</v>
      </c>
      <c r="BN405" s="128" t="str">
        <f>IF(BM405="NA","NA",IF(BM405="Not Reported","Not Reported",IF(BM405&gt;$L$405,"Not Met","Met")))</f>
        <v>NA</v>
      </c>
      <c r="BO405" s="128" t="s">
        <v>11</v>
      </c>
      <c r="BP405" s="128" t="s">
        <v>11</v>
      </c>
      <c r="BQ405" s="121" t="s">
        <v>61</v>
      </c>
      <c r="BR405" s="128" t="s">
        <v>61</v>
      </c>
      <c r="BS405" s="315">
        <v>0</v>
      </c>
      <c r="BT405" s="128" t="str">
        <f>IF(BS405="NA","NA",IF(BS405="Not Reported","Not Reported",IF(BS405&gt;$L$405,"Not Met","Met")))</f>
        <v>Met</v>
      </c>
      <c r="BU405" s="310">
        <v>0.17</v>
      </c>
      <c r="BV405" s="128" t="str">
        <f>IF(BU405="NA","NA",IF(BU405="Not Reported","Not Reported",IF(BU405&gt;$L$405,"Not Met","Met")))</f>
        <v>Not Met</v>
      </c>
    </row>
    <row r="406" spans="1:74" x14ac:dyDescent="0.25">
      <c r="A406" s="121">
        <v>405</v>
      </c>
      <c r="B406" s="122" t="s">
        <v>52</v>
      </c>
      <c r="C406" s="122" t="s">
        <v>903</v>
      </c>
      <c r="D406" s="123" t="s">
        <v>133</v>
      </c>
      <c r="E406" s="123" t="s">
        <v>899</v>
      </c>
      <c r="F406" s="123" t="s">
        <v>300</v>
      </c>
      <c r="G406" s="122" t="s">
        <v>273</v>
      </c>
      <c r="H406" s="122" t="s">
        <v>192</v>
      </c>
      <c r="I406" s="124"/>
      <c r="J406" s="124"/>
      <c r="K406" s="123" t="s">
        <v>827</v>
      </c>
      <c r="L406" s="146">
        <v>0.1</v>
      </c>
      <c r="M406" s="146">
        <v>0.1</v>
      </c>
      <c r="N406" s="218"/>
      <c r="O406" s="145"/>
      <c r="P406" s="123"/>
      <c r="Q406" s="146"/>
      <c r="R406" s="147"/>
      <c r="S406" s="146"/>
      <c r="T406" s="147"/>
      <c r="U406" s="127"/>
      <c r="V406" s="147"/>
      <c r="W406" s="126"/>
      <c r="X406" s="143"/>
      <c r="Y406" s="126"/>
      <c r="Z406" s="121"/>
      <c r="AA406" s="126"/>
      <c r="AB406" s="147"/>
      <c r="AC406" s="121"/>
      <c r="AD406" s="121"/>
      <c r="AE406" s="126"/>
      <c r="AF406" s="147"/>
      <c r="AG406" s="126"/>
      <c r="AH406" s="126"/>
      <c r="AI406" s="146"/>
      <c r="AJ406" s="121"/>
      <c r="AK406" s="146"/>
      <c r="AL406" s="121"/>
      <c r="AM406" s="146"/>
      <c r="AN406" s="121"/>
      <c r="AO406" s="146"/>
      <c r="AP406" s="128"/>
      <c r="AQ406" s="143" t="s">
        <v>11</v>
      </c>
      <c r="AR406" s="143" t="s">
        <v>11</v>
      </c>
      <c r="AS406" s="146"/>
      <c r="AT406" s="121"/>
      <c r="AU406" s="146">
        <v>0.33</v>
      </c>
      <c r="AV406" s="121" t="s">
        <v>198</v>
      </c>
      <c r="AW406" s="146">
        <v>0</v>
      </c>
      <c r="AX406" s="121" t="s">
        <v>251</v>
      </c>
      <c r="AY406" s="126">
        <v>0</v>
      </c>
      <c r="AZ406" s="121" t="s">
        <v>251</v>
      </c>
      <c r="BA406" s="146">
        <v>0.11</v>
      </c>
      <c r="BB406" s="121" t="s">
        <v>198</v>
      </c>
      <c r="BC406" s="126">
        <v>0</v>
      </c>
      <c r="BD406" s="121" t="s">
        <v>251</v>
      </c>
      <c r="BE406" s="126">
        <v>0</v>
      </c>
      <c r="BF406" s="121" t="s">
        <v>251</v>
      </c>
      <c r="BG406" s="126">
        <v>0</v>
      </c>
      <c r="BH406" s="121" t="s">
        <v>251</v>
      </c>
      <c r="BI406" s="121" t="s">
        <v>61</v>
      </c>
      <c r="BJ406" s="121" t="s">
        <v>61</v>
      </c>
      <c r="BK406" s="126">
        <v>0</v>
      </c>
      <c r="BL406" s="121" t="str">
        <f>IF(BK406="NA","NA",IF(BK406="Not Reported","Not Reported",IF(BK406&lt;$L$406,"Not Met","Met")))</f>
        <v>Not Met</v>
      </c>
      <c r="BM406" s="100">
        <v>0</v>
      </c>
      <c r="BN406" s="121" t="str">
        <f>IF(BM406="NA","NA",IF(BM406="Not Reported","Not Reported",IF(BM406&lt;$L$406,"Not Met","Met")))</f>
        <v>Not Met</v>
      </c>
      <c r="BO406" s="126">
        <v>0</v>
      </c>
      <c r="BP406" s="121" t="s">
        <v>251</v>
      </c>
      <c r="BQ406" s="121" t="s">
        <v>61</v>
      </c>
      <c r="BR406" s="121" t="s">
        <v>61</v>
      </c>
      <c r="BS406" s="315">
        <v>0</v>
      </c>
      <c r="BT406" s="121" t="str">
        <f>IF(BS406="NA","NA",IF(BS406="Not Reported","Not Reported",IF(BS406&lt;$L$406,"Not Met","Met")))</f>
        <v>Not Met</v>
      </c>
      <c r="BU406" s="310">
        <v>0.03</v>
      </c>
      <c r="BV406" s="121" t="str">
        <f>IF(BU406="NA","NA",IF(BU406="Not Reported","Not Reported",IF(BU406&lt;$L$406,"Not Met","Met")))</f>
        <v>Not Met</v>
      </c>
    </row>
    <row r="407" spans="1:74" x14ac:dyDescent="0.25">
      <c r="A407" s="121">
        <v>406</v>
      </c>
      <c r="B407" s="122" t="s">
        <v>52</v>
      </c>
      <c r="C407" s="122" t="s">
        <v>903</v>
      </c>
      <c r="D407" s="123" t="s">
        <v>133</v>
      </c>
      <c r="E407" s="123" t="s">
        <v>899</v>
      </c>
      <c r="F407" s="123" t="s">
        <v>300</v>
      </c>
      <c r="G407" s="122" t="s">
        <v>273</v>
      </c>
      <c r="H407" s="122" t="s">
        <v>192</v>
      </c>
      <c r="I407" s="124"/>
      <c r="J407" s="124"/>
      <c r="K407" s="123" t="s">
        <v>828</v>
      </c>
      <c r="L407" s="146">
        <v>0.1</v>
      </c>
      <c r="M407" s="146">
        <v>0.1</v>
      </c>
      <c r="N407" s="218"/>
      <c r="O407" s="145"/>
      <c r="P407" s="123"/>
      <c r="Q407" s="146"/>
      <c r="R407" s="147"/>
      <c r="S407" s="146"/>
      <c r="T407" s="147"/>
      <c r="U407" s="127"/>
      <c r="V407" s="147"/>
      <c r="W407" s="126"/>
      <c r="X407" s="143"/>
      <c r="Y407" s="126"/>
      <c r="Z407" s="121"/>
      <c r="AA407" s="126"/>
      <c r="AB407" s="147"/>
      <c r="AC407" s="121"/>
      <c r="AD407" s="121"/>
      <c r="AE407" s="126"/>
      <c r="AF407" s="147"/>
      <c r="AG407" s="126"/>
      <c r="AH407" s="126"/>
      <c r="AI407" s="146"/>
      <c r="AJ407" s="121"/>
      <c r="AK407" s="146"/>
      <c r="AL407" s="121"/>
      <c r="AM407" s="146"/>
      <c r="AN407" s="121"/>
      <c r="AO407" s="146"/>
      <c r="AP407" s="128"/>
      <c r="AQ407" s="143" t="s">
        <v>11</v>
      </c>
      <c r="AR407" s="143" t="s">
        <v>11</v>
      </c>
      <c r="AS407" s="146"/>
      <c r="AT407" s="121"/>
      <c r="AU407" s="146">
        <v>0</v>
      </c>
      <c r="AV407" s="121" t="s">
        <v>251</v>
      </c>
      <c r="AW407" s="146">
        <v>0</v>
      </c>
      <c r="AX407" s="121" t="s">
        <v>251</v>
      </c>
      <c r="AY407" s="126">
        <v>0</v>
      </c>
      <c r="AZ407" s="121" t="s">
        <v>251</v>
      </c>
      <c r="BA407" s="146">
        <v>0</v>
      </c>
      <c r="BB407" s="121" t="s">
        <v>251</v>
      </c>
      <c r="BC407" s="126">
        <v>0</v>
      </c>
      <c r="BD407" s="121" t="s">
        <v>251</v>
      </c>
      <c r="BE407" s="126">
        <v>0</v>
      </c>
      <c r="BF407" s="121" t="s">
        <v>251</v>
      </c>
      <c r="BG407" s="126">
        <v>0</v>
      </c>
      <c r="BH407" s="121" t="s">
        <v>251</v>
      </c>
      <c r="BI407" s="121" t="s">
        <v>61</v>
      </c>
      <c r="BJ407" s="121" t="s">
        <v>61</v>
      </c>
      <c r="BK407" s="126" t="s">
        <v>11</v>
      </c>
      <c r="BL407" s="121" t="str">
        <f>IF(BK407="NA","NA",IF(BK407="Not Reported","Not Reported",IF(BK407&lt;$L$407,"Not Met","Met")))</f>
        <v>NA</v>
      </c>
      <c r="BM407" s="100">
        <f>0/4</f>
        <v>0</v>
      </c>
      <c r="BN407" s="121" t="str">
        <f>IF(BM407="NA","NA",IF(BM407="Not Reported","Not Reported",IF(BM407&lt;$L$407,"Not Met","Met")))</f>
        <v>Not Met</v>
      </c>
      <c r="BO407" s="126">
        <v>0</v>
      </c>
      <c r="BP407" s="121" t="s">
        <v>251</v>
      </c>
      <c r="BQ407" s="121" t="s">
        <v>61</v>
      </c>
      <c r="BR407" s="121" t="s">
        <v>61</v>
      </c>
      <c r="BS407" s="315">
        <v>0</v>
      </c>
      <c r="BT407" s="121" t="str">
        <f>IF(BS407="NA","NA",IF(BS407="Not Reported","Not Reported",IF(BS407&lt;$L$407,"Not Met","Met")))</f>
        <v>Not Met</v>
      </c>
      <c r="BU407" s="310">
        <v>0</v>
      </c>
      <c r="BV407" s="121" t="str">
        <f>IF(BU407="NA","NA",IF(BU407="Not Reported","Not Reported",IF(BU407&lt;$L$407,"Not Met","Met")))</f>
        <v>Not Met</v>
      </c>
    </row>
    <row r="408" spans="1:74" x14ac:dyDescent="0.2">
      <c r="A408" s="121">
        <v>407</v>
      </c>
      <c r="B408" s="122" t="s">
        <v>52</v>
      </c>
      <c r="C408" s="122" t="s">
        <v>903</v>
      </c>
      <c r="D408" s="123" t="s">
        <v>133</v>
      </c>
      <c r="E408" s="123" t="s">
        <v>899</v>
      </c>
      <c r="F408" s="123" t="s">
        <v>300</v>
      </c>
      <c r="G408" s="122" t="s">
        <v>273</v>
      </c>
      <c r="H408" s="122" t="s">
        <v>192</v>
      </c>
      <c r="I408" s="124"/>
      <c r="J408" s="124"/>
      <c r="K408" s="123" t="s">
        <v>829</v>
      </c>
      <c r="L408" s="146">
        <v>0</v>
      </c>
      <c r="M408" s="146">
        <v>0</v>
      </c>
      <c r="N408" s="218"/>
      <c r="O408" s="145"/>
      <c r="P408" s="123"/>
      <c r="Q408" s="146"/>
      <c r="R408" s="147"/>
      <c r="S408" s="146"/>
      <c r="T408" s="147"/>
      <c r="U408" s="127"/>
      <c r="V408" s="147"/>
      <c r="W408" s="126"/>
      <c r="X408" s="143"/>
      <c r="Y408" s="126"/>
      <c r="Z408" s="121"/>
      <c r="AA408" s="126"/>
      <c r="AB408" s="147"/>
      <c r="AC408" s="121"/>
      <c r="AD408" s="121"/>
      <c r="AE408" s="126"/>
      <c r="AF408" s="147"/>
      <c r="AG408" s="126"/>
      <c r="AH408" s="126"/>
      <c r="AI408" s="146"/>
      <c r="AJ408" s="121"/>
      <c r="AK408" s="146"/>
      <c r="AL408" s="121"/>
      <c r="AM408" s="146"/>
      <c r="AN408" s="121"/>
      <c r="AO408" s="146"/>
      <c r="AP408" s="128"/>
      <c r="AQ408" s="143" t="s">
        <v>11</v>
      </c>
      <c r="AR408" s="143" t="s">
        <v>11</v>
      </c>
      <c r="AS408" s="146"/>
      <c r="AT408" s="121"/>
      <c r="AU408" s="146">
        <v>0</v>
      </c>
      <c r="AV408" s="121" t="s">
        <v>198</v>
      </c>
      <c r="AW408" s="146">
        <v>0</v>
      </c>
      <c r="AX408" s="121" t="s">
        <v>198</v>
      </c>
      <c r="AY408" s="126">
        <v>0</v>
      </c>
      <c r="AZ408" s="121" t="s">
        <v>198</v>
      </c>
      <c r="BA408" s="146">
        <v>0</v>
      </c>
      <c r="BB408" s="121" t="s">
        <v>198</v>
      </c>
      <c r="BC408" s="126">
        <v>0</v>
      </c>
      <c r="BD408" s="121" t="s">
        <v>198</v>
      </c>
      <c r="BE408" s="126" t="s">
        <v>11</v>
      </c>
      <c r="BF408" s="248" t="s">
        <v>11</v>
      </c>
      <c r="BG408" s="126">
        <v>0</v>
      </c>
      <c r="BH408" s="121" t="s">
        <v>198</v>
      </c>
      <c r="BI408" s="121" t="s">
        <v>61</v>
      </c>
      <c r="BJ408" s="121" t="s">
        <v>61</v>
      </c>
      <c r="BK408" s="126">
        <v>0</v>
      </c>
      <c r="BL408" s="121" t="str">
        <f>IF(BK408="NA","NA",IF(BK408="Not Reported","Not Reported",IF(BK408&lt;$L$408,"Not Met","Met")))</f>
        <v>Met</v>
      </c>
      <c r="BM408" s="100">
        <v>1</v>
      </c>
      <c r="BN408" s="121" t="str">
        <f>IF(BM408="NA","NA",IF(BM408="Not Reported","Not Reported",IF(BM408&lt;$L$408,"Not Met","Met")))</f>
        <v>Met</v>
      </c>
      <c r="BO408" s="126">
        <v>0</v>
      </c>
      <c r="BP408" s="121" t="s">
        <v>198</v>
      </c>
      <c r="BQ408" s="121" t="s">
        <v>61</v>
      </c>
      <c r="BR408" s="121" t="s">
        <v>61</v>
      </c>
      <c r="BS408" s="315">
        <v>0</v>
      </c>
      <c r="BT408" s="121" t="str">
        <f>IF(BS408="NA","NA",IF(BS408="Not Reported","Not Reported",IF(BS408&lt;$L$408,"Not Met","Met")))</f>
        <v>Met</v>
      </c>
      <c r="BU408" s="310">
        <v>0</v>
      </c>
      <c r="BV408" s="121" t="str">
        <f>IF(BU408="NA","NA",IF(BU408="Not Reported","Not Reported",IF(BU408&lt;$L$408,"Not Met","Met")))</f>
        <v>Met</v>
      </c>
    </row>
    <row r="409" spans="1:74" x14ac:dyDescent="0.2">
      <c r="A409" s="121">
        <v>408</v>
      </c>
      <c r="B409" s="122" t="s">
        <v>52</v>
      </c>
      <c r="C409" s="122" t="s">
        <v>903</v>
      </c>
      <c r="D409" s="123" t="s">
        <v>133</v>
      </c>
      <c r="E409" s="123" t="s">
        <v>899</v>
      </c>
      <c r="F409" s="123" t="s">
        <v>300</v>
      </c>
      <c r="G409" s="122" t="s">
        <v>273</v>
      </c>
      <c r="H409" s="122" t="s">
        <v>192</v>
      </c>
      <c r="I409" s="124"/>
      <c r="J409" s="124"/>
      <c r="K409" s="123" t="s">
        <v>830</v>
      </c>
      <c r="L409" s="146">
        <v>0.1</v>
      </c>
      <c r="M409" s="146">
        <v>0.1</v>
      </c>
      <c r="N409" s="218"/>
      <c r="O409" s="145"/>
      <c r="P409" s="123"/>
      <c r="Q409" s="146"/>
      <c r="R409" s="147"/>
      <c r="S409" s="146"/>
      <c r="T409" s="147"/>
      <c r="U409" s="127"/>
      <c r="V409" s="147"/>
      <c r="W409" s="126"/>
      <c r="X409" s="143"/>
      <c r="Y409" s="126"/>
      <c r="Z409" s="121"/>
      <c r="AA409" s="126"/>
      <c r="AB409" s="147"/>
      <c r="AC409" s="121"/>
      <c r="AD409" s="121"/>
      <c r="AE409" s="126"/>
      <c r="AF409" s="147"/>
      <c r="AG409" s="126"/>
      <c r="AH409" s="126"/>
      <c r="AI409" s="146"/>
      <c r="AJ409" s="121"/>
      <c r="AK409" s="146"/>
      <c r="AL409" s="121"/>
      <c r="AM409" s="146"/>
      <c r="AN409" s="121"/>
      <c r="AO409" s="146"/>
      <c r="AP409" s="128"/>
      <c r="AQ409" s="143" t="s">
        <v>11</v>
      </c>
      <c r="AR409" s="143" t="s">
        <v>11</v>
      </c>
      <c r="AS409" s="146"/>
      <c r="AT409" s="121"/>
      <c r="AU409" s="146">
        <v>0.33</v>
      </c>
      <c r="AV409" s="121" t="s">
        <v>198</v>
      </c>
      <c r="AW409" s="143" t="s">
        <v>11</v>
      </c>
      <c r="AX409" s="128" t="s">
        <v>11</v>
      </c>
      <c r="AY409" s="128" t="s">
        <v>11</v>
      </c>
      <c r="AZ409" s="121" t="s">
        <v>11</v>
      </c>
      <c r="BA409" s="146">
        <v>0.33</v>
      </c>
      <c r="BB409" s="121" t="s">
        <v>198</v>
      </c>
      <c r="BC409" s="127" t="s">
        <v>11</v>
      </c>
      <c r="BD409" s="128" t="s">
        <v>11</v>
      </c>
      <c r="BE409" s="127" t="s">
        <v>11</v>
      </c>
      <c r="BF409" s="248" t="s">
        <v>11</v>
      </c>
      <c r="BG409" s="127" t="s">
        <v>11</v>
      </c>
      <c r="BH409" s="128" t="s">
        <v>11</v>
      </c>
      <c r="BI409" s="121" t="s">
        <v>61</v>
      </c>
      <c r="BJ409" s="121" t="s">
        <v>61</v>
      </c>
      <c r="BK409" s="128" t="s">
        <v>11</v>
      </c>
      <c r="BL409" s="121" t="str">
        <f>IF(BK409="NA","NA",IF(BK409="Not Reported","Not Reported",IF(BK409&lt;$L$409,"Not Met","Met")))</f>
        <v>NA</v>
      </c>
      <c r="BM409" s="100">
        <v>1</v>
      </c>
      <c r="BN409" s="121" t="str">
        <f>IF(BM409="NA","NA",IF(BM409="Not Reported","Not Reported",IF(BM409&lt;$L$409,"Not Met","Met")))</f>
        <v>Met</v>
      </c>
      <c r="BO409" s="126">
        <v>0</v>
      </c>
      <c r="BP409" s="121" t="s">
        <v>251</v>
      </c>
      <c r="BQ409" s="121" t="s">
        <v>61</v>
      </c>
      <c r="BR409" s="121" t="s">
        <v>61</v>
      </c>
      <c r="BS409" s="315">
        <v>0</v>
      </c>
      <c r="BT409" s="121" t="str">
        <f>IF(BS409="NA","NA",IF(BS409="Not Reported","Not Reported",IF(BS409&lt;$L$409,"Not Met","Met")))</f>
        <v>Not Met</v>
      </c>
      <c r="BU409" s="310">
        <v>0.33</v>
      </c>
      <c r="BV409" s="121" t="str">
        <f>IF(BU409="NA","NA",IF(BU409="Not Reported","Not Reported",IF(BU409&lt;$L$409,"Not Met","Met")))</f>
        <v>Met</v>
      </c>
    </row>
    <row r="410" spans="1:74" x14ac:dyDescent="0.2">
      <c r="A410" s="121">
        <v>409</v>
      </c>
      <c r="B410" s="122" t="s">
        <v>52</v>
      </c>
      <c r="C410" s="122" t="s">
        <v>903</v>
      </c>
      <c r="D410" s="123" t="s">
        <v>133</v>
      </c>
      <c r="E410" s="123" t="s">
        <v>899</v>
      </c>
      <c r="F410" s="123" t="s">
        <v>300</v>
      </c>
      <c r="G410" s="122" t="s">
        <v>273</v>
      </c>
      <c r="H410" s="122" t="s">
        <v>192</v>
      </c>
      <c r="I410" s="124"/>
      <c r="J410" s="124"/>
      <c r="K410" s="123" t="s">
        <v>831</v>
      </c>
      <c r="L410" s="146">
        <v>0</v>
      </c>
      <c r="M410" s="146">
        <v>0</v>
      </c>
      <c r="N410" s="218"/>
      <c r="O410" s="145"/>
      <c r="P410" s="123"/>
      <c r="Q410" s="146"/>
      <c r="R410" s="147"/>
      <c r="S410" s="146"/>
      <c r="T410" s="147"/>
      <c r="U410" s="127"/>
      <c r="V410" s="147"/>
      <c r="W410" s="126"/>
      <c r="X410" s="143"/>
      <c r="Y410" s="126"/>
      <c r="Z410" s="121"/>
      <c r="AA410" s="126"/>
      <c r="AB410" s="147"/>
      <c r="AC410" s="121"/>
      <c r="AD410" s="121"/>
      <c r="AE410" s="126"/>
      <c r="AF410" s="147"/>
      <c r="AG410" s="126"/>
      <c r="AH410" s="126"/>
      <c r="AI410" s="146"/>
      <c r="AJ410" s="121"/>
      <c r="AK410" s="146"/>
      <c r="AL410" s="121"/>
      <c r="AM410" s="146"/>
      <c r="AN410" s="121"/>
      <c r="AO410" s="146"/>
      <c r="AP410" s="128"/>
      <c r="AQ410" s="143" t="s">
        <v>11</v>
      </c>
      <c r="AR410" s="143" t="s">
        <v>11</v>
      </c>
      <c r="AS410" s="146"/>
      <c r="AT410" s="121"/>
      <c r="AU410" s="146" t="s">
        <v>11</v>
      </c>
      <c r="AV410" s="146" t="s">
        <v>11</v>
      </c>
      <c r="AW410" s="143" t="s">
        <v>11</v>
      </c>
      <c r="AX410" s="128" t="s">
        <v>11</v>
      </c>
      <c r="AY410" s="128" t="s">
        <v>11</v>
      </c>
      <c r="AZ410" s="121" t="s">
        <v>11</v>
      </c>
      <c r="BA410" s="146" t="s">
        <v>11</v>
      </c>
      <c r="BB410" s="128" t="s">
        <v>11</v>
      </c>
      <c r="BC410" s="127" t="s">
        <v>11</v>
      </c>
      <c r="BD410" s="128" t="s">
        <v>11</v>
      </c>
      <c r="BE410" s="127" t="s">
        <v>11</v>
      </c>
      <c r="BF410" s="248" t="s">
        <v>11</v>
      </c>
      <c r="BG410" s="142">
        <v>0</v>
      </c>
      <c r="BH410" s="121" t="s">
        <v>198</v>
      </c>
      <c r="BI410" s="121" t="s">
        <v>61</v>
      </c>
      <c r="BJ410" s="121" t="s">
        <v>61</v>
      </c>
      <c r="BK410" s="128" t="s">
        <v>11</v>
      </c>
      <c r="BL410" s="121" t="str">
        <f>IF(BK410="NA","NA",IF(BK410="Not Reported","Not Reported",IF(BK410&lt;$L$410,"Not Met","Met")))</f>
        <v>NA</v>
      </c>
      <c r="BM410" s="258" t="s">
        <v>11</v>
      </c>
      <c r="BN410" s="121" t="str">
        <f>IF(BM410="NA","NA",IF(BM410="Not Reported","Not Reported",IF(BM410&lt;$L$410,"Not Met","Met")))</f>
        <v>NA</v>
      </c>
      <c r="BO410" s="126">
        <v>0</v>
      </c>
      <c r="BP410" s="121" t="s">
        <v>198</v>
      </c>
      <c r="BQ410" s="121" t="s">
        <v>61</v>
      </c>
      <c r="BR410" s="121" t="s">
        <v>61</v>
      </c>
      <c r="BS410" s="26" t="s">
        <v>11</v>
      </c>
      <c r="BT410" s="121" t="str">
        <f>IF(BS410="NA","NA",IF(BS410="Not Reported","Not Reported",IF(BS410&lt;$L$410,"Not Met","Met")))</f>
        <v>NA</v>
      </c>
      <c r="BU410" s="310">
        <v>0</v>
      </c>
      <c r="BV410" s="121" t="str">
        <f>IF(BU410="NA","NA",IF(BU410="Not Reported","Not Reported",IF(BU410&lt;$L$410,"Not Met","Met")))</f>
        <v>Met</v>
      </c>
    </row>
    <row r="411" spans="1:74" x14ac:dyDescent="0.2">
      <c r="A411" s="121">
        <v>410</v>
      </c>
      <c r="B411" s="122" t="s">
        <v>52</v>
      </c>
      <c r="C411" s="122" t="s">
        <v>903</v>
      </c>
      <c r="D411" s="123" t="s">
        <v>133</v>
      </c>
      <c r="E411" s="123" t="s">
        <v>899</v>
      </c>
      <c r="F411" s="123" t="s">
        <v>300</v>
      </c>
      <c r="G411" s="122" t="s">
        <v>273</v>
      </c>
      <c r="H411" s="122" t="s">
        <v>192</v>
      </c>
      <c r="I411" s="124"/>
      <c r="J411" s="124"/>
      <c r="K411" s="123" t="s">
        <v>832</v>
      </c>
      <c r="L411" s="146">
        <v>0.1</v>
      </c>
      <c r="M411" s="146">
        <v>0.1</v>
      </c>
      <c r="N411" s="218"/>
      <c r="O411" s="145"/>
      <c r="P411" s="123"/>
      <c r="Q411" s="146"/>
      <c r="R411" s="147"/>
      <c r="S411" s="146"/>
      <c r="T411" s="147"/>
      <c r="U411" s="127"/>
      <c r="V411" s="147"/>
      <c r="W411" s="126"/>
      <c r="X411" s="143"/>
      <c r="Y411" s="126"/>
      <c r="Z411" s="121"/>
      <c r="AA411" s="126"/>
      <c r="AB411" s="147"/>
      <c r="AC411" s="121"/>
      <c r="AD411" s="121"/>
      <c r="AE411" s="126"/>
      <c r="AF411" s="147"/>
      <c r="AG411" s="126"/>
      <c r="AH411" s="126"/>
      <c r="AI411" s="146"/>
      <c r="AJ411" s="121"/>
      <c r="AK411" s="146"/>
      <c r="AL411" s="121"/>
      <c r="AM411" s="146"/>
      <c r="AN411" s="121"/>
      <c r="AO411" s="146"/>
      <c r="AP411" s="128"/>
      <c r="AQ411" s="143" t="s">
        <v>11</v>
      </c>
      <c r="AR411" s="143" t="s">
        <v>11</v>
      </c>
      <c r="AS411" s="146"/>
      <c r="AT411" s="121"/>
      <c r="AU411" s="146">
        <v>0</v>
      </c>
      <c r="AV411" s="121" t="s">
        <v>251</v>
      </c>
      <c r="AW411" s="143" t="s">
        <v>11</v>
      </c>
      <c r="AX411" s="128" t="s">
        <v>11</v>
      </c>
      <c r="AY411" s="128">
        <v>0</v>
      </c>
      <c r="AZ411" s="121" t="s">
        <v>251</v>
      </c>
      <c r="BA411" s="146">
        <v>0</v>
      </c>
      <c r="BB411" s="121" t="s">
        <v>251</v>
      </c>
      <c r="BC411" s="128">
        <v>0</v>
      </c>
      <c r="BD411" s="121" t="s">
        <v>251</v>
      </c>
      <c r="BE411" s="128" t="s">
        <v>833</v>
      </c>
      <c r="BF411" s="248" t="s">
        <v>11</v>
      </c>
      <c r="BG411" s="128">
        <v>0</v>
      </c>
      <c r="BH411" s="121" t="s">
        <v>251</v>
      </c>
      <c r="BI411" s="121" t="s">
        <v>61</v>
      </c>
      <c r="BJ411" s="121" t="s">
        <v>61</v>
      </c>
      <c r="BK411" s="128">
        <v>0</v>
      </c>
      <c r="BL411" s="121" t="str">
        <f>IF(BK411="NA","NA",IF(BK411="Not Reported","Not Reported",IF(BK411&lt;$L$411,"Not Met","Met")))</f>
        <v>Not Met</v>
      </c>
      <c r="BM411" s="258" t="s">
        <v>11</v>
      </c>
      <c r="BN411" s="121" t="str">
        <f>IF(BM411="NA","NA",IF(BM411="Not Reported","Not Reported",IF(BM411&lt;$L$411,"Not Met","Met")))</f>
        <v>NA</v>
      </c>
      <c r="BO411" s="126">
        <v>0</v>
      </c>
      <c r="BP411" s="121" t="s">
        <v>251</v>
      </c>
      <c r="BQ411" s="121" t="s">
        <v>61</v>
      </c>
      <c r="BR411" s="121" t="s">
        <v>61</v>
      </c>
      <c r="BS411" s="315">
        <v>0</v>
      </c>
      <c r="BT411" s="121" t="str">
        <f>IF(BS411="NA","NA",IF(BS411="Not Reported","Not Reported",IF(BS411&lt;$L$411,"Not Met","Met")))</f>
        <v>Not Met</v>
      </c>
      <c r="BU411" s="310">
        <v>0</v>
      </c>
      <c r="BV411" s="121" t="str">
        <f>IF(BU411="NA","NA",IF(BU411="Not Reported","Not Reported",IF(BU411&lt;$L$411,"Not Met","Met")))</f>
        <v>Not Met</v>
      </c>
    </row>
    <row r="412" spans="1:74" x14ac:dyDescent="0.25">
      <c r="A412" s="121">
        <v>411</v>
      </c>
      <c r="B412" s="122" t="s">
        <v>52</v>
      </c>
      <c r="C412" s="122" t="s">
        <v>903</v>
      </c>
      <c r="D412" s="123" t="s">
        <v>133</v>
      </c>
      <c r="E412" s="123" t="s">
        <v>899</v>
      </c>
      <c r="F412" s="123" t="s">
        <v>300</v>
      </c>
      <c r="G412" s="122" t="s">
        <v>273</v>
      </c>
      <c r="H412" s="122" t="s">
        <v>192</v>
      </c>
      <c r="I412" s="124"/>
      <c r="J412" s="124"/>
      <c r="K412" s="123" t="s">
        <v>834</v>
      </c>
      <c r="L412" s="146">
        <v>0.1</v>
      </c>
      <c r="M412" s="146">
        <v>0.1</v>
      </c>
      <c r="N412" s="218"/>
      <c r="O412" s="145"/>
      <c r="P412" s="123"/>
      <c r="Q412" s="146"/>
      <c r="R412" s="147"/>
      <c r="S412" s="146"/>
      <c r="T412" s="147"/>
      <c r="U412" s="127"/>
      <c r="V412" s="147"/>
      <c r="W412" s="126"/>
      <c r="X412" s="143"/>
      <c r="Y412" s="126"/>
      <c r="Z412" s="121"/>
      <c r="AA412" s="126"/>
      <c r="AB412" s="147"/>
      <c r="AC412" s="121"/>
      <c r="AD412" s="121"/>
      <c r="AE412" s="126"/>
      <c r="AF412" s="147"/>
      <c r="AG412" s="126"/>
      <c r="AH412" s="126"/>
      <c r="AI412" s="146"/>
      <c r="AJ412" s="121"/>
      <c r="AK412" s="146"/>
      <c r="AL412" s="121"/>
      <c r="AM412" s="146"/>
      <c r="AN412" s="121"/>
      <c r="AO412" s="146"/>
      <c r="AP412" s="128"/>
      <c r="AQ412" s="143" t="s">
        <v>11</v>
      </c>
      <c r="AR412" s="143" t="s">
        <v>11</v>
      </c>
      <c r="AS412" s="146"/>
      <c r="AT412" s="121"/>
      <c r="AU412" s="146" t="s">
        <v>11</v>
      </c>
      <c r="AV412" s="146" t="s">
        <v>11</v>
      </c>
      <c r="AW412" s="143" t="s">
        <v>11</v>
      </c>
      <c r="AX412" s="128" t="s">
        <v>11</v>
      </c>
      <c r="AY412" s="128" t="s">
        <v>11</v>
      </c>
      <c r="AZ412" s="121" t="s">
        <v>11</v>
      </c>
      <c r="BA412" s="146" t="s">
        <v>11</v>
      </c>
      <c r="BB412" s="128" t="s">
        <v>11</v>
      </c>
      <c r="BC412" s="127" t="s">
        <v>11</v>
      </c>
      <c r="BD412" s="128" t="s">
        <v>11</v>
      </c>
      <c r="BE412" s="142">
        <v>0</v>
      </c>
      <c r="BF412" s="121" t="s">
        <v>251</v>
      </c>
      <c r="BG412" s="127" t="s">
        <v>11</v>
      </c>
      <c r="BH412" s="128" t="s">
        <v>11</v>
      </c>
      <c r="BI412" s="121" t="s">
        <v>61</v>
      </c>
      <c r="BJ412" s="121" t="s">
        <v>61</v>
      </c>
      <c r="BK412" s="128">
        <v>0</v>
      </c>
      <c r="BL412" s="121" t="str">
        <f>IF(BK412="NA","NA",IF(BK412="Not Reported","Not Reported",IF(BK412&lt;$L$412,"Not Met","Met")))</f>
        <v>Not Met</v>
      </c>
      <c r="BM412" s="100">
        <v>0</v>
      </c>
      <c r="BN412" s="121" t="str">
        <f>IF(BM412="NA","NA",IF(BM412="Not Reported","Not Reported",IF(BM412&lt;$L$412,"Not Met","Met")))</f>
        <v>Not Met</v>
      </c>
      <c r="BO412" s="126">
        <v>0</v>
      </c>
      <c r="BP412" s="121" t="s">
        <v>251</v>
      </c>
      <c r="BQ412" s="121" t="s">
        <v>61</v>
      </c>
      <c r="BR412" s="121" t="s">
        <v>61</v>
      </c>
      <c r="BS412" s="397" t="s">
        <v>11</v>
      </c>
      <c r="BT412" s="121" t="str">
        <f>IF(BS412="NA","NA",IF(BS412="Not Reported","Not Reported",IF(BS412&lt;$L$412,"Not Met","Met")))</f>
        <v>NA</v>
      </c>
      <c r="BU412" s="355">
        <v>0</v>
      </c>
      <c r="BV412" s="121" t="str">
        <f>IF(BU412="NA","NA",IF(BU412="Not Reported","Not Reported",IF(BU412&lt;$L$412,"Not Met","Met")))</f>
        <v>Not Met</v>
      </c>
    </row>
    <row r="413" spans="1:74" x14ac:dyDescent="0.2">
      <c r="A413" s="121">
        <v>412</v>
      </c>
      <c r="B413" s="122" t="s">
        <v>53</v>
      </c>
      <c r="C413" s="122" t="s">
        <v>106</v>
      </c>
      <c r="D413" s="123" t="s">
        <v>920</v>
      </c>
      <c r="E413" s="123" t="s">
        <v>894</v>
      </c>
      <c r="F413" s="123" t="s">
        <v>300</v>
      </c>
      <c r="G413" s="122" t="s">
        <v>273</v>
      </c>
      <c r="H413" s="122" t="s">
        <v>192</v>
      </c>
      <c r="I413" s="124"/>
      <c r="J413" s="124"/>
      <c r="K413" s="123" t="s">
        <v>274</v>
      </c>
      <c r="L413" s="147">
        <v>90</v>
      </c>
      <c r="M413" s="146" t="s">
        <v>329</v>
      </c>
      <c r="N413" s="218"/>
      <c r="O413" s="145"/>
      <c r="P413" s="123"/>
      <c r="Q413" s="146"/>
      <c r="R413" s="147"/>
      <c r="S413" s="146"/>
      <c r="T413" s="147"/>
      <c r="U413" s="127"/>
      <c r="V413" s="147"/>
      <c r="W413" s="126"/>
      <c r="X413" s="143"/>
      <c r="Y413" s="126"/>
      <c r="Z413" s="121"/>
      <c r="AA413" s="126"/>
      <c r="AB413" s="147"/>
      <c r="AC413" s="121"/>
      <c r="AD413" s="121"/>
      <c r="AE413" s="126"/>
      <c r="AF413" s="147"/>
      <c r="AG413" s="126" t="s">
        <v>11</v>
      </c>
      <c r="AH413" s="126" t="s">
        <v>11</v>
      </c>
      <c r="AI413" s="143" t="s">
        <v>61</v>
      </c>
      <c r="AJ413" s="121" t="s">
        <v>61</v>
      </c>
      <c r="AK413" s="126" t="s">
        <v>11</v>
      </c>
      <c r="AL413" s="128" t="s">
        <v>11</v>
      </c>
      <c r="AM413" s="143" t="s">
        <v>323</v>
      </c>
      <c r="AN413" s="128" t="s">
        <v>11</v>
      </c>
      <c r="AO413" s="143" t="s">
        <v>323</v>
      </c>
      <c r="AP413" s="143" t="s">
        <v>323</v>
      </c>
      <c r="AQ413" s="183" t="s">
        <v>507</v>
      </c>
      <c r="AR413" s="121" t="s">
        <v>198</v>
      </c>
      <c r="AS413" s="183">
        <v>67</v>
      </c>
      <c r="AT413" s="121" t="s">
        <v>198</v>
      </c>
      <c r="AU413" s="173" t="s">
        <v>554</v>
      </c>
      <c r="AV413" s="121" t="s">
        <v>198</v>
      </c>
      <c r="AW413" s="121" t="s">
        <v>508</v>
      </c>
      <c r="AX413" s="121" t="s">
        <v>198</v>
      </c>
      <c r="AY413" s="173" t="s">
        <v>485</v>
      </c>
      <c r="AZ413" s="121" t="s">
        <v>198</v>
      </c>
      <c r="BA413" s="173" t="s">
        <v>480</v>
      </c>
      <c r="BB413" s="121" t="s">
        <v>198</v>
      </c>
      <c r="BC413" s="173" t="s">
        <v>521</v>
      </c>
      <c r="BD413" s="121" t="s">
        <v>251</v>
      </c>
      <c r="BE413" s="183" t="s">
        <v>522</v>
      </c>
      <c r="BF413" s="121" t="s">
        <v>198</v>
      </c>
      <c r="BG413" s="121" t="s">
        <v>61</v>
      </c>
      <c r="BH413" s="121" t="s">
        <v>61</v>
      </c>
      <c r="BI413" s="121" t="s">
        <v>61</v>
      </c>
      <c r="BJ413" s="121" t="s">
        <v>61</v>
      </c>
      <c r="BK413" s="183">
        <v>108</v>
      </c>
      <c r="BL413" s="121" t="str">
        <f>IF(BK413="NA","NA",IF(BK413="Not Reported","Not Reported",IF(BK413&gt;$L$413,"Not Met","Met")))</f>
        <v>Not Met</v>
      </c>
      <c r="BM413" s="283">
        <v>135</v>
      </c>
      <c r="BN413" s="121" t="str">
        <f>IF(BM413="NA","NA",IF(BM413="Not Reported","Not Reported",IF(BM413&gt;$L$413,"Not Met","Met")))</f>
        <v>Not Met</v>
      </c>
      <c r="BO413" s="342">
        <v>112</v>
      </c>
      <c r="BP413" s="121" t="s">
        <v>251</v>
      </c>
      <c r="BQ413" s="342">
        <v>118</v>
      </c>
      <c r="BR413" s="121" t="s">
        <v>251</v>
      </c>
      <c r="BS413" s="312">
        <v>44</v>
      </c>
      <c r="BT413" s="121" t="str">
        <f>IF(BS413="NA","NA",IF(BS413="Not Reported","Not Reported",IF(BS413&gt;$L$413,"Not Met","Met")))</f>
        <v>Met</v>
      </c>
      <c r="BU413" s="342">
        <v>84</v>
      </c>
      <c r="BV413" s="121" t="str">
        <f>IF(BU413="NA","NA",IF(BU413="Not Reported","Not Reported",IF(BU413&gt;$L$413,"Not Met","Met")))</f>
        <v>Met</v>
      </c>
    </row>
    <row r="414" spans="1:74" x14ac:dyDescent="0.2">
      <c r="A414" s="121">
        <v>413</v>
      </c>
      <c r="B414" s="122" t="s">
        <v>53</v>
      </c>
      <c r="C414" s="122" t="s">
        <v>106</v>
      </c>
      <c r="D414" s="123" t="s">
        <v>920</v>
      </c>
      <c r="E414" s="123" t="s">
        <v>894</v>
      </c>
      <c r="F414" s="123" t="s">
        <v>300</v>
      </c>
      <c r="G414" s="122" t="s">
        <v>273</v>
      </c>
      <c r="H414" s="122" t="s">
        <v>192</v>
      </c>
      <c r="I414" s="124"/>
      <c r="J414" s="124"/>
      <c r="K414" s="123" t="s">
        <v>213</v>
      </c>
      <c r="L414" s="147">
        <v>60</v>
      </c>
      <c r="M414" s="146" t="s">
        <v>336</v>
      </c>
      <c r="N414" s="218"/>
      <c r="O414" s="145"/>
      <c r="P414" s="123"/>
      <c r="Q414" s="146"/>
      <c r="R414" s="147"/>
      <c r="S414" s="146"/>
      <c r="T414" s="147"/>
      <c r="U414" s="127"/>
      <c r="V414" s="147"/>
      <c r="W414" s="126"/>
      <c r="X414" s="143"/>
      <c r="Y414" s="126"/>
      <c r="Z414" s="121"/>
      <c r="AA414" s="126"/>
      <c r="AB414" s="147"/>
      <c r="AC414" s="121"/>
      <c r="AD414" s="121"/>
      <c r="AE414" s="126"/>
      <c r="AF414" s="147"/>
      <c r="AG414" s="126" t="s">
        <v>11</v>
      </c>
      <c r="AH414" s="126" t="s">
        <v>11</v>
      </c>
      <c r="AI414" s="143" t="s">
        <v>61</v>
      </c>
      <c r="AJ414" s="121" t="s">
        <v>61</v>
      </c>
      <c r="AK414" s="126" t="s">
        <v>11</v>
      </c>
      <c r="AL414" s="128" t="s">
        <v>11</v>
      </c>
      <c r="AM414" s="143" t="s">
        <v>455</v>
      </c>
      <c r="AN414" s="121" t="s">
        <v>198</v>
      </c>
      <c r="AO414" s="162">
        <v>51</v>
      </c>
      <c r="AP414" s="121" t="s">
        <v>198</v>
      </c>
      <c r="AQ414" s="147" t="s">
        <v>468</v>
      </c>
      <c r="AR414" s="121" t="s">
        <v>198</v>
      </c>
      <c r="AS414" s="147">
        <v>40</v>
      </c>
      <c r="AT414" s="121" t="s">
        <v>198</v>
      </c>
      <c r="AU414" s="162" t="s">
        <v>344</v>
      </c>
      <c r="AV414" s="121" t="s">
        <v>198</v>
      </c>
      <c r="AW414" s="121" t="s">
        <v>323</v>
      </c>
      <c r="AX414" s="128" t="s">
        <v>11</v>
      </c>
      <c r="AY414" s="162" t="s">
        <v>511</v>
      </c>
      <c r="AZ414" s="121" t="s">
        <v>198</v>
      </c>
      <c r="BA414" s="162" t="s">
        <v>471</v>
      </c>
      <c r="BB414" s="121" t="s">
        <v>198</v>
      </c>
      <c r="BC414" s="162" t="s">
        <v>336</v>
      </c>
      <c r="BD414" s="121" t="s">
        <v>198</v>
      </c>
      <c r="BE414" s="147" t="s">
        <v>333</v>
      </c>
      <c r="BF414" s="121" t="s">
        <v>251</v>
      </c>
      <c r="BG414" s="121" t="s">
        <v>61</v>
      </c>
      <c r="BH414" s="121" t="s">
        <v>61</v>
      </c>
      <c r="BI414" s="121" t="s">
        <v>61</v>
      </c>
      <c r="BJ414" s="121" t="s">
        <v>61</v>
      </c>
      <c r="BK414" s="147" t="s">
        <v>835</v>
      </c>
      <c r="BL414" s="121" t="str">
        <f>IF(BK414="NA","NA",IF(BK414="Not Reported","Not Reported",IF(BK414&gt;$L$414,"Not Met","Met")))</f>
        <v>Not Met</v>
      </c>
      <c r="BM414" s="284">
        <v>59</v>
      </c>
      <c r="BN414" s="121" t="str">
        <f>IF(BM414="NA","NA",IF(BM414="Not Reported","Not Reported",IF(BM414&gt;$L$414,"Not Met","Met")))</f>
        <v>Met</v>
      </c>
      <c r="BO414" s="343">
        <v>33</v>
      </c>
      <c r="BP414" s="121" t="s">
        <v>198</v>
      </c>
      <c r="BQ414" s="343">
        <v>48</v>
      </c>
      <c r="BR414" s="121" t="s">
        <v>198</v>
      </c>
      <c r="BS414" s="31">
        <v>57</v>
      </c>
      <c r="BT414" s="121" t="str">
        <f>IF(BS414="NA","NA",IF(BS414="Not Reported","Not Reported",IF(BS414&gt;$L$414,"Not Met","Met")))</f>
        <v>Met</v>
      </c>
      <c r="BU414" s="343">
        <v>46</v>
      </c>
      <c r="BV414" s="121" t="str">
        <f>IF(BU414="NA","NA",IF(BU414="Not Reported","Not Reported",IF(BU414&gt;$L$414,"Not Met","Met")))</f>
        <v>Met</v>
      </c>
    </row>
    <row r="415" spans="1:74" x14ac:dyDescent="0.2">
      <c r="A415" s="121">
        <v>414</v>
      </c>
      <c r="B415" s="122" t="s">
        <v>53</v>
      </c>
      <c r="C415" s="122" t="s">
        <v>106</v>
      </c>
      <c r="D415" s="123" t="s">
        <v>920</v>
      </c>
      <c r="E415" s="123" t="s">
        <v>894</v>
      </c>
      <c r="F415" s="123" t="s">
        <v>300</v>
      </c>
      <c r="G415" s="122" t="s">
        <v>273</v>
      </c>
      <c r="H415" s="122" t="s">
        <v>192</v>
      </c>
      <c r="I415" s="124"/>
      <c r="J415" s="124"/>
      <c r="K415" s="123" t="s">
        <v>326</v>
      </c>
      <c r="L415" s="146">
        <v>0.2</v>
      </c>
      <c r="M415" s="146">
        <v>0.2</v>
      </c>
      <c r="N415" s="218"/>
      <c r="O415" s="145"/>
      <c r="P415" s="123"/>
      <c r="Q415" s="146"/>
      <c r="R415" s="147"/>
      <c r="S415" s="146"/>
      <c r="T415" s="147"/>
      <c r="U415" s="127"/>
      <c r="V415" s="147"/>
      <c r="W415" s="126"/>
      <c r="X415" s="143"/>
      <c r="Y415" s="126"/>
      <c r="Z415" s="121"/>
      <c r="AA415" s="126"/>
      <c r="AB415" s="147"/>
      <c r="AC415" s="121"/>
      <c r="AD415" s="121"/>
      <c r="AE415" s="126"/>
      <c r="AF415" s="147"/>
      <c r="AG415" s="126" t="s">
        <v>11</v>
      </c>
      <c r="AH415" s="126" t="s">
        <v>11</v>
      </c>
      <c r="AI415" s="143" t="s">
        <v>61</v>
      </c>
      <c r="AJ415" s="121" t="s">
        <v>61</v>
      </c>
      <c r="AK415" s="126" t="s">
        <v>11</v>
      </c>
      <c r="AL415" s="128" t="s">
        <v>11</v>
      </c>
      <c r="AM415" s="143">
        <v>0.48</v>
      </c>
      <c r="AN415" s="121" t="s">
        <v>251</v>
      </c>
      <c r="AO415" s="143">
        <v>0.40909090909090912</v>
      </c>
      <c r="AP415" s="121" t="s">
        <v>251</v>
      </c>
      <c r="AQ415" s="128">
        <f>21/42</f>
        <v>0.5</v>
      </c>
      <c r="AR415" s="121" t="s">
        <v>251</v>
      </c>
      <c r="AS415" s="128">
        <f>21/42</f>
        <v>0.5</v>
      </c>
      <c r="AT415" s="121" t="s">
        <v>251</v>
      </c>
      <c r="AU415" s="177">
        <f>18/40</f>
        <v>0.45</v>
      </c>
      <c r="AV415" s="121" t="s">
        <v>251</v>
      </c>
      <c r="AW415" s="177">
        <f>31/33</f>
        <v>0.93939393939393945</v>
      </c>
      <c r="AX415" s="121" t="s">
        <v>251</v>
      </c>
      <c r="AY415" s="177">
        <f>79/104</f>
        <v>0.75961538461538458</v>
      </c>
      <c r="AZ415" s="121" t="s">
        <v>251</v>
      </c>
      <c r="BA415" s="177">
        <f>79/104</f>
        <v>0.75961538461538458</v>
      </c>
      <c r="BB415" s="121" t="s">
        <v>251</v>
      </c>
      <c r="BC415" s="177">
        <f>79/104</f>
        <v>0.75961538461538458</v>
      </c>
      <c r="BD415" s="121" t="s">
        <v>251</v>
      </c>
      <c r="BE415" s="128">
        <f>20/22</f>
        <v>0.90909090909090906</v>
      </c>
      <c r="BF415" s="121" t="s">
        <v>251</v>
      </c>
      <c r="BG415" s="121" t="s">
        <v>61</v>
      </c>
      <c r="BH415" s="121" t="s">
        <v>61</v>
      </c>
      <c r="BI415" s="121" t="s">
        <v>61</v>
      </c>
      <c r="BJ415" s="121" t="s">
        <v>61</v>
      </c>
      <c r="BK415" s="211">
        <f>8/25</f>
        <v>0.32</v>
      </c>
      <c r="BL415" s="174" t="str">
        <f>IF(BK415="NA","NA",IF(BK415="Not Reported","Not Reported",IF(BK415&gt;$L$415,"Not Met","Met")))</f>
        <v>Not Met</v>
      </c>
      <c r="BM415" s="71">
        <f>29/67</f>
        <v>0.43283582089552236</v>
      </c>
      <c r="BN415" s="162" t="str">
        <f>IF(BM415="NA","NA",IF(BM415="Not Reported","Not Reported",IF(BM415&gt;$L$415,"Not Met","Met")))</f>
        <v>Not Met</v>
      </c>
      <c r="BO415" s="344">
        <f>22/56</f>
        <v>0.39285714285714285</v>
      </c>
      <c r="BP415" s="162" t="s">
        <v>251</v>
      </c>
      <c r="BQ415" s="344">
        <v>0.38</v>
      </c>
      <c r="BR415" s="162" t="s">
        <v>251</v>
      </c>
      <c r="BS415" s="344">
        <v>0.67</v>
      </c>
      <c r="BT415" s="162" t="str">
        <f>IF(BS415="NA","NA",IF(BS415="Not Reported","Not Reported",IF(BS415&gt;$L$415,"Not Met","Met")))</f>
        <v>Not Met</v>
      </c>
      <c r="BU415" s="344">
        <v>0.67</v>
      </c>
      <c r="BV415" s="162" t="str">
        <f>IF(BU415="NA","NA",IF(BU415="Not Reported","Not Reported",IF(BU415&gt;$L$415,"Not Met","Met")))</f>
        <v>Not Met</v>
      </c>
    </row>
    <row r="416" spans="1:74" x14ac:dyDescent="0.2">
      <c r="A416" s="121">
        <v>415</v>
      </c>
      <c r="B416" s="122" t="s">
        <v>53</v>
      </c>
      <c r="C416" s="122" t="s">
        <v>106</v>
      </c>
      <c r="D416" s="123" t="s">
        <v>920</v>
      </c>
      <c r="E416" s="123" t="s">
        <v>894</v>
      </c>
      <c r="F416" s="123" t="s">
        <v>300</v>
      </c>
      <c r="G416" s="122" t="s">
        <v>273</v>
      </c>
      <c r="H416" s="122" t="s">
        <v>192</v>
      </c>
      <c r="I416" s="124"/>
      <c r="J416" s="124"/>
      <c r="K416" s="123" t="s">
        <v>284</v>
      </c>
      <c r="L416" s="146">
        <v>0.7</v>
      </c>
      <c r="M416" s="146">
        <v>0.7</v>
      </c>
      <c r="N416" s="218"/>
      <c r="O416" s="145"/>
      <c r="P416" s="123"/>
      <c r="Q416" s="146"/>
      <c r="R416" s="147"/>
      <c r="S416" s="146"/>
      <c r="T416" s="147"/>
      <c r="U416" s="127"/>
      <c r="V416" s="147"/>
      <c r="W416" s="126"/>
      <c r="X416" s="143"/>
      <c r="Y416" s="126"/>
      <c r="Z416" s="121"/>
      <c r="AA416" s="126"/>
      <c r="AB416" s="147"/>
      <c r="AC416" s="121"/>
      <c r="AD416" s="121"/>
      <c r="AE416" s="126"/>
      <c r="AF416" s="147"/>
      <c r="AG416" s="126" t="s">
        <v>11</v>
      </c>
      <c r="AH416" s="126" t="s">
        <v>11</v>
      </c>
      <c r="AI416" s="143" t="s">
        <v>61</v>
      </c>
      <c r="AJ416" s="121" t="s">
        <v>61</v>
      </c>
      <c r="AK416" s="126" t="s">
        <v>11</v>
      </c>
      <c r="AL416" s="128" t="s">
        <v>11</v>
      </c>
      <c r="AM416" s="143">
        <v>0.74</v>
      </c>
      <c r="AN416" s="121" t="s">
        <v>198</v>
      </c>
      <c r="AO416" s="177">
        <v>0.51219512195121952</v>
      </c>
      <c r="AP416" s="121" t="s">
        <v>251</v>
      </c>
      <c r="AQ416" s="143">
        <f>41/86</f>
        <v>0.47674418604651164</v>
      </c>
      <c r="AR416" s="121" t="s">
        <v>198</v>
      </c>
      <c r="AS416" s="143">
        <v>0.61</v>
      </c>
      <c r="AT416" s="121" t="s">
        <v>251</v>
      </c>
      <c r="AU416" s="143">
        <f>64/121</f>
        <v>0.52892561983471076</v>
      </c>
      <c r="AV416" s="121" t="s">
        <v>251</v>
      </c>
      <c r="AW416" s="143">
        <f>21/41</f>
        <v>0.51219512195121952</v>
      </c>
      <c r="AX416" s="121" t="s">
        <v>251</v>
      </c>
      <c r="AY416" s="143">
        <f>22/47</f>
        <v>0.46808510638297873</v>
      </c>
      <c r="AZ416" s="121" t="s">
        <v>251</v>
      </c>
      <c r="BA416" s="143">
        <f>107/209</f>
        <v>0.51196172248803828</v>
      </c>
      <c r="BB416" s="121" t="s">
        <v>251</v>
      </c>
      <c r="BC416" s="143">
        <f>125/257</f>
        <v>0.48638132295719844</v>
      </c>
      <c r="BD416" s="121" t="s">
        <v>251</v>
      </c>
      <c r="BE416" s="143">
        <f>90/156</f>
        <v>0.57692307692307687</v>
      </c>
      <c r="BF416" s="121" t="s">
        <v>251</v>
      </c>
      <c r="BG416" s="121" t="s">
        <v>61</v>
      </c>
      <c r="BH416" s="121" t="s">
        <v>61</v>
      </c>
      <c r="BI416" s="121" t="s">
        <v>61</v>
      </c>
      <c r="BJ416" s="121" t="s">
        <v>61</v>
      </c>
      <c r="BK416" s="195">
        <f>49/92</f>
        <v>0.53260869565217395</v>
      </c>
      <c r="BL416" s="128" t="str">
        <f>IF(BK416="NA","NA",IF(BK416="Not Reported","Not Reported",IF(BK416&lt;$L$416,"Not Met","Met")))</f>
        <v>Not Met</v>
      </c>
      <c r="BM416" s="285">
        <f>79/147</f>
        <v>0.5374149659863946</v>
      </c>
      <c r="BN416" s="128" t="str">
        <f>IF(BM416="NA","NA",IF(BM416="Not Reported","Not Reported",IF(BM416&lt;$L$416,"Not Met","Met")))</f>
        <v>Not Met</v>
      </c>
      <c r="BO416" s="345">
        <f>117/175</f>
        <v>0.66857142857142859</v>
      </c>
      <c r="BP416" s="128" t="s">
        <v>251</v>
      </c>
      <c r="BQ416" s="345">
        <v>0.57999999999999996</v>
      </c>
      <c r="BR416" s="128" t="s">
        <v>251</v>
      </c>
      <c r="BS416" s="345">
        <f>98/155</f>
        <v>0.63225806451612898</v>
      </c>
      <c r="BT416" s="128" t="str">
        <f>IF(BS416="NA","NA",IF(BS416="Not Reported","Not Reported",IF(BS416&lt;$L$416,"Not Met","Met")))</f>
        <v>Not Met</v>
      </c>
      <c r="BU416" s="345">
        <v>0.55000000000000004</v>
      </c>
      <c r="BV416" s="128" t="str">
        <f>IF(BU416="NA","NA",IF(BU416="Not Reported","Not Reported",IF(BU416&lt;$L$416,"Not Met","Met")))</f>
        <v>Not Met</v>
      </c>
    </row>
    <row r="417" spans="1:74" x14ac:dyDescent="0.2">
      <c r="A417" s="121">
        <v>416</v>
      </c>
      <c r="B417" s="122" t="s">
        <v>53</v>
      </c>
      <c r="C417" s="122" t="s">
        <v>106</v>
      </c>
      <c r="D417" s="123" t="s">
        <v>920</v>
      </c>
      <c r="E417" s="123" t="s">
        <v>894</v>
      </c>
      <c r="F417" s="123" t="s">
        <v>300</v>
      </c>
      <c r="G417" s="122" t="s">
        <v>273</v>
      </c>
      <c r="H417" s="122" t="s">
        <v>192</v>
      </c>
      <c r="I417" s="124"/>
      <c r="J417" s="124"/>
      <c r="K417" s="123" t="s">
        <v>289</v>
      </c>
      <c r="L417" s="146">
        <v>0.7</v>
      </c>
      <c r="M417" s="146">
        <v>0.7</v>
      </c>
      <c r="N417" s="218"/>
      <c r="O417" s="145"/>
      <c r="P417" s="123"/>
      <c r="Q417" s="146"/>
      <c r="R417" s="147"/>
      <c r="S417" s="146"/>
      <c r="T417" s="147"/>
      <c r="U417" s="127"/>
      <c r="V417" s="147"/>
      <c r="W417" s="126"/>
      <c r="X417" s="143"/>
      <c r="Y417" s="126"/>
      <c r="Z417" s="121"/>
      <c r="AA417" s="126"/>
      <c r="AB417" s="147"/>
      <c r="AC417" s="121"/>
      <c r="AD417" s="121"/>
      <c r="AE417" s="126"/>
      <c r="AF417" s="147"/>
      <c r="AG417" s="126" t="s">
        <v>11</v>
      </c>
      <c r="AH417" s="126" t="s">
        <v>11</v>
      </c>
      <c r="AI417" s="143" t="s">
        <v>61</v>
      </c>
      <c r="AJ417" s="121" t="s">
        <v>61</v>
      </c>
      <c r="AK417" s="126" t="s">
        <v>11</v>
      </c>
      <c r="AL417" s="128" t="s">
        <v>11</v>
      </c>
      <c r="AM417" s="143" t="s">
        <v>61</v>
      </c>
      <c r="AN417" s="121" t="s">
        <v>61</v>
      </c>
      <c r="AO417" s="143" t="s">
        <v>61</v>
      </c>
      <c r="AP417" s="143" t="s">
        <v>61</v>
      </c>
      <c r="AQ417" s="128">
        <f>2/86</f>
        <v>2.3255813953488372E-2</v>
      </c>
      <c r="AR417" s="121" t="s">
        <v>251</v>
      </c>
      <c r="AS417" s="128">
        <f>2/86</f>
        <v>2.3255813953488372E-2</v>
      </c>
      <c r="AT417" s="121" t="s">
        <v>251</v>
      </c>
      <c r="AU417" s="177">
        <f>4/121</f>
        <v>3.3057851239669422E-2</v>
      </c>
      <c r="AV417" s="121" t="s">
        <v>251</v>
      </c>
      <c r="AW417" s="177">
        <f>7/41</f>
        <v>0.17073170731707318</v>
      </c>
      <c r="AX417" s="121" t="s">
        <v>251</v>
      </c>
      <c r="AY417" s="177">
        <f>5/47</f>
        <v>0.10638297872340426</v>
      </c>
      <c r="AZ417" s="121" t="s">
        <v>251</v>
      </c>
      <c r="BA417" s="177">
        <f>16/209</f>
        <v>7.6555023923444973E-2</v>
      </c>
      <c r="BB417" s="121" t="s">
        <v>251</v>
      </c>
      <c r="BC417" s="177">
        <f>9/257</f>
        <v>3.5019455252918288E-2</v>
      </c>
      <c r="BD417" s="121" t="s">
        <v>251</v>
      </c>
      <c r="BE417" s="128">
        <f>12/156</f>
        <v>7.6923076923076927E-2</v>
      </c>
      <c r="BF417" s="121" t="s">
        <v>251</v>
      </c>
      <c r="BG417" s="121" t="s">
        <v>61</v>
      </c>
      <c r="BH417" s="121" t="s">
        <v>61</v>
      </c>
      <c r="BI417" s="121" t="s">
        <v>61</v>
      </c>
      <c r="BJ417" s="121" t="s">
        <v>61</v>
      </c>
      <c r="BK417" s="211">
        <f>15/92</f>
        <v>0.16304347826086957</v>
      </c>
      <c r="BL417" s="128" t="str">
        <f>IF(BK417="NA","NA",IF(BK417="Not Reported","Not Reported",IF(BK417&lt;$L$417,"Not Met","Met")))</f>
        <v>Not Met</v>
      </c>
      <c r="BM417" s="71">
        <f>0/147</f>
        <v>0</v>
      </c>
      <c r="BN417" s="128" t="str">
        <f>IF(BM417="NA","NA",IF(BM417="Not Reported","Not Reported",IF(BM417&lt;$L$417,"Not Met","Met")))</f>
        <v>Not Met</v>
      </c>
      <c r="BO417" s="344">
        <f>13/175</f>
        <v>7.4285714285714288E-2</v>
      </c>
      <c r="BP417" s="128" t="s">
        <v>251</v>
      </c>
      <c r="BQ417" s="344">
        <v>0.08</v>
      </c>
      <c r="BR417" s="128" t="s">
        <v>251</v>
      </c>
      <c r="BS417" s="350">
        <f>7/155</f>
        <v>4.5161290322580643E-2</v>
      </c>
      <c r="BT417" s="128" t="str">
        <f>IF(BS417="NA","NA",IF(BS417="Not Reported","Not Reported",IF(BS417&lt;$L$417,"Not Met","Met")))</f>
        <v>Not Met</v>
      </c>
      <c r="BU417" s="344">
        <v>7.0000000000000007E-2</v>
      </c>
      <c r="BV417" s="128" t="str">
        <f>IF(BU417="NA","NA",IF(BU417="Not Reported","Not Reported",IF(BU417&lt;$L$417,"Not Met","Met")))</f>
        <v>Not Met</v>
      </c>
    </row>
    <row r="418" spans="1:74" x14ac:dyDescent="0.2">
      <c r="A418" s="121">
        <v>417</v>
      </c>
      <c r="B418" s="122" t="s">
        <v>53</v>
      </c>
      <c r="C418" s="122" t="s">
        <v>106</v>
      </c>
      <c r="D418" s="123" t="s">
        <v>920</v>
      </c>
      <c r="E418" s="123" t="s">
        <v>894</v>
      </c>
      <c r="F418" s="123" t="s">
        <v>300</v>
      </c>
      <c r="G418" s="122" t="s">
        <v>273</v>
      </c>
      <c r="H418" s="122" t="s">
        <v>192</v>
      </c>
      <c r="I418" s="124"/>
      <c r="J418" s="124"/>
      <c r="K418" s="123" t="s">
        <v>292</v>
      </c>
      <c r="L418" s="146">
        <v>0.1</v>
      </c>
      <c r="M418" s="146">
        <v>0.1</v>
      </c>
      <c r="N418" s="218"/>
      <c r="O418" s="145"/>
      <c r="P418" s="123"/>
      <c r="Q418" s="146"/>
      <c r="R418" s="147"/>
      <c r="S418" s="146"/>
      <c r="T418" s="147"/>
      <c r="U418" s="127"/>
      <c r="V418" s="147"/>
      <c r="W418" s="126"/>
      <c r="X418" s="143"/>
      <c r="Y418" s="126"/>
      <c r="Z418" s="121"/>
      <c r="AA418" s="126"/>
      <c r="AB418" s="147"/>
      <c r="AC418" s="121"/>
      <c r="AD418" s="121"/>
      <c r="AE418" s="126"/>
      <c r="AF418" s="147"/>
      <c r="AG418" s="126" t="s">
        <v>11</v>
      </c>
      <c r="AH418" s="126" t="s">
        <v>11</v>
      </c>
      <c r="AI418" s="143" t="s">
        <v>61</v>
      </c>
      <c r="AJ418" s="121" t="s">
        <v>61</v>
      </c>
      <c r="AK418" s="126" t="s">
        <v>11</v>
      </c>
      <c r="AL418" s="128" t="s">
        <v>11</v>
      </c>
      <c r="AM418" s="143" t="s">
        <v>61</v>
      </c>
      <c r="AN418" s="121" t="s">
        <v>61</v>
      </c>
      <c r="AO418" s="143" t="s">
        <v>61</v>
      </c>
      <c r="AP418" s="143" t="s">
        <v>61</v>
      </c>
      <c r="AQ418" s="146">
        <f>0/2</f>
        <v>0</v>
      </c>
      <c r="AR418" s="121" t="s">
        <v>198</v>
      </c>
      <c r="AS418" s="146">
        <f>0/2</f>
        <v>0</v>
      </c>
      <c r="AT418" s="121" t="s">
        <v>198</v>
      </c>
      <c r="AU418" s="178">
        <f>0/3</f>
        <v>0</v>
      </c>
      <c r="AV418" s="121" t="s">
        <v>198</v>
      </c>
      <c r="AW418" s="121" t="s">
        <v>323</v>
      </c>
      <c r="AX418" s="128" t="s">
        <v>11</v>
      </c>
      <c r="AY418" s="178">
        <f>0/6</f>
        <v>0</v>
      </c>
      <c r="AZ418" s="121" t="s">
        <v>198</v>
      </c>
      <c r="BA418" s="178">
        <f>0/3</f>
        <v>0</v>
      </c>
      <c r="BB418" s="121" t="s">
        <v>198</v>
      </c>
      <c r="BC418" s="178">
        <f>0/3</f>
        <v>0</v>
      </c>
      <c r="BD418" s="121" t="s">
        <v>198</v>
      </c>
      <c r="BE418" s="146">
        <f>0/7</f>
        <v>0</v>
      </c>
      <c r="BF418" s="121" t="s">
        <v>198</v>
      </c>
      <c r="BG418" s="121" t="s">
        <v>61</v>
      </c>
      <c r="BH418" s="121" t="s">
        <v>61</v>
      </c>
      <c r="BI418" s="121" t="s">
        <v>61</v>
      </c>
      <c r="BJ418" s="121" t="s">
        <v>61</v>
      </c>
      <c r="BK418" s="146">
        <f>0/3</f>
        <v>0</v>
      </c>
      <c r="BL418" s="128" t="str">
        <f>IF(BK418="NA","NA",IF(BK418="Not Reported","Not Reported",IF(BK418&gt;$L$418,"Not Met","Met")))</f>
        <v>Met</v>
      </c>
      <c r="BM418" s="286">
        <f>0/5</f>
        <v>0</v>
      </c>
      <c r="BN418" s="128" t="str">
        <f>IF(BM418="NA","NA",IF(BM418="Not Reported","Not Reported",IF(BM418&gt;$L$418,"Not Met","Met")))</f>
        <v>Met</v>
      </c>
      <c r="BO418" s="346">
        <f>0/1</f>
        <v>0</v>
      </c>
      <c r="BP418" s="128" t="s">
        <v>198</v>
      </c>
      <c r="BQ418" s="346">
        <v>0</v>
      </c>
      <c r="BR418" s="128" t="s">
        <v>198</v>
      </c>
      <c r="BS418" s="310">
        <f>0/7</f>
        <v>0</v>
      </c>
      <c r="BT418" s="128" t="str">
        <f>IF(BS418="NA","NA",IF(BS418="Not Reported","Not Reported",IF(BS418&gt;$L$418,"Not Met","Met")))</f>
        <v>Met</v>
      </c>
      <c r="BU418" s="346">
        <f>0/3</f>
        <v>0</v>
      </c>
      <c r="BV418" s="128" t="str">
        <f>IF(BU418="NA","NA",IF(BU418="Not Reported","Not Reported",IF(BU418&gt;$L$418,"Not Met","Met")))</f>
        <v>Met</v>
      </c>
    </row>
    <row r="419" spans="1:74" x14ac:dyDescent="0.2">
      <c r="A419" s="121">
        <v>418</v>
      </c>
      <c r="B419" s="122" t="s">
        <v>53</v>
      </c>
      <c r="C419" s="122" t="s">
        <v>106</v>
      </c>
      <c r="D419" s="123" t="s">
        <v>920</v>
      </c>
      <c r="E419" s="123" t="s">
        <v>894</v>
      </c>
      <c r="F419" s="123" t="s">
        <v>300</v>
      </c>
      <c r="G419" s="122" t="s">
        <v>273</v>
      </c>
      <c r="H419" s="122" t="s">
        <v>192</v>
      </c>
      <c r="I419" s="124"/>
      <c r="J419" s="124"/>
      <c r="K419" s="123" t="s">
        <v>296</v>
      </c>
      <c r="L419" s="146">
        <v>0.3</v>
      </c>
      <c r="M419" s="146">
        <v>0.3</v>
      </c>
      <c r="N419" s="218"/>
      <c r="O419" s="145"/>
      <c r="P419" s="123"/>
      <c r="Q419" s="146"/>
      <c r="R419" s="147"/>
      <c r="S419" s="146"/>
      <c r="T419" s="147"/>
      <c r="U419" s="127"/>
      <c r="V419" s="147"/>
      <c r="W419" s="126"/>
      <c r="X419" s="143"/>
      <c r="Y419" s="126"/>
      <c r="Z419" s="121"/>
      <c r="AA419" s="126"/>
      <c r="AB419" s="147"/>
      <c r="AC419" s="121"/>
      <c r="AD419" s="121"/>
      <c r="AE419" s="126"/>
      <c r="AF419" s="147"/>
      <c r="AG419" s="126" t="s">
        <v>11</v>
      </c>
      <c r="AH419" s="126" t="s">
        <v>11</v>
      </c>
      <c r="AI419" s="143" t="s">
        <v>61</v>
      </c>
      <c r="AJ419" s="121" t="s">
        <v>61</v>
      </c>
      <c r="AK419" s="126" t="s">
        <v>11</v>
      </c>
      <c r="AL419" s="128" t="s">
        <v>11</v>
      </c>
      <c r="AM419" s="143" t="s">
        <v>61</v>
      </c>
      <c r="AN419" s="121" t="s">
        <v>61</v>
      </c>
      <c r="AO419" s="143" t="s">
        <v>61</v>
      </c>
      <c r="AP419" s="143" t="s">
        <v>61</v>
      </c>
      <c r="AQ419" s="128">
        <f>2/42</f>
        <v>4.7619047619047616E-2</v>
      </c>
      <c r="AR419" s="121" t="s">
        <v>251</v>
      </c>
      <c r="AS419" s="128">
        <f>2/42</f>
        <v>4.7619047619047616E-2</v>
      </c>
      <c r="AT419" s="121" t="s">
        <v>251</v>
      </c>
      <c r="AU419" s="177">
        <f>1/40</f>
        <v>2.5000000000000001E-2</v>
      </c>
      <c r="AV419" s="121" t="s">
        <v>251</v>
      </c>
      <c r="AW419" s="177">
        <f>2/33</f>
        <v>6.0606060606060608E-2</v>
      </c>
      <c r="AX419" s="121" t="s">
        <v>251</v>
      </c>
      <c r="AY419" s="177">
        <f>1/31</f>
        <v>3.2258064516129031E-2</v>
      </c>
      <c r="AZ419" s="121" t="s">
        <v>251</v>
      </c>
      <c r="BA419" s="177">
        <f>4/104</f>
        <v>3.8461538461538464E-2</v>
      </c>
      <c r="BB419" s="121" t="s">
        <v>251</v>
      </c>
      <c r="BC419" s="177">
        <f>3/26</f>
        <v>0.11538461538461539</v>
      </c>
      <c r="BD419" s="121" t="s">
        <v>251</v>
      </c>
      <c r="BE419" s="128">
        <f>2/22</f>
        <v>9.0909090909090912E-2</v>
      </c>
      <c r="BF419" s="121" t="s">
        <v>251</v>
      </c>
      <c r="BG419" s="121" t="s">
        <v>61</v>
      </c>
      <c r="BH419" s="121" t="s">
        <v>61</v>
      </c>
      <c r="BI419" s="121" t="s">
        <v>61</v>
      </c>
      <c r="BJ419" s="121" t="s">
        <v>61</v>
      </c>
      <c r="BK419" s="211">
        <f>6/25</f>
        <v>0.24</v>
      </c>
      <c r="BL419" s="128" t="str">
        <f>IF(BK419="NA","NA",IF(BK419="Not Reported","Not Reported",IF(BK419&lt;$L$419,"Not Met","Met")))</f>
        <v>Not Met</v>
      </c>
      <c r="BM419" s="71">
        <f>3/67</f>
        <v>4.4776119402985072E-2</v>
      </c>
      <c r="BN419" s="128" t="str">
        <f>IF(BM419="NA","NA",IF(BM419="Not Reported","Not Reported",IF(BM419&lt;$L$419,"Not Met","Met")))</f>
        <v>Not Met</v>
      </c>
      <c r="BO419" s="344">
        <f>2/56</f>
        <v>3.5714285714285712E-2</v>
      </c>
      <c r="BP419" s="128" t="s">
        <v>251</v>
      </c>
      <c r="BQ419" s="344">
        <v>0.11</v>
      </c>
      <c r="BR419" s="128" t="s">
        <v>251</v>
      </c>
      <c r="BS419" s="350">
        <f>3/48</f>
        <v>6.25E-2</v>
      </c>
      <c r="BT419" s="128" t="str">
        <f>IF(BS419="NA","NA",IF(BS419="Not Reported","Not Reported",IF(BS419&lt;$L$419,"Not Met","Met")))</f>
        <v>Not Met</v>
      </c>
      <c r="BU419" s="344">
        <v>0.09</v>
      </c>
      <c r="BV419" s="128" t="str">
        <f>IF(BU419="NA","NA",IF(BU419="Not Reported","Not Reported",IF(BU419&lt;$L$419,"Not Met","Met")))</f>
        <v>Not Met</v>
      </c>
    </row>
    <row r="420" spans="1:74" x14ac:dyDescent="0.2">
      <c r="A420" s="121">
        <v>419</v>
      </c>
      <c r="B420" s="122" t="s">
        <v>53</v>
      </c>
      <c r="C420" s="122" t="s">
        <v>106</v>
      </c>
      <c r="D420" s="123" t="s">
        <v>920</v>
      </c>
      <c r="E420" s="123" t="s">
        <v>894</v>
      </c>
      <c r="F420" s="123" t="s">
        <v>300</v>
      </c>
      <c r="G420" s="122" t="s">
        <v>273</v>
      </c>
      <c r="H420" s="122" t="s">
        <v>192</v>
      </c>
      <c r="I420" s="124"/>
      <c r="J420" s="124"/>
      <c r="K420" s="123" t="s">
        <v>259</v>
      </c>
      <c r="L420" s="146">
        <v>0.15</v>
      </c>
      <c r="M420" s="146">
        <v>0.15</v>
      </c>
      <c r="N420" s="218"/>
      <c r="O420" s="122"/>
      <c r="P420" s="122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 t="s">
        <v>11</v>
      </c>
      <c r="AP420" s="147" t="s">
        <v>11</v>
      </c>
      <c r="AQ420" s="146">
        <f>0/2</f>
        <v>0</v>
      </c>
      <c r="AR420" s="121" t="s">
        <v>251</v>
      </c>
      <c r="AS420" s="146">
        <f>0/2</f>
        <v>0</v>
      </c>
      <c r="AT420" s="121" t="s">
        <v>251</v>
      </c>
      <c r="AU420" s="178">
        <f>0/1</f>
        <v>0</v>
      </c>
      <c r="AV420" s="121" t="s">
        <v>251</v>
      </c>
      <c r="AW420" s="178">
        <f>0/2</f>
        <v>0</v>
      </c>
      <c r="AX420" s="121" t="s">
        <v>251</v>
      </c>
      <c r="AY420" s="178">
        <f>0/1</f>
        <v>0</v>
      </c>
      <c r="AZ420" s="121" t="s">
        <v>251</v>
      </c>
      <c r="BA420" s="178">
        <f>0/4</f>
        <v>0</v>
      </c>
      <c r="BB420" s="121" t="s">
        <v>251</v>
      </c>
      <c r="BC420" s="178">
        <f>0/3</f>
        <v>0</v>
      </c>
      <c r="BD420" s="121" t="s">
        <v>251</v>
      </c>
      <c r="BE420" s="146">
        <f>0/2</f>
        <v>0</v>
      </c>
      <c r="BF420" s="121" t="s">
        <v>251</v>
      </c>
      <c r="BG420" s="121" t="s">
        <v>61</v>
      </c>
      <c r="BH420" s="121" t="s">
        <v>61</v>
      </c>
      <c r="BI420" s="121" t="s">
        <v>61</v>
      </c>
      <c r="BJ420" s="121" t="s">
        <v>61</v>
      </c>
      <c r="BK420" s="146">
        <f>0/6</f>
        <v>0</v>
      </c>
      <c r="BL420" s="121" t="str">
        <f>IF(BK420="NA","NA",IF(BK420="Not Reported","Not Reported",IF(BK420&lt;$L$420,"Not Met","Met")))</f>
        <v>Not Met</v>
      </c>
      <c r="BM420" s="286">
        <f>0/3</f>
        <v>0</v>
      </c>
      <c r="BN420" s="121" t="str">
        <f>IF(BM420="NA","NA",IF(BM420="Not Reported","Not Reported",IF(BM420&lt;$L$420,"Not Met","Met")))</f>
        <v>Not Met</v>
      </c>
      <c r="BO420" s="346" t="s">
        <v>11</v>
      </c>
      <c r="BP420" s="121" t="s">
        <v>11</v>
      </c>
      <c r="BQ420" s="346" t="s">
        <v>11</v>
      </c>
      <c r="BR420" s="121" t="s">
        <v>11</v>
      </c>
      <c r="BS420" s="398" t="s">
        <v>11</v>
      </c>
      <c r="BT420" s="121" t="str">
        <f>IF(BS420="NA","NA",IF(BS420="Not Reported","Not Reported",IF(BS420&lt;$L$420,"Not Met","Met")))</f>
        <v>NA</v>
      </c>
      <c r="BU420" s="398" t="s">
        <v>11</v>
      </c>
      <c r="BV420" s="121" t="str">
        <f>IF(BU420="NA","NA",IF(BU420="Not Reported","Not Reported",IF(BU420&lt;$L$420,"Not Met","Met")))</f>
        <v>NA</v>
      </c>
    </row>
    <row r="421" spans="1:74" x14ac:dyDescent="0.25">
      <c r="A421" s="121">
        <v>420</v>
      </c>
      <c r="B421" s="122" t="s">
        <v>56</v>
      </c>
      <c r="C421" s="122" t="s">
        <v>106</v>
      </c>
      <c r="D421" s="123" t="s">
        <v>920</v>
      </c>
      <c r="E421" s="123" t="s">
        <v>894</v>
      </c>
      <c r="F421" s="123" t="s">
        <v>300</v>
      </c>
      <c r="G421" s="122" t="s">
        <v>273</v>
      </c>
      <c r="H421" s="122" t="s">
        <v>192</v>
      </c>
      <c r="I421" s="124"/>
      <c r="J421" s="124"/>
      <c r="K421" s="123" t="s">
        <v>274</v>
      </c>
      <c r="L421" s="147">
        <v>90</v>
      </c>
      <c r="M421" s="146" t="s">
        <v>370</v>
      </c>
      <c r="N421" s="218"/>
      <c r="O421" s="122"/>
      <c r="P421" s="122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  <c r="AJ421" s="147"/>
      <c r="AK421" s="147"/>
      <c r="AL421" s="147"/>
      <c r="AM421" s="147"/>
      <c r="AN421" s="147"/>
      <c r="AO421" s="147" t="s">
        <v>11</v>
      </c>
      <c r="AP421" s="147" t="s">
        <v>11</v>
      </c>
      <c r="AQ421" s="146" t="s">
        <v>61</v>
      </c>
      <c r="AR421" s="121" t="s">
        <v>61</v>
      </c>
      <c r="AS421" s="146" t="s">
        <v>61</v>
      </c>
      <c r="AT421" s="146" t="s">
        <v>61</v>
      </c>
      <c r="AU421" s="146" t="s">
        <v>61</v>
      </c>
      <c r="AV421" s="121" t="s">
        <v>61</v>
      </c>
      <c r="AW421" s="146" t="s">
        <v>61</v>
      </c>
      <c r="AX421" s="121" t="s">
        <v>61</v>
      </c>
      <c r="AY421" s="146" t="s">
        <v>61</v>
      </c>
      <c r="AZ421" s="121" t="s">
        <v>61</v>
      </c>
      <c r="BA421" s="146" t="s">
        <v>61</v>
      </c>
      <c r="BB421" s="121" t="s">
        <v>61</v>
      </c>
      <c r="BC421" s="121" t="s">
        <v>61</v>
      </c>
      <c r="BD421" s="121" t="s">
        <v>6</v>
      </c>
      <c r="BE421" s="146" t="s">
        <v>484</v>
      </c>
      <c r="BF421" s="121" t="s">
        <v>198</v>
      </c>
      <c r="BG421" s="127" t="s">
        <v>332</v>
      </c>
      <c r="BH421" s="121" t="s">
        <v>198</v>
      </c>
      <c r="BI421" s="127" t="s">
        <v>519</v>
      </c>
      <c r="BJ421" s="121" t="s">
        <v>251</v>
      </c>
      <c r="BK421" s="80">
        <v>87</v>
      </c>
      <c r="BL421" s="121" t="str">
        <f>IF(BK421="NA","NA",IF(BK421="Not Reported","Not Reported",IF(BK421&gt;$L$421,"Not Met","Met")))</f>
        <v>Met</v>
      </c>
      <c r="BM421" s="274">
        <v>90</v>
      </c>
      <c r="BN421" s="121" t="str">
        <f>IF(BM421="NA","NA",IF(BM421="Not Reported","Not Reported",IF(BM421&gt;$L$421,"Not Met","Met")))</f>
        <v>Met</v>
      </c>
      <c r="BO421" s="347">
        <v>90</v>
      </c>
      <c r="BP421" s="121" t="s">
        <v>198</v>
      </c>
      <c r="BQ421" s="347">
        <v>86</v>
      </c>
      <c r="BR421" s="121" t="s">
        <v>198</v>
      </c>
      <c r="BS421" s="338">
        <v>54</v>
      </c>
      <c r="BT421" s="121" t="str">
        <f>IF(BS421="NA","NA",IF(BS421="Not Reported","Not Reported",IF(BS421&gt;$L$421,"Not Met","Met")))</f>
        <v>Met</v>
      </c>
      <c r="BU421" s="338">
        <v>89</v>
      </c>
      <c r="BV421" s="121" t="str">
        <f>IF(BU421="NA","NA",IF(BU421="Not Reported","Not Reported",IF(BU421&gt;$L$421,"Not Met","Met")))</f>
        <v>Met</v>
      </c>
    </row>
    <row r="422" spans="1:74" x14ac:dyDescent="0.25">
      <c r="A422" s="121">
        <v>421</v>
      </c>
      <c r="B422" s="122" t="s">
        <v>56</v>
      </c>
      <c r="C422" s="122" t="s">
        <v>106</v>
      </c>
      <c r="D422" s="123" t="s">
        <v>920</v>
      </c>
      <c r="E422" s="123" t="s">
        <v>894</v>
      </c>
      <c r="F422" s="123" t="s">
        <v>300</v>
      </c>
      <c r="G422" s="122" t="s">
        <v>273</v>
      </c>
      <c r="H422" s="122" t="s">
        <v>192</v>
      </c>
      <c r="I422" s="124"/>
      <c r="J422" s="124"/>
      <c r="K422" s="123" t="s">
        <v>213</v>
      </c>
      <c r="L422" s="147">
        <v>60</v>
      </c>
      <c r="M422" s="146" t="s">
        <v>579</v>
      </c>
      <c r="N422" s="218"/>
      <c r="O422" s="122"/>
      <c r="P422" s="122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 t="s">
        <v>11</v>
      </c>
      <c r="AP422" s="147" t="s">
        <v>11</v>
      </c>
      <c r="AQ422" s="146" t="s">
        <v>61</v>
      </c>
      <c r="AR422" s="121" t="s">
        <v>61</v>
      </c>
      <c r="AS422" s="146" t="s">
        <v>61</v>
      </c>
      <c r="AT422" s="146" t="s">
        <v>61</v>
      </c>
      <c r="AU422" s="146" t="s">
        <v>61</v>
      </c>
      <c r="AV422" s="121" t="s">
        <v>61</v>
      </c>
      <c r="AW422" s="146" t="s">
        <v>61</v>
      </c>
      <c r="AX422" s="121" t="s">
        <v>61</v>
      </c>
      <c r="AY422" s="146" t="s">
        <v>61</v>
      </c>
      <c r="AZ422" s="121" t="s">
        <v>61</v>
      </c>
      <c r="BA422" s="146" t="s">
        <v>61</v>
      </c>
      <c r="BB422" s="121" t="s">
        <v>61</v>
      </c>
      <c r="BC422" s="121" t="s">
        <v>61</v>
      </c>
      <c r="BD422" s="121" t="s">
        <v>6</v>
      </c>
      <c r="BE422" s="146" t="s">
        <v>361</v>
      </c>
      <c r="BF422" s="121" t="s">
        <v>198</v>
      </c>
      <c r="BG422" s="127" t="s">
        <v>608</v>
      </c>
      <c r="BH422" s="121" t="s">
        <v>198</v>
      </c>
      <c r="BI422" s="127" t="s">
        <v>467</v>
      </c>
      <c r="BJ422" s="121" t="s">
        <v>198</v>
      </c>
      <c r="BK422" s="80" t="s">
        <v>275</v>
      </c>
      <c r="BL422" s="121" t="str">
        <f>IF(BK422="NA","NA",IF(BK422="Not Reported","Not Reported",IF(BK422&gt;$L$422,"Not Met","Met")))</f>
        <v>Not Met</v>
      </c>
      <c r="BM422" s="274">
        <v>35</v>
      </c>
      <c r="BN422" s="121" t="str">
        <f>IF(BM422="NA","NA",IF(BM422="Not Reported","Not Reported",IF(BM422&gt;$L$422,"Not Met","Met")))</f>
        <v>Met</v>
      </c>
      <c r="BO422" s="338">
        <v>37</v>
      </c>
      <c r="BP422" s="121" t="s">
        <v>198</v>
      </c>
      <c r="BQ422" s="338">
        <v>43</v>
      </c>
      <c r="BR422" s="121" t="s">
        <v>198</v>
      </c>
      <c r="BS422" s="338">
        <v>33</v>
      </c>
      <c r="BT422" s="121" t="str">
        <f>IF(BS422="NA","NA",IF(BS422="Not Reported","Not Reported",IF(BS422&gt;$L$422,"Not Met","Met")))</f>
        <v>Met</v>
      </c>
      <c r="BU422" s="338">
        <v>49</v>
      </c>
      <c r="BV422" s="121" t="str">
        <f>IF(BU422="NA","NA",IF(BU422="Not Reported","Not Reported",IF(BU422&gt;$L$422,"Not Met","Met")))</f>
        <v>Met</v>
      </c>
    </row>
    <row r="423" spans="1:74" x14ac:dyDescent="0.2">
      <c r="A423" s="121">
        <v>422</v>
      </c>
      <c r="B423" s="122" t="s">
        <v>56</v>
      </c>
      <c r="C423" s="122" t="s">
        <v>106</v>
      </c>
      <c r="D423" s="123" t="s">
        <v>920</v>
      </c>
      <c r="E423" s="123" t="s">
        <v>894</v>
      </c>
      <c r="F423" s="123" t="s">
        <v>300</v>
      </c>
      <c r="G423" s="122" t="s">
        <v>273</v>
      </c>
      <c r="H423" s="122" t="s">
        <v>192</v>
      </c>
      <c r="I423" s="124"/>
      <c r="J423" s="124"/>
      <c r="K423" s="123" t="s">
        <v>326</v>
      </c>
      <c r="L423" s="146">
        <v>0.2</v>
      </c>
      <c r="M423" s="146">
        <v>0.2</v>
      </c>
      <c r="N423" s="218"/>
      <c r="O423" s="122"/>
      <c r="P423" s="122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 t="s">
        <v>11</v>
      </c>
      <c r="AP423" s="147" t="s">
        <v>11</v>
      </c>
      <c r="AQ423" s="146" t="s">
        <v>61</v>
      </c>
      <c r="AR423" s="121" t="s">
        <v>61</v>
      </c>
      <c r="AS423" s="146" t="s">
        <v>61</v>
      </c>
      <c r="AT423" s="146" t="s">
        <v>61</v>
      </c>
      <c r="AU423" s="146" t="s">
        <v>61</v>
      </c>
      <c r="AV423" s="121" t="s">
        <v>61</v>
      </c>
      <c r="AW423" s="146" t="s">
        <v>61</v>
      </c>
      <c r="AX423" s="121" t="s">
        <v>61</v>
      </c>
      <c r="AY423" s="146" t="s">
        <v>61</v>
      </c>
      <c r="AZ423" s="121" t="s">
        <v>61</v>
      </c>
      <c r="BA423" s="146" t="s">
        <v>61</v>
      </c>
      <c r="BB423" s="121" t="s">
        <v>61</v>
      </c>
      <c r="BC423" s="121" t="s">
        <v>61</v>
      </c>
      <c r="BD423" s="121" t="s">
        <v>6</v>
      </c>
      <c r="BE423" s="146">
        <v>0.41</v>
      </c>
      <c r="BF423" s="121" t="s">
        <v>251</v>
      </c>
      <c r="BG423" s="142">
        <v>0.41</v>
      </c>
      <c r="BH423" s="121" t="s">
        <v>251</v>
      </c>
      <c r="BI423" s="142">
        <v>0.41</v>
      </c>
      <c r="BJ423" s="121" t="s">
        <v>251</v>
      </c>
      <c r="BK423" s="217">
        <v>0.5</v>
      </c>
      <c r="BL423" s="174" t="str">
        <f>IF(BK423="NA","NA",IF(BK423="Not Reported","Not Reported",IF(BK423&gt;$L$423,"Not Met","Met")))</f>
        <v>Not Met</v>
      </c>
      <c r="BM423" s="275">
        <v>0.23</v>
      </c>
      <c r="BN423" s="162" t="str">
        <f>IF(BM423="NA","NA",IF(BM423="Not Reported","Not Reported",IF(BM423&gt;$L$423,"Not Met","Met")))</f>
        <v>Not Met</v>
      </c>
      <c r="BO423" s="321">
        <v>0.47</v>
      </c>
      <c r="BP423" s="162" t="s">
        <v>251</v>
      </c>
      <c r="BQ423" s="321">
        <v>0.47</v>
      </c>
      <c r="BR423" s="162" t="s">
        <v>251</v>
      </c>
      <c r="BS423" s="321">
        <v>0.5</v>
      </c>
      <c r="BT423" s="162" t="str">
        <f>IF(BS423="NA","NA",IF(BS423="Not Reported","Not Reported",IF(BS423&gt;$L$423,"Not Met","Met")))</f>
        <v>Not Met</v>
      </c>
      <c r="BU423" s="321">
        <v>0.5</v>
      </c>
      <c r="BV423" s="162" t="str">
        <f>IF(BU423="NA","NA",IF(BU423="Not Reported","Not Reported",IF(BU423&gt;$L$423,"Not Met","Met")))</f>
        <v>Not Met</v>
      </c>
    </row>
    <row r="424" spans="1:74" x14ac:dyDescent="0.25">
      <c r="A424" s="121">
        <v>423</v>
      </c>
      <c r="B424" s="122" t="s">
        <v>56</v>
      </c>
      <c r="C424" s="122" t="s">
        <v>106</v>
      </c>
      <c r="D424" s="123" t="s">
        <v>920</v>
      </c>
      <c r="E424" s="123" t="s">
        <v>894</v>
      </c>
      <c r="F424" s="123" t="s">
        <v>300</v>
      </c>
      <c r="G424" s="122" t="s">
        <v>273</v>
      </c>
      <c r="H424" s="122" t="s">
        <v>192</v>
      </c>
      <c r="I424" s="124"/>
      <c r="J424" s="124"/>
      <c r="K424" s="123" t="s">
        <v>284</v>
      </c>
      <c r="L424" s="146">
        <v>0.5</v>
      </c>
      <c r="M424" s="146">
        <v>0.5</v>
      </c>
      <c r="N424" s="218"/>
      <c r="O424" s="122"/>
      <c r="P424" s="122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  <c r="AJ424" s="147"/>
      <c r="AK424" s="147"/>
      <c r="AL424" s="147"/>
      <c r="AM424" s="147"/>
      <c r="AN424" s="147"/>
      <c r="AO424" s="147" t="s">
        <v>11</v>
      </c>
      <c r="AP424" s="147" t="s">
        <v>11</v>
      </c>
      <c r="AQ424" s="146" t="s">
        <v>61</v>
      </c>
      <c r="AR424" s="121" t="s">
        <v>61</v>
      </c>
      <c r="AS424" s="146" t="s">
        <v>61</v>
      </c>
      <c r="AT424" s="146" t="s">
        <v>61</v>
      </c>
      <c r="AU424" s="146" t="s">
        <v>61</v>
      </c>
      <c r="AV424" s="121" t="s">
        <v>61</v>
      </c>
      <c r="AW424" s="146" t="s">
        <v>61</v>
      </c>
      <c r="AX424" s="121" t="s">
        <v>61</v>
      </c>
      <c r="AY424" s="146" t="s">
        <v>61</v>
      </c>
      <c r="AZ424" s="121" t="s">
        <v>61</v>
      </c>
      <c r="BA424" s="146" t="s">
        <v>61</v>
      </c>
      <c r="BB424" s="121" t="s">
        <v>61</v>
      </c>
      <c r="BC424" s="121" t="s">
        <v>61</v>
      </c>
      <c r="BD424" s="121" t="s">
        <v>6</v>
      </c>
      <c r="BE424" s="146">
        <v>0.79</v>
      </c>
      <c r="BF424" s="121" t="s">
        <v>198</v>
      </c>
      <c r="BG424" s="142">
        <v>0.72</v>
      </c>
      <c r="BH424" s="121" t="s">
        <v>198</v>
      </c>
      <c r="BI424" s="142">
        <v>0.7</v>
      </c>
      <c r="BJ424" s="121" t="s">
        <v>198</v>
      </c>
      <c r="BK424" s="217">
        <v>0.8</v>
      </c>
      <c r="BL424" s="128" t="str">
        <f>IF(BK424="NA","NA",IF(BK424="Not Reported","Not Reported",IF(BK424&lt;$L$424,"Not Met","Met")))</f>
        <v>Met</v>
      </c>
      <c r="BM424" s="275">
        <v>0.83</v>
      </c>
      <c r="BN424" s="128" t="str">
        <f>IF(BM424="NA","NA",IF(BM424="Not Reported","Not Reported",IF(BM424&lt;$L$424,"Not Met","Met")))</f>
        <v>Met</v>
      </c>
      <c r="BO424" s="321">
        <v>0.83</v>
      </c>
      <c r="BP424" s="128" t="s">
        <v>198</v>
      </c>
      <c r="BQ424" s="321">
        <v>0.82</v>
      </c>
      <c r="BR424" s="128" t="s">
        <v>198</v>
      </c>
      <c r="BS424" s="321">
        <v>0.83</v>
      </c>
      <c r="BT424" s="128" t="str">
        <f>IF(BS424="NA","NA",IF(BS424="Not Reported","Not Reported",IF(BS424&lt;$L$424,"Not Met","Met")))</f>
        <v>Met</v>
      </c>
      <c r="BU424" s="321">
        <v>0.77</v>
      </c>
      <c r="BV424" s="128" t="str">
        <f>IF(BU424="NA","NA",IF(BU424="Not Reported","Not Reported",IF(BU424&lt;$L$424,"Not Met","Met")))</f>
        <v>Met</v>
      </c>
    </row>
    <row r="425" spans="1:74" x14ac:dyDescent="0.25">
      <c r="A425" s="121">
        <v>424</v>
      </c>
      <c r="B425" s="122" t="s">
        <v>56</v>
      </c>
      <c r="C425" s="122" t="s">
        <v>106</v>
      </c>
      <c r="D425" s="123" t="s">
        <v>920</v>
      </c>
      <c r="E425" s="123" t="s">
        <v>894</v>
      </c>
      <c r="F425" s="123" t="s">
        <v>300</v>
      </c>
      <c r="G425" s="122" t="s">
        <v>273</v>
      </c>
      <c r="H425" s="122" t="s">
        <v>192</v>
      </c>
      <c r="I425" s="124"/>
      <c r="J425" s="124"/>
      <c r="K425" s="123" t="s">
        <v>289</v>
      </c>
      <c r="L425" s="146">
        <v>4.8611111111111112E-2</v>
      </c>
      <c r="M425" s="317">
        <v>4.8611111111111112E-2</v>
      </c>
      <c r="N425" s="218"/>
      <c r="O425" s="122"/>
      <c r="P425" s="122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 t="s">
        <v>11</v>
      </c>
      <c r="AP425" s="147" t="s">
        <v>11</v>
      </c>
      <c r="AQ425" s="146" t="s">
        <v>61</v>
      </c>
      <c r="AR425" s="121" t="s">
        <v>61</v>
      </c>
      <c r="AS425" s="146" t="s">
        <v>61</v>
      </c>
      <c r="AT425" s="146" t="s">
        <v>61</v>
      </c>
      <c r="AU425" s="146" t="s">
        <v>61</v>
      </c>
      <c r="AV425" s="121" t="s">
        <v>61</v>
      </c>
      <c r="AW425" s="146" t="s">
        <v>61</v>
      </c>
      <c r="AX425" s="121" t="s">
        <v>61</v>
      </c>
      <c r="AY425" s="146" t="s">
        <v>61</v>
      </c>
      <c r="AZ425" s="121" t="s">
        <v>61</v>
      </c>
      <c r="BA425" s="146" t="s">
        <v>61</v>
      </c>
      <c r="BB425" s="121" t="s">
        <v>61</v>
      </c>
      <c r="BC425" s="121" t="s">
        <v>61</v>
      </c>
      <c r="BD425" s="121" t="s">
        <v>6</v>
      </c>
      <c r="BE425" s="152">
        <v>4.6527777777777779E-2</v>
      </c>
      <c r="BF425" s="121" t="s">
        <v>198</v>
      </c>
      <c r="BG425" s="151">
        <v>4.791666666666667E-2</v>
      </c>
      <c r="BH425" s="121" t="s">
        <v>198</v>
      </c>
      <c r="BI425" s="151">
        <v>4.7222222222222221E-2</v>
      </c>
      <c r="BJ425" s="121" t="s">
        <v>198</v>
      </c>
      <c r="BK425" s="217">
        <v>0.16</v>
      </c>
      <c r="BL425" s="128" t="str">
        <f>IF(BK425="NA","NA",IF(BK425="Not Reported","Not Reported",IF(BK425&lt;$L$425,"Not Met","Met")))</f>
        <v>Met</v>
      </c>
      <c r="BM425" s="287">
        <v>4.583333333333333E-2</v>
      </c>
      <c r="BN425" s="128" t="str">
        <f>IF(BM425="NA","NA",IF(BM425="Not Reported","Not Reported",IF(BM425&gt;$L$425,"Not Met","Met")))</f>
        <v>Met</v>
      </c>
      <c r="BO425" s="317">
        <v>4.5138888888888888E-2</v>
      </c>
      <c r="BP425" s="128" t="s">
        <v>198</v>
      </c>
      <c r="BQ425" s="317">
        <v>4.583333333333333E-2</v>
      </c>
      <c r="BR425" s="128" t="s">
        <v>198</v>
      </c>
      <c r="BS425" s="317">
        <v>4.583333333333333E-2</v>
      </c>
      <c r="BT425" s="128" t="str">
        <f>IF(BS425="NA","NA",IF(BS425="Not Reported","Not Reported",IF(BS425&gt;$L$425,"Not Met","Met")))</f>
        <v>Met</v>
      </c>
      <c r="BU425" s="317">
        <v>4.791666666666667E-2</v>
      </c>
      <c r="BV425" s="128" t="str">
        <f>IF(BU425="NA","NA",IF(BU425="Not Reported","Not Reported",IF(BU425&gt;$L$425,"Not Met","Met")))</f>
        <v>Met</v>
      </c>
    </row>
    <row r="426" spans="1:74" x14ac:dyDescent="0.25">
      <c r="A426" s="121">
        <v>425</v>
      </c>
      <c r="B426" s="122" t="s">
        <v>56</v>
      </c>
      <c r="C426" s="122" t="s">
        <v>106</v>
      </c>
      <c r="D426" s="123" t="s">
        <v>920</v>
      </c>
      <c r="E426" s="123" t="s">
        <v>894</v>
      </c>
      <c r="F426" s="123" t="s">
        <v>300</v>
      </c>
      <c r="G426" s="122" t="s">
        <v>273</v>
      </c>
      <c r="H426" s="122" t="s">
        <v>192</v>
      </c>
      <c r="I426" s="124"/>
      <c r="J426" s="124"/>
      <c r="K426" s="123" t="s">
        <v>292</v>
      </c>
      <c r="L426" s="146">
        <v>0.2</v>
      </c>
      <c r="M426" s="146">
        <v>0.2</v>
      </c>
      <c r="N426" s="218"/>
      <c r="O426" s="122"/>
      <c r="P426" s="122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 t="s">
        <v>11</v>
      </c>
      <c r="AP426" s="147" t="s">
        <v>11</v>
      </c>
      <c r="AQ426" s="146" t="s">
        <v>61</v>
      </c>
      <c r="AR426" s="121" t="s">
        <v>61</v>
      </c>
      <c r="AS426" s="146" t="s">
        <v>61</v>
      </c>
      <c r="AT426" s="146" t="s">
        <v>61</v>
      </c>
      <c r="AU426" s="146" t="s">
        <v>61</v>
      </c>
      <c r="AV426" s="121" t="s">
        <v>61</v>
      </c>
      <c r="AW426" s="146" t="s">
        <v>61</v>
      </c>
      <c r="AX426" s="121" t="s">
        <v>61</v>
      </c>
      <c r="AY426" s="146" t="s">
        <v>61</v>
      </c>
      <c r="AZ426" s="121" t="s">
        <v>61</v>
      </c>
      <c r="BA426" s="146" t="s">
        <v>61</v>
      </c>
      <c r="BB426" s="121" t="s">
        <v>61</v>
      </c>
      <c r="BC426" s="121" t="s">
        <v>61</v>
      </c>
      <c r="BD426" s="121" t="s">
        <v>6</v>
      </c>
      <c r="BE426" s="146">
        <v>0.11</v>
      </c>
      <c r="BF426" s="121" t="s">
        <v>198</v>
      </c>
      <c r="BG426" s="142">
        <v>0.08</v>
      </c>
      <c r="BH426" s="121" t="s">
        <v>198</v>
      </c>
      <c r="BI426" s="142">
        <v>9.6000000000000002E-2</v>
      </c>
      <c r="BJ426" s="121" t="s">
        <v>198</v>
      </c>
      <c r="BK426" s="217">
        <v>0.33</v>
      </c>
      <c r="BL426" s="128" t="str">
        <f>IF(BK426="NA","NA",IF(BK426="Not Reported","Not Reported",IF(BK426&gt;$L$426,"Not Met","Met")))</f>
        <v>Not Met</v>
      </c>
      <c r="BM426" s="275">
        <v>0.2</v>
      </c>
      <c r="BN426" s="128" t="str">
        <f>IF(BM426="NA","NA",IF(BM426="Not Reported","Not Reported",IF(BM426&gt;$L$426,"Not Met","Met")))</f>
        <v>Met</v>
      </c>
      <c r="BO426" s="348">
        <v>0.11</v>
      </c>
      <c r="BP426" s="128" t="s">
        <v>198</v>
      </c>
      <c r="BQ426" s="321">
        <v>0.13</v>
      </c>
      <c r="BR426" s="128" t="s">
        <v>198</v>
      </c>
      <c r="BS426" s="348">
        <v>0.16</v>
      </c>
      <c r="BT426" s="128" t="str">
        <f>IF(BS426="NA","NA",IF(BS426="Not Reported","Not Reported",IF(BS426&gt;$L$426,"Not Met","Met")))</f>
        <v>Met</v>
      </c>
      <c r="BU426" s="321">
        <v>0.19</v>
      </c>
      <c r="BV426" s="128" t="str">
        <f>IF(BU426="NA","NA",IF(BU426="Not Reported","Not Reported",IF(BU426&gt;$L$426,"Not Met","Met")))</f>
        <v>Met</v>
      </c>
    </row>
    <row r="427" spans="1:74" x14ac:dyDescent="0.25">
      <c r="A427" s="121">
        <v>426</v>
      </c>
      <c r="B427" s="122" t="s">
        <v>55</v>
      </c>
      <c r="C427" s="122" t="s">
        <v>902</v>
      </c>
      <c r="D427" s="123" t="s">
        <v>105</v>
      </c>
      <c r="E427" s="123" t="s">
        <v>132</v>
      </c>
      <c r="F427" s="123" t="s">
        <v>300</v>
      </c>
      <c r="G427" s="122" t="s">
        <v>191</v>
      </c>
      <c r="H427" s="122" t="s">
        <v>212</v>
      </c>
      <c r="I427" s="124"/>
      <c r="J427" s="124"/>
      <c r="K427" s="123" t="s">
        <v>836</v>
      </c>
      <c r="L427" s="146">
        <v>32</v>
      </c>
      <c r="M427" s="146" t="s">
        <v>608</v>
      </c>
      <c r="N427" s="218"/>
      <c r="O427" s="122"/>
      <c r="P427" s="122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 t="s">
        <v>11</v>
      </c>
      <c r="AP427" s="147" t="s">
        <v>11</v>
      </c>
      <c r="AQ427" s="147" t="s">
        <v>11</v>
      </c>
      <c r="AR427" s="147" t="s">
        <v>11</v>
      </c>
      <c r="AS427" s="147" t="s">
        <v>11</v>
      </c>
      <c r="AT427" s="147" t="s">
        <v>11</v>
      </c>
      <c r="AU427" s="147" t="s">
        <v>11</v>
      </c>
      <c r="AV427" s="147" t="s">
        <v>11</v>
      </c>
      <c r="AW427" s="147" t="s">
        <v>11</v>
      </c>
      <c r="AX427" s="128" t="s">
        <v>11</v>
      </c>
      <c r="AY427" s="147" t="s">
        <v>11</v>
      </c>
      <c r="AZ427" s="147" t="s">
        <v>11</v>
      </c>
      <c r="BA427" s="147" t="s">
        <v>11</v>
      </c>
      <c r="BB427" s="147" t="s">
        <v>11</v>
      </c>
      <c r="BC427" s="127" t="s">
        <v>11</v>
      </c>
      <c r="BD427" s="128" t="s">
        <v>11</v>
      </c>
      <c r="BE427" s="127" t="s">
        <v>11</v>
      </c>
      <c r="BF427" s="128" t="s">
        <v>11</v>
      </c>
      <c r="BG427" s="128" t="s">
        <v>61</v>
      </c>
      <c r="BH427" s="121" t="s">
        <v>61</v>
      </c>
      <c r="BI427" s="128" t="s">
        <v>61</v>
      </c>
      <c r="BJ427" s="121" t="s">
        <v>61</v>
      </c>
      <c r="BK427" s="121" t="s">
        <v>61</v>
      </c>
      <c r="BL427" s="121" t="str">
        <f>IF(BK427="NA","NA",IF(BK427="Not Reported","Not Reported",IF(BK427&gt;$L$427,"Not Met","Met")))</f>
        <v>Not Reported</v>
      </c>
      <c r="BM427" s="128" t="s">
        <v>61</v>
      </c>
      <c r="BN427" s="121" t="str">
        <f>IF(BM427="NA","NA",IF(BM427="Not Reported","Not Reported",IF(BM427&gt;$L$427,"Not Met","Met")))</f>
        <v>Not Reported</v>
      </c>
      <c r="BO427" s="121" t="s">
        <v>61</v>
      </c>
      <c r="BP427" s="121" t="s">
        <v>61</v>
      </c>
      <c r="BQ427" s="121" t="s">
        <v>61</v>
      </c>
      <c r="BR427" s="121" t="s">
        <v>61</v>
      </c>
      <c r="BS427" s="399" t="s">
        <v>61</v>
      </c>
      <c r="BT427" s="121" t="str">
        <f>IF(BS427="NA","NA",IF(BS427="Not Reported","Not Reported",IF(BS427&gt;$L$427,"Not Met","Met")))</f>
        <v>Not Reported</v>
      </c>
      <c r="BU427" s="399" t="s">
        <v>61</v>
      </c>
      <c r="BV427" s="121" t="str">
        <f>IF(BU427="NA","NA",IF(BU427="Not Reported","Not Reported",IF(BU427&gt;$L$427,"Not Met","Met")))</f>
        <v>Not Reported</v>
      </c>
    </row>
    <row r="428" spans="1:74" x14ac:dyDescent="0.25">
      <c r="A428" s="121">
        <v>427</v>
      </c>
      <c r="B428" s="122" t="s">
        <v>55</v>
      </c>
      <c r="C428" s="122" t="s">
        <v>902</v>
      </c>
      <c r="D428" s="123" t="s">
        <v>105</v>
      </c>
      <c r="E428" s="123" t="s">
        <v>132</v>
      </c>
      <c r="F428" s="123" t="s">
        <v>300</v>
      </c>
      <c r="G428" s="122" t="s">
        <v>191</v>
      </c>
      <c r="H428" s="122" t="s">
        <v>212</v>
      </c>
      <c r="I428" s="124"/>
      <c r="J428" s="124"/>
      <c r="K428" s="123" t="s">
        <v>837</v>
      </c>
      <c r="L428" s="147">
        <v>5</v>
      </c>
      <c r="M428" s="146" t="s">
        <v>838</v>
      </c>
      <c r="N428" s="218"/>
      <c r="O428" s="122"/>
      <c r="P428" s="122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 t="s">
        <v>11</v>
      </c>
      <c r="AP428" s="147" t="s">
        <v>11</v>
      </c>
      <c r="AQ428" s="147" t="s">
        <v>11</v>
      </c>
      <c r="AR428" s="147" t="s">
        <v>11</v>
      </c>
      <c r="AS428" s="147" t="s">
        <v>11</v>
      </c>
      <c r="AT428" s="147" t="s">
        <v>11</v>
      </c>
      <c r="AU428" s="147" t="s">
        <v>11</v>
      </c>
      <c r="AV428" s="147" t="s">
        <v>11</v>
      </c>
      <c r="AW428" s="147" t="s">
        <v>11</v>
      </c>
      <c r="AX428" s="128" t="s">
        <v>11</v>
      </c>
      <c r="AY428" s="147" t="s">
        <v>11</v>
      </c>
      <c r="AZ428" s="147" t="s">
        <v>11</v>
      </c>
      <c r="BA428" s="147" t="s">
        <v>11</v>
      </c>
      <c r="BB428" s="147" t="s">
        <v>11</v>
      </c>
      <c r="BC428" s="127" t="s">
        <v>11</v>
      </c>
      <c r="BD428" s="128" t="s">
        <v>11</v>
      </c>
      <c r="BE428" s="127" t="s">
        <v>11</v>
      </c>
      <c r="BF428" s="128" t="s">
        <v>11</v>
      </c>
      <c r="BG428" s="128" t="s">
        <v>61</v>
      </c>
      <c r="BH428" s="121" t="s">
        <v>61</v>
      </c>
      <c r="BI428" s="128" t="s">
        <v>61</v>
      </c>
      <c r="BJ428" s="121" t="s">
        <v>61</v>
      </c>
      <c r="BK428" s="121" t="s">
        <v>61</v>
      </c>
      <c r="BL428" s="121" t="str">
        <f>IF(BK428="NA","NA",IF(BK428="Not Reported","Not Reported",IF(BK428&lt;$L$428,"Not Met","Met")))</f>
        <v>Not Reported</v>
      </c>
      <c r="BM428" s="128" t="s">
        <v>61</v>
      </c>
      <c r="BN428" s="121" t="str">
        <f>IF(BM428="NA","NA",IF(BM428="Not Reported","Not Reported",IF(BM428&lt;$L$428,"Not Met","Met")))</f>
        <v>Not Reported</v>
      </c>
      <c r="BO428" s="121" t="s">
        <v>61</v>
      </c>
      <c r="BP428" s="121" t="s">
        <v>61</v>
      </c>
      <c r="BQ428" s="121" t="s">
        <v>61</v>
      </c>
      <c r="BR428" s="121" t="s">
        <v>61</v>
      </c>
      <c r="BS428" s="399" t="s">
        <v>61</v>
      </c>
      <c r="BT428" s="121" t="str">
        <f>IF(BS428="NA","NA",IF(BS428="Not Reported","Not Reported",IF(BS428&lt;$L$428,"Not Met","Met")))</f>
        <v>Not Reported</v>
      </c>
      <c r="BU428" s="13" t="s">
        <v>61</v>
      </c>
      <c r="BV428" s="121" t="str">
        <f>IF(BU428="NA","NA",IF(BU428="Not Reported","Not Reported",IF(BU428&lt;$L$428,"Not Met","Met")))</f>
        <v>Not Reported</v>
      </c>
    </row>
    <row r="429" spans="1:74" x14ac:dyDescent="0.25">
      <c r="A429" s="121">
        <v>428</v>
      </c>
      <c r="B429" s="122" t="s">
        <v>55</v>
      </c>
      <c r="C429" s="122" t="s">
        <v>902</v>
      </c>
      <c r="D429" s="123" t="s">
        <v>105</v>
      </c>
      <c r="E429" s="123" t="s">
        <v>132</v>
      </c>
      <c r="F429" s="123" t="s">
        <v>300</v>
      </c>
      <c r="G429" s="122" t="s">
        <v>191</v>
      </c>
      <c r="H429" s="122" t="s">
        <v>212</v>
      </c>
      <c r="I429" s="124"/>
      <c r="J429" s="124"/>
      <c r="K429" s="123" t="s">
        <v>839</v>
      </c>
      <c r="L429" s="146">
        <v>0.87</v>
      </c>
      <c r="M429" s="146">
        <v>0.87</v>
      </c>
      <c r="N429" s="218"/>
      <c r="O429" s="122"/>
      <c r="P429" s="122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 t="s">
        <v>11</v>
      </c>
      <c r="AP429" s="147" t="s">
        <v>11</v>
      </c>
      <c r="AQ429" s="147" t="s">
        <v>11</v>
      </c>
      <c r="AR429" s="147" t="s">
        <v>11</v>
      </c>
      <c r="AS429" s="147" t="s">
        <v>11</v>
      </c>
      <c r="AT429" s="147" t="s">
        <v>11</v>
      </c>
      <c r="AU429" s="147" t="s">
        <v>11</v>
      </c>
      <c r="AV429" s="147" t="s">
        <v>11</v>
      </c>
      <c r="AW429" s="147" t="s">
        <v>11</v>
      </c>
      <c r="AX429" s="128" t="s">
        <v>11</v>
      </c>
      <c r="AY429" s="147" t="s">
        <v>11</v>
      </c>
      <c r="AZ429" s="147" t="s">
        <v>11</v>
      </c>
      <c r="BA429" s="147" t="s">
        <v>11</v>
      </c>
      <c r="BB429" s="147" t="s">
        <v>11</v>
      </c>
      <c r="BC429" s="127" t="s">
        <v>11</v>
      </c>
      <c r="BD429" s="128" t="s">
        <v>11</v>
      </c>
      <c r="BE429" s="127" t="s">
        <v>11</v>
      </c>
      <c r="BF429" s="128" t="s">
        <v>11</v>
      </c>
      <c r="BG429" s="128" t="s">
        <v>61</v>
      </c>
      <c r="BH429" s="121" t="s">
        <v>61</v>
      </c>
      <c r="BI429" s="128" t="s">
        <v>61</v>
      </c>
      <c r="BJ429" s="121" t="s">
        <v>61</v>
      </c>
      <c r="BK429" s="121" t="s">
        <v>61</v>
      </c>
      <c r="BL429" s="121" t="str">
        <f>IF(BK429="NA","NA",IF(BK429="Not Reported","Not Reported",IF(BK429&lt;$L$429,"Not Met","Met")))</f>
        <v>Not Reported</v>
      </c>
      <c r="BM429" s="128" t="s">
        <v>61</v>
      </c>
      <c r="BN429" s="121" t="str">
        <f>IF(BM429="NA","NA",IF(BM429="Not Reported","Not Reported",IF(BM429&lt;$L$429,"Not Met","Met")))</f>
        <v>Not Reported</v>
      </c>
      <c r="BO429" s="121" t="s">
        <v>61</v>
      </c>
      <c r="BP429" s="121" t="s">
        <v>61</v>
      </c>
      <c r="BQ429" s="121" t="s">
        <v>61</v>
      </c>
      <c r="BR429" s="121" t="s">
        <v>61</v>
      </c>
      <c r="BS429" s="399" t="s">
        <v>61</v>
      </c>
      <c r="BT429" s="121" t="str">
        <f>IF(BS429="NA","NA",IF(BS429="Not Reported","Not Reported",IF(BS429&lt;$L$429,"Not Met","Met")))</f>
        <v>Not Reported</v>
      </c>
      <c r="BU429" s="13" t="s">
        <v>61</v>
      </c>
      <c r="BV429" s="121" t="str">
        <f>IF(BU429="NA","NA",IF(BU429="Not Reported","Not Reported",IF(BU429&lt;$L$429,"Not Met","Met")))</f>
        <v>Not Reported</v>
      </c>
    </row>
    <row r="430" spans="1:74" x14ac:dyDescent="0.25">
      <c r="A430" s="121">
        <v>429</v>
      </c>
      <c r="B430" s="122" t="s">
        <v>55</v>
      </c>
      <c r="C430" s="122" t="s">
        <v>902</v>
      </c>
      <c r="D430" s="123" t="s">
        <v>105</v>
      </c>
      <c r="E430" s="123" t="s">
        <v>132</v>
      </c>
      <c r="F430" s="123" t="s">
        <v>300</v>
      </c>
      <c r="G430" s="122" t="s">
        <v>191</v>
      </c>
      <c r="H430" s="122" t="s">
        <v>212</v>
      </c>
      <c r="I430" s="124"/>
      <c r="J430" s="124"/>
      <c r="K430" s="123" t="s">
        <v>572</v>
      </c>
      <c r="L430" s="146">
        <v>0.85</v>
      </c>
      <c r="M430" s="146">
        <v>0.85</v>
      </c>
      <c r="N430" s="218"/>
      <c r="O430" s="122"/>
      <c r="P430" s="122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  <c r="AJ430" s="147"/>
      <c r="AK430" s="147"/>
      <c r="AL430" s="147"/>
      <c r="AM430" s="147"/>
      <c r="AN430" s="147"/>
      <c r="AO430" s="147" t="s">
        <v>11</v>
      </c>
      <c r="AP430" s="147" t="s">
        <v>11</v>
      </c>
      <c r="AQ430" s="147" t="s">
        <v>11</v>
      </c>
      <c r="AR430" s="147" t="s">
        <v>11</v>
      </c>
      <c r="AS430" s="147" t="s">
        <v>11</v>
      </c>
      <c r="AT430" s="147" t="s">
        <v>11</v>
      </c>
      <c r="AU430" s="147" t="s">
        <v>11</v>
      </c>
      <c r="AV430" s="147" t="s">
        <v>11</v>
      </c>
      <c r="AW430" s="147" t="s">
        <v>11</v>
      </c>
      <c r="AX430" s="128" t="s">
        <v>11</v>
      </c>
      <c r="AY430" s="147" t="s">
        <v>11</v>
      </c>
      <c r="AZ430" s="147" t="s">
        <v>11</v>
      </c>
      <c r="BA430" s="147" t="s">
        <v>11</v>
      </c>
      <c r="BB430" s="147" t="s">
        <v>11</v>
      </c>
      <c r="BC430" s="127" t="s">
        <v>11</v>
      </c>
      <c r="BD430" s="128" t="s">
        <v>11</v>
      </c>
      <c r="BE430" s="127" t="s">
        <v>11</v>
      </c>
      <c r="BF430" s="128" t="s">
        <v>11</v>
      </c>
      <c r="BG430" s="128" t="s">
        <v>61</v>
      </c>
      <c r="BH430" s="121" t="s">
        <v>61</v>
      </c>
      <c r="BI430" s="128" t="s">
        <v>61</v>
      </c>
      <c r="BJ430" s="121" t="s">
        <v>61</v>
      </c>
      <c r="BK430" s="121" t="s">
        <v>61</v>
      </c>
      <c r="BL430" s="121" t="str">
        <f>IF(BK430="NA","NA",IF(BK430="Not Reported","Not Reported",IF(BK430&lt;$L$430,"Not Met","Met")))</f>
        <v>Not Reported</v>
      </c>
      <c r="BM430" s="128" t="s">
        <v>61</v>
      </c>
      <c r="BN430" s="121" t="str">
        <f>IF(BM430="NA","NA",IF(BM430="Not Reported","Not Reported",IF(BM430&lt;$L$430,"Not Met","Met")))</f>
        <v>Not Reported</v>
      </c>
      <c r="BO430" s="121" t="s">
        <v>61</v>
      </c>
      <c r="BP430" s="121" t="s">
        <v>61</v>
      </c>
      <c r="BQ430" s="121" t="s">
        <v>61</v>
      </c>
      <c r="BR430" s="121" t="s">
        <v>61</v>
      </c>
      <c r="BS430" s="399" t="s">
        <v>61</v>
      </c>
      <c r="BT430" s="121" t="str">
        <f>IF(BS430="NA","NA",IF(BS430="Not Reported","Not Reported",IF(BS430&lt;$L$430,"Not Met","Met")))</f>
        <v>Not Reported</v>
      </c>
      <c r="BU430" s="13" t="s">
        <v>61</v>
      </c>
      <c r="BV430" s="121" t="str">
        <f>IF(BU430="NA","NA",IF(BU430="Not Reported","Not Reported",IF(BU430&lt;$L$430,"Not Met","Met")))</f>
        <v>Not Reported</v>
      </c>
    </row>
    <row r="431" spans="1:74" x14ac:dyDescent="0.25">
      <c r="A431" s="121">
        <v>430</v>
      </c>
      <c r="B431" s="122" t="s">
        <v>55</v>
      </c>
      <c r="C431" s="122" t="s">
        <v>902</v>
      </c>
      <c r="D431" s="123" t="s">
        <v>105</v>
      </c>
      <c r="E431" s="123" t="s">
        <v>132</v>
      </c>
      <c r="F431" s="123" t="s">
        <v>300</v>
      </c>
      <c r="G431" s="122" t="s">
        <v>273</v>
      </c>
      <c r="H431" s="122" t="s">
        <v>192</v>
      </c>
      <c r="I431" s="124"/>
      <c r="J431" s="124"/>
      <c r="K431" s="123" t="s">
        <v>840</v>
      </c>
      <c r="L431" s="146" t="s">
        <v>286</v>
      </c>
      <c r="M431" s="146" t="s">
        <v>286</v>
      </c>
      <c r="N431" s="218"/>
      <c r="O431" s="122"/>
      <c r="P431" s="122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  <c r="AJ431" s="147"/>
      <c r="AK431" s="147"/>
      <c r="AL431" s="147"/>
      <c r="AM431" s="147"/>
      <c r="AN431" s="147"/>
      <c r="AO431" s="147" t="s">
        <v>11</v>
      </c>
      <c r="AP431" s="147" t="s">
        <v>11</v>
      </c>
      <c r="AQ431" s="147" t="s">
        <v>11</v>
      </c>
      <c r="AR431" s="147" t="s">
        <v>11</v>
      </c>
      <c r="AS431" s="147" t="s">
        <v>11</v>
      </c>
      <c r="AT431" s="147" t="s">
        <v>11</v>
      </c>
      <c r="AU431" s="147" t="s">
        <v>11</v>
      </c>
      <c r="AV431" s="147" t="s">
        <v>11</v>
      </c>
      <c r="AW431" s="147" t="s">
        <v>11</v>
      </c>
      <c r="AX431" s="128" t="s">
        <v>11</v>
      </c>
      <c r="AY431" s="147" t="s">
        <v>11</v>
      </c>
      <c r="AZ431" s="147" t="s">
        <v>11</v>
      </c>
      <c r="BA431" s="147" t="s">
        <v>11</v>
      </c>
      <c r="BB431" s="147" t="s">
        <v>11</v>
      </c>
      <c r="BC431" s="127" t="s">
        <v>11</v>
      </c>
      <c r="BD431" s="128" t="s">
        <v>11</v>
      </c>
      <c r="BE431" s="127" t="s">
        <v>11</v>
      </c>
      <c r="BF431" s="128" t="s">
        <v>11</v>
      </c>
      <c r="BG431" s="128" t="s">
        <v>61</v>
      </c>
      <c r="BH431" s="121" t="s">
        <v>61</v>
      </c>
      <c r="BI431" s="128" t="s">
        <v>61</v>
      </c>
      <c r="BJ431" s="121" t="s">
        <v>61</v>
      </c>
      <c r="BK431" s="121" t="s">
        <v>61</v>
      </c>
      <c r="BL431" s="121" t="str">
        <f>IF(BK431="NA","NA",IF(BK431="Not Reported","Not Reported",IF(BK431&gt;$L$431,"Not Met","Met")))</f>
        <v>Not Reported</v>
      </c>
      <c r="BM431" s="128" t="s">
        <v>61</v>
      </c>
      <c r="BN431" s="121" t="str">
        <f>IF(BM431="NA","NA",IF(BM431="Not Reported","Not Reported",IF(BM431&gt;$L$431,"Not Met","Met")))</f>
        <v>Not Reported</v>
      </c>
      <c r="BO431" s="121" t="s">
        <v>61</v>
      </c>
      <c r="BP431" s="121" t="s">
        <v>61</v>
      </c>
      <c r="BQ431" s="121" t="s">
        <v>61</v>
      </c>
      <c r="BR431" s="121" t="s">
        <v>61</v>
      </c>
      <c r="BS431" s="399" t="s">
        <v>61</v>
      </c>
      <c r="BT431" s="121" t="str">
        <f>IF(BS431="NA","NA",IF(BS431="Not Reported","Not Reported",IF(BS431&gt;$L$431,"Not Met","Met")))</f>
        <v>Not Reported</v>
      </c>
      <c r="BU431" s="13" t="s">
        <v>61</v>
      </c>
      <c r="BV431" s="121" t="str">
        <f>IF(BU431="NA","NA",IF(BU431="Not Reported","Not Reported",IF(BU431&gt;$L$431,"Not Met","Met")))</f>
        <v>Not Reported</v>
      </c>
    </row>
    <row r="432" spans="1:74" x14ac:dyDescent="0.25">
      <c r="A432" s="121">
        <v>431</v>
      </c>
      <c r="B432" s="122" t="s">
        <v>55</v>
      </c>
      <c r="C432" s="122" t="s">
        <v>902</v>
      </c>
      <c r="D432" s="123" t="s">
        <v>105</v>
      </c>
      <c r="E432" s="123" t="s">
        <v>132</v>
      </c>
      <c r="F432" s="123" t="s">
        <v>300</v>
      </c>
      <c r="G432" s="122" t="s">
        <v>273</v>
      </c>
      <c r="H432" s="122" t="s">
        <v>192</v>
      </c>
      <c r="I432" s="124"/>
      <c r="J432" s="124"/>
      <c r="K432" s="123" t="s">
        <v>259</v>
      </c>
      <c r="L432" s="146" t="s">
        <v>286</v>
      </c>
      <c r="M432" s="146" t="s">
        <v>286</v>
      </c>
      <c r="N432" s="218"/>
      <c r="O432" s="122"/>
      <c r="P432" s="122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 t="s">
        <v>11</v>
      </c>
      <c r="AP432" s="147" t="s">
        <v>11</v>
      </c>
      <c r="AQ432" s="147" t="s">
        <v>11</v>
      </c>
      <c r="AR432" s="147" t="s">
        <v>11</v>
      </c>
      <c r="AS432" s="147" t="s">
        <v>11</v>
      </c>
      <c r="AT432" s="147" t="s">
        <v>11</v>
      </c>
      <c r="AU432" s="147" t="s">
        <v>11</v>
      </c>
      <c r="AV432" s="147" t="s">
        <v>11</v>
      </c>
      <c r="AW432" s="147" t="s">
        <v>11</v>
      </c>
      <c r="AX432" s="128" t="s">
        <v>11</v>
      </c>
      <c r="AY432" s="147" t="s">
        <v>11</v>
      </c>
      <c r="AZ432" s="147" t="s">
        <v>11</v>
      </c>
      <c r="BA432" s="147" t="s">
        <v>11</v>
      </c>
      <c r="BB432" s="147" t="s">
        <v>11</v>
      </c>
      <c r="BC432" s="127" t="s">
        <v>11</v>
      </c>
      <c r="BD432" s="128" t="s">
        <v>11</v>
      </c>
      <c r="BE432" s="127" t="s">
        <v>11</v>
      </c>
      <c r="BF432" s="128" t="s">
        <v>11</v>
      </c>
      <c r="BG432" s="128" t="s">
        <v>61</v>
      </c>
      <c r="BH432" s="121" t="s">
        <v>61</v>
      </c>
      <c r="BI432" s="128" t="s">
        <v>61</v>
      </c>
      <c r="BJ432" s="121" t="s">
        <v>61</v>
      </c>
      <c r="BK432" s="121" t="s">
        <v>61</v>
      </c>
      <c r="BL432" s="121" t="str">
        <f>IF(BK432="NA","NA",IF(BK432="Not Reported","Not Reported",IF(BK432&lt;$L$432,"Not Met","Met")))</f>
        <v>Not Reported</v>
      </c>
      <c r="BM432" s="128" t="s">
        <v>61</v>
      </c>
      <c r="BN432" s="121" t="str">
        <f>IF(BM432="NA","NA",IF(BM432="Not Reported","Not Reported",IF(BM432&lt;$L$432,"Not Met","Met")))</f>
        <v>Not Reported</v>
      </c>
      <c r="BO432" s="121" t="s">
        <v>61</v>
      </c>
      <c r="BP432" s="121" t="s">
        <v>61</v>
      </c>
      <c r="BQ432" s="121" t="s">
        <v>61</v>
      </c>
      <c r="BR432" s="121" t="s">
        <v>61</v>
      </c>
      <c r="BS432" s="399" t="s">
        <v>61</v>
      </c>
      <c r="BT432" s="121" t="str">
        <f>IF(BS432="NA","NA",IF(BS432="Not Reported","Not Reported",IF(BS432&lt;$L$432,"Not Met","Met")))</f>
        <v>Not Reported</v>
      </c>
      <c r="BU432" s="13" t="s">
        <v>61</v>
      </c>
      <c r="BV432" s="121" t="str">
        <f>IF(BU432="NA","NA",IF(BU432="Not Reported","Not Reported",IF(BU432&lt;$L$432,"Not Met","Met")))</f>
        <v>Not Reported</v>
      </c>
    </row>
    <row r="433" spans="1:74" x14ac:dyDescent="0.2">
      <c r="A433" s="121">
        <v>432</v>
      </c>
      <c r="B433" s="122" t="s">
        <v>55</v>
      </c>
      <c r="C433" s="122" t="s">
        <v>902</v>
      </c>
      <c r="D433" s="123" t="s">
        <v>105</v>
      </c>
      <c r="E433" s="123" t="s">
        <v>132</v>
      </c>
      <c r="F433" s="123" t="s">
        <v>300</v>
      </c>
      <c r="G433" s="122" t="s">
        <v>273</v>
      </c>
      <c r="H433" s="122" t="s">
        <v>192</v>
      </c>
      <c r="I433" s="124"/>
      <c r="J433" s="124"/>
      <c r="K433" s="123" t="s">
        <v>326</v>
      </c>
      <c r="L433" s="146" t="s">
        <v>286</v>
      </c>
      <c r="M433" s="146" t="s">
        <v>286</v>
      </c>
      <c r="N433" s="218"/>
      <c r="O433" s="122"/>
      <c r="P433" s="122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 t="s">
        <v>11</v>
      </c>
      <c r="AP433" s="147" t="s">
        <v>11</v>
      </c>
      <c r="AQ433" s="147" t="s">
        <v>11</v>
      </c>
      <c r="AR433" s="147" t="s">
        <v>11</v>
      </c>
      <c r="AS433" s="147" t="s">
        <v>11</v>
      </c>
      <c r="AT433" s="147" t="s">
        <v>11</v>
      </c>
      <c r="AU433" s="147" t="s">
        <v>11</v>
      </c>
      <c r="AV433" s="147" t="s">
        <v>11</v>
      </c>
      <c r="AW433" s="147" t="s">
        <v>11</v>
      </c>
      <c r="AX433" s="128" t="s">
        <v>11</v>
      </c>
      <c r="AY433" s="147" t="s">
        <v>11</v>
      </c>
      <c r="AZ433" s="147" t="s">
        <v>11</v>
      </c>
      <c r="BA433" s="147" t="s">
        <v>11</v>
      </c>
      <c r="BB433" s="147" t="s">
        <v>11</v>
      </c>
      <c r="BC433" s="127" t="s">
        <v>11</v>
      </c>
      <c r="BD433" s="128" t="s">
        <v>11</v>
      </c>
      <c r="BE433" s="127" t="s">
        <v>11</v>
      </c>
      <c r="BF433" s="128" t="s">
        <v>11</v>
      </c>
      <c r="BG433" s="128" t="s">
        <v>61</v>
      </c>
      <c r="BH433" s="121" t="s">
        <v>61</v>
      </c>
      <c r="BI433" s="128" t="s">
        <v>61</v>
      </c>
      <c r="BJ433" s="121" t="s">
        <v>61</v>
      </c>
      <c r="BK433" s="121" t="s">
        <v>61</v>
      </c>
      <c r="BL433" s="174" t="str">
        <f>IF(BK433="NA","NA",IF(BK433="Not Reported","Not Reported",IF(BK433&gt;$L$433,"Not Met","Met")))</f>
        <v>Not Reported</v>
      </c>
      <c r="BM433" s="128" t="s">
        <v>61</v>
      </c>
      <c r="BN433" s="162" t="str">
        <f>IF(BM433="NA","NA",IF(BM433="Not Reported","Not Reported",IF(BM433&gt;$L$433,"Not Met","Met")))</f>
        <v>Not Reported</v>
      </c>
      <c r="BO433" s="121" t="s">
        <v>61</v>
      </c>
      <c r="BP433" s="162" t="s">
        <v>61</v>
      </c>
      <c r="BQ433" s="121" t="s">
        <v>61</v>
      </c>
      <c r="BR433" s="162" t="s">
        <v>61</v>
      </c>
      <c r="BS433" s="399" t="s">
        <v>61</v>
      </c>
      <c r="BT433" s="162" t="str">
        <f>IF(BS433="NA","NA",IF(BS433="Not Reported","Not Reported",IF(BS433&gt;$L$433,"Not Met","Met")))</f>
        <v>Not Reported</v>
      </c>
      <c r="BU433" s="13" t="s">
        <v>61</v>
      </c>
      <c r="BV433" s="162" t="str">
        <f>IF(BU433="NA","NA",IF(BU433="Not Reported","Not Reported",IF(BU433&gt;$L$433,"Not Met","Met")))</f>
        <v>Not Reported</v>
      </c>
    </row>
    <row r="434" spans="1:74" x14ac:dyDescent="0.25">
      <c r="A434" s="121">
        <v>433</v>
      </c>
      <c r="B434" s="122" t="s">
        <v>55</v>
      </c>
      <c r="C434" s="122" t="s">
        <v>902</v>
      </c>
      <c r="D434" s="123" t="s">
        <v>105</v>
      </c>
      <c r="E434" s="123" t="s">
        <v>132</v>
      </c>
      <c r="F434" s="123" t="s">
        <v>300</v>
      </c>
      <c r="G434" s="122" t="s">
        <v>273</v>
      </c>
      <c r="H434" s="122" t="s">
        <v>192</v>
      </c>
      <c r="I434" s="124"/>
      <c r="J434" s="124"/>
      <c r="K434" s="123" t="s">
        <v>314</v>
      </c>
      <c r="L434" s="146" t="s">
        <v>286</v>
      </c>
      <c r="M434" s="146" t="s">
        <v>286</v>
      </c>
      <c r="N434" s="218"/>
      <c r="O434" s="122"/>
      <c r="P434" s="122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 t="s">
        <v>11</v>
      </c>
      <c r="AP434" s="147" t="s">
        <v>11</v>
      </c>
      <c r="AQ434" s="147" t="s">
        <v>11</v>
      </c>
      <c r="AR434" s="147" t="s">
        <v>11</v>
      </c>
      <c r="AS434" s="147" t="s">
        <v>11</v>
      </c>
      <c r="AT434" s="147" t="s">
        <v>11</v>
      </c>
      <c r="AU434" s="147" t="s">
        <v>11</v>
      </c>
      <c r="AV434" s="147" t="s">
        <v>11</v>
      </c>
      <c r="AW434" s="147" t="s">
        <v>11</v>
      </c>
      <c r="AX434" s="128" t="s">
        <v>11</v>
      </c>
      <c r="AY434" s="147" t="s">
        <v>11</v>
      </c>
      <c r="AZ434" s="147" t="s">
        <v>11</v>
      </c>
      <c r="BA434" s="147" t="s">
        <v>11</v>
      </c>
      <c r="BB434" s="147" t="s">
        <v>11</v>
      </c>
      <c r="BC434" s="127" t="s">
        <v>11</v>
      </c>
      <c r="BD434" s="128" t="s">
        <v>11</v>
      </c>
      <c r="BE434" s="127" t="s">
        <v>11</v>
      </c>
      <c r="BF434" s="128" t="s">
        <v>11</v>
      </c>
      <c r="BG434" s="128" t="s">
        <v>61</v>
      </c>
      <c r="BH434" s="121" t="s">
        <v>61</v>
      </c>
      <c r="BI434" s="128" t="s">
        <v>61</v>
      </c>
      <c r="BJ434" s="121" t="s">
        <v>61</v>
      </c>
      <c r="BK434" s="121" t="s">
        <v>61</v>
      </c>
      <c r="BL434" s="121" t="str">
        <f>IF(BK434="NA","NA",IF(BK434="Not Reported","Not Reported",IF(BK434&lt;$L$434,"Not Met","Met")))</f>
        <v>Not Reported</v>
      </c>
      <c r="BM434" s="128" t="s">
        <v>61</v>
      </c>
      <c r="BN434" s="121" t="str">
        <f>IF(BM434="NA","NA",IF(BM434="Not Reported","Not Reported",IF(BM434&lt;$L$434,"Not Met","Met")))</f>
        <v>Not Reported</v>
      </c>
      <c r="BO434" s="121" t="s">
        <v>61</v>
      </c>
      <c r="BP434" s="121" t="s">
        <v>61</v>
      </c>
      <c r="BQ434" s="121" t="s">
        <v>61</v>
      </c>
      <c r="BR434" s="121" t="s">
        <v>61</v>
      </c>
      <c r="BS434" s="399" t="s">
        <v>61</v>
      </c>
      <c r="BT434" s="121" t="str">
        <f>IF(BS434="NA","NA",IF(BS434="Not Reported","Not Reported",IF(BS434&lt;$L$434,"Not Met","Met")))</f>
        <v>Not Reported</v>
      </c>
      <c r="BU434" s="13" t="s">
        <v>61</v>
      </c>
      <c r="BV434" s="121" t="str">
        <f>IF(BU434="NA","NA",IF(BU434="Not Reported","Not Reported",IF(BU434&lt;$L$434,"Not Met","Met")))</f>
        <v>Not Reported</v>
      </c>
    </row>
    <row r="435" spans="1:74" x14ac:dyDescent="0.25">
      <c r="A435" s="121">
        <v>434</v>
      </c>
      <c r="B435" s="122" t="s">
        <v>55</v>
      </c>
      <c r="C435" s="122" t="s">
        <v>902</v>
      </c>
      <c r="D435" s="123" t="s">
        <v>105</v>
      </c>
      <c r="E435" s="123" t="s">
        <v>132</v>
      </c>
      <c r="F435" s="123" t="s">
        <v>300</v>
      </c>
      <c r="G435" s="122" t="s">
        <v>273</v>
      </c>
      <c r="H435" s="122" t="s">
        <v>192</v>
      </c>
      <c r="I435" s="124"/>
      <c r="J435" s="124"/>
      <c r="K435" s="123" t="s">
        <v>841</v>
      </c>
      <c r="L435" s="146" t="s">
        <v>286</v>
      </c>
      <c r="M435" s="146" t="s">
        <v>286</v>
      </c>
      <c r="N435" s="218"/>
      <c r="O435" s="122"/>
      <c r="P435" s="122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  <c r="AJ435" s="147"/>
      <c r="AK435" s="147"/>
      <c r="AL435" s="147"/>
      <c r="AM435" s="147"/>
      <c r="AN435" s="147"/>
      <c r="AO435" s="147" t="s">
        <v>11</v>
      </c>
      <c r="AP435" s="147" t="s">
        <v>11</v>
      </c>
      <c r="AQ435" s="147" t="s">
        <v>11</v>
      </c>
      <c r="AR435" s="147" t="s">
        <v>11</v>
      </c>
      <c r="AS435" s="147" t="s">
        <v>11</v>
      </c>
      <c r="AT435" s="147" t="s">
        <v>11</v>
      </c>
      <c r="AU435" s="147" t="s">
        <v>11</v>
      </c>
      <c r="AV435" s="147" t="s">
        <v>11</v>
      </c>
      <c r="AW435" s="147" t="s">
        <v>11</v>
      </c>
      <c r="AX435" s="128" t="s">
        <v>11</v>
      </c>
      <c r="AY435" s="147" t="s">
        <v>11</v>
      </c>
      <c r="AZ435" s="147" t="s">
        <v>11</v>
      </c>
      <c r="BA435" s="147" t="s">
        <v>11</v>
      </c>
      <c r="BB435" s="147" t="s">
        <v>11</v>
      </c>
      <c r="BC435" s="127" t="s">
        <v>11</v>
      </c>
      <c r="BD435" s="128" t="s">
        <v>11</v>
      </c>
      <c r="BE435" s="127" t="s">
        <v>11</v>
      </c>
      <c r="BF435" s="128" t="s">
        <v>11</v>
      </c>
      <c r="BG435" s="128" t="s">
        <v>61</v>
      </c>
      <c r="BH435" s="121" t="s">
        <v>61</v>
      </c>
      <c r="BI435" s="128" t="s">
        <v>61</v>
      </c>
      <c r="BJ435" s="121" t="s">
        <v>61</v>
      </c>
      <c r="BK435" s="121" t="s">
        <v>61</v>
      </c>
      <c r="BL435" s="121" t="str">
        <f>IF(BK435="NA","NA",IF(BK435="Not Reported","Not Reported",IF(BK435&lt;$L$435,"Not Met","Met")))</f>
        <v>Not Reported</v>
      </c>
      <c r="BM435" s="128" t="s">
        <v>61</v>
      </c>
      <c r="BN435" s="121" t="str">
        <f>IF(BM435="NA","NA",IF(BM435="Not Reported","Not Reported",IF(BM435&lt;$L$435,"Not Met","Met")))</f>
        <v>Not Reported</v>
      </c>
      <c r="BO435" s="121" t="s">
        <v>61</v>
      </c>
      <c r="BP435" s="121" t="s">
        <v>61</v>
      </c>
      <c r="BQ435" s="121" t="s">
        <v>61</v>
      </c>
      <c r="BR435" s="121" t="s">
        <v>61</v>
      </c>
      <c r="BS435" s="399" t="s">
        <v>61</v>
      </c>
      <c r="BT435" s="121" t="str">
        <f>IF(BS435="NA","NA",IF(BS435="Not Reported","Not Reported",IF(BS435&lt;$L$435,"Not Met","Met")))</f>
        <v>Not Reported</v>
      </c>
      <c r="BU435" s="13" t="s">
        <v>61</v>
      </c>
      <c r="BV435" s="121" t="str">
        <f>IF(BU435="NA","NA",IF(BU435="Not Reported","Not Reported",IF(BU435&lt;$L$435,"Not Met","Met")))</f>
        <v>Not Reported</v>
      </c>
    </row>
    <row r="436" spans="1:74" s="78" customFormat="1" x14ac:dyDescent="0.25">
      <c r="A436" s="121">
        <v>435</v>
      </c>
      <c r="B436" s="163" t="s">
        <v>136</v>
      </c>
      <c r="C436" s="122" t="s">
        <v>904</v>
      </c>
      <c r="D436" s="164" t="s">
        <v>109</v>
      </c>
      <c r="E436" s="123" t="s">
        <v>900</v>
      </c>
      <c r="F436" s="164" t="s">
        <v>190</v>
      </c>
      <c r="G436" s="163" t="s">
        <v>273</v>
      </c>
      <c r="H436" s="163" t="s">
        <v>192</v>
      </c>
      <c r="I436" s="165"/>
      <c r="J436" s="165"/>
      <c r="K436" s="164" t="s">
        <v>274</v>
      </c>
      <c r="L436" s="168">
        <v>100</v>
      </c>
      <c r="M436" s="170" t="s">
        <v>517</v>
      </c>
      <c r="N436" s="249"/>
      <c r="O436" s="163"/>
      <c r="P436" s="163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  <c r="AB436" s="168"/>
      <c r="AC436" s="168"/>
      <c r="AD436" s="168"/>
      <c r="AE436" s="168"/>
      <c r="AF436" s="168"/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168"/>
      <c r="AT436" s="168"/>
      <c r="AU436" s="168" t="s">
        <v>11</v>
      </c>
      <c r="AV436" s="168" t="s">
        <v>11</v>
      </c>
      <c r="AW436" s="171" t="s">
        <v>842</v>
      </c>
      <c r="AX436" s="167" t="s">
        <v>198</v>
      </c>
      <c r="AY436" s="167">
        <v>61</v>
      </c>
      <c r="AZ436" s="167" t="s">
        <v>198</v>
      </c>
      <c r="BA436" s="167">
        <v>65</v>
      </c>
      <c r="BB436" s="167" t="s">
        <v>198</v>
      </c>
      <c r="BC436" s="171">
        <v>77</v>
      </c>
      <c r="BD436" s="167" t="s">
        <v>198</v>
      </c>
      <c r="BE436" s="250">
        <v>84</v>
      </c>
      <c r="BF436" s="167" t="s">
        <v>198</v>
      </c>
      <c r="BG436" s="167">
        <v>117</v>
      </c>
      <c r="BH436" s="167" t="s">
        <v>251</v>
      </c>
      <c r="BI436" s="167" t="s">
        <v>61</v>
      </c>
      <c r="BJ436" s="167" t="s">
        <v>61</v>
      </c>
      <c r="BK436" s="84">
        <v>139</v>
      </c>
      <c r="BL436" s="121" t="str">
        <f>IF(BK436="NA","NA",IF(BK436="Not Reported","Not Reported",IF(BK436&gt;$L$436,"Not Met","Met")))</f>
        <v>Not Met</v>
      </c>
      <c r="BM436" s="274">
        <v>127</v>
      </c>
      <c r="BN436" s="121" t="str">
        <f>IF(BM436="NA","NA",IF(BM436="Not Reported","Not Reported",IF(BM436&gt;$L$436,"Not Met","Met")))</f>
        <v>Not Met</v>
      </c>
      <c r="BO436" s="330">
        <v>85</v>
      </c>
      <c r="BP436" s="121" t="s">
        <v>198</v>
      </c>
      <c r="BQ436" s="326" t="s">
        <v>61</v>
      </c>
      <c r="BR436" s="121" t="s">
        <v>61</v>
      </c>
      <c r="BS436" s="400" t="s">
        <v>61</v>
      </c>
      <c r="BT436" s="121" t="str">
        <f>IF(BS436="NA","NA",IF(BS436="Not Reported","Not Reported",IF(BS436&gt;$L$436,"Not Met","Met")))</f>
        <v>Not Reported</v>
      </c>
      <c r="BU436" s="26" t="s">
        <v>61</v>
      </c>
      <c r="BV436" s="121" t="str">
        <f>IF(BU436="NA","NA",IF(BU436="Not Reported","Not Reported",IF(BU436&gt;$L$436,"Not Met","Met")))</f>
        <v>Not Reported</v>
      </c>
    </row>
    <row r="437" spans="1:74" x14ac:dyDescent="0.25">
      <c r="A437" s="121">
        <v>436</v>
      </c>
      <c r="B437" s="122" t="s">
        <v>136</v>
      </c>
      <c r="C437" s="122" t="s">
        <v>904</v>
      </c>
      <c r="D437" s="123" t="s">
        <v>109</v>
      </c>
      <c r="E437" s="123" t="s">
        <v>900</v>
      </c>
      <c r="F437" s="123" t="s">
        <v>190</v>
      </c>
      <c r="G437" s="122" t="s">
        <v>191</v>
      </c>
      <c r="H437" s="122" t="s">
        <v>192</v>
      </c>
      <c r="I437" s="124"/>
      <c r="J437" s="124"/>
      <c r="K437" s="123" t="s">
        <v>213</v>
      </c>
      <c r="L437" s="147">
        <v>45</v>
      </c>
      <c r="M437" s="146" t="s">
        <v>569</v>
      </c>
      <c r="N437" s="218"/>
      <c r="O437" s="122"/>
      <c r="P437" s="122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 t="s">
        <v>11</v>
      </c>
      <c r="AV437" s="147" t="s">
        <v>11</v>
      </c>
      <c r="AW437" s="127" t="s">
        <v>571</v>
      </c>
      <c r="AX437" s="121" t="s">
        <v>198</v>
      </c>
      <c r="AY437" s="121">
        <v>42</v>
      </c>
      <c r="AZ437" s="121" t="s">
        <v>198</v>
      </c>
      <c r="BA437" s="121">
        <v>37</v>
      </c>
      <c r="BB437" s="121" t="s">
        <v>198</v>
      </c>
      <c r="BC437" s="127">
        <v>55</v>
      </c>
      <c r="BD437" s="121" t="s">
        <v>251</v>
      </c>
      <c r="BE437" s="183">
        <v>48</v>
      </c>
      <c r="BF437" s="121" t="s">
        <v>198</v>
      </c>
      <c r="BG437" s="121">
        <v>25</v>
      </c>
      <c r="BH437" s="121" t="s">
        <v>198</v>
      </c>
      <c r="BI437" s="121" t="s">
        <v>61</v>
      </c>
      <c r="BJ437" s="121" t="s">
        <v>61</v>
      </c>
      <c r="BK437" s="80">
        <v>35</v>
      </c>
      <c r="BL437" s="121" t="str">
        <f>IF(BK437="NA","NA",IF(BK437="Not Reported","Not Reported",IF(BK437&gt;$L$437,"Not Met","Met")))</f>
        <v>Met</v>
      </c>
      <c r="BM437" s="274">
        <v>39</v>
      </c>
      <c r="BN437" s="121" t="str">
        <f>IF(BM437="NA","NA",IF(BM437="Not Reported","Not Reported",IF(BM437&gt;$L$437,"Not Met","Met")))</f>
        <v>Met</v>
      </c>
      <c r="BO437" s="330">
        <v>34</v>
      </c>
      <c r="BP437" s="121" t="s">
        <v>198</v>
      </c>
      <c r="BQ437" s="326" t="s">
        <v>61</v>
      </c>
      <c r="BR437" s="121" t="s">
        <v>61</v>
      </c>
      <c r="BS437" s="400" t="s">
        <v>61</v>
      </c>
      <c r="BT437" s="121" t="str">
        <f>IF(BS437="NA","NA",IF(BS437="Not Reported","Not Reported",IF(BS437&gt;$L$437,"Not Met","Met")))</f>
        <v>Not Reported</v>
      </c>
      <c r="BU437" s="26" t="s">
        <v>61</v>
      </c>
      <c r="BV437" s="121" t="str">
        <f>IF(BU437="NA","NA",IF(BU437="Not Reported","Not Reported",IF(BU437&gt;$L$437,"Not Met","Met")))</f>
        <v>Not Reported</v>
      </c>
    </row>
    <row r="438" spans="1:74" x14ac:dyDescent="0.2">
      <c r="A438" s="121">
        <v>437</v>
      </c>
      <c r="B438" s="122" t="s">
        <v>136</v>
      </c>
      <c r="C438" s="122" t="s">
        <v>904</v>
      </c>
      <c r="D438" s="123" t="s">
        <v>109</v>
      </c>
      <c r="E438" s="123" t="s">
        <v>900</v>
      </c>
      <c r="F438" s="123" t="s">
        <v>190</v>
      </c>
      <c r="G438" s="122" t="s">
        <v>191</v>
      </c>
      <c r="H438" s="122" t="s">
        <v>192</v>
      </c>
      <c r="I438" s="124"/>
      <c r="J438" s="124"/>
      <c r="K438" s="123" t="s">
        <v>246</v>
      </c>
      <c r="L438" s="146">
        <v>0.3</v>
      </c>
      <c r="M438" s="146">
        <v>0.3</v>
      </c>
      <c r="N438" s="218"/>
      <c r="O438" s="122"/>
      <c r="P438" s="122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 t="s">
        <v>11</v>
      </c>
      <c r="AV438" s="147" t="s">
        <v>11</v>
      </c>
      <c r="AW438" s="141">
        <f>7/30</f>
        <v>0.23333333333333334</v>
      </c>
      <c r="AX438" s="121" t="s">
        <v>198</v>
      </c>
      <c r="AY438" s="143">
        <v>0.21</v>
      </c>
      <c r="AZ438" s="121" t="s">
        <v>198</v>
      </c>
      <c r="BA438" s="143">
        <v>0.19</v>
      </c>
      <c r="BB438" s="121" t="s">
        <v>198</v>
      </c>
      <c r="BC438" s="126">
        <v>0.09</v>
      </c>
      <c r="BD438" s="121" t="s">
        <v>198</v>
      </c>
      <c r="BE438" s="146">
        <f>2/17</f>
        <v>0.11764705882352941</v>
      </c>
      <c r="BF438" s="121" t="s">
        <v>198</v>
      </c>
      <c r="BG438" s="126">
        <v>0</v>
      </c>
      <c r="BH438" s="121" t="s">
        <v>198</v>
      </c>
      <c r="BI438" s="121" t="s">
        <v>61</v>
      </c>
      <c r="BJ438" s="121" t="s">
        <v>61</v>
      </c>
      <c r="BK438" s="82">
        <f>1/12</f>
        <v>8.3333333333333329E-2</v>
      </c>
      <c r="BL438" s="174" t="str">
        <f>IF(BK438="NA","NA",IF(BK438="Not Reported","Not Reported",IF(BK438&gt;$L$438,"Not Met","Met")))</f>
        <v>Met</v>
      </c>
      <c r="BM438" s="268">
        <v>0</v>
      </c>
      <c r="BN438" s="162" t="str">
        <f>IF(BM438="NA","NA",IF(BM438="Not Reported","Not Reported",IF(BM438&gt;$L$438,"Not Met","Met")))</f>
        <v>Met</v>
      </c>
      <c r="BO438" s="331">
        <f>24/143</f>
        <v>0.16783216783216784</v>
      </c>
      <c r="BP438" s="162" t="s">
        <v>198</v>
      </c>
      <c r="BQ438" s="326" t="s">
        <v>61</v>
      </c>
      <c r="BR438" s="162" t="s">
        <v>61</v>
      </c>
      <c r="BS438" s="400" t="s">
        <v>61</v>
      </c>
      <c r="BT438" s="162" t="str">
        <f>IF(BS438="NA","NA",IF(BS438="Not Reported","Not Reported",IF(BS438&gt;$L$438,"Not Met","Met")))</f>
        <v>Not Reported</v>
      </c>
      <c r="BU438" s="26" t="s">
        <v>61</v>
      </c>
      <c r="BV438" s="162" t="str">
        <f>IF(BU438="NA","NA",IF(BU438="Not Reported","Not Reported",IF(BU438&gt;$L$438,"Not Met","Met")))</f>
        <v>Not Reported</v>
      </c>
    </row>
    <row r="439" spans="1:74" x14ac:dyDescent="0.2">
      <c r="A439" s="121">
        <v>438</v>
      </c>
      <c r="B439" s="122" t="s">
        <v>136</v>
      </c>
      <c r="C439" s="122" t="s">
        <v>904</v>
      </c>
      <c r="D439" s="123" t="s">
        <v>109</v>
      </c>
      <c r="E439" s="123" t="s">
        <v>900</v>
      </c>
      <c r="F439" s="123" t="s">
        <v>190</v>
      </c>
      <c r="G439" s="122" t="s">
        <v>191</v>
      </c>
      <c r="H439" s="122" t="s">
        <v>192</v>
      </c>
      <c r="I439" s="124"/>
      <c r="J439" s="124"/>
      <c r="K439" s="123" t="s">
        <v>284</v>
      </c>
      <c r="L439" s="146">
        <v>0.7</v>
      </c>
      <c r="M439" s="146">
        <v>0.7</v>
      </c>
      <c r="N439" s="218"/>
      <c r="O439" s="122"/>
      <c r="P439" s="122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/>
      <c r="AL439" s="147"/>
      <c r="AM439" s="147"/>
      <c r="AN439" s="147"/>
      <c r="AO439" s="147"/>
      <c r="AP439" s="147"/>
      <c r="AQ439" s="147"/>
      <c r="AR439" s="147"/>
      <c r="AS439" s="147"/>
      <c r="AT439" s="147"/>
      <c r="AU439" s="147" t="s">
        <v>11</v>
      </c>
      <c r="AV439" s="147" t="s">
        <v>11</v>
      </c>
      <c r="AW439" s="251">
        <f>35/42</f>
        <v>0.83333333333333337</v>
      </c>
      <c r="AX439" s="121" t="s">
        <v>198</v>
      </c>
      <c r="AY439" s="143">
        <v>0.66</v>
      </c>
      <c r="AZ439" s="121" t="s">
        <v>251</v>
      </c>
      <c r="BA439" s="143">
        <v>0.74</v>
      </c>
      <c r="BB439" s="121" t="s">
        <v>198</v>
      </c>
      <c r="BC439" s="177">
        <f>105/151</f>
        <v>0.69536423841059603</v>
      </c>
      <c r="BD439" s="121" t="s">
        <v>198</v>
      </c>
      <c r="BE439" s="146">
        <f>53/55</f>
        <v>0.96363636363636362</v>
      </c>
      <c r="BF439" s="121" t="s">
        <v>198</v>
      </c>
      <c r="BG439" s="143">
        <v>0.9</v>
      </c>
      <c r="BH439" s="121" t="s">
        <v>198</v>
      </c>
      <c r="BI439" s="121" t="s">
        <v>61</v>
      </c>
      <c r="BJ439" s="121" t="s">
        <v>61</v>
      </c>
      <c r="BK439" s="83">
        <f>68/71</f>
        <v>0.95774647887323938</v>
      </c>
      <c r="BL439" s="128" t="str">
        <f>IF(BK439="NA","NA",IF(BK439="Not Reported","Not Reported",IF(BK439&lt;$L$439,"Not Met","Met")))</f>
        <v>Met</v>
      </c>
      <c r="BM439" s="267">
        <v>0.76</v>
      </c>
      <c r="BN439" s="128" t="str">
        <f>IF(BM439="NA","NA",IF(BM439="Not Reported","Not Reported",IF(BM439&lt;$L$439,"Not Met","Met")))</f>
        <v>Met</v>
      </c>
      <c r="BO439" s="332">
        <f>30/41</f>
        <v>0.73170731707317072</v>
      </c>
      <c r="BP439" s="128" t="s">
        <v>198</v>
      </c>
      <c r="BQ439" s="326" t="s">
        <v>61</v>
      </c>
      <c r="BR439" s="128" t="s">
        <v>61</v>
      </c>
      <c r="BS439" s="400" t="s">
        <v>61</v>
      </c>
      <c r="BT439" s="128" t="str">
        <f>IF(BS439="NA","NA",IF(BS439="Not Reported","Not Reported",IF(BS439&lt;$L$439,"Not Met","Met")))</f>
        <v>Not Reported</v>
      </c>
      <c r="BU439" s="26" t="s">
        <v>61</v>
      </c>
      <c r="BV439" s="128" t="str">
        <f>IF(BU439="NA","NA",IF(BU439="Not Reported","Not Reported",IF(BU439&lt;$L$439,"Not Met","Met")))</f>
        <v>Not Reported</v>
      </c>
    </row>
    <row r="440" spans="1:74" x14ac:dyDescent="0.25">
      <c r="A440" s="121">
        <v>439</v>
      </c>
      <c r="B440" s="122" t="s">
        <v>136</v>
      </c>
      <c r="C440" s="122" t="s">
        <v>904</v>
      </c>
      <c r="D440" s="123" t="s">
        <v>109</v>
      </c>
      <c r="E440" s="123" t="s">
        <v>900</v>
      </c>
      <c r="F440" s="123" t="s">
        <v>190</v>
      </c>
      <c r="G440" s="122" t="s">
        <v>273</v>
      </c>
      <c r="H440" s="122" t="s">
        <v>192</v>
      </c>
      <c r="I440" s="124"/>
      <c r="J440" s="124"/>
      <c r="K440" s="123" t="s">
        <v>289</v>
      </c>
      <c r="L440" s="146">
        <v>0.06</v>
      </c>
      <c r="M440" s="146">
        <v>0.06</v>
      </c>
      <c r="N440" s="218"/>
      <c r="O440" s="122"/>
      <c r="P440" s="122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47"/>
      <c r="AS440" s="147"/>
      <c r="AT440" s="147"/>
      <c r="AU440" s="147" t="s">
        <v>11</v>
      </c>
      <c r="AV440" s="147" t="s">
        <v>11</v>
      </c>
      <c r="AW440" s="252">
        <f>5/42</f>
        <v>0.11904761904761904</v>
      </c>
      <c r="AX440" s="121" t="s">
        <v>198</v>
      </c>
      <c r="AY440" s="143">
        <v>0.1</v>
      </c>
      <c r="AZ440" s="121" t="s">
        <v>198</v>
      </c>
      <c r="BA440" s="143">
        <v>0.14000000000000001</v>
      </c>
      <c r="BB440" s="121" t="s">
        <v>198</v>
      </c>
      <c r="BC440" s="252">
        <f>13/151</f>
        <v>8.6092715231788075E-2</v>
      </c>
      <c r="BD440" s="121" t="s">
        <v>198</v>
      </c>
      <c r="BE440" s="146">
        <f>15/55</f>
        <v>0.27272727272727271</v>
      </c>
      <c r="BF440" s="121" t="s">
        <v>198</v>
      </c>
      <c r="BG440" s="143">
        <v>7.0000000000000007E-2</v>
      </c>
      <c r="BH440" s="121" t="s">
        <v>198</v>
      </c>
      <c r="BI440" s="121" t="s">
        <v>61</v>
      </c>
      <c r="BJ440" s="121" t="s">
        <v>61</v>
      </c>
      <c r="BK440" s="85">
        <f>5/71</f>
        <v>7.0422535211267609E-2</v>
      </c>
      <c r="BL440" s="128" t="str">
        <f>IF(BK440="NA","NA",IF(BK440="Not Reported","Not Reported",IF(BK440&lt;$L$440,"Not Met","Met")))</f>
        <v>Met</v>
      </c>
      <c r="BM440" s="266">
        <v>0.09</v>
      </c>
      <c r="BN440" s="128" t="str">
        <f>IF(BM440="NA","NA",IF(BM440="Not Reported","Not Reported",IF(BM440&lt;$L$440,"Not Met","Met")))</f>
        <v>Met</v>
      </c>
      <c r="BO440" s="333">
        <f>6/40</f>
        <v>0.15</v>
      </c>
      <c r="BP440" s="128" t="s">
        <v>198</v>
      </c>
      <c r="BQ440" s="326" t="s">
        <v>61</v>
      </c>
      <c r="BR440" s="128" t="s">
        <v>61</v>
      </c>
      <c r="BS440" s="400" t="s">
        <v>61</v>
      </c>
      <c r="BT440" s="128" t="str">
        <f>IF(BS440="NA","NA",IF(BS440="Not Reported","Not Reported",IF(BS440&lt;$L$440,"Not Met","Met")))</f>
        <v>Not Reported</v>
      </c>
      <c r="BU440" s="26" t="s">
        <v>61</v>
      </c>
      <c r="BV440" s="128" t="str">
        <f>IF(BU440="NA","NA",IF(BU440="Not Reported","Not Reported",IF(BU440&lt;$L$440,"Not Met","Met")))</f>
        <v>Not Reported</v>
      </c>
    </row>
    <row r="441" spans="1:74" x14ac:dyDescent="0.25">
      <c r="A441" s="121">
        <v>440</v>
      </c>
      <c r="B441" s="122" t="s">
        <v>136</v>
      </c>
      <c r="C441" s="122" t="s">
        <v>904</v>
      </c>
      <c r="D441" s="123" t="s">
        <v>109</v>
      </c>
      <c r="E441" s="123" t="s">
        <v>900</v>
      </c>
      <c r="F441" s="123" t="s">
        <v>190</v>
      </c>
      <c r="G441" s="122" t="s">
        <v>191</v>
      </c>
      <c r="H441" s="122" t="s">
        <v>192</v>
      </c>
      <c r="I441" s="124"/>
      <c r="J441" s="124"/>
      <c r="K441" s="123" t="s">
        <v>292</v>
      </c>
      <c r="L441" s="146">
        <v>0.05</v>
      </c>
      <c r="M441" s="146">
        <v>0.05</v>
      </c>
      <c r="N441" s="218"/>
      <c r="O441" s="122"/>
      <c r="P441" s="122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7"/>
      <c r="AT441" s="147"/>
      <c r="AU441" s="147" t="s">
        <v>11</v>
      </c>
      <c r="AV441" s="147" t="s">
        <v>11</v>
      </c>
      <c r="AW441" s="141">
        <f>1/21</f>
        <v>4.7619047619047616E-2</v>
      </c>
      <c r="AX441" s="121" t="s">
        <v>198</v>
      </c>
      <c r="AY441" s="143">
        <v>0.05</v>
      </c>
      <c r="AZ441" s="121" t="s">
        <v>198</v>
      </c>
      <c r="BA441" s="143">
        <v>0.05</v>
      </c>
      <c r="BB441" s="121" t="s">
        <v>198</v>
      </c>
      <c r="BC441" s="126">
        <v>0</v>
      </c>
      <c r="BD441" s="121" t="s">
        <v>198</v>
      </c>
      <c r="BE441" s="146">
        <v>0.2</v>
      </c>
      <c r="BF441" s="121" t="s">
        <v>251</v>
      </c>
      <c r="BG441" s="143">
        <f>2/22</f>
        <v>9.0909090909090912E-2</v>
      </c>
      <c r="BH441" s="121" t="s">
        <v>251</v>
      </c>
      <c r="BI441" s="121" t="s">
        <v>61</v>
      </c>
      <c r="BJ441" s="121" t="s">
        <v>61</v>
      </c>
      <c r="BK441" s="82">
        <f>1/9</f>
        <v>0.1111111111111111</v>
      </c>
      <c r="BL441" s="128" t="str">
        <f>IF(BK441="NA","NA",IF(BK441="Not Reported","Not Reported",IF(BK441&gt;$L$441,"Not Met","Met")))</f>
        <v>Not Met</v>
      </c>
      <c r="BM441" s="268">
        <v>0</v>
      </c>
      <c r="BN441" s="128" t="str">
        <f>IF(BM441="NA","NA",IF(BM441="Not Reported","Not Reported",IF(BM441&gt;$L$441,"Not Met","Met")))</f>
        <v>Met</v>
      </c>
      <c r="BO441" s="334">
        <v>0.17</v>
      </c>
      <c r="BP441" s="128" t="s">
        <v>251</v>
      </c>
      <c r="BQ441" s="326" t="s">
        <v>61</v>
      </c>
      <c r="BR441" s="128" t="s">
        <v>61</v>
      </c>
      <c r="BS441" s="400" t="s">
        <v>61</v>
      </c>
      <c r="BT441" s="128" t="str">
        <f>IF(BS441="NA","NA",IF(BS441="Not Reported","Not Reported",IF(BS441&gt;$L$441,"Not Met","Met")))</f>
        <v>Not Reported</v>
      </c>
      <c r="BU441" s="26" t="s">
        <v>61</v>
      </c>
      <c r="BV441" s="128" t="str">
        <f>IF(BU441="NA","NA",IF(BU441="Not Reported","Not Reported",IF(BU441&gt;$L$441,"Not Met","Met")))</f>
        <v>Not Reported</v>
      </c>
    </row>
    <row r="442" spans="1:74" x14ac:dyDescent="0.25">
      <c r="A442" s="121">
        <v>441</v>
      </c>
      <c r="B442" s="122" t="s">
        <v>136</v>
      </c>
      <c r="C442" s="122" t="s">
        <v>904</v>
      </c>
      <c r="D442" s="123" t="s">
        <v>109</v>
      </c>
      <c r="E442" s="123" t="s">
        <v>900</v>
      </c>
      <c r="F442" s="123" t="s">
        <v>190</v>
      </c>
      <c r="G442" s="122" t="s">
        <v>191</v>
      </c>
      <c r="H442" s="122" t="s">
        <v>192</v>
      </c>
      <c r="I442" s="124"/>
      <c r="J442" s="124"/>
      <c r="K442" s="123" t="s">
        <v>257</v>
      </c>
      <c r="L442" s="146" t="s">
        <v>286</v>
      </c>
      <c r="M442" s="146" t="s">
        <v>286</v>
      </c>
      <c r="N442" s="218"/>
      <c r="O442" s="122"/>
      <c r="P442" s="122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 t="s">
        <v>11</v>
      </c>
      <c r="AV442" s="147" t="s">
        <v>11</v>
      </c>
      <c r="AW442" s="147" t="s">
        <v>256</v>
      </c>
      <c r="AX442" s="121" t="s">
        <v>61</v>
      </c>
      <c r="AY442" s="121" t="s">
        <v>61</v>
      </c>
      <c r="AZ442" s="121" t="s">
        <v>61</v>
      </c>
      <c r="BA442" s="121" t="s">
        <v>61</v>
      </c>
      <c r="BB442" s="121" t="s">
        <v>61</v>
      </c>
      <c r="BC442" s="121" t="s">
        <v>61</v>
      </c>
      <c r="BD442" s="121" t="s">
        <v>6</v>
      </c>
      <c r="BE442" s="121" t="s">
        <v>61</v>
      </c>
      <c r="BF442" s="121" t="s">
        <v>61</v>
      </c>
      <c r="BG442" s="121" t="s">
        <v>61</v>
      </c>
      <c r="BH442" s="121" t="s">
        <v>61</v>
      </c>
      <c r="BI442" s="121" t="s">
        <v>61</v>
      </c>
      <c r="BJ442" s="121" t="s">
        <v>61</v>
      </c>
      <c r="BK442" s="121" t="s">
        <v>61</v>
      </c>
      <c r="BL442" s="121" t="str">
        <f>IF(BK442="NA","NA",IF(BK442="Not Reported","Not Reported",IF(BK442&lt;$L$442,"Not Met","Met")))</f>
        <v>Not Reported</v>
      </c>
      <c r="BM442" s="121" t="s">
        <v>61</v>
      </c>
      <c r="BN442" s="121" t="str">
        <f>IF(BM442="NA","NA",IF(BM442="Not Reported","Not Reported",IF(BM442&lt;$L$442,"Not Met","Met")))</f>
        <v>Not Reported</v>
      </c>
      <c r="BO442" s="326" t="s">
        <v>61</v>
      </c>
      <c r="BP442" s="121" t="s">
        <v>61</v>
      </c>
      <c r="BQ442" s="326" t="s">
        <v>61</v>
      </c>
      <c r="BR442" s="121" t="s">
        <v>61</v>
      </c>
      <c r="BS442" s="400" t="s">
        <v>61</v>
      </c>
      <c r="BT442" s="121" t="str">
        <f>IF(BS442="NA","NA",IF(BS442="Not Reported","Not Reported",IF(BS442&lt;$L$442,"Not Met","Met")))</f>
        <v>Not Reported</v>
      </c>
      <c r="BU442" s="26" t="s">
        <v>61</v>
      </c>
      <c r="BV442" s="121" t="str">
        <f>IF(BU442="NA","NA",IF(BU442="Not Reported","Not Reported",IF(BU442&lt;$L$442,"Not Met","Met")))</f>
        <v>Not Reported</v>
      </c>
    </row>
    <row r="443" spans="1:74" x14ac:dyDescent="0.25">
      <c r="A443" s="121">
        <v>442</v>
      </c>
      <c r="B443" s="122" t="s">
        <v>136</v>
      </c>
      <c r="C443" s="122" t="s">
        <v>904</v>
      </c>
      <c r="D443" s="123" t="s">
        <v>109</v>
      </c>
      <c r="E443" s="123" t="s">
        <v>900</v>
      </c>
      <c r="F443" s="123" t="s">
        <v>190</v>
      </c>
      <c r="G443" s="122" t="s">
        <v>191</v>
      </c>
      <c r="H443" s="122" t="s">
        <v>192</v>
      </c>
      <c r="I443" s="124"/>
      <c r="J443" s="124"/>
      <c r="K443" s="123" t="s">
        <v>296</v>
      </c>
      <c r="L443" s="146">
        <v>0.8</v>
      </c>
      <c r="M443" s="146">
        <v>0.8</v>
      </c>
      <c r="N443" s="218"/>
      <c r="O443" s="122"/>
      <c r="P443" s="122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 t="s">
        <v>11</v>
      </c>
      <c r="AV443" s="147" t="s">
        <v>11</v>
      </c>
      <c r="AW443" s="147" t="s">
        <v>256</v>
      </c>
      <c r="AX443" s="121" t="s">
        <v>61</v>
      </c>
      <c r="AY443" s="121" t="s">
        <v>61</v>
      </c>
      <c r="AZ443" s="121" t="s">
        <v>61</v>
      </c>
      <c r="BA443" s="121" t="s">
        <v>61</v>
      </c>
      <c r="BB443" s="121" t="s">
        <v>61</v>
      </c>
      <c r="BC443" s="121" t="s">
        <v>61</v>
      </c>
      <c r="BD443" s="121" t="s">
        <v>6</v>
      </c>
      <c r="BE443" s="121" t="s">
        <v>61</v>
      </c>
      <c r="BF443" s="121" t="s">
        <v>61</v>
      </c>
      <c r="BG443" s="121" t="s">
        <v>61</v>
      </c>
      <c r="BH443" s="121" t="s">
        <v>61</v>
      </c>
      <c r="BI443" s="121" t="s">
        <v>61</v>
      </c>
      <c r="BJ443" s="121" t="s">
        <v>61</v>
      </c>
      <c r="BK443" s="121" t="s">
        <v>61</v>
      </c>
      <c r="BL443" s="128" t="str">
        <f>IF(BK443="NA","NA",IF(BK443="Not Reported","Not Reported",IF(BK443&lt;$L$443,"Not Met","Met")))</f>
        <v>Not Reported</v>
      </c>
      <c r="BM443" s="121" t="s">
        <v>61</v>
      </c>
      <c r="BN443" s="128" t="str">
        <f>IF(BM443="NA","NA",IF(BM443="Not Reported","Not Reported",IF(BM443&lt;$L$443,"Not Met","Met")))</f>
        <v>Not Reported</v>
      </c>
      <c r="BO443" s="326" t="s">
        <v>61</v>
      </c>
      <c r="BP443" s="128" t="s">
        <v>61</v>
      </c>
      <c r="BQ443" s="326" t="s">
        <v>61</v>
      </c>
      <c r="BR443" s="128" t="s">
        <v>61</v>
      </c>
      <c r="BS443" s="400" t="s">
        <v>61</v>
      </c>
      <c r="BT443" s="128" t="str">
        <f>IF(BS443="NA","NA",IF(BS443="Not Reported","Not Reported",IF(BS443&lt;$L$443,"Not Met","Met")))</f>
        <v>Not Reported</v>
      </c>
      <c r="BU443" s="397" t="s">
        <v>61</v>
      </c>
      <c r="BV443" s="128" t="str">
        <f>IF(BU443="NA","NA",IF(BU443="Not Reported","Not Reported",IF(BU443&lt;$L$443,"Not Met","Met")))</f>
        <v>Not Reported</v>
      </c>
    </row>
    <row r="444" spans="1:74" x14ac:dyDescent="0.25">
      <c r="A444" s="121">
        <v>443</v>
      </c>
      <c r="B444" s="122" t="s">
        <v>26</v>
      </c>
      <c r="C444" s="27" t="s">
        <v>106</v>
      </c>
      <c r="D444" s="28" t="s">
        <v>920</v>
      </c>
      <c r="E444" s="28" t="s">
        <v>927</v>
      </c>
      <c r="F444" s="28" t="s">
        <v>190</v>
      </c>
      <c r="G444" s="28" t="s">
        <v>191</v>
      </c>
      <c r="H444" s="27" t="s">
        <v>212</v>
      </c>
      <c r="I444" s="124"/>
      <c r="J444" s="124"/>
      <c r="K444" s="30" t="s">
        <v>213</v>
      </c>
      <c r="L444" s="31">
        <v>45</v>
      </c>
      <c r="M444" s="31" t="s">
        <v>361</v>
      </c>
      <c r="N444" s="28" t="s">
        <v>473</v>
      </c>
      <c r="O444" s="28" t="s">
        <v>474</v>
      </c>
      <c r="P444" s="28" t="s">
        <v>207</v>
      </c>
      <c r="Q444" s="31" t="s">
        <v>278</v>
      </c>
      <c r="R444" s="31" t="s">
        <v>251</v>
      </c>
      <c r="S444" s="31" t="s">
        <v>506</v>
      </c>
      <c r="T444" s="31" t="s">
        <v>251</v>
      </c>
      <c r="U444" s="31" t="s">
        <v>507</v>
      </c>
      <c r="V444" s="31" t="s">
        <v>251</v>
      </c>
      <c r="W444" s="31" t="s">
        <v>482</v>
      </c>
      <c r="X444" s="31" t="s">
        <v>251</v>
      </c>
      <c r="Y444" s="31" t="s">
        <v>480</v>
      </c>
      <c r="Z444" s="26" t="s">
        <v>251</v>
      </c>
      <c r="AA444" s="31" t="s">
        <v>441</v>
      </c>
      <c r="AB444" s="26" t="s">
        <v>198</v>
      </c>
      <c r="AC444" s="31" t="s">
        <v>508</v>
      </c>
      <c r="AD444" s="26" t="s">
        <v>251</v>
      </c>
      <c r="AE444" s="31" t="s">
        <v>349</v>
      </c>
      <c r="AF444" s="26" t="s">
        <v>198</v>
      </c>
      <c r="AG444" s="26" t="s">
        <v>509</v>
      </c>
      <c r="AH444" s="31" t="s">
        <v>251</v>
      </c>
      <c r="AI444" s="31" t="s">
        <v>510</v>
      </c>
      <c r="AJ444" s="31" t="s">
        <v>251</v>
      </c>
      <c r="AK444" s="31" t="s">
        <v>506</v>
      </c>
      <c r="AL444" s="31" t="s">
        <v>251</v>
      </c>
      <c r="AM444" s="31" t="s">
        <v>469</v>
      </c>
      <c r="AN444" s="26" t="s">
        <v>198</v>
      </c>
      <c r="AO444" s="31" t="s">
        <v>508</v>
      </c>
      <c r="AP444" s="26" t="s">
        <v>251</v>
      </c>
      <c r="AQ444" s="31" t="s">
        <v>453</v>
      </c>
      <c r="AR444" s="26" t="s">
        <v>198</v>
      </c>
      <c r="AS444" s="31" t="s">
        <v>492</v>
      </c>
      <c r="AT444" s="26" t="s">
        <v>198</v>
      </c>
      <c r="AU444" s="31" t="s">
        <v>340</v>
      </c>
      <c r="AV444" s="26" t="s">
        <v>198</v>
      </c>
      <c r="AW444" s="31" t="s">
        <v>471</v>
      </c>
      <c r="AX444" s="26" t="s">
        <v>198</v>
      </c>
      <c r="AY444" s="312" t="s">
        <v>928</v>
      </c>
      <c r="AZ444" s="26" t="s">
        <v>198</v>
      </c>
      <c r="BA444" s="313" t="s">
        <v>511</v>
      </c>
      <c r="BB444" s="26" t="s">
        <v>198</v>
      </c>
      <c r="BC444" s="26" t="s">
        <v>340</v>
      </c>
      <c r="BD444" s="26" t="s">
        <v>198</v>
      </c>
      <c r="BE444" s="26" t="s">
        <v>506</v>
      </c>
      <c r="BF444" s="26" t="s">
        <v>251</v>
      </c>
      <c r="BG444" s="314" t="s">
        <v>703</v>
      </c>
      <c r="BH444" s="26" t="s">
        <v>251</v>
      </c>
      <c r="BI444" s="26" t="s">
        <v>508</v>
      </c>
      <c r="BJ444" s="26" t="s">
        <v>251</v>
      </c>
      <c r="BK444" s="26" t="s">
        <v>323</v>
      </c>
      <c r="BL444" s="13" t="s">
        <v>11</v>
      </c>
      <c r="BM444" s="313" t="s">
        <v>11</v>
      </c>
      <c r="BN444" s="313" t="s">
        <v>11</v>
      </c>
      <c r="BO444" s="128" t="s">
        <v>11</v>
      </c>
      <c r="BP444" s="128" t="s">
        <v>11</v>
      </c>
      <c r="BQ444" s="128" t="s">
        <v>11</v>
      </c>
      <c r="BR444" s="128" t="s">
        <v>11</v>
      </c>
      <c r="BS444" s="13" t="s">
        <v>11</v>
      </c>
      <c r="BT444" s="128" t="str">
        <f>IF(BS444="NA","NA",IF(BS444="Not Reported","Not Reported",IF(BS444&gt;$L$444,"Not Met","Met")))</f>
        <v>NA</v>
      </c>
      <c r="BU444" s="313">
        <v>45</v>
      </c>
      <c r="BV444" s="128" t="str">
        <f>IF(BU444="NA","NA",IF(BU444="Not Reported","Not Reported",IF(BU444&gt;$L$444,"Not Met","Met")))</f>
        <v>Met</v>
      </c>
    </row>
    <row r="445" spans="1:74" x14ac:dyDescent="0.25">
      <c r="A445" s="121">
        <v>444</v>
      </c>
      <c r="B445" s="122" t="s">
        <v>26</v>
      </c>
      <c r="C445" s="27" t="s">
        <v>106</v>
      </c>
      <c r="D445" s="28" t="s">
        <v>920</v>
      </c>
      <c r="E445" s="28" t="s">
        <v>927</v>
      </c>
      <c r="F445" s="28" t="s">
        <v>190</v>
      </c>
      <c r="G445" s="28" t="s">
        <v>191</v>
      </c>
      <c r="H445" s="27" t="s">
        <v>212</v>
      </c>
      <c r="I445" s="124"/>
      <c r="J445" s="124"/>
      <c r="K445" s="27" t="s">
        <v>512</v>
      </c>
      <c r="L445" s="310">
        <v>0.6</v>
      </c>
      <c r="M445" s="310">
        <v>0.6</v>
      </c>
      <c r="N445" s="28" t="s">
        <v>938</v>
      </c>
      <c r="O445" s="28" t="s">
        <v>939</v>
      </c>
      <c r="P445" s="28" t="s">
        <v>207</v>
      </c>
      <c r="Q445" s="315">
        <v>0.36</v>
      </c>
      <c r="R445" s="31" t="s">
        <v>251</v>
      </c>
      <c r="S445" s="315">
        <v>0.54</v>
      </c>
      <c r="T445" s="31" t="s">
        <v>251</v>
      </c>
      <c r="U445" s="310">
        <v>0.64</v>
      </c>
      <c r="V445" s="26" t="s">
        <v>198</v>
      </c>
      <c r="W445" s="310">
        <v>0.62</v>
      </c>
      <c r="X445" s="26" t="s">
        <v>198</v>
      </c>
      <c r="Y445" s="315">
        <v>0.75</v>
      </c>
      <c r="Z445" s="26" t="s">
        <v>198</v>
      </c>
      <c r="AA445" s="13">
        <v>0.51428571428571423</v>
      </c>
      <c r="AB445" s="31" t="s">
        <v>251</v>
      </c>
      <c r="AC445" s="13">
        <f>46/76</f>
        <v>0.60526315789473684</v>
      </c>
      <c r="AD445" s="26" t="s">
        <v>198</v>
      </c>
      <c r="AE445" s="13">
        <f>7/13</f>
        <v>0.53846153846153844</v>
      </c>
      <c r="AF445" s="31" t="s">
        <v>251</v>
      </c>
      <c r="AG445" s="310">
        <v>0.78</v>
      </c>
      <c r="AH445" s="26" t="s">
        <v>198</v>
      </c>
      <c r="AI445" s="315">
        <v>0.67</v>
      </c>
      <c r="AJ445" s="26" t="s">
        <v>198</v>
      </c>
      <c r="AK445" s="315">
        <v>0.65</v>
      </c>
      <c r="AL445" s="26" t="s">
        <v>198</v>
      </c>
      <c r="AM445" s="13">
        <f>2/10</f>
        <v>0.2</v>
      </c>
      <c r="AN445" s="26" t="s">
        <v>251</v>
      </c>
      <c r="AO445" s="13">
        <f>11/14</f>
        <v>0.7857142857142857</v>
      </c>
      <c r="AP445" s="26" t="s">
        <v>198</v>
      </c>
      <c r="AQ445" s="316">
        <f>14/25</f>
        <v>0.56000000000000005</v>
      </c>
      <c r="AR445" s="26" t="s">
        <v>251</v>
      </c>
      <c r="AS445" s="316">
        <f>28/50</f>
        <v>0.56000000000000005</v>
      </c>
      <c r="AT445" s="26" t="s">
        <v>251</v>
      </c>
      <c r="AU445" s="13">
        <v>0.4642857142857143</v>
      </c>
      <c r="AV445" s="26" t="s">
        <v>251</v>
      </c>
      <c r="AW445" s="13">
        <f>6/15</f>
        <v>0.4</v>
      </c>
      <c r="AX445" s="26" t="s">
        <v>251</v>
      </c>
      <c r="AY445" s="13">
        <f>13/21</f>
        <v>0.61904761904761907</v>
      </c>
      <c r="AZ445" s="26" t="s">
        <v>198</v>
      </c>
      <c r="BA445" s="13">
        <f>32/64</f>
        <v>0.5</v>
      </c>
      <c r="BB445" s="26" t="s">
        <v>251</v>
      </c>
      <c r="BC445" s="13">
        <f>7/20</f>
        <v>0.35</v>
      </c>
      <c r="BD445" s="26" t="s">
        <v>251</v>
      </c>
      <c r="BE445" s="13">
        <f>11/18</f>
        <v>0.61111111111111116</v>
      </c>
      <c r="BF445" s="26" t="s">
        <v>198</v>
      </c>
      <c r="BG445" s="13">
        <f>15/32</f>
        <v>0.46875</v>
      </c>
      <c r="BH445" s="26" t="s">
        <v>251</v>
      </c>
      <c r="BI445" s="13">
        <f>33/70</f>
        <v>0.47142857142857142</v>
      </c>
      <c r="BJ445" s="26" t="s">
        <v>251</v>
      </c>
      <c r="BK445" s="26" t="s">
        <v>323</v>
      </c>
      <c r="BL445" s="13" t="s">
        <v>11</v>
      </c>
      <c r="BM445" s="313" t="s">
        <v>11</v>
      </c>
      <c r="BN445" s="313" t="s">
        <v>11</v>
      </c>
      <c r="BO445" s="128" t="s">
        <v>11</v>
      </c>
      <c r="BP445" s="128" t="s">
        <v>11</v>
      </c>
      <c r="BQ445" s="128" t="s">
        <v>11</v>
      </c>
      <c r="BR445" s="128" t="s">
        <v>11</v>
      </c>
      <c r="BS445" s="13" t="s">
        <v>11</v>
      </c>
      <c r="BT445" s="128" t="str">
        <f>IF(BS445="NA","NA",IF(BS445="Not Reported","Not Reported",IF(BS445&lt;$L$445,"Not Met","Met")))</f>
        <v>NA</v>
      </c>
      <c r="BU445" s="13">
        <f>65/134</f>
        <v>0.48507462686567165</v>
      </c>
      <c r="BV445" s="128" t="str">
        <f>IF(BU445="NA","NA",IF(BU445="Not Reported","Not Reported",IF(BU445&lt;$L$445,"Not Met","Met")))</f>
        <v>Not Met</v>
      </c>
    </row>
    <row r="446" spans="1:74" x14ac:dyDescent="0.25">
      <c r="A446" s="121">
        <v>445</v>
      </c>
      <c r="B446" s="122" t="s">
        <v>26</v>
      </c>
      <c r="C446" s="27" t="s">
        <v>106</v>
      </c>
      <c r="D446" s="28" t="s">
        <v>920</v>
      </c>
      <c r="E446" s="28" t="s">
        <v>927</v>
      </c>
      <c r="F446" s="28" t="s">
        <v>190</v>
      </c>
      <c r="G446" s="28" t="s">
        <v>191</v>
      </c>
      <c r="H446" s="27" t="s">
        <v>212</v>
      </c>
      <c r="I446" s="124"/>
      <c r="J446" s="124"/>
      <c r="K446" s="27" t="s">
        <v>513</v>
      </c>
      <c r="L446" s="310">
        <v>0.4</v>
      </c>
      <c r="M446" s="310">
        <v>0.4</v>
      </c>
      <c r="N446" s="28" t="s">
        <v>514</v>
      </c>
      <c r="O446" s="28" t="s">
        <v>515</v>
      </c>
      <c r="P446" s="28" t="s">
        <v>207</v>
      </c>
      <c r="Q446" s="315">
        <v>0.64</v>
      </c>
      <c r="R446" s="26" t="s">
        <v>198</v>
      </c>
      <c r="S446" s="315">
        <v>0.46</v>
      </c>
      <c r="T446" s="26" t="s">
        <v>198</v>
      </c>
      <c r="U446" s="315">
        <v>0.36</v>
      </c>
      <c r="V446" s="31" t="s">
        <v>251</v>
      </c>
      <c r="W446" s="315">
        <v>0.38</v>
      </c>
      <c r="X446" s="31" t="s">
        <v>251</v>
      </c>
      <c r="Y446" s="310">
        <v>0.25</v>
      </c>
      <c r="Z446" s="26" t="s">
        <v>251</v>
      </c>
      <c r="AA446" s="13">
        <v>0.48571428571428571</v>
      </c>
      <c r="AB446" s="26" t="s">
        <v>198</v>
      </c>
      <c r="AC446" s="13">
        <f>30/76</f>
        <v>0.39473684210526316</v>
      </c>
      <c r="AD446" s="26" t="s">
        <v>251</v>
      </c>
      <c r="AE446" s="13">
        <f>6/13</f>
        <v>0.46153846153846156</v>
      </c>
      <c r="AF446" s="26" t="s">
        <v>198</v>
      </c>
      <c r="AG446" s="315">
        <v>0.22</v>
      </c>
      <c r="AH446" s="31" t="s">
        <v>251</v>
      </c>
      <c r="AI446" s="310">
        <v>0.37</v>
      </c>
      <c r="AJ446" s="31" t="s">
        <v>251</v>
      </c>
      <c r="AK446" s="310">
        <v>0.35</v>
      </c>
      <c r="AL446" s="31" t="s">
        <v>251</v>
      </c>
      <c r="AM446" s="13">
        <f>8/10</f>
        <v>0.8</v>
      </c>
      <c r="AN446" s="26" t="s">
        <v>198</v>
      </c>
      <c r="AO446" s="13">
        <f>3/14</f>
        <v>0.21428571428571427</v>
      </c>
      <c r="AP446" s="26" t="s">
        <v>251</v>
      </c>
      <c r="AQ446" s="316">
        <f>11/25</f>
        <v>0.44</v>
      </c>
      <c r="AR446" s="26" t="s">
        <v>198</v>
      </c>
      <c r="AS446" s="316">
        <f>22/50</f>
        <v>0.44</v>
      </c>
      <c r="AT446" s="26" t="s">
        <v>198</v>
      </c>
      <c r="AU446" s="13">
        <v>0.5357142857142857</v>
      </c>
      <c r="AV446" s="26" t="s">
        <v>198</v>
      </c>
      <c r="AW446" s="13">
        <f>9/15</f>
        <v>0.6</v>
      </c>
      <c r="AX446" s="26" t="s">
        <v>198</v>
      </c>
      <c r="AY446" s="13">
        <f>8/21</f>
        <v>0.38095238095238093</v>
      </c>
      <c r="AZ446" s="26" t="s">
        <v>251</v>
      </c>
      <c r="BA446" s="13">
        <f>32/64</f>
        <v>0.5</v>
      </c>
      <c r="BB446" s="26" t="s">
        <v>198</v>
      </c>
      <c r="BC446" s="13">
        <f>13/20</f>
        <v>0.65</v>
      </c>
      <c r="BD446" s="26" t="s">
        <v>198</v>
      </c>
      <c r="BE446" s="13">
        <f>7/18</f>
        <v>0.3888888888888889</v>
      </c>
      <c r="BF446" s="26" t="s">
        <v>251</v>
      </c>
      <c r="BG446" s="13">
        <f>17/32</f>
        <v>0.53125</v>
      </c>
      <c r="BH446" s="26" t="s">
        <v>198</v>
      </c>
      <c r="BI446" s="13">
        <f>37/70</f>
        <v>0.52857142857142858</v>
      </c>
      <c r="BJ446" s="26" t="s">
        <v>198</v>
      </c>
      <c r="BK446" s="26" t="s">
        <v>323</v>
      </c>
      <c r="BL446" s="13" t="s">
        <v>11</v>
      </c>
      <c r="BM446" s="313" t="s">
        <v>11</v>
      </c>
      <c r="BN446" s="313" t="s">
        <v>11</v>
      </c>
      <c r="BO446" s="128" t="s">
        <v>11</v>
      </c>
      <c r="BP446" s="128" t="s">
        <v>11</v>
      </c>
      <c r="BQ446" s="128" t="s">
        <v>11</v>
      </c>
      <c r="BR446" s="128" t="s">
        <v>11</v>
      </c>
      <c r="BS446" s="13" t="s">
        <v>11</v>
      </c>
      <c r="BT446" s="128" t="str">
        <f>IF(BS446="NA","NA",IF(BS446="Not Reported","Not Reported",IF(BS446&lt;$L$446,"Not Met","Met")))</f>
        <v>NA</v>
      </c>
      <c r="BU446" s="13">
        <f>69/134</f>
        <v>0.5149253731343284</v>
      </c>
      <c r="BV446" s="128" t="str">
        <f>IF(BU446="NA","NA",IF(BU446="Not Reported","Not Reported",IF(BU446&lt;$L$446,"Not Met","Met")))</f>
        <v>Met</v>
      </c>
    </row>
    <row r="447" spans="1:74" x14ac:dyDescent="0.25">
      <c r="A447" s="121">
        <v>446</v>
      </c>
      <c r="B447" s="122" t="s">
        <v>26</v>
      </c>
      <c r="C447" s="27" t="s">
        <v>106</v>
      </c>
      <c r="D447" s="28" t="s">
        <v>920</v>
      </c>
      <c r="E447" s="28" t="s">
        <v>927</v>
      </c>
      <c r="F447" s="28" t="s">
        <v>190</v>
      </c>
      <c r="G447" s="28" t="s">
        <v>191</v>
      </c>
      <c r="H447" s="27" t="s">
        <v>212</v>
      </c>
      <c r="I447" s="124"/>
      <c r="J447" s="124"/>
      <c r="K447" s="28" t="s">
        <v>264</v>
      </c>
      <c r="L447" s="310">
        <v>0.8</v>
      </c>
      <c r="M447" s="310">
        <v>0.8</v>
      </c>
      <c r="N447" s="28" t="s">
        <v>940</v>
      </c>
      <c r="O447" s="28" t="s">
        <v>267</v>
      </c>
      <c r="P447" s="28" t="s">
        <v>207</v>
      </c>
      <c r="Q447" s="315">
        <v>0.98</v>
      </c>
      <c r="R447" s="26" t="s">
        <v>198</v>
      </c>
      <c r="S447" s="315">
        <v>0.96</v>
      </c>
      <c r="T447" s="26" t="s">
        <v>198</v>
      </c>
      <c r="U447" s="315">
        <v>0.96</v>
      </c>
      <c r="V447" s="26" t="s">
        <v>198</v>
      </c>
      <c r="W447" s="310">
        <v>0.96</v>
      </c>
      <c r="X447" s="26" t="s">
        <v>198</v>
      </c>
      <c r="Y447" s="315">
        <v>0.98</v>
      </c>
      <c r="Z447" s="26" t="s">
        <v>198</v>
      </c>
      <c r="AA447" s="13">
        <v>0.98000000000000009</v>
      </c>
      <c r="AB447" s="26" t="s">
        <v>198</v>
      </c>
      <c r="AC447" s="13">
        <f>4.9/5</f>
        <v>0.98000000000000009</v>
      </c>
      <c r="AD447" s="26" t="s">
        <v>198</v>
      </c>
      <c r="AE447" s="13">
        <f>4.7/5</f>
        <v>0.94000000000000006</v>
      </c>
      <c r="AF447" s="26" t="s">
        <v>198</v>
      </c>
      <c r="AG447" s="315">
        <v>0.96</v>
      </c>
      <c r="AH447" s="26" t="s">
        <v>198</v>
      </c>
      <c r="AI447" s="315">
        <v>0.98</v>
      </c>
      <c r="AJ447" s="26" t="s">
        <v>198</v>
      </c>
      <c r="AK447" s="315">
        <v>0.98</v>
      </c>
      <c r="AL447" s="26" t="s">
        <v>198</v>
      </c>
      <c r="AM447" s="13">
        <f>5/5</f>
        <v>1</v>
      </c>
      <c r="AN447" s="26" t="s">
        <v>198</v>
      </c>
      <c r="AO447" s="13">
        <f>4.7/5</f>
        <v>0.94000000000000006</v>
      </c>
      <c r="AP447" s="26" t="s">
        <v>198</v>
      </c>
      <c r="AQ447" s="316">
        <f>4.9/5</f>
        <v>0.98000000000000009</v>
      </c>
      <c r="AR447" s="26" t="s">
        <v>198</v>
      </c>
      <c r="AS447" s="316">
        <f>5/5</f>
        <v>1</v>
      </c>
      <c r="AT447" s="26" t="s">
        <v>198</v>
      </c>
      <c r="AU447" s="13">
        <v>0.94000000000000006</v>
      </c>
      <c r="AV447" s="26" t="s">
        <v>198</v>
      </c>
      <c r="AW447" s="13">
        <f>5/5</f>
        <v>1</v>
      </c>
      <c r="AX447" s="26" t="s">
        <v>198</v>
      </c>
      <c r="AY447" s="13">
        <f>5/5</f>
        <v>1</v>
      </c>
      <c r="AZ447" s="26" t="s">
        <v>198</v>
      </c>
      <c r="BA447" s="13">
        <f>4.9/5</f>
        <v>0.98000000000000009</v>
      </c>
      <c r="BB447" s="26" t="s">
        <v>198</v>
      </c>
      <c r="BC447" s="316">
        <f>4.9/5</f>
        <v>0.98000000000000009</v>
      </c>
      <c r="BD447" s="26" t="s">
        <v>198</v>
      </c>
      <c r="BE447" s="316">
        <f>4.9/5</f>
        <v>0.98000000000000009</v>
      </c>
      <c r="BF447" s="26" t="s">
        <v>198</v>
      </c>
      <c r="BG447" s="13">
        <f>4.9/5</f>
        <v>0.98000000000000009</v>
      </c>
      <c r="BH447" s="26" t="s">
        <v>198</v>
      </c>
      <c r="BI447" s="13">
        <f>4.9/5</f>
        <v>0.98000000000000009</v>
      </c>
      <c r="BJ447" s="26" t="s">
        <v>198</v>
      </c>
      <c r="BK447" s="26" t="s">
        <v>323</v>
      </c>
      <c r="BL447" s="13" t="s">
        <v>11</v>
      </c>
      <c r="BM447" s="313" t="s">
        <v>11</v>
      </c>
      <c r="BN447" s="313" t="s">
        <v>11</v>
      </c>
      <c r="BO447" s="128" t="s">
        <v>11</v>
      </c>
      <c r="BP447" s="128" t="s">
        <v>11</v>
      </c>
      <c r="BQ447" s="128" t="s">
        <v>11</v>
      </c>
      <c r="BR447" s="128" t="s">
        <v>11</v>
      </c>
      <c r="BS447" s="13" t="s">
        <v>11</v>
      </c>
      <c r="BT447" s="128" t="str">
        <f>IF(BS447="NA","NA",IF(BS447="Not Reported","Not Reported",IF(BS447&lt;$L$447,"Not Met","Met")))</f>
        <v>NA</v>
      </c>
      <c r="BU447" s="13">
        <f>4.9/5</f>
        <v>0.98000000000000009</v>
      </c>
      <c r="BV447" s="128" t="str">
        <f>IF(BU447="NA","NA",IF(BU447="Not Reported","Not Reported",IF(BU447&lt;$L$447,"Not Met","Met")))</f>
        <v>Met</v>
      </c>
    </row>
    <row r="448" spans="1:74" x14ac:dyDescent="0.25">
      <c r="A448" s="121">
        <v>447</v>
      </c>
      <c r="B448" s="122" t="s">
        <v>26</v>
      </c>
      <c r="C448" s="27" t="s">
        <v>106</v>
      </c>
      <c r="D448" s="28" t="s">
        <v>920</v>
      </c>
      <c r="E448" s="28" t="s">
        <v>927</v>
      </c>
      <c r="F448" s="28" t="s">
        <v>190</v>
      </c>
      <c r="G448" s="28" t="s">
        <v>191</v>
      </c>
      <c r="H448" s="27" t="s">
        <v>212</v>
      </c>
      <c r="I448" s="124"/>
      <c r="J448" s="124"/>
      <c r="K448" s="28" t="s">
        <v>516</v>
      </c>
      <c r="L448" s="310">
        <v>0.8</v>
      </c>
      <c r="M448" s="310">
        <v>0.8</v>
      </c>
      <c r="N448" s="28" t="s">
        <v>941</v>
      </c>
      <c r="O448" s="28" t="s">
        <v>272</v>
      </c>
      <c r="P448" s="28" t="s">
        <v>207</v>
      </c>
      <c r="Q448" s="315">
        <v>0.9</v>
      </c>
      <c r="R448" s="26" t="s">
        <v>198</v>
      </c>
      <c r="S448" s="315">
        <v>0.67</v>
      </c>
      <c r="T448" s="26" t="s">
        <v>251</v>
      </c>
      <c r="U448" s="315">
        <v>0.92</v>
      </c>
      <c r="V448" s="26" t="s">
        <v>198</v>
      </c>
      <c r="W448" s="310">
        <v>0.9</v>
      </c>
      <c r="X448" s="26" t="s">
        <v>198</v>
      </c>
      <c r="Y448" s="315">
        <v>0.98</v>
      </c>
      <c r="Z448" s="26" t="s">
        <v>198</v>
      </c>
      <c r="AA448" s="13">
        <v>0.91999999999999993</v>
      </c>
      <c r="AB448" s="26" t="s">
        <v>198</v>
      </c>
      <c r="AC448" s="13">
        <f>4.7/5</f>
        <v>0.94000000000000006</v>
      </c>
      <c r="AD448" s="26" t="s">
        <v>198</v>
      </c>
      <c r="AE448" s="13">
        <f>5/5</f>
        <v>1</v>
      </c>
      <c r="AF448" s="26" t="s">
        <v>198</v>
      </c>
      <c r="AG448" s="315">
        <v>0.96</v>
      </c>
      <c r="AH448" s="26" t="s">
        <v>198</v>
      </c>
      <c r="AI448" s="315">
        <v>0.96</v>
      </c>
      <c r="AJ448" s="26" t="s">
        <v>198</v>
      </c>
      <c r="AK448" s="315">
        <v>0.96</v>
      </c>
      <c r="AL448" s="26" t="s">
        <v>198</v>
      </c>
      <c r="AM448" s="13">
        <f>5/5</f>
        <v>1</v>
      </c>
      <c r="AN448" s="26" t="s">
        <v>198</v>
      </c>
      <c r="AO448" s="13">
        <f>4.8/5</f>
        <v>0.96</v>
      </c>
      <c r="AP448" s="26" t="s">
        <v>198</v>
      </c>
      <c r="AQ448" s="316">
        <f>4.8/5</f>
        <v>0.96</v>
      </c>
      <c r="AR448" s="26" t="s">
        <v>198</v>
      </c>
      <c r="AS448" s="316">
        <f>4.8/5</f>
        <v>0.96</v>
      </c>
      <c r="AT448" s="26" t="s">
        <v>198</v>
      </c>
      <c r="AU448" s="13">
        <v>0.88000000000000012</v>
      </c>
      <c r="AV448" s="26" t="s">
        <v>198</v>
      </c>
      <c r="AW448" s="13">
        <f>5/5</f>
        <v>1</v>
      </c>
      <c r="AX448" s="26" t="s">
        <v>198</v>
      </c>
      <c r="AY448" s="13">
        <f>5/5</f>
        <v>1</v>
      </c>
      <c r="AZ448" s="26" t="s">
        <v>198</v>
      </c>
      <c r="BA448" s="13">
        <f>4.8/5</f>
        <v>0.96</v>
      </c>
      <c r="BB448" s="26" t="s">
        <v>198</v>
      </c>
      <c r="BC448" s="316">
        <f>4.9/5</f>
        <v>0.98000000000000009</v>
      </c>
      <c r="BD448" s="26" t="s">
        <v>198</v>
      </c>
      <c r="BE448" s="316">
        <f>5/5</f>
        <v>1</v>
      </c>
      <c r="BF448" s="26" t="s">
        <v>198</v>
      </c>
      <c r="BG448" s="13">
        <f>4.9/5</f>
        <v>0.98000000000000009</v>
      </c>
      <c r="BH448" s="26" t="s">
        <v>198</v>
      </c>
      <c r="BI448" s="13">
        <f>4.9/5</f>
        <v>0.98000000000000009</v>
      </c>
      <c r="BJ448" s="26" t="s">
        <v>198</v>
      </c>
      <c r="BK448" s="26" t="s">
        <v>323</v>
      </c>
      <c r="BL448" s="13" t="s">
        <v>11</v>
      </c>
      <c r="BM448" s="313" t="s">
        <v>11</v>
      </c>
      <c r="BN448" s="313" t="s">
        <v>11</v>
      </c>
      <c r="BO448" s="128" t="s">
        <v>11</v>
      </c>
      <c r="BP448" s="128" t="s">
        <v>11</v>
      </c>
      <c r="BQ448" s="128" t="s">
        <v>11</v>
      </c>
      <c r="BR448" s="128" t="s">
        <v>11</v>
      </c>
      <c r="BS448" s="13" t="s">
        <v>11</v>
      </c>
      <c r="BT448" s="128" t="str">
        <f>IF(BS448="NA","NA",IF(BS448="Not Reported","Not Reported",IF(BS448&lt;$L$448,"Not Met","Met")))</f>
        <v>NA</v>
      </c>
      <c r="BU448" s="13">
        <f>4.9/5</f>
        <v>0.98000000000000009</v>
      </c>
      <c r="BV448" s="128" t="str">
        <f>IF(BU448="NA","NA",IF(BU448="Not Reported","Not Reported",IF(BU448&lt;$L$448,"Not Met","Met")))</f>
        <v>Met</v>
      </c>
    </row>
    <row r="449" spans="1:74 16345:16354" x14ac:dyDescent="0.25">
      <c r="A449" s="121">
        <v>448</v>
      </c>
      <c r="B449" s="122" t="s">
        <v>26</v>
      </c>
      <c r="C449" s="27" t="s">
        <v>106</v>
      </c>
      <c r="D449" s="28" t="s">
        <v>920</v>
      </c>
      <c r="E449" s="28" t="s">
        <v>927</v>
      </c>
      <c r="F449" s="28" t="s">
        <v>190</v>
      </c>
      <c r="G449" s="28" t="s">
        <v>191</v>
      </c>
      <c r="H449" s="27" t="s">
        <v>212</v>
      </c>
      <c r="I449" s="124"/>
      <c r="J449" s="124"/>
      <c r="K449" s="28" t="s">
        <v>259</v>
      </c>
      <c r="L449" s="310">
        <v>0.35</v>
      </c>
      <c r="M449" s="310">
        <v>0.35</v>
      </c>
      <c r="N449" s="27" t="s">
        <v>942</v>
      </c>
      <c r="O449" s="28" t="s">
        <v>943</v>
      </c>
      <c r="P449" s="28" t="s">
        <v>207</v>
      </c>
      <c r="Q449" s="310">
        <v>0.14000000000000001</v>
      </c>
      <c r="R449" s="31" t="s">
        <v>251</v>
      </c>
      <c r="S449" s="310">
        <v>0.21</v>
      </c>
      <c r="T449" s="31" t="s">
        <v>251</v>
      </c>
      <c r="U449" s="310">
        <v>0.64</v>
      </c>
      <c r="V449" s="26" t="s">
        <v>198</v>
      </c>
      <c r="W449" s="310">
        <v>0.24</v>
      </c>
      <c r="X449" s="31" t="s">
        <v>251</v>
      </c>
      <c r="Y449" s="310">
        <v>0.35</v>
      </c>
      <c r="Z449" s="26" t="s">
        <v>198</v>
      </c>
      <c r="AA449" s="13">
        <v>0.51428571428571423</v>
      </c>
      <c r="AB449" s="26" t="s">
        <v>198</v>
      </c>
      <c r="AC449" s="13">
        <f>30/76</f>
        <v>0.39473684210526316</v>
      </c>
      <c r="AD449" s="26" t="s">
        <v>198</v>
      </c>
      <c r="AE449" s="13">
        <f>6/13</f>
        <v>0.46153846153846156</v>
      </c>
      <c r="AF449" s="26" t="s">
        <v>198</v>
      </c>
      <c r="AG449" s="315">
        <v>0.33</v>
      </c>
      <c r="AH449" s="31" t="s">
        <v>251</v>
      </c>
      <c r="AI449" s="310">
        <v>0.5</v>
      </c>
      <c r="AJ449" s="26" t="s">
        <v>198</v>
      </c>
      <c r="AK449" s="310">
        <v>0.45</v>
      </c>
      <c r="AL449" s="26" t="s">
        <v>198</v>
      </c>
      <c r="AM449" s="13">
        <f>3/10</f>
        <v>0.3</v>
      </c>
      <c r="AN449" s="26" t="s">
        <v>251</v>
      </c>
      <c r="AO449" s="13">
        <f>6/14</f>
        <v>0.42857142857142855</v>
      </c>
      <c r="AP449" s="26" t="s">
        <v>198</v>
      </c>
      <c r="AQ449" s="316">
        <f>9/25</f>
        <v>0.36</v>
      </c>
      <c r="AR449" s="26" t="s">
        <v>198</v>
      </c>
      <c r="AS449" s="316">
        <f>19/50</f>
        <v>0.38</v>
      </c>
      <c r="AT449" s="26" t="s">
        <v>198</v>
      </c>
      <c r="AU449" s="13">
        <v>7.1428571428571425E-2</v>
      </c>
      <c r="AV449" s="26" t="s">
        <v>251</v>
      </c>
      <c r="AW449" s="13">
        <f>1/15</f>
        <v>6.6666666666666666E-2</v>
      </c>
      <c r="AX449" s="26" t="s">
        <v>251</v>
      </c>
      <c r="AY449" s="13">
        <f>7/21</f>
        <v>0.33333333333333331</v>
      </c>
      <c r="AZ449" s="26" t="s">
        <v>251</v>
      </c>
      <c r="BA449" s="13">
        <f>14/67</f>
        <v>0.20895522388059701</v>
      </c>
      <c r="BB449" s="26" t="s">
        <v>251</v>
      </c>
      <c r="BC449" s="13">
        <f>8/20</f>
        <v>0.4</v>
      </c>
      <c r="BD449" s="26" t="s">
        <v>198</v>
      </c>
      <c r="BE449" s="316">
        <f>3/18</f>
        <v>0.16666666666666666</v>
      </c>
      <c r="BF449" s="26" t="s">
        <v>251</v>
      </c>
      <c r="BG449" s="316">
        <f>14/32</f>
        <v>0.4375</v>
      </c>
      <c r="BH449" s="26" t="s">
        <v>198</v>
      </c>
      <c r="BI449" s="316">
        <f>25/70</f>
        <v>0.35714285714285715</v>
      </c>
      <c r="BJ449" s="26" t="s">
        <v>198</v>
      </c>
      <c r="BK449" s="26" t="s">
        <v>323</v>
      </c>
      <c r="BL449" s="13" t="s">
        <v>11</v>
      </c>
      <c r="BM449" s="313" t="s">
        <v>11</v>
      </c>
      <c r="BN449" s="313" t="s">
        <v>11</v>
      </c>
      <c r="BO449" s="128" t="s">
        <v>11</v>
      </c>
      <c r="BP449" s="128" t="s">
        <v>11</v>
      </c>
      <c r="BQ449" s="128" t="s">
        <v>11</v>
      </c>
      <c r="BR449" s="128" t="s">
        <v>11</v>
      </c>
      <c r="BS449" s="13" t="s">
        <v>11</v>
      </c>
      <c r="BT449" s="128" t="str">
        <f>IF(BS449="NA","NA",IF(BS449="Not Reported","Not Reported",IF(BS449&lt;$L$449,"Not Met","Met")))</f>
        <v>NA</v>
      </c>
      <c r="BU449" s="13">
        <f>39/134</f>
        <v>0.29104477611940299</v>
      </c>
      <c r="BV449" s="128" t="str">
        <f>IF(BU449="NA","NA",IF(BU449="Not Reported","Not Reported",IF(BU449&lt;$L$449,"Not Met","Met")))</f>
        <v>Not Met</v>
      </c>
    </row>
    <row r="450" spans="1:74 16345:16354" x14ac:dyDescent="0.25">
      <c r="A450" s="121">
        <v>449</v>
      </c>
      <c r="B450" s="122" t="s">
        <v>26</v>
      </c>
      <c r="C450" s="27" t="s">
        <v>106</v>
      </c>
      <c r="D450" s="28" t="s">
        <v>920</v>
      </c>
      <c r="E450" s="28" t="s">
        <v>927</v>
      </c>
      <c r="F450" s="28" t="s">
        <v>190</v>
      </c>
      <c r="G450" s="28" t="s">
        <v>191</v>
      </c>
      <c r="H450" s="27" t="s">
        <v>212</v>
      </c>
      <c r="I450" s="124"/>
      <c r="J450" s="124"/>
      <c r="K450" s="27" t="s">
        <v>292</v>
      </c>
      <c r="L450" s="310">
        <v>0.15</v>
      </c>
      <c r="M450" s="310">
        <v>0.15</v>
      </c>
      <c r="N450" s="27" t="s">
        <v>294</v>
      </c>
      <c r="O450" s="27" t="s">
        <v>295</v>
      </c>
      <c r="P450" s="28" t="s">
        <v>207</v>
      </c>
      <c r="Q450" s="315">
        <v>0.08</v>
      </c>
      <c r="R450" s="26" t="s">
        <v>198</v>
      </c>
      <c r="S450" s="315">
        <v>0.12</v>
      </c>
      <c r="T450" s="26" t="s">
        <v>198</v>
      </c>
      <c r="U450" s="315">
        <v>0.04</v>
      </c>
      <c r="V450" s="26" t="s">
        <v>198</v>
      </c>
      <c r="W450" s="310">
        <v>0.09</v>
      </c>
      <c r="X450" s="26" t="s">
        <v>198</v>
      </c>
      <c r="Y450" s="315">
        <v>0.06</v>
      </c>
      <c r="Z450" s="26" t="s">
        <v>198</v>
      </c>
      <c r="AA450" s="13">
        <v>9.5238095238095233E-2</v>
      </c>
      <c r="AB450" s="26" t="s">
        <v>198</v>
      </c>
      <c r="AC450" s="13">
        <f>6/69</f>
        <v>8.6956521739130432E-2</v>
      </c>
      <c r="AD450" s="26" t="s">
        <v>198</v>
      </c>
      <c r="AE450" s="13">
        <f>2/14</f>
        <v>0.14285714285714285</v>
      </c>
      <c r="AF450" s="26" t="s">
        <v>198</v>
      </c>
      <c r="AG450" s="315">
        <v>0.12</v>
      </c>
      <c r="AH450" s="26" t="s">
        <v>198</v>
      </c>
      <c r="AI450" s="315">
        <v>0</v>
      </c>
      <c r="AJ450" s="26" t="s">
        <v>198</v>
      </c>
      <c r="AK450" s="315">
        <v>0</v>
      </c>
      <c r="AL450" s="26" t="s">
        <v>198</v>
      </c>
      <c r="AM450" s="13">
        <f>1/11</f>
        <v>9.0909090909090912E-2</v>
      </c>
      <c r="AN450" s="26" t="s">
        <v>198</v>
      </c>
      <c r="AO450" s="13">
        <f>3/28</f>
        <v>0.10714285714285714</v>
      </c>
      <c r="AP450" s="26" t="s">
        <v>198</v>
      </c>
      <c r="AQ450" s="316">
        <f>1/25</f>
        <v>0.04</v>
      </c>
      <c r="AR450" s="26" t="s">
        <v>198</v>
      </c>
      <c r="AS450" s="316">
        <f>5/63</f>
        <v>7.9365079365079361E-2</v>
      </c>
      <c r="AT450" s="26" t="s">
        <v>198</v>
      </c>
      <c r="AU450" s="13">
        <v>0</v>
      </c>
      <c r="AV450" s="26" t="s">
        <v>198</v>
      </c>
      <c r="AW450" s="13">
        <f>2/19</f>
        <v>0.10526315789473684</v>
      </c>
      <c r="AX450" s="26" t="s">
        <v>198</v>
      </c>
      <c r="AY450" s="13">
        <f>2/31</f>
        <v>6.4516129032258063E-2</v>
      </c>
      <c r="AZ450" s="26" t="s">
        <v>198</v>
      </c>
      <c r="BA450" s="13">
        <f>4/66</f>
        <v>6.0606060606060608E-2</v>
      </c>
      <c r="BB450" s="26" t="s">
        <v>198</v>
      </c>
      <c r="BC450" s="316">
        <f>1/29</f>
        <v>3.4482758620689655E-2</v>
      </c>
      <c r="BD450" s="26" t="s">
        <v>198</v>
      </c>
      <c r="BE450" s="316">
        <f>2/33</f>
        <v>6.0606060606060608E-2</v>
      </c>
      <c r="BF450" s="26" t="s">
        <v>198</v>
      </c>
      <c r="BG450" s="316">
        <f>5/27</f>
        <v>0.18518518518518517</v>
      </c>
      <c r="BH450" s="26" t="s">
        <v>251</v>
      </c>
      <c r="BI450" s="316">
        <f>8/89</f>
        <v>8.98876404494382E-2</v>
      </c>
      <c r="BJ450" s="26" t="s">
        <v>198</v>
      </c>
      <c r="BK450" s="26" t="s">
        <v>323</v>
      </c>
      <c r="BL450" s="13" t="s">
        <v>11</v>
      </c>
      <c r="BM450" s="313" t="s">
        <v>11</v>
      </c>
      <c r="BN450" s="313" t="s">
        <v>11</v>
      </c>
      <c r="BO450" s="128" t="s">
        <v>11</v>
      </c>
      <c r="BP450" s="128" t="s">
        <v>11</v>
      </c>
      <c r="BQ450" s="128" t="s">
        <v>11</v>
      </c>
      <c r="BR450" s="128" t="s">
        <v>11</v>
      </c>
      <c r="BS450" s="13" t="s">
        <v>11</v>
      </c>
      <c r="BT450" s="128" t="str">
        <f>IF(BS450="NA","NA",IF(BS450="Not Reported","Not Reported",IF(BS450&gt;$L$450,"Not Met","Met")))</f>
        <v>NA</v>
      </c>
      <c r="BU450" s="13">
        <f>13/156</f>
        <v>8.3333333333333329E-2</v>
      </c>
      <c r="BV450" s="128" t="str">
        <f>IF(BU450="NA","NA",IF(BU450="Not Reported","Not Reported",IF(BU450&gt;$L$450,"Not Met","Met")))</f>
        <v>Met</v>
      </c>
    </row>
    <row r="451" spans="1:74 16345:16354" x14ac:dyDescent="0.2">
      <c r="A451" s="121">
        <v>450</v>
      </c>
      <c r="B451" s="122" t="s">
        <v>26</v>
      </c>
      <c r="C451" s="27" t="s">
        <v>106</v>
      </c>
      <c r="D451" s="28" t="s">
        <v>920</v>
      </c>
      <c r="E451" s="28" t="s">
        <v>927</v>
      </c>
      <c r="F451" s="28" t="s">
        <v>190</v>
      </c>
      <c r="G451" s="28" t="s">
        <v>191</v>
      </c>
      <c r="H451" s="27" t="s">
        <v>212</v>
      </c>
      <c r="I451" s="124"/>
      <c r="J451" s="124"/>
      <c r="K451" s="27" t="s">
        <v>326</v>
      </c>
      <c r="L451" s="310">
        <v>0.2</v>
      </c>
      <c r="M451" s="310">
        <v>0.2</v>
      </c>
      <c r="N451" s="27" t="s">
        <v>944</v>
      </c>
      <c r="O451" s="28" t="s">
        <v>945</v>
      </c>
      <c r="P451" s="28" t="s">
        <v>207</v>
      </c>
      <c r="Q451" s="315">
        <v>0.18</v>
      </c>
      <c r="R451" s="26" t="s">
        <v>198</v>
      </c>
      <c r="S451" s="315">
        <v>0.28999999999999998</v>
      </c>
      <c r="T451" s="26" t="s">
        <v>251</v>
      </c>
      <c r="U451" s="315">
        <v>0.32</v>
      </c>
      <c r="V451" s="31" t="s">
        <v>251</v>
      </c>
      <c r="W451" s="315">
        <v>0.24</v>
      </c>
      <c r="X451" s="31" t="s">
        <v>251</v>
      </c>
      <c r="Y451" s="310">
        <v>0.35</v>
      </c>
      <c r="Z451" s="26" t="s">
        <v>251</v>
      </c>
      <c r="AA451" s="13">
        <v>0.22857142857142856</v>
      </c>
      <c r="AB451" s="31" t="s">
        <v>251</v>
      </c>
      <c r="AC451" s="13">
        <f>20/76</f>
        <v>0.26315789473684209</v>
      </c>
      <c r="AD451" s="26" t="s">
        <v>251</v>
      </c>
      <c r="AE451" s="13">
        <f>2/13</f>
        <v>0.15384615384615385</v>
      </c>
      <c r="AF451" s="26" t="s">
        <v>198</v>
      </c>
      <c r="AG451" s="315">
        <v>0.44</v>
      </c>
      <c r="AH451" s="31" t="s">
        <v>251</v>
      </c>
      <c r="AI451" s="310">
        <v>0.17</v>
      </c>
      <c r="AJ451" s="26" t="s">
        <v>198</v>
      </c>
      <c r="AK451" s="310">
        <v>0.23</v>
      </c>
      <c r="AL451" s="31" t="s">
        <v>251</v>
      </c>
      <c r="AM451" s="13">
        <f>2/10</f>
        <v>0.2</v>
      </c>
      <c r="AN451" s="26" t="s">
        <v>198</v>
      </c>
      <c r="AO451" s="13">
        <f>2/14</f>
        <v>0.14285714285714285</v>
      </c>
      <c r="AP451" s="26" t="s">
        <v>198</v>
      </c>
      <c r="AQ451" s="316">
        <f>5/25</f>
        <v>0.2</v>
      </c>
      <c r="AR451" s="26" t="s">
        <v>198</v>
      </c>
      <c r="AS451" s="316">
        <f>9/50</f>
        <v>0.18</v>
      </c>
      <c r="AT451" s="26" t="s">
        <v>198</v>
      </c>
      <c r="AU451" s="315">
        <v>0.11</v>
      </c>
      <c r="AV451" s="26" t="s">
        <v>198</v>
      </c>
      <c r="AW451" s="13">
        <f>4/15</f>
        <v>0.26666666666666666</v>
      </c>
      <c r="AX451" s="26" t="s">
        <v>251</v>
      </c>
      <c r="AY451" s="13">
        <f>3/21</f>
        <v>0.14285714285714285</v>
      </c>
      <c r="AZ451" s="26" t="s">
        <v>198</v>
      </c>
      <c r="BA451" s="13">
        <f>10/64</f>
        <v>0.15625</v>
      </c>
      <c r="BB451" s="26" t="s">
        <v>198</v>
      </c>
      <c r="BC451" s="13">
        <f>3/20</f>
        <v>0.15</v>
      </c>
      <c r="BD451" s="26" t="s">
        <v>198</v>
      </c>
      <c r="BE451" s="13">
        <f>3/18</f>
        <v>0.16666666666666666</v>
      </c>
      <c r="BF451" s="26" t="s">
        <v>198</v>
      </c>
      <c r="BG451" s="13">
        <f>11/32</f>
        <v>0.34375</v>
      </c>
      <c r="BH451" s="26" t="s">
        <v>251</v>
      </c>
      <c r="BI451" s="13">
        <f>17/70</f>
        <v>0.24285714285714285</v>
      </c>
      <c r="BJ451" s="26" t="s">
        <v>251</v>
      </c>
      <c r="BK451" s="26" t="s">
        <v>323</v>
      </c>
      <c r="BL451" s="13" t="s">
        <v>11</v>
      </c>
      <c r="BM451" s="313" t="s">
        <v>11</v>
      </c>
      <c r="BN451" s="313" t="s">
        <v>11</v>
      </c>
      <c r="BO451" s="128" t="s">
        <v>11</v>
      </c>
      <c r="BP451" s="162" t="s">
        <v>11</v>
      </c>
      <c r="BQ451" s="128" t="s">
        <v>11</v>
      </c>
      <c r="BR451" s="162" t="s">
        <v>11</v>
      </c>
      <c r="BS451" s="13" t="s">
        <v>11</v>
      </c>
      <c r="BT451" s="162" t="str">
        <f>IF(BS451="NA","NA",IF(BS451="Not Reported","Not Reported",IF(BS451&gt;$L$451,"Not Met","Met")))</f>
        <v>NA</v>
      </c>
      <c r="BU451" s="13">
        <f>27/134</f>
        <v>0.20149253731343283</v>
      </c>
      <c r="BV451" s="162" t="str">
        <f>IF(BU451="NA","NA",IF(BU451="Not Reported","Not Reported",IF(BU451&gt;$L$451,"Not Met","Met")))</f>
        <v>Not Met</v>
      </c>
    </row>
    <row r="452" spans="1:74 16345:16354" x14ac:dyDescent="0.25">
      <c r="A452" s="121">
        <v>451</v>
      </c>
      <c r="B452" s="122" t="s">
        <v>26</v>
      </c>
      <c r="C452" s="27" t="s">
        <v>106</v>
      </c>
      <c r="D452" s="28" t="s">
        <v>920</v>
      </c>
      <c r="E452" s="28" t="s">
        <v>927</v>
      </c>
      <c r="F452" s="28" t="s">
        <v>190</v>
      </c>
      <c r="G452" s="27" t="s">
        <v>273</v>
      </c>
      <c r="H452" s="27" t="s">
        <v>192</v>
      </c>
      <c r="I452" s="124"/>
      <c r="J452" s="124"/>
      <c r="K452" s="30" t="s">
        <v>274</v>
      </c>
      <c r="L452" s="31">
        <v>135</v>
      </c>
      <c r="M452" s="31" t="s">
        <v>874</v>
      </c>
      <c r="N452" s="27" t="s">
        <v>946</v>
      </c>
      <c r="O452" s="28" t="s">
        <v>947</v>
      </c>
      <c r="P452" s="28" t="s">
        <v>207</v>
      </c>
      <c r="Q452" s="26" t="s">
        <v>517</v>
      </c>
      <c r="R452" s="26" t="s">
        <v>198</v>
      </c>
      <c r="S452" s="26" t="s">
        <v>518</v>
      </c>
      <c r="T452" s="26" t="s">
        <v>198</v>
      </c>
      <c r="U452" s="26">
        <v>98</v>
      </c>
      <c r="V452" s="26" t="s">
        <v>198</v>
      </c>
      <c r="W452" s="31" t="s">
        <v>929</v>
      </c>
      <c r="X452" s="26" t="s">
        <v>198</v>
      </c>
      <c r="Y452" s="26" t="s">
        <v>930</v>
      </c>
      <c r="Z452" s="26" t="s">
        <v>198</v>
      </c>
      <c r="AA452" s="31" t="s">
        <v>519</v>
      </c>
      <c r="AB452" s="26" t="s">
        <v>198</v>
      </c>
      <c r="AC452" s="31" t="s">
        <v>520</v>
      </c>
      <c r="AD452" s="26" t="s">
        <v>198</v>
      </c>
      <c r="AE452" s="31" t="s">
        <v>931</v>
      </c>
      <c r="AF452" s="26" t="s">
        <v>198</v>
      </c>
      <c r="AG452" s="26" t="s">
        <v>932</v>
      </c>
      <c r="AH452" s="26" t="s">
        <v>198</v>
      </c>
      <c r="AI452" s="26" t="s">
        <v>933</v>
      </c>
      <c r="AJ452" s="26" t="s">
        <v>198</v>
      </c>
      <c r="AK452" s="26" t="s">
        <v>521</v>
      </c>
      <c r="AL452" s="26" t="s">
        <v>198</v>
      </c>
      <c r="AM452" s="26" t="s">
        <v>522</v>
      </c>
      <c r="AN452" s="26" t="s">
        <v>198</v>
      </c>
      <c r="AO452" s="26" t="s">
        <v>934</v>
      </c>
      <c r="AP452" s="26" t="s">
        <v>198</v>
      </c>
      <c r="AQ452" s="26" t="s">
        <v>485</v>
      </c>
      <c r="AR452" s="26" t="s">
        <v>198</v>
      </c>
      <c r="AS452" s="26" t="s">
        <v>523</v>
      </c>
      <c r="AT452" s="26" t="s">
        <v>198</v>
      </c>
      <c r="AU452" s="26" t="s">
        <v>524</v>
      </c>
      <c r="AV452" s="26" t="s">
        <v>198</v>
      </c>
      <c r="AW452" s="31" t="s">
        <v>329</v>
      </c>
      <c r="AX452" s="26" t="s">
        <v>198</v>
      </c>
      <c r="AY452" s="31" t="s">
        <v>460</v>
      </c>
      <c r="AZ452" s="26" t="s">
        <v>198</v>
      </c>
      <c r="BA452" s="31" t="s">
        <v>463</v>
      </c>
      <c r="BB452" s="26" t="s">
        <v>198</v>
      </c>
      <c r="BC452" s="31" t="s">
        <v>487</v>
      </c>
      <c r="BD452" s="26" t="s">
        <v>198</v>
      </c>
      <c r="BE452" s="31" t="s">
        <v>329</v>
      </c>
      <c r="BF452" s="26" t="s">
        <v>198</v>
      </c>
      <c r="BG452" s="31" t="s">
        <v>519</v>
      </c>
      <c r="BH452" s="26" t="s">
        <v>198</v>
      </c>
      <c r="BI452" s="31" t="s">
        <v>331</v>
      </c>
      <c r="BJ452" s="26" t="s">
        <v>198</v>
      </c>
      <c r="BK452" s="26" t="s">
        <v>323</v>
      </c>
      <c r="BL452" s="13" t="s">
        <v>11</v>
      </c>
      <c r="BM452" s="313" t="s">
        <v>11</v>
      </c>
      <c r="BN452" s="313" t="s">
        <v>11</v>
      </c>
      <c r="BO452" s="128" t="s">
        <v>11</v>
      </c>
      <c r="BP452" s="121" t="s">
        <v>11</v>
      </c>
      <c r="BQ452" s="128" t="s">
        <v>11</v>
      </c>
      <c r="BR452" s="121" t="s">
        <v>11</v>
      </c>
      <c r="BS452" s="13" t="s">
        <v>11</v>
      </c>
      <c r="BT452" s="121" t="str">
        <f>IF(BS452="NA","NA",IF(BS452="Not Reported","Not Reported",IF(BS452&gt;$L$452,"Not Met","Met")))</f>
        <v>NA</v>
      </c>
      <c r="BU452" s="31">
        <v>85</v>
      </c>
      <c r="BV452" s="121" t="str">
        <f>IF(BU452="NA","NA",IF(BU452="Not Reported","Not Reported",IF(BU452&gt;$L$452,"Not Met","Met")))</f>
        <v>Met</v>
      </c>
    </row>
    <row r="453" spans="1:74 16345:16354" x14ac:dyDescent="0.25">
      <c r="A453" s="121">
        <v>452</v>
      </c>
      <c r="B453" s="122" t="s">
        <v>26</v>
      </c>
      <c r="C453" s="27" t="s">
        <v>106</v>
      </c>
      <c r="D453" s="28" t="s">
        <v>920</v>
      </c>
      <c r="E453" s="28" t="s">
        <v>927</v>
      </c>
      <c r="F453" s="28" t="s">
        <v>190</v>
      </c>
      <c r="G453" s="27" t="s">
        <v>273</v>
      </c>
      <c r="H453" s="27" t="s">
        <v>192</v>
      </c>
      <c r="I453" s="124"/>
      <c r="J453" s="124"/>
      <c r="K453" s="30" t="s">
        <v>289</v>
      </c>
      <c r="L453" s="311">
        <v>4.7222222222222221E-2</v>
      </c>
      <c r="M453" s="311">
        <v>4.7222222222222221E-2</v>
      </c>
      <c r="N453" s="27" t="s">
        <v>948</v>
      </c>
      <c r="O453" s="28" t="s">
        <v>949</v>
      </c>
      <c r="P453" s="28" t="s">
        <v>207</v>
      </c>
      <c r="Q453" s="317">
        <v>4.583333333333333E-2</v>
      </c>
      <c r="R453" s="26" t="s">
        <v>198</v>
      </c>
      <c r="S453" s="317">
        <v>4.5138888888888888E-2</v>
      </c>
      <c r="T453" s="26" t="s">
        <v>198</v>
      </c>
      <c r="U453" s="311">
        <v>4.7222222222222221E-2</v>
      </c>
      <c r="V453" s="26" t="s">
        <v>198</v>
      </c>
      <c r="W453" s="318" t="s">
        <v>312</v>
      </c>
      <c r="X453" s="26" t="s">
        <v>198</v>
      </c>
      <c r="Y453" s="311">
        <v>4.6527777777777779E-2</v>
      </c>
      <c r="Z453" s="26" t="s">
        <v>198</v>
      </c>
      <c r="AA453" s="311">
        <v>4.5138888888888888E-2</v>
      </c>
      <c r="AB453" s="26" t="s">
        <v>198</v>
      </c>
      <c r="AC453" s="311">
        <v>4.583333333333333E-2</v>
      </c>
      <c r="AD453" s="26" t="s">
        <v>198</v>
      </c>
      <c r="AE453" s="319" t="s">
        <v>312</v>
      </c>
      <c r="AF453" s="26" t="s">
        <v>198</v>
      </c>
      <c r="AG453" s="311">
        <v>4.583333333333333E-2</v>
      </c>
      <c r="AH453" s="26" t="s">
        <v>198</v>
      </c>
      <c r="AI453" s="320">
        <v>4.9305555555555554E-2</v>
      </c>
      <c r="AJ453" s="31" t="s">
        <v>251</v>
      </c>
      <c r="AK453" s="311">
        <v>4.583333333333333E-2</v>
      </c>
      <c r="AL453" s="26" t="s">
        <v>198</v>
      </c>
      <c r="AM453" s="311">
        <v>4.4444444444444446E-2</v>
      </c>
      <c r="AN453" s="26" t="s">
        <v>198</v>
      </c>
      <c r="AO453" s="311">
        <v>4.583333333333333E-2</v>
      </c>
      <c r="AP453" s="26" t="s">
        <v>198</v>
      </c>
      <c r="AQ453" s="320">
        <v>4.4444444444444446E-2</v>
      </c>
      <c r="AR453" s="26" t="s">
        <v>198</v>
      </c>
      <c r="AS453" s="320">
        <v>4.5138888888888888E-2</v>
      </c>
      <c r="AT453" s="26" t="s">
        <v>198</v>
      </c>
      <c r="AU453" s="311">
        <v>4.4444444444444446E-2</v>
      </c>
      <c r="AV453" s="26" t="s">
        <v>198</v>
      </c>
      <c r="AW453" s="319" t="s">
        <v>935</v>
      </c>
      <c r="AX453" s="26" t="s">
        <v>198</v>
      </c>
      <c r="AY453" s="319" t="s">
        <v>935</v>
      </c>
      <c r="AZ453" s="26" t="s">
        <v>198</v>
      </c>
      <c r="BA453" s="319" t="s">
        <v>935</v>
      </c>
      <c r="BB453" s="26" t="s">
        <v>198</v>
      </c>
      <c r="BC453" s="319" t="s">
        <v>525</v>
      </c>
      <c r="BD453" s="26" t="s">
        <v>198</v>
      </c>
      <c r="BE453" s="319" t="s">
        <v>935</v>
      </c>
      <c r="BF453" s="26" t="s">
        <v>198</v>
      </c>
      <c r="BG453" s="319" t="s">
        <v>936</v>
      </c>
      <c r="BH453" s="26" t="s">
        <v>198</v>
      </c>
      <c r="BI453" s="319" t="s">
        <v>937</v>
      </c>
      <c r="BJ453" s="26" t="s">
        <v>198</v>
      </c>
      <c r="BK453" s="26" t="s">
        <v>323</v>
      </c>
      <c r="BL453" s="13" t="s">
        <v>11</v>
      </c>
      <c r="BM453" s="313" t="s">
        <v>11</v>
      </c>
      <c r="BN453" s="313" t="s">
        <v>11</v>
      </c>
      <c r="BO453" s="128" t="s">
        <v>11</v>
      </c>
      <c r="BP453" s="128" t="s">
        <v>11</v>
      </c>
      <c r="BQ453" s="128" t="s">
        <v>11</v>
      </c>
      <c r="BR453" s="128" t="s">
        <v>11</v>
      </c>
      <c r="BS453" s="13" t="s">
        <v>11</v>
      </c>
      <c r="BT453" s="128" t="str">
        <f>IF(BS453="NA","NA",IF(BS453="Not Reported","Not Reported",IF(BS453&lt;$L$453,"Not Met","Met")))</f>
        <v>NA</v>
      </c>
      <c r="BU453" s="319" t="s">
        <v>937</v>
      </c>
      <c r="BV453" s="128" t="str">
        <f>IF(BU453="NA","NA",IF(BU453="Not Reported","Not Reported",IF(BU453&lt;$L$453,"Not Met","Met")))</f>
        <v>Met</v>
      </c>
    </row>
    <row r="454" spans="1:74 16345:16354" x14ac:dyDescent="0.25">
      <c r="A454" s="121">
        <v>453</v>
      </c>
      <c r="B454" s="122" t="s">
        <v>26</v>
      </c>
      <c r="C454" s="27" t="s">
        <v>106</v>
      </c>
      <c r="D454" s="28" t="s">
        <v>920</v>
      </c>
      <c r="E454" s="28" t="s">
        <v>927</v>
      </c>
      <c r="F454" s="28" t="s">
        <v>190</v>
      </c>
      <c r="G454" s="27" t="s">
        <v>273</v>
      </c>
      <c r="H454" s="27" t="s">
        <v>192</v>
      </c>
      <c r="I454" s="124"/>
      <c r="J454" s="124"/>
      <c r="K454" s="30" t="s">
        <v>296</v>
      </c>
      <c r="L454" s="13">
        <v>0.85</v>
      </c>
      <c r="M454" s="13">
        <v>0.85</v>
      </c>
      <c r="N454" s="27" t="s">
        <v>297</v>
      </c>
      <c r="O454" s="27" t="s">
        <v>950</v>
      </c>
      <c r="P454" s="28" t="s">
        <v>207</v>
      </c>
      <c r="Q454" s="321">
        <v>0.34</v>
      </c>
      <c r="R454" s="31" t="s">
        <v>251</v>
      </c>
      <c r="S454" s="321">
        <v>0.4</v>
      </c>
      <c r="T454" s="31" t="s">
        <v>251</v>
      </c>
      <c r="U454" s="310">
        <v>0.48</v>
      </c>
      <c r="V454" s="31" t="s">
        <v>251</v>
      </c>
      <c r="W454" s="315">
        <v>0.47</v>
      </c>
      <c r="X454" s="31" t="s">
        <v>251</v>
      </c>
      <c r="Y454" s="310">
        <v>0.48</v>
      </c>
      <c r="Z454" s="26" t="s">
        <v>251</v>
      </c>
      <c r="AA454" s="13">
        <v>1</v>
      </c>
      <c r="AB454" s="26" t="s">
        <v>198</v>
      </c>
      <c r="AC454" s="13">
        <v>0.65</v>
      </c>
      <c r="AD454" s="26" t="s">
        <v>251</v>
      </c>
      <c r="AE454" s="315">
        <v>0.3</v>
      </c>
      <c r="AF454" s="31" t="s">
        <v>251</v>
      </c>
      <c r="AG454" s="310">
        <v>0.18</v>
      </c>
      <c r="AH454" s="31" t="s">
        <v>251</v>
      </c>
      <c r="AI454" s="310">
        <v>0.32</v>
      </c>
      <c r="AJ454" s="31" t="s">
        <v>251</v>
      </c>
      <c r="AK454" s="310">
        <v>0.26</v>
      </c>
      <c r="AL454" s="31" t="s">
        <v>251</v>
      </c>
      <c r="AM454" s="310">
        <v>0.18</v>
      </c>
      <c r="AN454" s="26" t="s">
        <v>251</v>
      </c>
      <c r="AO454" s="310">
        <v>0.26</v>
      </c>
      <c r="AP454" s="26" t="s">
        <v>251</v>
      </c>
      <c r="AQ454" s="310">
        <v>0.56999999999999995</v>
      </c>
      <c r="AR454" s="26" t="s">
        <v>251</v>
      </c>
      <c r="AS454" s="315">
        <v>0.33</v>
      </c>
      <c r="AT454" s="26" t="s">
        <v>251</v>
      </c>
      <c r="AU454" s="315">
        <v>0.38</v>
      </c>
      <c r="AV454" s="26" t="s">
        <v>251</v>
      </c>
      <c r="AW454" s="315">
        <v>0.19</v>
      </c>
      <c r="AX454" s="26" t="s">
        <v>251</v>
      </c>
      <c r="AY454" s="315">
        <v>0.26</v>
      </c>
      <c r="AZ454" s="26" t="s">
        <v>251</v>
      </c>
      <c r="BA454" s="315">
        <v>0.28999999999999998</v>
      </c>
      <c r="BB454" s="26" t="s">
        <v>251</v>
      </c>
      <c r="BC454" s="315">
        <v>0.28000000000000003</v>
      </c>
      <c r="BD454" s="26" t="s">
        <v>251</v>
      </c>
      <c r="BE454" s="315">
        <v>0.28000000000000003</v>
      </c>
      <c r="BF454" s="26" t="s">
        <v>251</v>
      </c>
      <c r="BG454" s="315">
        <v>0.25</v>
      </c>
      <c r="BH454" s="26" t="s">
        <v>251</v>
      </c>
      <c r="BI454" s="315">
        <v>0.27</v>
      </c>
      <c r="BJ454" s="26" t="s">
        <v>251</v>
      </c>
      <c r="BK454" s="26" t="s">
        <v>323</v>
      </c>
      <c r="BL454" s="13" t="s">
        <v>11</v>
      </c>
      <c r="BM454" s="313" t="s">
        <v>11</v>
      </c>
      <c r="BN454" s="313" t="s">
        <v>11</v>
      </c>
      <c r="BO454" s="128" t="s">
        <v>11</v>
      </c>
      <c r="BP454" s="128" t="s">
        <v>11</v>
      </c>
      <c r="BQ454" s="128" t="s">
        <v>11</v>
      </c>
      <c r="BR454" s="128" t="s">
        <v>11</v>
      </c>
      <c r="BS454" s="13" t="s">
        <v>11</v>
      </c>
      <c r="BT454" s="128" t="str">
        <f>IF(BS454="NA","NA",IF(BS454="Not Reported","Not Reported",IF(BS454&lt;$L$454,"Not Met","Met")))</f>
        <v>NA</v>
      </c>
      <c r="BU454" s="315">
        <v>0.28000000000000003</v>
      </c>
      <c r="BV454" s="128" t="str">
        <f>IF(BU454="NA","NA",IF(BU454="Not Reported","Not Reported",IF(BU454&lt;$L$454,"Not Met","Met")))</f>
        <v>Not Met</v>
      </c>
    </row>
    <row r="455" spans="1:74 16345:16354" x14ac:dyDescent="0.25">
      <c r="A455" s="121">
        <v>454</v>
      </c>
      <c r="B455" s="122" t="s">
        <v>26</v>
      </c>
      <c r="C455" s="27" t="s">
        <v>106</v>
      </c>
      <c r="D455" s="28" t="s">
        <v>920</v>
      </c>
      <c r="E455" s="28" t="s">
        <v>927</v>
      </c>
      <c r="F455" s="28" t="s">
        <v>190</v>
      </c>
      <c r="G455" s="27" t="s">
        <v>273</v>
      </c>
      <c r="H455" s="27" t="s">
        <v>192</v>
      </c>
      <c r="I455" s="124"/>
      <c r="J455" s="124"/>
      <c r="K455" s="30" t="s">
        <v>284</v>
      </c>
      <c r="L455" s="13">
        <v>0.75</v>
      </c>
      <c r="M455" s="13">
        <v>0.75</v>
      </c>
      <c r="N455" s="27" t="s">
        <v>287</v>
      </c>
      <c r="O455" s="27"/>
      <c r="P455" s="28" t="s">
        <v>207</v>
      </c>
      <c r="Q455" s="321">
        <v>0.59</v>
      </c>
      <c r="R455" s="31" t="s">
        <v>251</v>
      </c>
      <c r="S455" s="321">
        <v>0.77</v>
      </c>
      <c r="T455" s="31" t="s">
        <v>198</v>
      </c>
      <c r="U455" s="310">
        <v>0.78</v>
      </c>
      <c r="V455" s="26" t="s">
        <v>198</v>
      </c>
      <c r="W455" s="310">
        <v>0.81</v>
      </c>
      <c r="X455" s="26" t="s">
        <v>198</v>
      </c>
      <c r="Y455" s="315">
        <v>0.77</v>
      </c>
      <c r="Z455" s="26" t="s">
        <v>198</v>
      </c>
      <c r="AA455" s="13">
        <v>0.87323943661971826</v>
      </c>
      <c r="AB455" s="26" t="s">
        <v>198</v>
      </c>
      <c r="AC455" s="310">
        <v>0.83</v>
      </c>
      <c r="AD455" s="26" t="s">
        <v>198</v>
      </c>
      <c r="AE455" s="315">
        <v>0.67</v>
      </c>
      <c r="AF455" s="31" t="s">
        <v>251</v>
      </c>
      <c r="AG455" s="315">
        <v>0.7</v>
      </c>
      <c r="AH455" s="31" t="s">
        <v>251</v>
      </c>
      <c r="AI455" s="31" t="s">
        <v>323</v>
      </c>
      <c r="AJ455" s="13" t="s">
        <v>11</v>
      </c>
      <c r="AK455" s="31" t="s">
        <v>323</v>
      </c>
      <c r="AL455" s="13" t="s">
        <v>11</v>
      </c>
      <c r="AM455" s="310">
        <v>0.76</v>
      </c>
      <c r="AN455" s="26" t="s">
        <v>198</v>
      </c>
      <c r="AO455" s="310">
        <v>0.81</v>
      </c>
      <c r="AP455" s="26" t="s">
        <v>198</v>
      </c>
      <c r="AQ455" s="310">
        <v>0.76</v>
      </c>
      <c r="AR455" s="26" t="s">
        <v>198</v>
      </c>
      <c r="AS455" s="315">
        <v>0.77</v>
      </c>
      <c r="AT455" s="26" t="s">
        <v>198</v>
      </c>
      <c r="AU455" s="315">
        <v>0.75</v>
      </c>
      <c r="AV455" s="26" t="s">
        <v>198</v>
      </c>
      <c r="AW455" s="315">
        <v>0.78</v>
      </c>
      <c r="AX455" s="26" t="s">
        <v>198</v>
      </c>
      <c r="AY455" s="315">
        <v>0.75</v>
      </c>
      <c r="AZ455" s="26" t="s">
        <v>198</v>
      </c>
      <c r="BA455" s="315">
        <v>0.75</v>
      </c>
      <c r="BB455" s="26" t="s">
        <v>198</v>
      </c>
      <c r="BC455" s="315">
        <v>0.78</v>
      </c>
      <c r="BD455" s="26" t="s">
        <v>198</v>
      </c>
      <c r="BE455" s="315">
        <v>0.75</v>
      </c>
      <c r="BF455" s="26" t="s">
        <v>198</v>
      </c>
      <c r="BG455" s="315">
        <v>0.76</v>
      </c>
      <c r="BH455" s="26" t="s">
        <v>198</v>
      </c>
      <c r="BI455" s="315">
        <v>0.76</v>
      </c>
      <c r="BJ455" s="26" t="s">
        <v>198</v>
      </c>
      <c r="BK455" s="26" t="s">
        <v>323</v>
      </c>
      <c r="BL455" s="13" t="s">
        <v>11</v>
      </c>
      <c r="BM455" s="313" t="s">
        <v>11</v>
      </c>
      <c r="BN455" s="313" t="s">
        <v>11</v>
      </c>
      <c r="BO455" s="128" t="s">
        <v>11</v>
      </c>
      <c r="BP455" s="128" t="s">
        <v>11</v>
      </c>
      <c r="BQ455" s="128" t="s">
        <v>11</v>
      </c>
      <c r="BR455" s="128" t="s">
        <v>11</v>
      </c>
      <c r="BS455" s="13" t="s">
        <v>11</v>
      </c>
      <c r="BT455" s="128" t="str">
        <f>IF(BS455="NA","NA",IF(BS455="Not Reported","Not Reported",IF(BS455&lt;$L$3455,"Not Met","Met")))</f>
        <v>NA</v>
      </c>
      <c r="BU455" s="315">
        <v>0.75</v>
      </c>
      <c r="BV455" s="128" t="str">
        <f>IF(BU455="NA","NA",IF(BU455="Not Reported","Not Reported",IF(BU455&lt;$L$3455,"Not Met","Met")))</f>
        <v>Met</v>
      </c>
    </row>
    <row r="456" spans="1:74 16345:16354" x14ac:dyDescent="0.25">
      <c r="A456" s="121">
        <v>455</v>
      </c>
      <c r="B456" s="122" t="s">
        <v>26</v>
      </c>
      <c r="C456" s="27" t="s">
        <v>106</v>
      </c>
      <c r="D456" s="28" t="s">
        <v>920</v>
      </c>
      <c r="E456" s="28" t="s">
        <v>927</v>
      </c>
      <c r="F456" s="28" t="s">
        <v>190</v>
      </c>
      <c r="G456" s="28" t="s">
        <v>191</v>
      </c>
      <c r="H456" s="27" t="s">
        <v>212</v>
      </c>
      <c r="I456" s="124"/>
      <c r="J456" s="124"/>
      <c r="K456" s="309" t="s">
        <v>526</v>
      </c>
      <c r="L456" s="310">
        <v>0.8</v>
      </c>
      <c r="M456" s="310">
        <v>0.8</v>
      </c>
      <c r="N456" s="27"/>
      <c r="O456" s="27"/>
      <c r="P456" s="28" t="s">
        <v>207</v>
      </c>
      <c r="Q456" s="321" t="s">
        <v>11</v>
      </c>
      <c r="R456" s="321" t="s">
        <v>11</v>
      </c>
      <c r="S456" s="321" t="s">
        <v>11</v>
      </c>
      <c r="T456" s="321" t="s">
        <v>11</v>
      </c>
      <c r="U456" s="310">
        <v>0.8</v>
      </c>
      <c r="V456" s="26" t="s">
        <v>198</v>
      </c>
      <c r="W456" s="310">
        <v>0.76</v>
      </c>
      <c r="X456" s="31" t="s">
        <v>251</v>
      </c>
      <c r="Y456" s="310">
        <v>0.65</v>
      </c>
      <c r="Z456" s="26" t="s">
        <v>251</v>
      </c>
      <c r="AA456" s="13">
        <v>0.74285714285714288</v>
      </c>
      <c r="AB456" s="31" t="s">
        <v>251</v>
      </c>
      <c r="AC456" s="13">
        <f>46/68</f>
        <v>0.67647058823529416</v>
      </c>
      <c r="AD456" s="26" t="s">
        <v>251</v>
      </c>
      <c r="AE456" s="315">
        <v>0.77</v>
      </c>
      <c r="AF456" s="31" t="s">
        <v>251</v>
      </c>
      <c r="AG456" s="310">
        <v>0.56000000000000005</v>
      </c>
      <c r="AH456" s="31" t="s">
        <v>251</v>
      </c>
      <c r="AI456" s="310">
        <v>0.72</v>
      </c>
      <c r="AJ456" s="31" t="s">
        <v>251</v>
      </c>
      <c r="AK456" s="310">
        <v>0.7</v>
      </c>
      <c r="AL456" s="31" t="s">
        <v>251</v>
      </c>
      <c r="AM456" s="310">
        <v>0.7</v>
      </c>
      <c r="AN456" s="26" t="s">
        <v>251</v>
      </c>
      <c r="AO456" s="310">
        <v>0.86</v>
      </c>
      <c r="AP456" s="26" t="s">
        <v>198</v>
      </c>
      <c r="AQ456" s="310">
        <v>0.72</v>
      </c>
      <c r="AR456" s="26" t="s">
        <v>251</v>
      </c>
      <c r="AS456" s="315">
        <v>0.76</v>
      </c>
      <c r="AT456" s="26" t="s">
        <v>251</v>
      </c>
      <c r="AU456" s="315">
        <v>0.86</v>
      </c>
      <c r="AV456" s="26" t="s">
        <v>198</v>
      </c>
      <c r="AW456" s="315">
        <v>0.8</v>
      </c>
      <c r="AX456" s="26" t="s">
        <v>198</v>
      </c>
      <c r="AY456" s="315">
        <v>1</v>
      </c>
      <c r="AZ456" s="26" t="s">
        <v>198</v>
      </c>
      <c r="BA456" s="315">
        <v>0.89</v>
      </c>
      <c r="BB456" s="26" t="s">
        <v>198</v>
      </c>
      <c r="BC456" s="315">
        <v>0.89</v>
      </c>
      <c r="BD456" s="26" t="s">
        <v>198</v>
      </c>
      <c r="BE456" s="315">
        <v>0.89</v>
      </c>
      <c r="BF456" s="26" t="s">
        <v>198</v>
      </c>
      <c r="BG456" s="315">
        <v>0.84</v>
      </c>
      <c r="BH456" s="26" t="s">
        <v>198</v>
      </c>
      <c r="BI456" s="315">
        <v>0.87</v>
      </c>
      <c r="BJ456" s="26" t="s">
        <v>198</v>
      </c>
      <c r="BK456" s="26" t="s">
        <v>323</v>
      </c>
      <c r="BL456" s="13" t="s">
        <v>11</v>
      </c>
      <c r="BM456" s="313" t="s">
        <v>11</v>
      </c>
      <c r="BN456" s="313" t="s">
        <v>11</v>
      </c>
      <c r="BO456" s="128" t="s">
        <v>11</v>
      </c>
      <c r="BP456" s="128" t="s">
        <v>11</v>
      </c>
      <c r="BQ456" s="128" t="s">
        <v>11</v>
      </c>
      <c r="BR456" s="128" t="s">
        <v>11</v>
      </c>
      <c r="BS456" s="13" t="s">
        <v>11</v>
      </c>
      <c r="BT456" s="128" t="str">
        <f>IF(BS456="NA","NA",IF(BS456="Not Reported","Not Reported",IF(BS456&lt;$L$3456,"Not Met","Met")))</f>
        <v>NA</v>
      </c>
      <c r="BU456" s="315">
        <v>0.9</v>
      </c>
      <c r="BV456" s="128" t="str">
        <f>IF(BU456="NA","NA",IF(BU456="Not Reported","Not Reported",IF(BU456&lt;$L$3456,"Not Met","Met")))</f>
        <v>Met</v>
      </c>
    </row>
    <row r="457" spans="1:74 16345:16354" x14ac:dyDescent="0.25">
      <c r="A457" s="121">
        <v>456</v>
      </c>
      <c r="B457" s="122" t="s">
        <v>26</v>
      </c>
      <c r="C457" s="27" t="s">
        <v>106</v>
      </c>
      <c r="D457" s="28" t="s">
        <v>920</v>
      </c>
      <c r="E457" s="28" t="s">
        <v>927</v>
      </c>
      <c r="F457" s="28" t="s">
        <v>190</v>
      </c>
      <c r="G457" s="28" t="s">
        <v>191</v>
      </c>
      <c r="H457" s="27" t="s">
        <v>212</v>
      </c>
      <c r="I457" s="124"/>
      <c r="J457" s="124"/>
      <c r="K457" s="27" t="s">
        <v>527</v>
      </c>
      <c r="L457" s="310">
        <v>0.05</v>
      </c>
      <c r="M457" s="310">
        <v>0.05</v>
      </c>
      <c r="N457" s="27"/>
      <c r="O457" s="27"/>
      <c r="P457" s="28" t="s">
        <v>207</v>
      </c>
      <c r="Q457" s="321" t="s">
        <v>11</v>
      </c>
      <c r="R457" s="321" t="s">
        <v>11</v>
      </c>
      <c r="S457" s="321" t="s">
        <v>11</v>
      </c>
      <c r="T457" s="321" t="s">
        <v>11</v>
      </c>
      <c r="U457" s="310">
        <v>0</v>
      </c>
      <c r="V457" s="26" t="s">
        <v>198</v>
      </c>
      <c r="W457" s="310">
        <v>0.05</v>
      </c>
      <c r="X457" s="26" t="s">
        <v>198</v>
      </c>
      <c r="Y457" s="315">
        <v>0</v>
      </c>
      <c r="Z457" s="26" t="s">
        <v>198</v>
      </c>
      <c r="AA457" s="13">
        <v>0</v>
      </c>
      <c r="AB457" s="26" t="s">
        <v>198</v>
      </c>
      <c r="AC457" s="13">
        <f>1/76</f>
        <v>1.3157894736842105E-2</v>
      </c>
      <c r="AD457" s="26" t="s">
        <v>198</v>
      </c>
      <c r="AE457" s="315">
        <v>0</v>
      </c>
      <c r="AF457" s="26" t="s">
        <v>198</v>
      </c>
      <c r="AG457" s="315">
        <v>0</v>
      </c>
      <c r="AH457" s="26" t="s">
        <v>198</v>
      </c>
      <c r="AI457" s="315">
        <v>0</v>
      </c>
      <c r="AJ457" s="26" t="s">
        <v>198</v>
      </c>
      <c r="AK457" s="315">
        <v>0</v>
      </c>
      <c r="AL457" s="26" t="s">
        <v>198</v>
      </c>
      <c r="AM457" s="315">
        <v>0</v>
      </c>
      <c r="AN457" s="26" t="s">
        <v>198</v>
      </c>
      <c r="AO457" s="315">
        <v>7.0000000000000007E-2</v>
      </c>
      <c r="AP457" s="26" t="s">
        <v>251</v>
      </c>
      <c r="AQ457" s="315">
        <v>0.04</v>
      </c>
      <c r="AR457" s="26" t="s">
        <v>198</v>
      </c>
      <c r="AS457" s="315">
        <v>0.04</v>
      </c>
      <c r="AT457" s="26" t="s">
        <v>198</v>
      </c>
      <c r="AU457" s="315">
        <v>0</v>
      </c>
      <c r="AV457" s="26" t="s">
        <v>198</v>
      </c>
      <c r="AW457" s="315">
        <v>0</v>
      </c>
      <c r="AX457" s="26" t="s">
        <v>198</v>
      </c>
      <c r="AY457" s="315">
        <v>0</v>
      </c>
      <c r="AZ457" s="26" t="s">
        <v>198</v>
      </c>
      <c r="BA457" s="315">
        <v>0</v>
      </c>
      <c r="BB457" s="26" t="s">
        <v>198</v>
      </c>
      <c r="BC457" s="315">
        <v>0</v>
      </c>
      <c r="BD457" s="26" t="s">
        <v>198</v>
      </c>
      <c r="BE457" s="315">
        <v>0</v>
      </c>
      <c r="BF457" s="26" t="s">
        <v>198</v>
      </c>
      <c r="BG457" s="315">
        <v>0</v>
      </c>
      <c r="BH457" s="26" t="s">
        <v>198</v>
      </c>
      <c r="BI457" s="315">
        <v>0</v>
      </c>
      <c r="BJ457" s="26" t="s">
        <v>198</v>
      </c>
      <c r="BK457" s="26" t="s">
        <v>323</v>
      </c>
      <c r="BL457" s="13" t="s">
        <v>11</v>
      </c>
      <c r="BM457" s="313" t="s">
        <v>11</v>
      </c>
      <c r="BN457" s="313" t="s">
        <v>11</v>
      </c>
      <c r="BO457" s="128" t="s">
        <v>11</v>
      </c>
      <c r="BP457" s="128" t="s">
        <v>11</v>
      </c>
      <c r="BQ457" s="128" t="s">
        <v>11</v>
      </c>
      <c r="BR457" s="128" t="s">
        <v>11</v>
      </c>
      <c r="BS457" s="13" t="s">
        <v>11</v>
      </c>
      <c r="BT457" s="128" t="str">
        <f>IF(BS457="NA","NA",IF(BS457="Not Reported","Not Reported",IF(BS457&gt;$L$3457,"Not Met","Met")))</f>
        <v>NA</v>
      </c>
      <c r="BU457" s="315">
        <v>0</v>
      </c>
      <c r="BV457" s="128" t="str">
        <f>IF(BU457="NA","NA",IF(BU457="Not Reported","Not Reported",IF(BU457&gt;$L$3457,"Not Met","Met")))</f>
        <v>Met</v>
      </c>
    </row>
    <row r="458" spans="1:74 16345:16354" x14ac:dyDescent="0.25">
      <c r="A458" s="121">
        <v>457</v>
      </c>
      <c r="B458" s="122" t="s">
        <v>918</v>
      </c>
      <c r="C458" s="122" t="s">
        <v>106</v>
      </c>
      <c r="D458" s="123" t="s">
        <v>920</v>
      </c>
      <c r="E458" s="123" t="s">
        <v>894</v>
      </c>
      <c r="F458" s="123" t="s">
        <v>190</v>
      </c>
      <c r="G458" s="122" t="s">
        <v>191</v>
      </c>
      <c r="H458" s="122" t="s">
        <v>212</v>
      </c>
      <c r="I458" s="129"/>
      <c r="J458" s="128"/>
      <c r="K458" s="126" t="s">
        <v>213</v>
      </c>
      <c r="L458" s="121">
        <v>45</v>
      </c>
      <c r="M458" s="121" t="s">
        <v>361</v>
      </c>
      <c r="N458" s="126"/>
      <c r="O458" s="121"/>
      <c r="P458" s="121"/>
      <c r="Q458" s="121"/>
      <c r="R458" s="126"/>
      <c r="S458" s="121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122"/>
      <c r="AO458" s="122"/>
      <c r="AP458" s="122"/>
      <c r="AQ458" s="122"/>
      <c r="AR458" s="122"/>
      <c r="AS458" s="122"/>
      <c r="AT458" s="122"/>
      <c r="AU458" s="122"/>
      <c r="AV458" s="122"/>
      <c r="AW458" s="122"/>
      <c r="AX458" s="122"/>
      <c r="AY458" s="122"/>
      <c r="AZ458" s="122"/>
      <c r="BA458" s="122"/>
      <c r="BB458" s="122"/>
      <c r="BC458" s="122"/>
      <c r="BD458" s="122"/>
      <c r="BE458" s="122"/>
      <c r="BF458" s="122"/>
      <c r="BG458" s="121" t="s">
        <v>323</v>
      </c>
      <c r="BH458" s="121" t="s">
        <v>323</v>
      </c>
      <c r="BI458" s="121" t="s">
        <v>323</v>
      </c>
      <c r="BJ458" s="121" t="s">
        <v>323</v>
      </c>
      <c r="BK458" s="189" t="s">
        <v>437</v>
      </c>
      <c r="BL458" s="121" t="str">
        <f>IF(BK458="NA","NA",IF(BK458="Not Reported","Not Reported",IF(BK458&gt;$L$458,"Not Met","Met")))</f>
        <v>Not Met</v>
      </c>
      <c r="BM458" s="288">
        <v>33</v>
      </c>
      <c r="BN458" s="121" t="str">
        <f>IF(BM458="NA","NA",IF(BM458="Not Reported","Not Reported",IF(BM458&gt;$L$458,"Not Met","Met")))</f>
        <v>Met</v>
      </c>
      <c r="BO458" s="349">
        <v>31</v>
      </c>
      <c r="BP458" s="121" t="s">
        <v>198</v>
      </c>
      <c r="BQ458" s="349">
        <v>33</v>
      </c>
      <c r="BR458" s="121" t="s">
        <v>198</v>
      </c>
      <c r="BS458" s="349">
        <v>50</v>
      </c>
      <c r="BT458" s="121" t="str">
        <f>IF(BS458="NA","NA",IF(BS458="Not Reported","Not Reported",IF(BS458&gt;$L$458,"Not Met","Met")))</f>
        <v>Not Met</v>
      </c>
      <c r="BU458" s="356">
        <v>39</v>
      </c>
      <c r="BV458" s="121" t="str">
        <f>IF(BU458="NA","NA",IF(BU458="Not Reported","Not Reported",IF(BU458&gt;$L$458,"Not Met","Met")))</f>
        <v>Met</v>
      </c>
      <c r="XDQ458" s="26"/>
      <c r="XDR458" s="27"/>
      <c r="XDS458" s="27"/>
      <c r="XDT458" s="28"/>
      <c r="XDU458" s="28"/>
      <c r="XDV458" s="28"/>
      <c r="XDW458" s="27"/>
      <c r="XDX458" s="27"/>
      <c r="XDY458" s="30"/>
      <c r="XDZ458" s="13"/>
    </row>
    <row r="459" spans="1:74 16345:16354" x14ac:dyDescent="0.25">
      <c r="A459" s="121">
        <v>458</v>
      </c>
      <c r="B459" s="122" t="s">
        <v>918</v>
      </c>
      <c r="C459" s="122" t="s">
        <v>106</v>
      </c>
      <c r="D459" s="123" t="s">
        <v>920</v>
      </c>
      <c r="E459" s="123" t="s">
        <v>894</v>
      </c>
      <c r="F459" s="123" t="s">
        <v>190</v>
      </c>
      <c r="G459" s="123" t="s">
        <v>191</v>
      </c>
      <c r="H459" s="122" t="s">
        <v>212</v>
      </c>
      <c r="I459" s="122"/>
      <c r="J459" s="122"/>
      <c r="K459" s="122" t="s">
        <v>512</v>
      </c>
      <c r="L459" s="146">
        <v>0.6</v>
      </c>
      <c r="M459" s="146">
        <v>0.6</v>
      </c>
      <c r="N459" s="218"/>
      <c r="O459" s="122"/>
      <c r="P459" s="122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147"/>
      <c r="AU459" s="147"/>
      <c r="AV459" s="147"/>
      <c r="AW459" s="147"/>
      <c r="AX459" s="147"/>
      <c r="AY459" s="147"/>
      <c r="AZ459" s="147"/>
      <c r="BA459" s="147"/>
      <c r="BB459" s="147"/>
      <c r="BC459" s="147"/>
      <c r="BD459" s="147"/>
      <c r="BE459" s="147"/>
      <c r="BF459" s="147"/>
      <c r="BG459" s="121" t="s">
        <v>323</v>
      </c>
      <c r="BH459" s="121" t="s">
        <v>323</v>
      </c>
      <c r="BI459" s="121" t="s">
        <v>323</v>
      </c>
      <c r="BJ459" s="121" t="s">
        <v>323</v>
      </c>
      <c r="BK459" s="211">
        <f>4/10</f>
        <v>0.4</v>
      </c>
      <c r="BL459" s="121" t="str">
        <f>IF(BK459="NA","NA",IF(BK459="Not Reported","Not Reported",IF(BK459&lt;$L$459,"Not Met","Met")))</f>
        <v>Not Met</v>
      </c>
      <c r="BM459" s="285">
        <v>0.5</v>
      </c>
      <c r="BN459" s="121" t="str">
        <f>IF(BM459="NA","NA",IF(BM459="Not Reported","Not Reported",IF(BM459&lt;$L$459,"Not Met","Met")))</f>
        <v>Not Met</v>
      </c>
      <c r="BO459" s="345">
        <f>2/4</f>
        <v>0.5</v>
      </c>
      <c r="BP459" s="121" t="s">
        <v>251</v>
      </c>
      <c r="BQ459" s="345">
        <f>9/20</f>
        <v>0.45</v>
      </c>
      <c r="BR459" s="121" t="s">
        <v>251</v>
      </c>
      <c r="BS459" s="350">
        <f>1/3</f>
        <v>0.33333333333333331</v>
      </c>
      <c r="BT459" s="121" t="str">
        <f>IF(BS459="NA","NA",IF(BS459="Not Reported","Not Reported",IF(BS459&lt;$L$459,"Not Met","Met")))</f>
        <v>Not Met</v>
      </c>
      <c r="BU459" s="345">
        <f>9/20</f>
        <v>0.45</v>
      </c>
      <c r="BV459" s="121" t="str">
        <f>IF(BU459="NA","NA",IF(BU459="Not Reported","Not Reported",IF(BU459&lt;$L$459,"Not Met","Met")))</f>
        <v>Not Met</v>
      </c>
    </row>
    <row r="460" spans="1:74 16345:16354" x14ac:dyDescent="0.25">
      <c r="A460" s="121">
        <v>459</v>
      </c>
      <c r="B460" s="122" t="s">
        <v>918</v>
      </c>
      <c r="C460" s="122" t="s">
        <v>106</v>
      </c>
      <c r="D460" s="123" t="s">
        <v>920</v>
      </c>
      <c r="E460" s="123" t="s">
        <v>894</v>
      </c>
      <c r="F460" s="123" t="s">
        <v>190</v>
      </c>
      <c r="G460" s="123" t="s">
        <v>191</v>
      </c>
      <c r="H460" s="122" t="s">
        <v>212</v>
      </c>
      <c r="I460" s="122"/>
      <c r="J460" s="122"/>
      <c r="K460" s="122" t="s">
        <v>513</v>
      </c>
      <c r="L460" s="146">
        <v>0.4</v>
      </c>
      <c r="M460" s="146">
        <v>0.4</v>
      </c>
      <c r="N460" s="218"/>
      <c r="O460" s="122"/>
      <c r="P460" s="122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/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  <c r="AX460" s="147"/>
      <c r="AY460" s="147"/>
      <c r="AZ460" s="147"/>
      <c r="BA460" s="147"/>
      <c r="BB460" s="147"/>
      <c r="BC460" s="147"/>
      <c r="BD460" s="147"/>
      <c r="BE460" s="147"/>
      <c r="BF460" s="147"/>
      <c r="BG460" s="121" t="s">
        <v>323</v>
      </c>
      <c r="BH460" s="121" t="s">
        <v>323</v>
      </c>
      <c r="BI460" s="121" t="s">
        <v>323</v>
      </c>
      <c r="BJ460" s="121" t="s">
        <v>323</v>
      </c>
      <c r="BK460" s="211">
        <f>6/10</f>
        <v>0.6</v>
      </c>
      <c r="BL460" s="121" t="str">
        <f>IF(BK460="NA","NA",IF(BK460="Not Reported","Not Reported",IF(BK460&lt;$L$460,"Not Met","Met")))</f>
        <v>Met</v>
      </c>
      <c r="BM460" s="279">
        <v>0.5</v>
      </c>
      <c r="BN460" s="121" t="str">
        <f>IF(BM460="NA","NA",IF(BM460="Not Reported","Not Reported",IF(BM460&lt;$L$460,"Not Met","Met")))</f>
        <v>Met</v>
      </c>
      <c r="BO460" s="350">
        <f>2/4</f>
        <v>0.5</v>
      </c>
      <c r="BP460" s="121" t="s">
        <v>198</v>
      </c>
      <c r="BQ460" s="350">
        <f>11/20</f>
        <v>0.55000000000000004</v>
      </c>
      <c r="BR460" s="121" t="s">
        <v>198</v>
      </c>
      <c r="BS460" s="345">
        <f>2/3</f>
        <v>0.66666666666666663</v>
      </c>
      <c r="BT460" s="121" t="str">
        <f>IF(BS460="NA","NA",IF(BS460="Not Reported","Not Reported",IF(BS460&lt;$L$460,"Not Met","Met")))</f>
        <v>Met</v>
      </c>
      <c r="BU460" s="350">
        <f>11/20</f>
        <v>0.55000000000000004</v>
      </c>
      <c r="BV460" s="121" t="str">
        <f>IF(BU460="NA","NA",IF(BU460="Not Reported","Not Reported",IF(BU460&lt;$L$460,"Not Met","Met")))</f>
        <v>Met</v>
      </c>
    </row>
    <row r="461" spans="1:74 16345:16354" x14ac:dyDescent="0.25">
      <c r="A461" s="121">
        <v>460</v>
      </c>
      <c r="B461" s="122" t="s">
        <v>918</v>
      </c>
      <c r="C461" s="122" t="s">
        <v>106</v>
      </c>
      <c r="D461" s="123" t="s">
        <v>920</v>
      </c>
      <c r="E461" s="123" t="s">
        <v>894</v>
      </c>
      <c r="F461" s="123" t="s">
        <v>190</v>
      </c>
      <c r="G461" s="123" t="s">
        <v>191</v>
      </c>
      <c r="H461" s="122" t="s">
        <v>212</v>
      </c>
      <c r="I461" s="122"/>
      <c r="J461" s="122"/>
      <c r="K461" s="123" t="s">
        <v>264</v>
      </c>
      <c r="L461" s="146">
        <v>0.8</v>
      </c>
      <c r="M461" s="146">
        <v>0.8</v>
      </c>
      <c r="N461" s="218"/>
      <c r="O461" s="122"/>
      <c r="P461" s="122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  <c r="AJ461" s="147"/>
      <c r="AK461" s="147"/>
      <c r="AL461" s="147"/>
      <c r="AM461" s="147"/>
      <c r="AN461" s="147"/>
      <c r="AO461" s="147"/>
      <c r="AP461" s="147"/>
      <c r="AQ461" s="147"/>
      <c r="AR461" s="147"/>
      <c r="AS461" s="147"/>
      <c r="AT461" s="147"/>
      <c r="AU461" s="147"/>
      <c r="AV461" s="147"/>
      <c r="AW461" s="147"/>
      <c r="AX461" s="147"/>
      <c r="AY461" s="147"/>
      <c r="AZ461" s="147"/>
      <c r="BA461" s="147"/>
      <c r="BB461" s="147"/>
      <c r="BC461" s="147"/>
      <c r="BD461" s="147"/>
      <c r="BE461" s="147"/>
      <c r="BF461" s="147"/>
      <c r="BG461" s="121" t="s">
        <v>323</v>
      </c>
      <c r="BH461" s="121" t="s">
        <v>323</v>
      </c>
      <c r="BI461" s="121" t="s">
        <v>323</v>
      </c>
      <c r="BJ461" s="121" t="s">
        <v>323</v>
      </c>
      <c r="BK461" s="211">
        <f>4.9/5</f>
        <v>0.98000000000000009</v>
      </c>
      <c r="BL461" s="121" t="str">
        <f>IF(BK461="NA","NA",IF(BK461="Not Reported","Not Reported",IF(BK461&lt;$L$461,"Not Met","Met")))</f>
        <v>Met</v>
      </c>
      <c r="BM461" s="279">
        <v>0.98000000000000009</v>
      </c>
      <c r="BN461" s="121" t="str">
        <f>IF(BM461="NA","NA",IF(BM461="Not Reported","Not Reported",IF(BM461&lt;$L$461,"Not Met","Met")))</f>
        <v>Met</v>
      </c>
      <c r="BO461" s="350">
        <f>5/5</f>
        <v>1</v>
      </c>
      <c r="BP461" s="121" t="s">
        <v>198</v>
      </c>
      <c r="BQ461" s="354">
        <f>4.9/5</f>
        <v>0.98000000000000009</v>
      </c>
      <c r="BR461" s="121" t="s">
        <v>198</v>
      </c>
      <c r="BS461" s="345">
        <f>5/5</f>
        <v>1</v>
      </c>
      <c r="BT461" s="121" t="str">
        <f>IF(BS461="NA","NA",IF(BS461="Not Reported","Not Reported",IF(BS461&lt;$L$461,"Not Met","Met")))</f>
        <v>Met</v>
      </c>
      <c r="BU461" s="354">
        <f>4.9/5</f>
        <v>0.98000000000000009</v>
      </c>
      <c r="BV461" s="121" t="str">
        <f>IF(BU461="NA","NA",IF(BU461="Not Reported","Not Reported",IF(BU461&lt;$L$461,"Not Met","Met")))</f>
        <v>Met</v>
      </c>
    </row>
    <row r="462" spans="1:74 16345:16354" x14ac:dyDescent="0.25">
      <c r="A462" s="121">
        <v>461</v>
      </c>
      <c r="B462" s="122" t="s">
        <v>918</v>
      </c>
      <c r="C462" s="122" t="s">
        <v>106</v>
      </c>
      <c r="D462" s="123" t="s">
        <v>920</v>
      </c>
      <c r="E462" s="123" t="s">
        <v>894</v>
      </c>
      <c r="F462" s="123" t="s">
        <v>190</v>
      </c>
      <c r="G462" s="123" t="s">
        <v>191</v>
      </c>
      <c r="H462" s="122" t="s">
        <v>212</v>
      </c>
      <c r="I462" s="122"/>
      <c r="J462" s="122"/>
      <c r="K462" s="123" t="s">
        <v>516</v>
      </c>
      <c r="L462" s="146">
        <v>0.8</v>
      </c>
      <c r="M462" s="146">
        <v>0.8</v>
      </c>
      <c r="N462" s="218"/>
      <c r="O462" s="122"/>
      <c r="P462" s="122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  <c r="AX462" s="147"/>
      <c r="AY462" s="147"/>
      <c r="AZ462" s="147"/>
      <c r="BA462" s="147"/>
      <c r="BB462" s="147"/>
      <c r="BC462" s="147"/>
      <c r="BD462" s="147"/>
      <c r="BE462" s="147"/>
      <c r="BF462" s="147"/>
      <c r="BG462" s="121" t="s">
        <v>323</v>
      </c>
      <c r="BH462" s="121" t="s">
        <v>323</v>
      </c>
      <c r="BI462" s="121" t="s">
        <v>323</v>
      </c>
      <c r="BJ462" s="121" t="s">
        <v>323</v>
      </c>
      <c r="BK462" s="211">
        <f>4.8/5</f>
        <v>0.96</v>
      </c>
      <c r="BL462" s="121" t="str">
        <f>IF(BK462="NA","NA",IF(BK462="Not Reported","Not Reported",IF(BK462&lt;$L$462,"Not Met","Met")))</f>
        <v>Met</v>
      </c>
      <c r="BM462" s="279">
        <v>0.94000000000000006</v>
      </c>
      <c r="BN462" s="121" t="str">
        <f>IF(BM462="NA","NA",IF(BM462="Not Reported","Not Reported",IF(BM462&lt;$L$462,"Not Met","Met")))</f>
        <v>Met</v>
      </c>
      <c r="BO462" s="350">
        <f>4.9/5</f>
        <v>0.98000000000000009</v>
      </c>
      <c r="BP462" s="121" t="s">
        <v>198</v>
      </c>
      <c r="BQ462" s="350">
        <f>4.8/5</f>
        <v>0.96</v>
      </c>
      <c r="BR462" s="121" t="s">
        <v>198</v>
      </c>
      <c r="BS462" s="345">
        <f>4.5/5</f>
        <v>0.9</v>
      </c>
      <c r="BT462" s="121" t="str">
        <f>IF(BS462="NA","NA",IF(BS462="Not Reported","Not Reported",IF(BS462&lt;$L$462,"Not Met","Met")))</f>
        <v>Met</v>
      </c>
      <c r="BU462" s="350">
        <f>4.7/5</f>
        <v>0.94000000000000006</v>
      </c>
      <c r="BV462" s="121" t="str">
        <f>IF(BU462="NA","NA",IF(BU462="Not Reported","Not Reported",IF(BU462&lt;$L$462,"Not Met","Met")))</f>
        <v>Met</v>
      </c>
    </row>
    <row r="463" spans="1:74 16345:16354" x14ac:dyDescent="0.25">
      <c r="A463" s="121">
        <v>462</v>
      </c>
      <c r="B463" s="122" t="s">
        <v>918</v>
      </c>
      <c r="C463" s="122" t="s">
        <v>106</v>
      </c>
      <c r="D463" s="123" t="s">
        <v>920</v>
      </c>
      <c r="E463" s="123" t="s">
        <v>894</v>
      </c>
      <c r="F463" s="123" t="s">
        <v>190</v>
      </c>
      <c r="G463" s="123" t="s">
        <v>191</v>
      </c>
      <c r="H463" s="122" t="s">
        <v>212</v>
      </c>
      <c r="I463" s="122"/>
      <c r="J463" s="122"/>
      <c r="K463" s="123" t="s">
        <v>259</v>
      </c>
      <c r="L463" s="146">
        <v>0.35</v>
      </c>
      <c r="M463" s="146">
        <v>0.35</v>
      </c>
      <c r="N463" s="218"/>
      <c r="O463" s="122"/>
      <c r="P463" s="122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/>
      <c r="AX463" s="147"/>
      <c r="AY463" s="147"/>
      <c r="AZ463" s="147"/>
      <c r="BA463" s="147"/>
      <c r="BB463" s="147"/>
      <c r="BC463" s="147"/>
      <c r="BD463" s="147"/>
      <c r="BE463" s="147"/>
      <c r="BF463" s="147"/>
      <c r="BG463" s="121" t="s">
        <v>323</v>
      </c>
      <c r="BH463" s="121" t="s">
        <v>323</v>
      </c>
      <c r="BI463" s="121" t="s">
        <v>323</v>
      </c>
      <c r="BJ463" s="121" t="s">
        <v>323</v>
      </c>
      <c r="BK463" s="195">
        <f>5/10</f>
        <v>0.5</v>
      </c>
      <c r="BL463" s="121" t="str">
        <f>IF(BK463="NA","NA",IF(BK463="Not Reported","Not Reported",IF(BK463&lt;$L$463,"Not Met","Met")))</f>
        <v>Met</v>
      </c>
      <c r="BM463" s="279">
        <v>0.33</v>
      </c>
      <c r="BN463" s="121" t="str">
        <f>IF(BM463="NA","NA",IF(BM463="Not Reported","Not Reported",IF(BM463&lt;$L$463,"Not Met","Met")))</f>
        <v>Not Met</v>
      </c>
      <c r="BO463" s="345">
        <f>0/4</f>
        <v>0</v>
      </c>
      <c r="BP463" s="121" t="s">
        <v>251</v>
      </c>
      <c r="BQ463" s="345">
        <f>7/20</f>
        <v>0.35</v>
      </c>
      <c r="BR463" s="121" t="s">
        <v>198</v>
      </c>
      <c r="BS463" s="345">
        <f>2/3</f>
        <v>0.66666666666666663</v>
      </c>
      <c r="BT463" s="121" t="str">
        <f>IF(BS463="NA","NA",IF(BS463="Not Reported","Not Reported",IF(BS463&lt;$L$463,"Not Met","Met")))</f>
        <v>Met</v>
      </c>
      <c r="BU463" s="345">
        <f>9/23</f>
        <v>0.39130434782608697</v>
      </c>
      <c r="BV463" s="121" t="str">
        <f>IF(BU463="NA","NA",IF(BU463="Not Reported","Not Reported",IF(BU463&lt;$L$463,"Not Met","Met")))</f>
        <v>Met</v>
      </c>
    </row>
    <row r="464" spans="1:74 16345:16354" x14ac:dyDescent="0.25">
      <c r="A464" s="121">
        <v>463</v>
      </c>
      <c r="B464" s="122" t="s">
        <v>918</v>
      </c>
      <c r="C464" s="122" t="s">
        <v>106</v>
      </c>
      <c r="D464" s="123" t="s">
        <v>920</v>
      </c>
      <c r="E464" s="123" t="s">
        <v>894</v>
      </c>
      <c r="F464" s="123" t="s">
        <v>190</v>
      </c>
      <c r="G464" s="123" t="s">
        <v>191</v>
      </c>
      <c r="H464" s="122" t="s">
        <v>212</v>
      </c>
      <c r="I464" s="122"/>
      <c r="J464" s="122"/>
      <c r="K464" s="122" t="s">
        <v>292</v>
      </c>
      <c r="L464" s="146">
        <v>0.15</v>
      </c>
      <c r="M464" s="146">
        <v>0.15</v>
      </c>
      <c r="N464" s="218"/>
      <c r="O464" s="122"/>
      <c r="P464" s="122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  <c r="AX464" s="147"/>
      <c r="AY464" s="147"/>
      <c r="AZ464" s="147"/>
      <c r="BA464" s="147"/>
      <c r="BB464" s="147"/>
      <c r="BC464" s="147"/>
      <c r="BD464" s="147"/>
      <c r="BE464" s="147"/>
      <c r="BF464" s="147"/>
      <c r="BG464" s="121" t="s">
        <v>323</v>
      </c>
      <c r="BH464" s="121" t="s">
        <v>323</v>
      </c>
      <c r="BI464" s="121" t="s">
        <v>323</v>
      </c>
      <c r="BJ464" s="121" t="s">
        <v>323</v>
      </c>
      <c r="BK464" s="195">
        <f>0/4</f>
        <v>0</v>
      </c>
      <c r="BL464" s="128" t="str">
        <f>IF(BK464="NA","NA",IF(BK464="Not Reported","Not Reported",IF(BK464&gt;$L$464,"Not Met","Met")))</f>
        <v>Met</v>
      </c>
      <c r="BM464" s="279">
        <v>0</v>
      </c>
      <c r="BN464" s="128" t="str">
        <f>IF(BM464="NA","NA",IF(BM464="Not Reported","Not Reported",IF(BM464&gt;$L$464,"Not Met","Met")))</f>
        <v>Met</v>
      </c>
      <c r="BO464" s="350">
        <f>0/9</f>
        <v>0</v>
      </c>
      <c r="BP464" s="128" t="s">
        <v>198</v>
      </c>
      <c r="BQ464" s="350">
        <f>0/21</f>
        <v>0</v>
      </c>
      <c r="BR464" s="128" t="s">
        <v>198</v>
      </c>
      <c r="BS464" s="350">
        <f>1/13</f>
        <v>7.6923076923076927E-2</v>
      </c>
      <c r="BT464" s="128" t="str">
        <f>IF(BS464="NA","NA",IF(BS464="Not Reported","Not Reported",IF(BS464&gt;$L$464,"Not Met","Met")))</f>
        <v>Met</v>
      </c>
      <c r="BU464" s="350">
        <f>1/33</f>
        <v>3.0303030303030304E-2</v>
      </c>
      <c r="BV464" s="128" t="str">
        <f>IF(BU464="NA","NA",IF(BU464="Not Reported","Not Reported",IF(BU464&gt;$L$464,"Not Met","Met")))</f>
        <v>Met</v>
      </c>
    </row>
    <row r="465" spans="1:74" x14ac:dyDescent="0.2">
      <c r="A465" s="121">
        <v>464</v>
      </c>
      <c r="B465" s="122" t="s">
        <v>918</v>
      </c>
      <c r="C465" s="122" t="s">
        <v>106</v>
      </c>
      <c r="D465" s="123" t="s">
        <v>920</v>
      </c>
      <c r="E465" s="123" t="s">
        <v>894</v>
      </c>
      <c r="F465" s="123" t="s">
        <v>190</v>
      </c>
      <c r="G465" s="123" t="s">
        <v>191</v>
      </c>
      <c r="H465" s="122" t="s">
        <v>212</v>
      </c>
      <c r="I465" s="122"/>
      <c r="J465" s="122"/>
      <c r="K465" s="122" t="s">
        <v>326</v>
      </c>
      <c r="L465" s="146">
        <v>0.2</v>
      </c>
      <c r="M465" s="146">
        <v>0.2</v>
      </c>
      <c r="N465" s="218"/>
      <c r="O465" s="122"/>
      <c r="P465" s="122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/>
      <c r="AH465" s="147"/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  <c r="AX465" s="147"/>
      <c r="AY465" s="147"/>
      <c r="AZ465" s="147"/>
      <c r="BA465" s="147"/>
      <c r="BB465" s="147"/>
      <c r="BC465" s="147"/>
      <c r="BD465" s="147"/>
      <c r="BE465" s="147"/>
      <c r="BF465" s="147"/>
      <c r="BG465" s="121" t="s">
        <v>323</v>
      </c>
      <c r="BH465" s="121" t="s">
        <v>323</v>
      </c>
      <c r="BI465" s="121" t="s">
        <v>323</v>
      </c>
      <c r="BJ465" s="121" t="s">
        <v>323</v>
      </c>
      <c r="BK465" s="211">
        <f>2/10</f>
        <v>0.2</v>
      </c>
      <c r="BL465" s="174" t="str">
        <f>IF(BK465="NA","NA",IF(BK465="Not Reported","Not Reported",IF(BK465&gt;$L$465,"Not Met","Met")))</f>
        <v>Met</v>
      </c>
      <c r="BM465" s="279">
        <v>0</v>
      </c>
      <c r="BN465" s="162" t="str">
        <f>IF(BM465="NA","NA",IF(BM465="Not Reported","Not Reported",IF(BM465&gt;$L$465,"Not Met","Met")))</f>
        <v>Met</v>
      </c>
      <c r="BO465" s="350">
        <f>1/4</f>
        <v>0.25</v>
      </c>
      <c r="BP465" s="162" t="s">
        <v>251</v>
      </c>
      <c r="BQ465" s="350">
        <f>3/20</f>
        <v>0.15</v>
      </c>
      <c r="BR465" s="162" t="s">
        <v>198</v>
      </c>
      <c r="BS465" s="350">
        <f>0/3</f>
        <v>0</v>
      </c>
      <c r="BT465" s="162" t="str">
        <f>IF(BS465="NA","NA",IF(BS465="Not Reported","Not Reported",IF(BS465&gt;$L$465,"Not Met","Met")))</f>
        <v>Met</v>
      </c>
      <c r="BU465" s="350">
        <f>3/23</f>
        <v>0.13043478260869565</v>
      </c>
      <c r="BV465" s="162" t="str">
        <f>IF(BU465="NA","NA",IF(BU465="Not Reported","Not Reported",IF(BU465&gt;$L$465,"Not Met","Met")))</f>
        <v>Met</v>
      </c>
    </row>
    <row r="466" spans="1:74" x14ac:dyDescent="0.25">
      <c r="A466" s="121">
        <v>465</v>
      </c>
      <c r="B466" s="122" t="s">
        <v>918</v>
      </c>
      <c r="C466" s="122" t="s">
        <v>106</v>
      </c>
      <c r="D466" s="123" t="s">
        <v>920</v>
      </c>
      <c r="E466" s="123" t="s">
        <v>894</v>
      </c>
      <c r="F466" s="123" t="s">
        <v>190</v>
      </c>
      <c r="G466" s="122" t="s">
        <v>273</v>
      </c>
      <c r="H466" s="122" t="s">
        <v>192</v>
      </c>
      <c r="I466" s="122"/>
      <c r="J466" s="122"/>
      <c r="K466" s="129" t="s">
        <v>274</v>
      </c>
      <c r="L466" s="147">
        <v>135</v>
      </c>
      <c r="M466" s="147" t="s">
        <v>874</v>
      </c>
      <c r="N466" s="218"/>
      <c r="O466" s="122"/>
      <c r="P466" s="122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/>
      <c r="AV466" s="147"/>
      <c r="AW466" s="147"/>
      <c r="AX466" s="147"/>
      <c r="AY466" s="147"/>
      <c r="AZ466" s="147"/>
      <c r="BA466" s="147"/>
      <c r="BB466" s="147"/>
      <c r="BC466" s="147"/>
      <c r="BD466" s="147"/>
      <c r="BE466" s="147"/>
      <c r="BF466" s="147"/>
      <c r="BG466" s="121" t="s">
        <v>323</v>
      </c>
      <c r="BH466" s="121" t="s">
        <v>323</v>
      </c>
      <c r="BI466" s="121" t="s">
        <v>323</v>
      </c>
      <c r="BJ466" s="121" t="s">
        <v>323</v>
      </c>
      <c r="BK466" s="147">
        <v>112</v>
      </c>
      <c r="BL466" s="121" t="str">
        <f>IF(BK466="NA","NA",IF(BK466="Not Reported","Not Reported",IF(BK466&gt;$L$466,"Not Met","Met")))</f>
        <v>Met</v>
      </c>
      <c r="BM466" s="288">
        <v>74</v>
      </c>
      <c r="BN466" s="121" t="str">
        <f>IF(BM466="NA","NA",IF(BM466="Not Reported","Not Reported",IF(BM466&gt;$L$466,"Not Met","Met")))</f>
        <v>Met</v>
      </c>
      <c r="BO466" s="31">
        <v>87</v>
      </c>
      <c r="BP466" s="121" t="s">
        <v>198</v>
      </c>
      <c r="BQ466" s="31">
        <v>97</v>
      </c>
      <c r="BR466" s="121" t="s">
        <v>198</v>
      </c>
      <c r="BS466" s="31">
        <v>113</v>
      </c>
      <c r="BT466" s="121" t="str">
        <f>IF(BS466="NA","NA",IF(BS466="Not Reported","Not Reported",IF(BS466&gt;$L$466,"Not Met","Met")))</f>
        <v>Met</v>
      </c>
      <c r="BU466" s="31">
        <v>99</v>
      </c>
      <c r="BV466" s="121" t="str">
        <f>IF(BU466="NA","NA",IF(BU466="Not Reported","Not Reported",IF(BU466&gt;$L$466,"Not Met","Met")))</f>
        <v>Met</v>
      </c>
    </row>
    <row r="467" spans="1:74" x14ac:dyDescent="0.25">
      <c r="A467" s="121">
        <v>466</v>
      </c>
      <c r="B467" s="122" t="s">
        <v>918</v>
      </c>
      <c r="C467" s="122" t="s">
        <v>106</v>
      </c>
      <c r="D467" s="123" t="s">
        <v>920</v>
      </c>
      <c r="E467" s="123" t="s">
        <v>894</v>
      </c>
      <c r="F467" s="123" t="s">
        <v>190</v>
      </c>
      <c r="G467" s="122" t="s">
        <v>273</v>
      </c>
      <c r="H467" s="122" t="s">
        <v>192</v>
      </c>
      <c r="I467" s="122"/>
      <c r="J467" s="122"/>
      <c r="K467" s="129" t="s">
        <v>289</v>
      </c>
      <c r="L467" s="152">
        <v>4.7222222222222221E-2</v>
      </c>
      <c r="M467" s="152">
        <v>4.7222222222222221E-2</v>
      </c>
      <c r="N467" s="218"/>
      <c r="O467" s="122"/>
      <c r="P467" s="122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  <c r="BA467" s="147"/>
      <c r="BB467" s="147"/>
      <c r="BC467" s="147"/>
      <c r="BD467" s="147"/>
      <c r="BE467" s="147"/>
      <c r="BF467" s="147"/>
      <c r="BG467" s="121" t="s">
        <v>323</v>
      </c>
      <c r="BH467" s="121" t="s">
        <v>323</v>
      </c>
      <c r="BI467" s="121" t="s">
        <v>323</v>
      </c>
      <c r="BJ467" s="121" t="s">
        <v>323</v>
      </c>
      <c r="BK467" s="197">
        <v>4.5138888888888888E-2</v>
      </c>
      <c r="BL467" s="128" t="str">
        <f>IF(BK467="NA","NA",IF(BK467="Not Reported","Not Reported",IF(BK467&gt;$L$467,"Not Met","Met")))</f>
        <v>Met</v>
      </c>
      <c r="BM467" s="289">
        <v>4.3749999999999997E-2</v>
      </c>
      <c r="BN467" s="128" t="str">
        <f>IF(BM467="NA","NA",IF(BM467="Not Reported","Not Reported",IF(BM467&gt;$L$467,"Not Met","Met")))</f>
        <v>Met</v>
      </c>
      <c r="BO467" s="311">
        <v>4.3749999999999997E-2</v>
      </c>
      <c r="BP467" s="128" t="s">
        <v>198</v>
      </c>
      <c r="BQ467" s="311">
        <v>4.3749999999999997E-2</v>
      </c>
      <c r="BR467" s="128" t="s">
        <v>198</v>
      </c>
      <c r="BS467" s="311">
        <v>4.2361111111111113E-2</v>
      </c>
      <c r="BT467" s="128" t="str">
        <f>IF(BS467="NA","NA",IF(BS467="Not Reported","Not Reported",IF(BS467&gt;$L$467,"Not Met","Met")))</f>
        <v>Met</v>
      </c>
      <c r="BU467" s="311">
        <v>4.3055555555555555E-2</v>
      </c>
      <c r="BV467" s="128" t="str">
        <f>IF(BU467="NA","NA",IF(BU467="Not Reported","Not Reported",IF(BU467&gt;$L$467,"Not Met","Met")))</f>
        <v>Met</v>
      </c>
    </row>
    <row r="468" spans="1:74" x14ac:dyDescent="0.25">
      <c r="A468" s="121">
        <v>467</v>
      </c>
      <c r="B468" s="122" t="s">
        <v>918</v>
      </c>
      <c r="C468" s="122" t="s">
        <v>106</v>
      </c>
      <c r="D468" s="123" t="s">
        <v>920</v>
      </c>
      <c r="E468" s="123" t="s">
        <v>894</v>
      </c>
      <c r="F468" s="123" t="s">
        <v>190</v>
      </c>
      <c r="G468" s="122" t="s">
        <v>273</v>
      </c>
      <c r="H468" s="122" t="s">
        <v>192</v>
      </c>
      <c r="I468" s="122"/>
      <c r="J468" s="122"/>
      <c r="K468" s="129" t="s">
        <v>296</v>
      </c>
      <c r="L468" s="128">
        <v>0.85</v>
      </c>
      <c r="M468" s="128">
        <v>0.85</v>
      </c>
      <c r="N468" s="218"/>
      <c r="O468" s="122"/>
      <c r="P468" s="122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/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  <c r="BA468" s="147"/>
      <c r="BB468" s="147"/>
      <c r="BC468" s="147"/>
      <c r="BD468" s="147"/>
      <c r="BE468" s="147"/>
      <c r="BF468" s="147"/>
      <c r="BG468" s="121" t="s">
        <v>323</v>
      </c>
      <c r="BH468" s="121" t="s">
        <v>323</v>
      </c>
      <c r="BI468" s="121" t="s">
        <v>323</v>
      </c>
      <c r="BJ468" s="121" t="s">
        <v>323</v>
      </c>
      <c r="BK468" s="146">
        <v>0.48</v>
      </c>
      <c r="BL468" s="128" t="str">
        <f>IF(BK468="NA","NA",IF(BK468="Not Reported","Not Reported",IF(BK468&lt;$L$468,"Not Met","Met")))</f>
        <v>Not Met</v>
      </c>
      <c r="BM468" s="262">
        <v>0.21</v>
      </c>
      <c r="BN468" s="128" t="str">
        <f>IF(BM468="NA","NA",IF(BM468="Not Reported","Not Reported",IF(BM468&lt;$L$468,"Not Met","Met")))</f>
        <v>Not Met</v>
      </c>
      <c r="BO468" s="315">
        <v>0.44</v>
      </c>
      <c r="BP468" s="128" t="s">
        <v>251</v>
      </c>
      <c r="BQ468" s="310">
        <v>0.35</v>
      </c>
      <c r="BR468" s="128" t="s">
        <v>251</v>
      </c>
      <c r="BS468" s="315">
        <v>7.0000000000000007E-2</v>
      </c>
      <c r="BT468" s="128" t="str">
        <f>IF(BS468="NA","NA",IF(BS468="Not Reported","Not Reported",IF(BS468&lt;$L$468,"Not Met","Met")))</f>
        <v>Not Met</v>
      </c>
      <c r="BU468" s="310">
        <v>0.3</v>
      </c>
      <c r="BV468" s="128" t="str">
        <f>IF(BU468="NA","NA",IF(BU468="Not Reported","Not Reported",IF(BU468&lt;$L$468,"Not Met","Met")))</f>
        <v>Not Met</v>
      </c>
    </row>
    <row r="469" spans="1:74" x14ac:dyDescent="0.25">
      <c r="A469" s="121">
        <v>468</v>
      </c>
      <c r="B469" s="122" t="s">
        <v>918</v>
      </c>
      <c r="C469" s="122" t="s">
        <v>106</v>
      </c>
      <c r="D469" s="123" t="s">
        <v>920</v>
      </c>
      <c r="E469" s="123" t="s">
        <v>894</v>
      </c>
      <c r="F469" s="123" t="s">
        <v>190</v>
      </c>
      <c r="G469" s="122" t="s">
        <v>273</v>
      </c>
      <c r="H469" s="122" t="s">
        <v>192</v>
      </c>
      <c r="I469" s="122"/>
      <c r="J469" s="122"/>
      <c r="K469" s="129" t="s">
        <v>284</v>
      </c>
      <c r="L469" s="128">
        <v>0.75</v>
      </c>
      <c r="M469" s="128">
        <v>0.75</v>
      </c>
      <c r="N469" s="218"/>
      <c r="O469" s="122"/>
      <c r="P469" s="122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/>
      <c r="AY469" s="147"/>
      <c r="AZ469" s="147"/>
      <c r="BA469" s="147"/>
      <c r="BB469" s="147"/>
      <c r="BC469" s="147"/>
      <c r="BD469" s="147"/>
      <c r="BE469" s="147"/>
      <c r="BF469" s="147"/>
      <c r="BG469" s="121" t="s">
        <v>323</v>
      </c>
      <c r="BH469" s="121" t="s">
        <v>323</v>
      </c>
      <c r="BI469" s="121" t="s">
        <v>323</v>
      </c>
      <c r="BJ469" s="121" t="s">
        <v>323</v>
      </c>
      <c r="BK469" s="146">
        <v>0.82</v>
      </c>
      <c r="BL469" s="128" t="str">
        <f>IF(BK469="NA","NA",IF(BK469="Not Reported","Not Reported",IF(BK469&lt;$L$469,"Not Met","Met")))</f>
        <v>Met</v>
      </c>
      <c r="BM469" s="262">
        <v>0.76</v>
      </c>
      <c r="BN469" s="128" t="str">
        <f>IF(BM469="NA","NA",IF(BM469="Not Reported","Not Reported",IF(BM469&lt;$L$469,"Not Met","Met")))</f>
        <v>Met</v>
      </c>
      <c r="BO469" s="315">
        <v>0.75</v>
      </c>
      <c r="BP469" s="128" t="s">
        <v>198</v>
      </c>
      <c r="BQ469" s="310">
        <v>0.76</v>
      </c>
      <c r="BR469" s="128" t="s">
        <v>198</v>
      </c>
      <c r="BS469" s="315">
        <v>0.76</v>
      </c>
      <c r="BT469" s="128" t="str">
        <f>IF(BS469="NA","NA",IF(BS469="Not Reported","Not Reported",IF(BS469&lt;$L$469,"Not Met","Met")))</f>
        <v>Met</v>
      </c>
      <c r="BU469" s="310">
        <v>0.76</v>
      </c>
      <c r="BV469" s="128" t="str">
        <f>IF(BU469="NA","NA",IF(BU469="Not Reported","Not Reported",IF(BU469&lt;$L$469,"Not Met","Met")))</f>
        <v>Met</v>
      </c>
    </row>
    <row r="470" spans="1:74" x14ac:dyDescent="0.25">
      <c r="A470" s="121">
        <v>469</v>
      </c>
      <c r="B470" s="122" t="s">
        <v>918</v>
      </c>
      <c r="C470" s="122" t="s">
        <v>106</v>
      </c>
      <c r="D470" s="123" t="s">
        <v>920</v>
      </c>
      <c r="E470" s="123" t="s">
        <v>894</v>
      </c>
      <c r="F470" s="123" t="s">
        <v>190</v>
      </c>
      <c r="G470" s="123" t="s">
        <v>191</v>
      </c>
      <c r="H470" s="122" t="s">
        <v>212</v>
      </c>
      <c r="I470" s="122"/>
      <c r="J470" s="122"/>
      <c r="K470" s="218" t="s">
        <v>526</v>
      </c>
      <c r="L470" s="146">
        <v>0.8</v>
      </c>
      <c r="M470" s="146">
        <v>0.8</v>
      </c>
      <c r="N470" s="218"/>
      <c r="O470" s="122"/>
      <c r="P470" s="122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7"/>
      <c r="AG470" s="147"/>
      <c r="AH470" s="147"/>
      <c r="AI470" s="147"/>
      <c r="AJ470" s="147"/>
      <c r="AK470" s="147"/>
      <c r="AL470" s="147"/>
      <c r="AM470" s="147"/>
      <c r="AN470" s="147"/>
      <c r="AO470" s="147"/>
      <c r="AP470" s="147"/>
      <c r="AQ470" s="147"/>
      <c r="AR470" s="147"/>
      <c r="AS470" s="147"/>
      <c r="AT470" s="147"/>
      <c r="AU470" s="147"/>
      <c r="AV470" s="147"/>
      <c r="AW470" s="147"/>
      <c r="AX470" s="147"/>
      <c r="AY470" s="147"/>
      <c r="AZ470" s="147"/>
      <c r="BA470" s="147"/>
      <c r="BB470" s="147"/>
      <c r="BC470" s="147"/>
      <c r="BD470" s="147"/>
      <c r="BE470" s="147"/>
      <c r="BF470" s="147"/>
      <c r="BG470" s="121" t="s">
        <v>323</v>
      </c>
      <c r="BH470" s="121" t="s">
        <v>323</v>
      </c>
      <c r="BI470" s="121" t="s">
        <v>323</v>
      </c>
      <c r="BJ470" s="121" t="s">
        <v>323</v>
      </c>
      <c r="BK470" s="211">
        <f>9/10</f>
        <v>0.9</v>
      </c>
      <c r="BL470" s="128" t="str">
        <f>IF(BK470="NA","NA",IF(BK470="Not Reported","Not Reported",IF(BK470&lt;$L$1468,"Not Met","Met")))</f>
        <v>Met</v>
      </c>
      <c r="BM470" s="262">
        <v>0.83</v>
      </c>
      <c r="BN470" s="128" t="str">
        <f>IF(BM470="NA","NA",IF(BM470="Not Reported","Not Reported",IF(BM470&lt;$L$1468,"Not Met","Met")))</f>
        <v>Met</v>
      </c>
      <c r="BO470" s="315">
        <v>1</v>
      </c>
      <c r="BP470" s="128" t="s">
        <v>198</v>
      </c>
      <c r="BQ470" s="310">
        <v>0.9</v>
      </c>
      <c r="BR470" s="128" t="s">
        <v>198</v>
      </c>
      <c r="BS470" s="315">
        <v>1</v>
      </c>
      <c r="BT470" s="128" t="str">
        <f>IF(BS470="NA","NA",IF(BS470="Not Reported","Not Reported",IF(BS470&lt;$L$1468,"Not Met","Met")))</f>
        <v>Met</v>
      </c>
      <c r="BU470" s="310">
        <v>0.91</v>
      </c>
      <c r="BV470" s="128" t="str">
        <f>IF(BU470="NA","NA",IF(BU470="Not Reported","Not Reported",IF(BU470&lt;$L$1468,"Not Met","Met")))</f>
        <v>Met</v>
      </c>
    </row>
    <row r="471" spans="1:74" x14ac:dyDescent="0.25">
      <c r="A471" s="121">
        <v>470</v>
      </c>
      <c r="B471" s="122" t="s">
        <v>918</v>
      </c>
      <c r="C471" s="122" t="s">
        <v>106</v>
      </c>
      <c r="D471" s="123" t="s">
        <v>920</v>
      </c>
      <c r="E471" s="123" t="s">
        <v>894</v>
      </c>
      <c r="F471" s="123" t="s">
        <v>190</v>
      </c>
      <c r="G471" s="123" t="s">
        <v>191</v>
      </c>
      <c r="H471" s="122" t="s">
        <v>212</v>
      </c>
      <c r="I471" s="122"/>
      <c r="J471" s="122"/>
      <c r="K471" s="122" t="s">
        <v>527</v>
      </c>
      <c r="L471" s="146">
        <v>0.05</v>
      </c>
      <c r="M471" s="146">
        <v>0.05</v>
      </c>
      <c r="N471" s="218"/>
      <c r="O471" s="122"/>
      <c r="P471" s="122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7"/>
      <c r="AG471" s="147"/>
      <c r="AH471" s="147"/>
      <c r="AI471" s="147"/>
      <c r="AJ471" s="147"/>
      <c r="AK471" s="147"/>
      <c r="AL471" s="147"/>
      <c r="AM471" s="147"/>
      <c r="AN471" s="147"/>
      <c r="AO471" s="147"/>
      <c r="AP471" s="147"/>
      <c r="AQ471" s="147"/>
      <c r="AR471" s="147"/>
      <c r="AS471" s="147"/>
      <c r="AT471" s="147"/>
      <c r="AU471" s="147"/>
      <c r="AV471" s="147"/>
      <c r="AW471" s="147"/>
      <c r="AX471" s="147"/>
      <c r="AY471" s="147"/>
      <c r="AZ471" s="147"/>
      <c r="BA471" s="147"/>
      <c r="BB471" s="147"/>
      <c r="BC471" s="147"/>
      <c r="BD471" s="147"/>
      <c r="BE471" s="147"/>
      <c r="BF471" s="147"/>
      <c r="BG471" s="121" t="s">
        <v>323</v>
      </c>
      <c r="BH471" s="121" t="s">
        <v>323</v>
      </c>
      <c r="BI471" s="121" t="s">
        <v>323</v>
      </c>
      <c r="BJ471" s="121" t="s">
        <v>323</v>
      </c>
      <c r="BK471" s="211">
        <v>0</v>
      </c>
      <c r="BL471" s="121" t="str">
        <f>IF(BK471="NA","NA",IF(BK471="Not Reported","Not Reported",IF(BK471&gt;$L$472,"Not Met","Met")))</f>
        <v>Met</v>
      </c>
      <c r="BM471" s="262">
        <v>0</v>
      </c>
      <c r="BN471" s="121" t="str">
        <f>IF(BM471="NA","NA",IF(BM471="Not Reported","Not Reported",IF(BM471&gt;$L$472,"Not Met","Met")))</f>
        <v>Met</v>
      </c>
      <c r="BO471" s="351">
        <v>0</v>
      </c>
      <c r="BP471" s="121" t="s">
        <v>198</v>
      </c>
      <c r="BQ471" s="355">
        <v>0</v>
      </c>
      <c r="BR471" s="121" t="s">
        <v>198</v>
      </c>
      <c r="BS471" s="351">
        <v>0</v>
      </c>
      <c r="BT471" s="121" t="str">
        <f>IF(BS471="NA","NA",IF(BS471="Not Reported","Not Reported",IF(BS471&gt;$L$472,"Not Met","Met")))</f>
        <v>Met</v>
      </c>
      <c r="BU471" s="355">
        <v>0</v>
      </c>
      <c r="BV471" s="121" t="str">
        <f>IF(BU471="NA","NA",IF(BU471="Not Reported","Not Reported",IF(BU471&gt;$L$472,"Not Met","Met")))</f>
        <v>Met</v>
      </c>
    </row>
    <row r="472" spans="1:74" x14ac:dyDescent="0.25">
      <c r="A472" s="121">
        <v>471</v>
      </c>
      <c r="B472" s="122" t="s">
        <v>852</v>
      </c>
      <c r="C472" s="122" t="s">
        <v>106</v>
      </c>
      <c r="D472" s="123" t="s">
        <v>920</v>
      </c>
      <c r="E472" s="123" t="s">
        <v>894</v>
      </c>
      <c r="F472" s="123" t="s">
        <v>190</v>
      </c>
      <c r="G472" s="123" t="s">
        <v>191</v>
      </c>
      <c r="H472" s="122" t="s">
        <v>212</v>
      </c>
      <c r="I472" s="122"/>
      <c r="J472" s="122"/>
      <c r="K472" s="129" t="s">
        <v>213</v>
      </c>
      <c r="L472" s="147">
        <v>45</v>
      </c>
      <c r="M472" s="147" t="s">
        <v>361</v>
      </c>
      <c r="N472" s="218"/>
      <c r="O472" s="122"/>
      <c r="P472" s="122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  <c r="AX472" s="147"/>
      <c r="AY472" s="147"/>
      <c r="AZ472" s="147"/>
      <c r="BA472" s="147"/>
      <c r="BB472" s="147"/>
      <c r="BC472" s="147"/>
      <c r="BD472" s="147"/>
      <c r="BE472" s="147"/>
      <c r="BF472" s="147"/>
      <c r="BG472" s="121" t="s">
        <v>323</v>
      </c>
      <c r="BH472" s="121" t="s">
        <v>323</v>
      </c>
      <c r="BI472" s="121" t="s">
        <v>323</v>
      </c>
      <c r="BJ472" s="121" t="s">
        <v>323</v>
      </c>
      <c r="BK472" s="189" t="s">
        <v>506</v>
      </c>
      <c r="BL472" s="121" t="str">
        <f>IF(BK472="NA","NA",IF(BK472="Not Reported","Not Reported",IF(BK472&gt;$L$472,"Not Met","Met")))</f>
        <v>Not Met</v>
      </c>
      <c r="BM472" s="288">
        <v>45</v>
      </c>
      <c r="BN472" s="121" t="str">
        <f>IF(BM472="NA","NA",IF(BM472="Not Reported","Not Reported",IF(BM472&gt;$L$472,"Not Met","Met")))</f>
        <v>Met</v>
      </c>
      <c r="BO472" s="349">
        <v>34</v>
      </c>
      <c r="BP472" s="121" t="s">
        <v>198</v>
      </c>
      <c r="BQ472" s="349">
        <v>43</v>
      </c>
      <c r="BR472" s="121" t="s">
        <v>198</v>
      </c>
      <c r="BS472" s="349">
        <v>37</v>
      </c>
      <c r="BT472" s="121" t="str">
        <f>IF(BS472="NA","NA",IF(BS472="Not Reported","Not Reported",IF(BS472&gt;$L$472,"Not Met","Met")))</f>
        <v>Met</v>
      </c>
      <c r="BU472" s="356">
        <v>44</v>
      </c>
      <c r="BV472" s="121" t="str">
        <f>IF(BU472="NA","NA",IF(BU472="Not Reported","Not Reported",IF(BU472&gt;$L$472,"Not Met","Met")))</f>
        <v>Met</v>
      </c>
    </row>
    <row r="473" spans="1:74" x14ac:dyDescent="0.25">
      <c r="A473" s="121">
        <v>472</v>
      </c>
      <c r="B473" s="122" t="s">
        <v>852</v>
      </c>
      <c r="C473" s="122" t="s">
        <v>106</v>
      </c>
      <c r="D473" s="123" t="s">
        <v>920</v>
      </c>
      <c r="E473" s="123" t="s">
        <v>894</v>
      </c>
      <c r="F473" s="123" t="s">
        <v>190</v>
      </c>
      <c r="G473" s="123" t="s">
        <v>191</v>
      </c>
      <c r="H473" s="122" t="s">
        <v>212</v>
      </c>
      <c r="I473" s="122"/>
      <c r="J473" s="122"/>
      <c r="K473" s="122" t="s">
        <v>512</v>
      </c>
      <c r="L473" s="146">
        <v>0.6</v>
      </c>
      <c r="M473" s="146">
        <v>0.6</v>
      </c>
      <c r="N473" s="218"/>
      <c r="O473" s="122"/>
      <c r="P473" s="122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/>
      <c r="AV473" s="147"/>
      <c r="AW473" s="147"/>
      <c r="AX473" s="147"/>
      <c r="AY473" s="147"/>
      <c r="AZ473" s="147"/>
      <c r="BA473" s="147"/>
      <c r="BB473" s="147"/>
      <c r="BC473" s="147"/>
      <c r="BD473" s="147"/>
      <c r="BE473" s="147"/>
      <c r="BF473" s="147"/>
      <c r="BG473" s="121" t="s">
        <v>323</v>
      </c>
      <c r="BH473" s="121" t="s">
        <v>323</v>
      </c>
      <c r="BI473" s="121" t="s">
        <v>323</v>
      </c>
      <c r="BJ473" s="121" t="s">
        <v>323</v>
      </c>
      <c r="BK473" s="195">
        <f>13/23</f>
        <v>0.56521739130434778</v>
      </c>
      <c r="BL473" s="121" t="str">
        <f>IF(BK473="NA","NA",IF(BK473="Not Reported","Not Reported",IF(BK473&lt;$L$473,"Not Met","Met")))</f>
        <v>Not Met</v>
      </c>
      <c r="BM473" s="285">
        <v>0.58333333333333337</v>
      </c>
      <c r="BN473" s="121" t="str">
        <f>IF(BM473="NA","NA",IF(BM473="Not Reported","Not Reported",IF(BM473&lt;$L$473,"Not Met","Met")))</f>
        <v>Not Met</v>
      </c>
      <c r="BO473" s="345">
        <f>8/15</f>
        <v>0.53333333333333333</v>
      </c>
      <c r="BP473" s="121" t="s">
        <v>251</v>
      </c>
      <c r="BQ473" s="345">
        <f>28/50</f>
        <v>0.56000000000000005</v>
      </c>
      <c r="BR473" s="121" t="s">
        <v>251</v>
      </c>
      <c r="BS473" s="350">
        <v>0.5714285714285714</v>
      </c>
      <c r="BT473" s="121" t="str">
        <f>IF(BS473="NA","NA",IF(BS473="Not Reported","Not Reported",IF(BS473&lt;$L$473,"Not Met","Met")))</f>
        <v>Not Met</v>
      </c>
      <c r="BU473" s="350">
        <v>0.51010101010101006</v>
      </c>
      <c r="BV473" s="121" t="str">
        <f>IF(BU473="NA","NA",IF(BU473="Not Reported","Not Reported",IF(BU473&lt;$L$473,"Not Met","Met")))</f>
        <v>Not Met</v>
      </c>
    </row>
    <row r="474" spans="1:74" x14ac:dyDescent="0.25">
      <c r="A474" s="121">
        <v>473</v>
      </c>
      <c r="B474" s="122" t="s">
        <v>852</v>
      </c>
      <c r="C474" s="122" t="s">
        <v>106</v>
      </c>
      <c r="D474" s="123" t="s">
        <v>920</v>
      </c>
      <c r="E474" s="123" t="s">
        <v>894</v>
      </c>
      <c r="F474" s="123" t="s">
        <v>190</v>
      </c>
      <c r="G474" s="123" t="s">
        <v>191</v>
      </c>
      <c r="H474" s="122" t="s">
        <v>212</v>
      </c>
      <c r="I474" s="122"/>
      <c r="J474" s="122"/>
      <c r="K474" s="122" t="s">
        <v>513</v>
      </c>
      <c r="L474" s="146">
        <v>0.4</v>
      </c>
      <c r="M474" s="146">
        <v>0.4</v>
      </c>
      <c r="N474" s="218"/>
      <c r="O474" s="122"/>
      <c r="P474" s="122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/>
      <c r="AO474" s="147"/>
      <c r="AP474" s="147"/>
      <c r="AQ474" s="147"/>
      <c r="AR474" s="147"/>
      <c r="AS474" s="147"/>
      <c r="AT474" s="147"/>
      <c r="AU474" s="147"/>
      <c r="AV474" s="147"/>
      <c r="AW474" s="147"/>
      <c r="AX474" s="147"/>
      <c r="AY474" s="147"/>
      <c r="AZ474" s="147"/>
      <c r="BA474" s="147"/>
      <c r="BB474" s="147"/>
      <c r="BC474" s="147"/>
      <c r="BD474" s="147"/>
      <c r="BE474" s="147"/>
      <c r="BF474" s="147"/>
      <c r="BG474" s="121" t="s">
        <v>323</v>
      </c>
      <c r="BH474" s="121" t="s">
        <v>323</v>
      </c>
      <c r="BI474" s="121" t="s">
        <v>323</v>
      </c>
      <c r="BJ474" s="121" t="s">
        <v>323</v>
      </c>
      <c r="BK474" s="211">
        <f>10/23</f>
        <v>0.43478260869565216</v>
      </c>
      <c r="BL474" s="121" t="str">
        <f>IF(BK474="NA","NA",IF(BK474="Not Reported","Not Reported",IF(BK474&lt;$L$474,"Not Met","Met")))</f>
        <v>Met</v>
      </c>
      <c r="BM474" s="285">
        <v>0.41666666666666669</v>
      </c>
      <c r="BN474" s="121" t="str">
        <f>IF(BM474="NA","NA",IF(BM474="Not Reported","Not Reported",IF(BM474&lt;$L$474,"Not Met","Met")))</f>
        <v>Met</v>
      </c>
      <c r="BO474" s="350">
        <f>7/15</f>
        <v>0.46666666666666667</v>
      </c>
      <c r="BP474" s="121" t="s">
        <v>198</v>
      </c>
      <c r="BQ474" s="345">
        <f>24/50</f>
        <v>0.48</v>
      </c>
      <c r="BR474" s="121" t="s">
        <v>198</v>
      </c>
      <c r="BS474" s="345">
        <v>0.42857142857142855</v>
      </c>
      <c r="BT474" s="121" t="str">
        <f>IF(BS474="NA","NA",IF(BS474="Not Reported","Not Reported",IF(BS474&lt;$L$474,"Not Met","Met")))</f>
        <v>Met</v>
      </c>
      <c r="BU474" s="350">
        <v>0.48989898989898989</v>
      </c>
      <c r="BV474" s="121" t="str">
        <f>IF(BU474="NA","NA",IF(BU474="Not Reported","Not Reported",IF(BU474&lt;$L$474,"Not Met","Met")))</f>
        <v>Met</v>
      </c>
    </row>
    <row r="475" spans="1:74" x14ac:dyDescent="0.25">
      <c r="A475" s="121">
        <v>474</v>
      </c>
      <c r="B475" s="122" t="s">
        <v>852</v>
      </c>
      <c r="C475" s="122" t="s">
        <v>106</v>
      </c>
      <c r="D475" s="123" t="s">
        <v>920</v>
      </c>
      <c r="E475" s="123" t="s">
        <v>894</v>
      </c>
      <c r="F475" s="123" t="s">
        <v>190</v>
      </c>
      <c r="G475" s="123" t="s">
        <v>191</v>
      </c>
      <c r="H475" s="122" t="s">
        <v>212</v>
      </c>
      <c r="I475" s="122"/>
      <c r="J475" s="122"/>
      <c r="K475" s="123" t="s">
        <v>264</v>
      </c>
      <c r="L475" s="146">
        <v>0.8</v>
      </c>
      <c r="M475" s="146">
        <v>0.8</v>
      </c>
      <c r="N475" s="218"/>
      <c r="O475" s="122"/>
      <c r="P475" s="122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/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/>
      <c r="AV475" s="147"/>
      <c r="AW475" s="147"/>
      <c r="AX475" s="147"/>
      <c r="AY475" s="147"/>
      <c r="AZ475" s="147"/>
      <c r="BA475" s="147"/>
      <c r="BB475" s="147"/>
      <c r="BC475" s="147"/>
      <c r="BD475" s="147"/>
      <c r="BE475" s="147"/>
      <c r="BF475" s="147"/>
      <c r="BG475" s="121" t="s">
        <v>323</v>
      </c>
      <c r="BH475" s="121" t="s">
        <v>323</v>
      </c>
      <c r="BI475" s="121" t="s">
        <v>323</v>
      </c>
      <c r="BJ475" s="121" t="s">
        <v>323</v>
      </c>
      <c r="BK475" s="211">
        <f>4.9/5</f>
        <v>0.98000000000000009</v>
      </c>
      <c r="BL475" s="121" t="str">
        <f>IF(BK475="NA","NA",IF(BK475="Not Reported","Not Reported",IF(BK475&lt;$L$475,"Not Met","Met")))</f>
        <v>Met</v>
      </c>
      <c r="BM475" s="285">
        <v>0.98000000000000009</v>
      </c>
      <c r="BN475" s="121" t="str">
        <f>IF(BM475="NA","NA",IF(BM475="Not Reported","Not Reported",IF(BM475&lt;$L$475,"Not Met","Met")))</f>
        <v>Met</v>
      </c>
      <c r="BO475" s="350">
        <f>4.9/5</f>
        <v>0.98000000000000009</v>
      </c>
      <c r="BP475" s="121" t="s">
        <v>198</v>
      </c>
      <c r="BQ475" s="345">
        <f>4.9/5</f>
        <v>0.98000000000000009</v>
      </c>
      <c r="BR475" s="121" t="s">
        <v>198</v>
      </c>
      <c r="BS475" s="345">
        <v>1</v>
      </c>
      <c r="BT475" s="121" t="str">
        <f>IF(BS475="NA","NA",IF(BS475="Not Reported","Not Reported",IF(BS475&lt;$L$475,"Not Met","Met")))</f>
        <v>Met</v>
      </c>
      <c r="BU475" s="350">
        <v>0.98000000000000009</v>
      </c>
      <c r="BV475" s="121" t="str">
        <f>IF(BU475="NA","NA",IF(BU475="Not Reported","Not Reported",IF(BU475&lt;$L$475,"Not Met","Met")))</f>
        <v>Met</v>
      </c>
    </row>
    <row r="476" spans="1:74" x14ac:dyDescent="0.25">
      <c r="A476" s="121">
        <v>475</v>
      </c>
      <c r="B476" s="122" t="s">
        <v>852</v>
      </c>
      <c r="C476" s="122" t="s">
        <v>106</v>
      </c>
      <c r="D476" s="123" t="s">
        <v>920</v>
      </c>
      <c r="E476" s="123" t="s">
        <v>894</v>
      </c>
      <c r="F476" s="123" t="s">
        <v>190</v>
      </c>
      <c r="G476" s="123" t="s">
        <v>191</v>
      </c>
      <c r="H476" s="122" t="s">
        <v>212</v>
      </c>
      <c r="I476" s="122"/>
      <c r="J476" s="122"/>
      <c r="K476" s="123" t="s">
        <v>516</v>
      </c>
      <c r="L476" s="146">
        <v>0.8</v>
      </c>
      <c r="M476" s="146">
        <v>0.8</v>
      </c>
      <c r="N476" s="218"/>
      <c r="O476" s="122"/>
      <c r="P476" s="122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/>
      <c r="AG476" s="147"/>
      <c r="AH476" s="147"/>
      <c r="AI476" s="147"/>
      <c r="AJ476" s="147"/>
      <c r="AK476" s="147"/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  <c r="AX476" s="147"/>
      <c r="AY476" s="147"/>
      <c r="AZ476" s="147"/>
      <c r="BA476" s="147"/>
      <c r="BB476" s="147"/>
      <c r="BC476" s="147"/>
      <c r="BD476" s="147"/>
      <c r="BE476" s="147"/>
      <c r="BF476" s="147"/>
      <c r="BG476" s="121" t="s">
        <v>323</v>
      </c>
      <c r="BH476" s="121" t="s">
        <v>323</v>
      </c>
      <c r="BI476" s="121" t="s">
        <v>323</v>
      </c>
      <c r="BJ476" s="121" t="s">
        <v>323</v>
      </c>
      <c r="BK476" s="211">
        <f>4.9/5</f>
        <v>0.98000000000000009</v>
      </c>
      <c r="BL476" s="121" t="str">
        <f>IF(BK476="NA","NA",IF(BK476="Not Reported","Not Reported",IF(BK476&lt;$L$476,"Not Met","Met")))</f>
        <v>Met</v>
      </c>
      <c r="BM476" s="285">
        <v>0.88000000000000012</v>
      </c>
      <c r="BN476" s="121" t="str">
        <f>IF(BM476="NA","NA",IF(BM476="Not Reported","Not Reported",IF(BM476&lt;$L$476,"Not Met","Met")))</f>
        <v>Met</v>
      </c>
      <c r="BO476" s="350">
        <f>4.6/5</f>
        <v>0.91999999999999993</v>
      </c>
      <c r="BP476" s="121" t="s">
        <v>198</v>
      </c>
      <c r="BQ476" s="345">
        <f>4.7/5</f>
        <v>0.94000000000000006</v>
      </c>
      <c r="BR476" s="121" t="s">
        <v>198</v>
      </c>
      <c r="BS476" s="345">
        <v>0.91999999999999993</v>
      </c>
      <c r="BT476" s="121" t="str">
        <f>IF(BS476="NA","NA",IF(BS476="Not Reported","Not Reported",IF(BS476&lt;$L$476,"Not Met","Met")))</f>
        <v>Met</v>
      </c>
      <c r="BU476" s="354">
        <v>0.96</v>
      </c>
      <c r="BV476" s="121" t="str">
        <f>IF(BU476="NA","NA",IF(BU476="Not Reported","Not Reported",IF(BU476&lt;$L$476,"Not Met","Met")))</f>
        <v>Met</v>
      </c>
    </row>
    <row r="477" spans="1:74" x14ac:dyDescent="0.25">
      <c r="A477" s="121">
        <v>476</v>
      </c>
      <c r="B477" s="122" t="s">
        <v>852</v>
      </c>
      <c r="C477" s="122" t="s">
        <v>106</v>
      </c>
      <c r="D477" s="123" t="s">
        <v>920</v>
      </c>
      <c r="E477" s="123" t="s">
        <v>894</v>
      </c>
      <c r="F477" s="123" t="s">
        <v>190</v>
      </c>
      <c r="G477" s="123" t="s">
        <v>191</v>
      </c>
      <c r="H477" s="122" t="s">
        <v>212</v>
      </c>
      <c r="I477" s="122"/>
      <c r="J477" s="122"/>
      <c r="K477" s="123" t="s">
        <v>259</v>
      </c>
      <c r="L477" s="146">
        <v>0.35</v>
      </c>
      <c r="M477" s="146">
        <v>0.35</v>
      </c>
      <c r="N477" s="218"/>
      <c r="O477" s="122"/>
      <c r="P477" s="122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/>
      <c r="AM477" s="147"/>
      <c r="AN477" s="147"/>
      <c r="AO477" s="147"/>
      <c r="AP477" s="147"/>
      <c r="AQ477" s="147"/>
      <c r="AR477" s="147"/>
      <c r="AS477" s="147"/>
      <c r="AT477" s="147"/>
      <c r="AU477" s="147"/>
      <c r="AV477" s="147"/>
      <c r="AW477" s="147"/>
      <c r="AX477" s="147"/>
      <c r="AY477" s="147"/>
      <c r="AZ477" s="147"/>
      <c r="BA477" s="147"/>
      <c r="BB477" s="147"/>
      <c r="BC477" s="147"/>
      <c r="BD477" s="147"/>
      <c r="BE477" s="147"/>
      <c r="BF477" s="147"/>
      <c r="BG477" s="121" t="s">
        <v>323</v>
      </c>
      <c r="BH477" s="121" t="s">
        <v>323</v>
      </c>
      <c r="BI477" s="121" t="s">
        <v>323</v>
      </c>
      <c r="BJ477" s="121" t="s">
        <v>323</v>
      </c>
      <c r="BK477" s="211">
        <f>6/23</f>
        <v>0.2608695652173913</v>
      </c>
      <c r="BL477" s="121" t="str">
        <f>IF(BK477="NA","NA",IF(BK477="Not Reported","Not Reported",IF(BK477&lt;$L$477,"Not Met","Met")))</f>
        <v>Not Met</v>
      </c>
      <c r="BM477" s="285">
        <v>0.16666666666666666</v>
      </c>
      <c r="BN477" s="121" t="str">
        <f>IF(BM477="NA","NA",IF(BM477="Not Reported","Not Reported",IF(BM477&lt;$L$477,"Not Met","Met")))</f>
        <v>Not Met</v>
      </c>
      <c r="BO477" s="350">
        <f>4/15</f>
        <v>0.26666666666666666</v>
      </c>
      <c r="BP477" s="121" t="s">
        <v>251</v>
      </c>
      <c r="BQ477" s="350">
        <f>12/50</f>
        <v>0.24</v>
      </c>
      <c r="BR477" s="121" t="s">
        <v>251</v>
      </c>
      <c r="BS477" s="350">
        <v>0.2857142857142857</v>
      </c>
      <c r="BT477" s="121" t="str">
        <f>IF(BS477="NA","NA",IF(BS477="Not Reported","Not Reported",IF(BS477&lt;$L$477,"Not Met","Met")))</f>
        <v>Not Met</v>
      </c>
      <c r="BU477" s="354">
        <v>0.27777777777777779</v>
      </c>
      <c r="BV477" s="121" t="str">
        <f>IF(BU477="NA","NA",IF(BU477="Not Reported","Not Reported",IF(BU477&lt;$L$477,"Not Met","Met")))</f>
        <v>Not Met</v>
      </c>
    </row>
    <row r="478" spans="1:74" x14ac:dyDescent="0.25">
      <c r="A478" s="121">
        <v>477</v>
      </c>
      <c r="B478" s="122" t="s">
        <v>852</v>
      </c>
      <c r="C478" s="122" t="s">
        <v>106</v>
      </c>
      <c r="D478" s="123" t="s">
        <v>920</v>
      </c>
      <c r="E478" s="123" t="s">
        <v>894</v>
      </c>
      <c r="F478" s="123" t="s">
        <v>190</v>
      </c>
      <c r="G478" s="123" t="s">
        <v>191</v>
      </c>
      <c r="H478" s="122" t="s">
        <v>212</v>
      </c>
      <c r="I478" s="122"/>
      <c r="J478" s="122"/>
      <c r="K478" s="122" t="s">
        <v>292</v>
      </c>
      <c r="L478" s="146">
        <v>0.15</v>
      </c>
      <c r="M478" s="146">
        <v>0.15</v>
      </c>
      <c r="N478" s="218"/>
      <c r="O478" s="122"/>
      <c r="P478" s="122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147"/>
      <c r="AS478" s="147"/>
      <c r="AT478" s="147"/>
      <c r="AU478" s="147"/>
      <c r="AV478" s="147"/>
      <c r="AW478" s="147"/>
      <c r="AX478" s="147"/>
      <c r="AY478" s="147"/>
      <c r="AZ478" s="147"/>
      <c r="BA478" s="147"/>
      <c r="BB478" s="147"/>
      <c r="BC478" s="147"/>
      <c r="BD478" s="147"/>
      <c r="BE478" s="147"/>
      <c r="BF478" s="147"/>
      <c r="BG478" s="121" t="s">
        <v>323</v>
      </c>
      <c r="BH478" s="121" t="s">
        <v>323</v>
      </c>
      <c r="BI478" s="121" t="s">
        <v>323</v>
      </c>
      <c r="BJ478" s="121" t="s">
        <v>323</v>
      </c>
      <c r="BK478" s="211">
        <f>0/13</f>
        <v>0</v>
      </c>
      <c r="BL478" s="128" t="str">
        <f>IF(BK478="NA","NA",IF(BK478="Not Reported","Not Reported",IF(BK478&gt;$L$478,"Not Met","Met")))</f>
        <v>Met</v>
      </c>
      <c r="BM478" s="285">
        <v>0</v>
      </c>
      <c r="BN478" s="128" t="str">
        <f>IF(BM478="NA","NA",IF(BM478="Not Reported","Not Reported",IF(BM478&gt;$L$478,"Not Met","Met")))</f>
        <v>Met</v>
      </c>
      <c r="BO478" s="345">
        <f>1/18</f>
        <v>5.5555555555555552E-2</v>
      </c>
      <c r="BP478" s="128" t="s">
        <v>198</v>
      </c>
      <c r="BQ478" s="345">
        <f>6/59</f>
        <v>0.10169491525423729</v>
      </c>
      <c r="BR478" s="128" t="s">
        <v>198</v>
      </c>
      <c r="BS478" s="401">
        <v>0</v>
      </c>
      <c r="BT478" s="128" t="str">
        <f>IF(BS478="NA","NA",IF(BS478="Not Reported","Not Reported",IF(BS478&gt;$L$478,"Not Met","Met")))</f>
        <v>Met</v>
      </c>
      <c r="BU478" s="13">
        <v>0.10091743119266056</v>
      </c>
      <c r="BV478" s="128" t="str">
        <f>IF(BU478="NA","NA",IF(BU478="Not Reported","Not Reported",IF(BU478&gt;$L$478,"Not Met","Met")))</f>
        <v>Met</v>
      </c>
    </row>
    <row r="479" spans="1:74" x14ac:dyDescent="0.2">
      <c r="A479" s="121">
        <v>478</v>
      </c>
      <c r="B479" s="122" t="s">
        <v>852</v>
      </c>
      <c r="C479" s="122" t="s">
        <v>106</v>
      </c>
      <c r="D479" s="123" t="s">
        <v>920</v>
      </c>
      <c r="E479" s="123" t="s">
        <v>894</v>
      </c>
      <c r="F479" s="123" t="s">
        <v>190</v>
      </c>
      <c r="G479" s="123" t="s">
        <v>191</v>
      </c>
      <c r="H479" s="122" t="s">
        <v>212</v>
      </c>
      <c r="I479" s="122"/>
      <c r="J479" s="122"/>
      <c r="K479" s="122" t="s">
        <v>326</v>
      </c>
      <c r="L479" s="146">
        <v>0.2</v>
      </c>
      <c r="M479" s="146">
        <v>0.2</v>
      </c>
      <c r="N479" s="218"/>
      <c r="O479" s="122"/>
      <c r="P479" s="122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/>
      <c r="AX479" s="147"/>
      <c r="AY479" s="147"/>
      <c r="AZ479" s="147"/>
      <c r="BA479" s="147"/>
      <c r="BB479" s="147"/>
      <c r="BC479" s="147"/>
      <c r="BD479" s="147"/>
      <c r="BE479" s="147"/>
      <c r="BF479" s="147"/>
      <c r="BG479" s="121" t="s">
        <v>323</v>
      </c>
      <c r="BH479" s="121" t="s">
        <v>323</v>
      </c>
      <c r="BI479" s="121" t="s">
        <v>323</v>
      </c>
      <c r="BJ479" s="121" t="s">
        <v>323</v>
      </c>
      <c r="BK479" s="211">
        <f>7/23</f>
        <v>0.30434782608695654</v>
      </c>
      <c r="BL479" s="174" t="str">
        <f>IF(BK479="NA","NA",IF(BK479="Not Reported","Not Reported",IF(BK479&gt;$L$479,"Not Met","Met")))</f>
        <v>Not Met</v>
      </c>
      <c r="BM479" s="285">
        <v>0.41666666666666669</v>
      </c>
      <c r="BN479" s="162" t="str">
        <f>IF(BM479="NA","NA",IF(BM479="Not Reported","Not Reported",IF(BM479&gt;$L$479,"Not Met","Met")))</f>
        <v>Not Met</v>
      </c>
      <c r="BO479" s="345">
        <f>1/15</f>
        <v>6.6666666666666666E-2</v>
      </c>
      <c r="BP479" s="162" t="s">
        <v>198</v>
      </c>
      <c r="BQ479" s="345">
        <f>13/50</f>
        <v>0.26</v>
      </c>
      <c r="BR479" s="162" t="s">
        <v>251</v>
      </c>
      <c r="BS479" s="345">
        <v>0.14285714285714285</v>
      </c>
      <c r="BT479" s="162" t="str">
        <f>IF(BS479="NA","NA",IF(BS479="Not Reported","Not Reported",IF(BS479&gt;$L$479,"Not Met","Met")))</f>
        <v>Met</v>
      </c>
      <c r="BU479" s="350">
        <v>0.21212121212121213</v>
      </c>
      <c r="BV479" s="162" t="str">
        <f>IF(BU479="NA","NA",IF(BU479="Not Reported","Not Reported",IF(BU479&gt;$L$479,"Not Met","Met")))</f>
        <v>Not Met</v>
      </c>
    </row>
    <row r="480" spans="1:74" x14ac:dyDescent="0.25">
      <c r="A480" s="121">
        <v>479</v>
      </c>
      <c r="B480" s="122" t="s">
        <v>852</v>
      </c>
      <c r="C480" s="122" t="s">
        <v>106</v>
      </c>
      <c r="D480" s="123" t="s">
        <v>920</v>
      </c>
      <c r="E480" s="123" t="s">
        <v>894</v>
      </c>
      <c r="F480" s="123" t="s">
        <v>190</v>
      </c>
      <c r="G480" s="122" t="s">
        <v>273</v>
      </c>
      <c r="H480" s="122" t="s">
        <v>192</v>
      </c>
      <c r="I480" s="122"/>
      <c r="J480" s="122"/>
      <c r="K480" s="129" t="s">
        <v>274</v>
      </c>
      <c r="L480" s="147">
        <v>135</v>
      </c>
      <c r="M480" s="147" t="s">
        <v>874</v>
      </c>
      <c r="N480" s="218"/>
      <c r="O480" s="122"/>
      <c r="P480" s="122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47"/>
      <c r="AI480" s="147"/>
      <c r="AJ480" s="147"/>
      <c r="AK480" s="147"/>
      <c r="AL480" s="147"/>
      <c r="AM480" s="147"/>
      <c r="AN480" s="147"/>
      <c r="AO480" s="147"/>
      <c r="AP480" s="147"/>
      <c r="AQ480" s="147"/>
      <c r="AR480" s="147"/>
      <c r="AS480" s="147"/>
      <c r="AT480" s="147"/>
      <c r="AU480" s="147"/>
      <c r="AV480" s="147"/>
      <c r="AW480" s="147"/>
      <c r="AX480" s="147"/>
      <c r="AY480" s="147"/>
      <c r="AZ480" s="147"/>
      <c r="BA480" s="147"/>
      <c r="BB480" s="147"/>
      <c r="BC480" s="147"/>
      <c r="BD480" s="147"/>
      <c r="BE480" s="147"/>
      <c r="BF480" s="147"/>
      <c r="BG480" s="121" t="s">
        <v>323</v>
      </c>
      <c r="BH480" s="121" t="s">
        <v>323</v>
      </c>
      <c r="BI480" s="121" t="s">
        <v>323</v>
      </c>
      <c r="BJ480" s="121" t="s">
        <v>323</v>
      </c>
      <c r="BK480" s="147">
        <v>95</v>
      </c>
      <c r="BL480" s="121" t="str">
        <f>IF(BK480="NA","NA",IF(BK480="Not Reported","Not Reported",IF(BK480&gt;$L$480,"Not Met","Met")))</f>
        <v>Met</v>
      </c>
      <c r="BM480" s="288">
        <v>121</v>
      </c>
      <c r="BN480" s="121" t="str">
        <f>IF(BM480="NA","NA",IF(BM480="Not Reported","Not Reported",IF(BM480&gt;$L$480,"Not Met","Met")))</f>
        <v>Met</v>
      </c>
      <c r="BO480" s="349">
        <v>86</v>
      </c>
      <c r="BP480" s="121" t="s">
        <v>198</v>
      </c>
      <c r="BQ480" s="349">
        <v>99</v>
      </c>
      <c r="BR480" s="121" t="s">
        <v>198</v>
      </c>
      <c r="BS480" s="349">
        <v>91</v>
      </c>
      <c r="BT480" s="121" t="str">
        <f>IF(BS480="NA","NA",IF(BS480="Not Reported","Not Reported",IF(BS480&gt;$L$480,"Not Met","Met")))</f>
        <v>Met</v>
      </c>
      <c r="BU480" s="31">
        <v>89</v>
      </c>
      <c r="BV480" s="121" t="str">
        <f>IF(BU480="NA","NA",IF(BU480="Not Reported","Not Reported",IF(BU480&gt;$L$480,"Not Met","Met")))</f>
        <v>Met</v>
      </c>
    </row>
    <row r="481" spans="1:74" x14ac:dyDescent="0.25">
      <c r="A481" s="121">
        <v>480</v>
      </c>
      <c r="B481" s="122" t="s">
        <v>852</v>
      </c>
      <c r="C481" s="122" t="s">
        <v>106</v>
      </c>
      <c r="D481" s="123" t="s">
        <v>920</v>
      </c>
      <c r="E481" s="123" t="s">
        <v>894</v>
      </c>
      <c r="F481" s="123" t="s">
        <v>190</v>
      </c>
      <c r="G481" s="122" t="s">
        <v>273</v>
      </c>
      <c r="H481" s="122" t="s">
        <v>192</v>
      </c>
      <c r="I481" s="122"/>
      <c r="J481" s="122"/>
      <c r="K481" s="129" t="s">
        <v>289</v>
      </c>
      <c r="L481" s="152">
        <v>4.7222222222222221E-2</v>
      </c>
      <c r="M481" s="152">
        <v>4.7222222222222221E-2</v>
      </c>
      <c r="N481" s="218"/>
      <c r="O481" s="122"/>
      <c r="P481" s="122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7"/>
      <c r="AG481" s="147"/>
      <c r="AH481" s="147"/>
      <c r="AI481" s="147"/>
      <c r="AJ481" s="147"/>
      <c r="AK481" s="147"/>
      <c r="AL481" s="147"/>
      <c r="AM481" s="147"/>
      <c r="AN481" s="147"/>
      <c r="AO481" s="147"/>
      <c r="AP481" s="147"/>
      <c r="AQ481" s="147"/>
      <c r="AR481" s="147"/>
      <c r="AS481" s="147"/>
      <c r="AT481" s="147"/>
      <c r="AU481" s="147"/>
      <c r="AV481" s="147"/>
      <c r="AW481" s="147"/>
      <c r="AX481" s="147"/>
      <c r="AY481" s="147"/>
      <c r="AZ481" s="147"/>
      <c r="BA481" s="147"/>
      <c r="BB481" s="147"/>
      <c r="BC481" s="147"/>
      <c r="BD481" s="147"/>
      <c r="BE481" s="147"/>
      <c r="BF481" s="147"/>
      <c r="BG481" s="121" t="s">
        <v>323</v>
      </c>
      <c r="BH481" s="121" t="s">
        <v>323</v>
      </c>
      <c r="BI481" s="121" t="s">
        <v>323</v>
      </c>
      <c r="BJ481" s="121" t="s">
        <v>323</v>
      </c>
      <c r="BK481" s="253">
        <v>4.3749999999999997E-2</v>
      </c>
      <c r="BL481" s="128" t="str">
        <f>IF(BK481="NA","NA",IF(BK481="Not Reported","Not Reported",IF(BK481&gt;$L$481,"Not Met","Met")))</f>
        <v>Met</v>
      </c>
      <c r="BM481" s="290">
        <v>4.2361111111111113E-2</v>
      </c>
      <c r="BN481" s="128" t="str">
        <f>IF(BM481="NA","NA",IF(BM481="Not Reported","Not Reported",IF(BM481&gt;$L$481,"Not Met","Met")))</f>
        <v>Met</v>
      </c>
      <c r="BO481" s="311">
        <v>4.3055555555555555E-2</v>
      </c>
      <c r="BP481" s="128" t="s">
        <v>198</v>
      </c>
      <c r="BQ481" s="311">
        <v>4.3055555555555555E-2</v>
      </c>
      <c r="BR481" s="128" t="s">
        <v>198</v>
      </c>
      <c r="BS481" s="402">
        <v>4.4444444444444446E-2</v>
      </c>
      <c r="BT481" s="128" t="str">
        <f>IF(BS481="NA","NA",IF(BS481="Not Reported","Not Reported",IF(BS481&gt;$L$481,"Not Met","Met")))</f>
        <v>Met</v>
      </c>
      <c r="BU481" s="402">
        <v>4.3055555555555555E-2</v>
      </c>
      <c r="BV481" s="128" t="str">
        <f>IF(BU481="NA","NA",IF(BU481="Not Reported","Not Reported",IF(BU481&gt;$L$481,"Not Met","Met")))</f>
        <v>Met</v>
      </c>
    </row>
    <row r="482" spans="1:74" x14ac:dyDescent="0.25">
      <c r="A482" s="121">
        <v>481</v>
      </c>
      <c r="B482" s="122" t="s">
        <v>852</v>
      </c>
      <c r="C482" s="122" t="s">
        <v>106</v>
      </c>
      <c r="D482" s="123" t="s">
        <v>920</v>
      </c>
      <c r="E482" s="123" t="s">
        <v>894</v>
      </c>
      <c r="F482" s="123" t="s">
        <v>190</v>
      </c>
      <c r="G482" s="122" t="s">
        <v>273</v>
      </c>
      <c r="H482" s="122" t="s">
        <v>192</v>
      </c>
      <c r="I482" s="122"/>
      <c r="J482" s="122"/>
      <c r="K482" s="129" t="s">
        <v>296</v>
      </c>
      <c r="L482" s="128">
        <v>0.85</v>
      </c>
      <c r="M482" s="128">
        <v>0.85</v>
      </c>
      <c r="N482" s="218"/>
      <c r="O482" s="122"/>
      <c r="P482" s="122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7"/>
      <c r="AG482" s="147"/>
      <c r="AH482" s="147"/>
      <c r="AI482" s="147"/>
      <c r="AJ482" s="147"/>
      <c r="AK482" s="147"/>
      <c r="AL482" s="147"/>
      <c r="AM482" s="147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  <c r="AX482" s="147"/>
      <c r="AY482" s="147"/>
      <c r="AZ482" s="147"/>
      <c r="BA482" s="147"/>
      <c r="BB482" s="147"/>
      <c r="BC482" s="147"/>
      <c r="BD482" s="147"/>
      <c r="BE482" s="147"/>
      <c r="BF482" s="147"/>
      <c r="BG482" s="121" t="s">
        <v>323</v>
      </c>
      <c r="BH482" s="121" t="s">
        <v>323</v>
      </c>
      <c r="BI482" s="121" t="s">
        <v>323</v>
      </c>
      <c r="BJ482" s="121" t="s">
        <v>323</v>
      </c>
      <c r="BK482" s="146">
        <v>0.26</v>
      </c>
      <c r="BL482" s="128" t="str">
        <f>IF(BK482="NA","NA",IF(BK482="Not Reported","Not Reported",IF(BK482&lt;$L$482,"Not Met","Met")))</f>
        <v>Not Met</v>
      </c>
      <c r="BM482" s="262">
        <v>0.14000000000000001</v>
      </c>
      <c r="BN482" s="128" t="str">
        <f>IF(BM482="NA","NA",IF(BM482="Not Reported","Not Reported",IF(BM482&lt;$L$482,"Not Met","Met")))</f>
        <v>Not Met</v>
      </c>
      <c r="BO482" s="315">
        <v>0.63</v>
      </c>
      <c r="BP482" s="128" t="s">
        <v>251</v>
      </c>
      <c r="BQ482" s="310">
        <v>0.34</v>
      </c>
      <c r="BR482" s="128" t="s">
        <v>251</v>
      </c>
      <c r="BS482" s="315">
        <v>0.22</v>
      </c>
      <c r="BT482" s="128" t="str">
        <f>IF(BS482="NA","NA",IF(BS482="Not Reported","Not Reported",IF(BS482&lt;$L$482,"Not Met","Met")))</f>
        <v>Not Met</v>
      </c>
      <c r="BU482" s="310">
        <v>0.28999999999999998</v>
      </c>
      <c r="BV482" s="128" t="str">
        <f>IF(BU482="NA","NA",IF(BU482="Not Reported","Not Reported",IF(BU482&lt;$L$482,"Not Met","Met")))</f>
        <v>Not Met</v>
      </c>
    </row>
    <row r="483" spans="1:74" x14ac:dyDescent="0.25">
      <c r="A483" s="121">
        <v>482</v>
      </c>
      <c r="B483" s="122" t="s">
        <v>852</v>
      </c>
      <c r="C483" s="122" t="s">
        <v>106</v>
      </c>
      <c r="D483" s="123" t="s">
        <v>920</v>
      </c>
      <c r="E483" s="123" t="s">
        <v>894</v>
      </c>
      <c r="F483" s="123" t="s">
        <v>190</v>
      </c>
      <c r="G483" s="122" t="s">
        <v>273</v>
      </c>
      <c r="H483" s="122" t="s">
        <v>192</v>
      </c>
      <c r="I483" s="122"/>
      <c r="J483" s="122"/>
      <c r="K483" s="129" t="s">
        <v>284</v>
      </c>
      <c r="L483" s="128">
        <v>0.75</v>
      </c>
      <c r="M483" s="128">
        <v>0.75</v>
      </c>
      <c r="N483" s="218"/>
      <c r="O483" s="122"/>
      <c r="P483" s="122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  <c r="AX483" s="147"/>
      <c r="AY483" s="147"/>
      <c r="AZ483" s="147"/>
      <c r="BA483" s="147"/>
      <c r="BB483" s="147"/>
      <c r="BC483" s="147"/>
      <c r="BD483" s="147"/>
      <c r="BE483" s="147"/>
      <c r="BF483" s="147"/>
      <c r="BG483" s="121" t="s">
        <v>323</v>
      </c>
      <c r="BH483" s="121" t="s">
        <v>323</v>
      </c>
      <c r="BI483" s="121" t="s">
        <v>323</v>
      </c>
      <c r="BJ483" s="121" t="s">
        <v>323</v>
      </c>
      <c r="BK483" s="146">
        <v>0.75</v>
      </c>
      <c r="BL483" s="128" t="str">
        <f>IF(BK483="NA","NA",IF(BK483="Not Reported","Not Reported",IF(BK483&lt;$L$483,"Not Met","Met")))</f>
        <v>Met</v>
      </c>
      <c r="BM483" s="100">
        <v>0.75</v>
      </c>
      <c r="BN483" s="128" t="str">
        <f>IF(BM483="NA","NA",IF(BM483="Not Reported","Not Reported",IF(BM483&lt;$L$483,"Not Met","Met")))</f>
        <v>Met</v>
      </c>
      <c r="BO483" s="315">
        <v>0.77</v>
      </c>
      <c r="BP483" s="128" t="s">
        <v>198</v>
      </c>
      <c r="BQ483" s="310">
        <v>0.75</v>
      </c>
      <c r="BR483" s="128" t="s">
        <v>198</v>
      </c>
      <c r="BS483" s="13">
        <v>0.75</v>
      </c>
      <c r="BT483" s="128" t="str">
        <f>IF(BS483="NA","NA",IF(BS483="Not Reported","Not Reported",IF(BS483&lt;$L$483,"Not Met","Met")))</f>
        <v>Met</v>
      </c>
      <c r="BU483" s="310">
        <v>0.75</v>
      </c>
      <c r="BV483" s="128" t="str">
        <f>IF(BU483="NA","NA",IF(BU483="Not Reported","Not Reported",IF(BU483&lt;$L$483,"Not Met","Met")))</f>
        <v>Met</v>
      </c>
    </row>
    <row r="484" spans="1:74" x14ac:dyDescent="0.25">
      <c r="A484" s="121">
        <v>483</v>
      </c>
      <c r="B484" s="122" t="s">
        <v>852</v>
      </c>
      <c r="C484" s="122" t="s">
        <v>106</v>
      </c>
      <c r="D484" s="123" t="s">
        <v>920</v>
      </c>
      <c r="E484" s="123" t="s">
        <v>894</v>
      </c>
      <c r="F484" s="123" t="s">
        <v>190</v>
      </c>
      <c r="G484" s="123" t="s">
        <v>191</v>
      </c>
      <c r="H484" s="122" t="s">
        <v>212</v>
      </c>
      <c r="I484" s="122"/>
      <c r="J484" s="122"/>
      <c r="K484" s="218" t="s">
        <v>526</v>
      </c>
      <c r="L484" s="146">
        <v>0.8</v>
      </c>
      <c r="M484" s="146">
        <v>0.8</v>
      </c>
      <c r="N484" s="218"/>
      <c r="O484" s="122"/>
      <c r="P484" s="122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/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47"/>
      <c r="AY484" s="147"/>
      <c r="AZ484" s="147"/>
      <c r="BA484" s="147"/>
      <c r="BB484" s="147"/>
      <c r="BC484" s="147"/>
      <c r="BD484" s="147"/>
      <c r="BE484" s="147"/>
      <c r="BF484" s="147"/>
      <c r="BG484" s="121" t="s">
        <v>323</v>
      </c>
      <c r="BH484" s="121" t="s">
        <v>323</v>
      </c>
      <c r="BI484" s="121" t="s">
        <v>323</v>
      </c>
      <c r="BJ484" s="121" t="s">
        <v>323</v>
      </c>
      <c r="BK484" s="195">
        <f>20/23</f>
        <v>0.86956521739130432</v>
      </c>
      <c r="BL484" s="128" t="str">
        <f>IF(BK484="NA","NA",IF(BK484="Not Reported","Not Reported",IF(BK484&lt;$L$484,"Not Met","Met")))</f>
        <v>Met</v>
      </c>
      <c r="BM484" s="262">
        <v>0.75</v>
      </c>
      <c r="BN484" s="128" t="str">
        <f>IF(BM484="NA","NA",IF(BM484="Not Reported","Not Reported",IF(BM484&lt;$L$484,"Not Met","Met")))</f>
        <v>Not Met</v>
      </c>
      <c r="BO484" s="315">
        <v>0.87</v>
      </c>
      <c r="BP484" s="128" t="s">
        <v>198</v>
      </c>
      <c r="BQ484" s="310">
        <v>0.84</v>
      </c>
      <c r="BR484" s="128" t="s">
        <v>198</v>
      </c>
      <c r="BS484" s="345">
        <v>0.9285714285714286</v>
      </c>
      <c r="BT484" s="128" t="str">
        <f>IF(BS484="NA","NA",IF(BS484="Not Reported","Not Reported",IF(BS484&lt;$L$484,"Not Met","Met")))</f>
        <v>Met</v>
      </c>
      <c r="BU484" s="345">
        <v>0.87</v>
      </c>
      <c r="BV484" s="128" t="str">
        <f>IF(BU484="NA","NA",IF(BU484="Not Reported","Not Reported",IF(BU484&lt;$L$484,"Not Met","Met")))</f>
        <v>Met</v>
      </c>
    </row>
    <row r="485" spans="1:74" x14ac:dyDescent="0.25">
      <c r="A485" s="121">
        <v>484</v>
      </c>
      <c r="B485" s="122" t="s">
        <v>852</v>
      </c>
      <c r="C485" s="122" t="s">
        <v>106</v>
      </c>
      <c r="D485" s="123" t="s">
        <v>920</v>
      </c>
      <c r="E485" s="123" t="s">
        <v>894</v>
      </c>
      <c r="F485" s="123" t="s">
        <v>190</v>
      </c>
      <c r="G485" s="123" t="s">
        <v>191</v>
      </c>
      <c r="H485" s="122" t="s">
        <v>212</v>
      </c>
      <c r="I485" s="122"/>
      <c r="J485" s="122"/>
      <c r="K485" s="122" t="s">
        <v>527</v>
      </c>
      <c r="L485" s="146">
        <v>0.05</v>
      </c>
      <c r="M485" s="146">
        <v>0.05</v>
      </c>
      <c r="N485" s="218"/>
      <c r="O485" s="122"/>
      <c r="P485" s="122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  <c r="AM485" s="147"/>
      <c r="AN485" s="147"/>
      <c r="AO485" s="147"/>
      <c r="AP485" s="147"/>
      <c r="AQ485" s="147"/>
      <c r="AR485" s="147"/>
      <c r="AS485" s="147"/>
      <c r="AT485" s="147"/>
      <c r="AU485" s="147"/>
      <c r="AV485" s="147"/>
      <c r="AW485" s="147"/>
      <c r="AX485" s="147"/>
      <c r="AY485" s="147"/>
      <c r="AZ485" s="147"/>
      <c r="BA485" s="147"/>
      <c r="BB485" s="147"/>
      <c r="BC485" s="147"/>
      <c r="BD485" s="147"/>
      <c r="BE485" s="147"/>
      <c r="BF485" s="147"/>
      <c r="BG485" s="121" t="s">
        <v>323</v>
      </c>
      <c r="BH485" s="121" t="s">
        <v>323</v>
      </c>
      <c r="BI485" s="121" t="s">
        <v>323</v>
      </c>
      <c r="BJ485" s="121" t="s">
        <v>323</v>
      </c>
      <c r="BK485" s="211">
        <v>0</v>
      </c>
      <c r="BL485" s="128" t="str">
        <f>IF(BK485="NA","NA",IF(BK485="Not Reported","Not Reported",IF(BK485&gt;$L$485,"Not Met","Met")))</f>
        <v>Met</v>
      </c>
      <c r="BM485" s="262">
        <v>0</v>
      </c>
      <c r="BN485" s="128" t="str">
        <f>IF(BM485="NA","NA",IF(BM485="Not Reported","Not Reported",IF(BM485&gt;$L$485,"Not Met","Met")))</f>
        <v>Met</v>
      </c>
      <c r="BO485" s="315">
        <v>0</v>
      </c>
      <c r="BP485" s="128" t="s">
        <v>198</v>
      </c>
      <c r="BQ485" s="310">
        <v>0</v>
      </c>
      <c r="BR485" s="128" t="s">
        <v>198</v>
      </c>
      <c r="BS485" s="345">
        <v>0</v>
      </c>
      <c r="BT485" s="128" t="str">
        <f>IF(BS485="NA","NA",IF(BS485="Not Reported","Not Reported",IF(BS485&gt;$L$485,"Not Met","Met")))</f>
        <v>Met</v>
      </c>
      <c r="BU485" s="350">
        <v>0.01</v>
      </c>
      <c r="BV485" s="128" t="str">
        <f>IF(BU485="NA","NA",IF(BU485="Not Reported","Not Reported",IF(BU485&gt;$L$485,"Not Met","Met")))</f>
        <v>Met</v>
      </c>
    </row>
    <row r="486" spans="1:74" x14ac:dyDescent="0.25">
      <c r="A486" s="121">
        <v>485</v>
      </c>
      <c r="B486" s="254" t="s">
        <v>893</v>
      </c>
      <c r="C486" s="122" t="s">
        <v>106</v>
      </c>
      <c r="D486" s="123" t="s">
        <v>920</v>
      </c>
      <c r="E486" s="123" t="s">
        <v>894</v>
      </c>
      <c r="F486" s="62" t="s">
        <v>300</v>
      </c>
      <c r="G486" s="254" t="s">
        <v>273</v>
      </c>
      <c r="H486" s="254" t="s">
        <v>192</v>
      </c>
      <c r="I486" s="254"/>
      <c r="J486" s="254"/>
      <c r="K486" s="62" t="s">
        <v>274</v>
      </c>
      <c r="L486" s="89">
        <v>90</v>
      </c>
      <c r="M486" s="100" t="s">
        <v>370</v>
      </c>
      <c r="N486" s="291"/>
      <c r="O486" s="254"/>
      <c r="P486" s="254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  <c r="AS486" s="89"/>
      <c r="AT486" s="89"/>
      <c r="AU486" s="89"/>
      <c r="AV486" s="89"/>
      <c r="AW486" s="89"/>
      <c r="AX486" s="89"/>
      <c r="AY486" s="89"/>
      <c r="AZ486" s="89"/>
      <c r="BA486" s="89"/>
      <c r="BB486" s="89"/>
      <c r="BC486" s="89"/>
      <c r="BD486" s="89"/>
      <c r="BE486" s="89"/>
      <c r="BF486" s="89"/>
      <c r="BG486" s="89"/>
      <c r="BH486" s="89"/>
      <c r="BI486" s="89"/>
      <c r="BJ486" s="89"/>
      <c r="BK486" s="89"/>
      <c r="BL486" s="89"/>
      <c r="BM486" s="89">
        <v>53</v>
      </c>
      <c r="BN486" s="128" t="str">
        <f>IF(BM486="NA","NA",IF(BM486="Not Reported","Not Reported",IF(BM486&gt;$L$486,"Not Met","Met")))</f>
        <v>Met</v>
      </c>
      <c r="BO486" s="352">
        <v>53</v>
      </c>
      <c r="BP486" s="128" t="s">
        <v>198</v>
      </c>
      <c r="BQ486" s="31" t="s">
        <v>61</v>
      </c>
      <c r="BR486" s="128" t="s">
        <v>61</v>
      </c>
      <c r="BS486" s="403">
        <v>62</v>
      </c>
      <c r="BT486" s="128" t="str">
        <f>IF(BS486="NA","NA",IF(BS486="Not Reported","Not Reported",IF(BS486&gt;$L$486,"Not Met","Met")))</f>
        <v>Met</v>
      </c>
      <c r="BU486" s="426">
        <v>53</v>
      </c>
      <c r="BV486" s="128" t="str">
        <f>IF(BU486="NA","NA",IF(BU486="Not Reported","Not Reported",IF(BU486&gt;$L$486,"Not Met","Met")))</f>
        <v>Met</v>
      </c>
    </row>
    <row r="487" spans="1:74" x14ac:dyDescent="0.25">
      <c r="A487" s="121">
        <v>486</v>
      </c>
      <c r="B487" s="254" t="s">
        <v>893</v>
      </c>
      <c r="C487" s="122" t="s">
        <v>106</v>
      </c>
      <c r="D487" s="123" t="s">
        <v>920</v>
      </c>
      <c r="E487" s="123" t="s">
        <v>894</v>
      </c>
      <c r="F487" s="62" t="s">
        <v>300</v>
      </c>
      <c r="G487" s="254" t="s">
        <v>273</v>
      </c>
      <c r="H487" s="254" t="s">
        <v>192</v>
      </c>
      <c r="I487" s="254"/>
      <c r="J487" s="254"/>
      <c r="K487" s="62" t="s">
        <v>213</v>
      </c>
      <c r="L487" s="89">
        <v>45</v>
      </c>
      <c r="M487" s="100" t="s">
        <v>340</v>
      </c>
      <c r="N487" s="291"/>
      <c r="O487" s="254"/>
      <c r="P487" s="254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  <c r="AS487" s="89"/>
      <c r="AT487" s="89"/>
      <c r="AU487" s="89"/>
      <c r="AV487" s="89"/>
      <c r="AW487" s="89"/>
      <c r="AX487" s="89"/>
      <c r="AY487" s="89"/>
      <c r="AZ487" s="89"/>
      <c r="BA487" s="89"/>
      <c r="BB487" s="89"/>
      <c r="BC487" s="89"/>
      <c r="BD487" s="89"/>
      <c r="BE487" s="89"/>
      <c r="BF487" s="89"/>
      <c r="BG487" s="89"/>
      <c r="BH487" s="89"/>
      <c r="BI487" s="89"/>
      <c r="BJ487" s="89"/>
      <c r="BK487" s="89"/>
      <c r="BL487" s="89"/>
      <c r="BM487" s="280">
        <v>25</v>
      </c>
      <c r="BN487" s="128" t="str">
        <f>IF(BM487="NA","NA",IF(BM487="Not Reported","Not Reported",IF(BM487&gt;$L$487,"Not Met","Met")))</f>
        <v>Met</v>
      </c>
      <c r="BO487" s="352">
        <v>25</v>
      </c>
      <c r="BP487" s="128" t="s">
        <v>198</v>
      </c>
      <c r="BQ487" s="31" t="s">
        <v>61</v>
      </c>
      <c r="BR487" s="128" t="s">
        <v>61</v>
      </c>
      <c r="BS487" s="31">
        <v>22</v>
      </c>
      <c r="BT487" s="128" t="str">
        <f>IF(BS487="NA","NA",IF(BS487="Not Reported","Not Reported",IF(BS487&gt;$L$487,"Not Met","Met")))</f>
        <v>Met</v>
      </c>
      <c r="BU487" s="341">
        <v>19</v>
      </c>
      <c r="BV487" s="128" t="str">
        <f>IF(BU487="NA","NA",IF(BU487="Not Reported","Not Reported",IF(BU487&gt;$L$487,"Not Met","Met")))</f>
        <v>Met</v>
      </c>
    </row>
    <row r="488" spans="1:74" x14ac:dyDescent="0.25">
      <c r="A488" s="121">
        <v>487</v>
      </c>
      <c r="B488" s="254" t="s">
        <v>893</v>
      </c>
      <c r="C488" s="122" t="s">
        <v>106</v>
      </c>
      <c r="D488" s="123" t="s">
        <v>920</v>
      </c>
      <c r="E488" s="123" t="s">
        <v>894</v>
      </c>
      <c r="F488" s="62" t="s">
        <v>300</v>
      </c>
      <c r="G488" s="254" t="s">
        <v>273</v>
      </c>
      <c r="H488" s="254" t="s">
        <v>192</v>
      </c>
      <c r="I488" s="254"/>
      <c r="J488" s="254"/>
      <c r="K488" s="62" t="s">
        <v>326</v>
      </c>
      <c r="L488" s="100">
        <v>0.2</v>
      </c>
      <c r="M488" s="100" t="s">
        <v>627</v>
      </c>
      <c r="N488" s="291"/>
      <c r="O488" s="254"/>
      <c r="P488" s="254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  <c r="AS488" s="89"/>
      <c r="AT488" s="89"/>
      <c r="AU488" s="89"/>
      <c r="AV488" s="89"/>
      <c r="AW488" s="89"/>
      <c r="AX488" s="89"/>
      <c r="AY488" s="89"/>
      <c r="AZ488" s="89"/>
      <c r="BA488" s="89"/>
      <c r="BB488" s="89"/>
      <c r="BC488" s="89"/>
      <c r="BD488" s="89"/>
      <c r="BE488" s="89"/>
      <c r="BF488" s="89"/>
      <c r="BG488" s="89"/>
      <c r="BH488" s="89"/>
      <c r="BI488" s="89"/>
      <c r="BJ488" s="89"/>
      <c r="BK488" s="89"/>
      <c r="BL488" s="89"/>
      <c r="BM488" s="281">
        <v>0</v>
      </c>
      <c r="BN488" s="128" t="str">
        <f>IF(BM488="NA","NA",IF(BM488="Not Reported","Not Reported",IF(BM488&gt;$L$488,"Not Met","Met")))</f>
        <v>Met</v>
      </c>
      <c r="BO488" s="340">
        <v>0</v>
      </c>
      <c r="BP488" s="128" t="s">
        <v>198</v>
      </c>
      <c r="BQ488" s="31" t="s">
        <v>61</v>
      </c>
      <c r="BR488" s="128" t="s">
        <v>61</v>
      </c>
      <c r="BS488" s="340">
        <v>0</v>
      </c>
      <c r="BT488" s="128" t="str">
        <f>IF(BS488="NA","NA",IF(BS488="Not Reported","Not Reported",IF(BS488&gt;$L$488,"Not Met","Met")))</f>
        <v>Met</v>
      </c>
      <c r="BU488" s="340">
        <v>0</v>
      </c>
      <c r="BV488" s="128" t="str">
        <f>IF(BU488="NA","NA",IF(BU488="Not Reported","Not Reported",IF(BU488&gt;$L$488,"Not Met","Met")))</f>
        <v>Met</v>
      </c>
    </row>
    <row r="489" spans="1:74" x14ac:dyDescent="0.25">
      <c r="A489" s="121">
        <v>488</v>
      </c>
      <c r="B489" s="254" t="s">
        <v>893</v>
      </c>
      <c r="C489" s="122" t="s">
        <v>106</v>
      </c>
      <c r="D489" s="123" t="s">
        <v>920</v>
      </c>
      <c r="E489" s="123" t="s">
        <v>894</v>
      </c>
      <c r="F489" s="62" t="s">
        <v>300</v>
      </c>
      <c r="G489" s="254" t="s">
        <v>273</v>
      </c>
      <c r="H489" s="254" t="s">
        <v>192</v>
      </c>
      <c r="I489" s="254"/>
      <c r="J489" s="254"/>
      <c r="K489" s="62" t="s">
        <v>284</v>
      </c>
      <c r="L489" s="100">
        <v>0.6</v>
      </c>
      <c r="M489" s="100">
        <v>0.6</v>
      </c>
      <c r="N489" s="291"/>
      <c r="O489" s="254"/>
      <c r="P489" s="254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  <c r="AS489" s="89"/>
      <c r="AT489" s="89"/>
      <c r="AU489" s="89"/>
      <c r="AV489" s="89"/>
      <c r="AW489" s="89"/>
      <c r="AX489" s="89"/>
      <c r="AY489" s="89"/>
      <c r="AZ489" s="89"/>
      <c r="BA489" s="89"/>
      <c r="BB489" s="89"/>
      <c r="BC489" s="89"/>
      <c r="BD489" s="89"/>
      <c r="BE489" s="89"/>
      <c r="BF489" s="89"/>
      <c r="BG489" s="89"/>
      <c r="BH489" s="89"/>
      <c r="BI489" s="89"/>
      <c r="BJ489" s="89"/>
      <c r="BK489" s="89"/>
      <c r="BL489" s="89"/>
      <c r="BM489" s="281">
        <v>0.99</v>
      </c>
      <c r="BN489" s="128" t="str">
        <f>IF(BM489="NA","NA",IF(BM489="Not Reported","Not Reported",IF(BM489&lt;$L$489,"Not Met","Met")))</f>
        <v>Met</v>
      </c>
      <c r="BO489" s="340">
        <v>0.99</v>
      </c>
      <c r="BP489" s="128" t="s">
        <v>198</v>
      </c>
      <c r="BQ489" s="31" t="s">
        <v>61</v>
      </c>
      <c r="BR489" s="128" t="s">
        <v>61</v>
      </c>
      <c r="BS489" s="310">
        <v>0.91</v>
      </c>
      <c r="BT489" s="128" t="str">
        <f>IF(BS489="NA","NA",IF(BS489="Not Reported","Not Reported",IF(BS489&lt;$L$489,"Not Met","Met")))</f>
        <v>Met</v>
      </c>
      <c r="BU489" s="340">
        <v>0.93</v>
      </c>
      <c r="BV489" s="128" t="str">
        <f>IF(BU489="NA","NA",IF(BU489="Not Reported","Not Reported",IF(BU489&lt;$L$489,"Not Met","Met")))</f>
        <v>Met</v>
      </c>
    </row>
    <row r="490" spans="1:74" x14ac:dyDescent="0.25">
      <c r="A490" s="121">
        <v>489</v>
      </c>
      <c r="B490" s="254" t="s">
        <v>893</v>
      </c>
      <c r="C490" s="122" t="s">
        <v>106</v>
      </c>
      <c r="D490" s="123" t="s">
        <v>920</v>
      </c>
      <c r="E490" s="123" t="s">
        <v>894</v>
      </c>
      <c r="F490" s="62" t="s">
        <v>300</v>
      </c>
      <c r="G490" s="254" t="s">
        <v>273</v>
      </c>
      <c r="H490" s="254" t="s">
        <v>192</v>
      </c>
      <c r="I490" s="254"/>
      <c r="J490" s="254"/>
      <c r="K490" s="62" t="s">
        <v>289</v>
      </c>
      <c r="L490" s="102" t="s">
        <v>779</v>
      </c>
      <c r="M490" s="102" t="s">
        <v>779</v>
      </c>
      <c r="N490" s="291"/>
      <c r="O490" s="254"/>
      <c r="P490" s="254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  <c r="AS490" s="89"/>
      <c r="AT490" s="89"/>
      <c r="AU490" s="89"/>
      <c r="AV490" s="89"/>
      <c r="AW490" s="89"/>
      <c r="AX490" s="89"/>
      <c r="AY490" s="89"/>
      <c r="AZ490" s="89"/>
      <c r="BA490" s="89"/>
      <c r="BB490" s="89"/>
      <c r="BC490" s="89"/>
      <c r="BD490" s="89"/>
      <c r="BE490" s="89"/>
      <c r="BF490" s="89"/>
      <c r="BG490" s="89"/>
      <c r="BH490" s="89"/>
      <c r="BI490" s="89"/>
      <c r="BJ490" s="89"/>
      <c r="BK490" s="89"/>
      <c r="BL490" s="89"/>
      <c r="BM490" s="102" t="s">
        <v>525</v>
      </c>
      <c r="BN490" s="128" t="str">
        <f>IF(BM490="NA","NA",IF(BM490="Not Reported","Not Reported",IF(BM490&gt;$L$490,"Not Met","Met")))</f>
        <v>Met</v>
      </c>
      <c r="BO490" s="353" t="s">
        <v>951</v>
      </c>
      <c r="BP490" s="128" t="s">
        <v>198</v>
      </c>
      <c r="BQ490" s="31" t="s">
        <v>61</v>
      </c>
      <c r="BR490" s="128" t="s">
        <v>61</v>
      </c>
      <c r="BS490" s="353" t="s">
        <v>960</v>
      </c>
      <c r="BT490" s="128" t="str">
        <f>IF(BS490="NA","NA",IF(BS490="Not Reported","Not Reported",IF(BS490&gt;$L$490,"Not Met","Met")))</f>
        <v>Met</v>
      </c>
      <c r="BU490" s="353" t="s">
        <v>936</v>
      </c>
      <c r="BV490" s="128" t="str">
        <f>IF(BU490="NA","NA",IF(BU490="Not Reported","Not Reported",IF(BU490&gt;$L$490,"Not Met","Met")))</f>
        <v>Met</v>
      </c>
    </row>
    <row r="491" spans="1:74" x14ac:dyDescent="0.25">
      <c r="A491" s="121">
        <v>490</v>
      </c>
      <c r="B491" s="254" t="s">
        <v>893</v>
      </c>
      <c r="C491" s="122" t="s">
        <v>106</v>
      </c>
      <c r="D491" s="123" t="s">
        <v>920</v>
      </c>
      <c r="E491" s="123" t="s">
        <v>894</v>
      </c>
      <c r="F491" s="62" t="s">
        <v>300</v>
      </c>
      <c r="G491" s="254" t="s">
        <v>273</v>
      </c>
      <c r="H491" s="254" t="s">
        <v>192</v>
      </c>
      <c r="I491" s="254"/>
      <c r="J491" s="254"/>
      <c r="K491" s="62" t="s">
        <v>292</v>
      </c>
      <c r="L491" s="100">
        <v>0.2</v>
      </c>
      <c r="M491" s="100">
        <v>0.2</v>
      </c>
      <c r="N491" s="291"/>
      <c r="O491" s="254"/>
      <c r="P491" s="254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  <c r="BA491" s="89"/>
      <c r="BB491" s="89"/>
      <c r="BC491" s="89"/>
      <c r="BD491" s="89"/>
      <c r="BE491" s="89"/>
      <c r="BF491" s="89"/>
      <c r="BG491" s="89"/>
      <c r="BH491" s="89"/>
      <c r="BI491" s="89"/>
      <c r="BJ491" s="89"/>
      <c r="BK491" s="89"/>
      <c r="BL491" s="89"/>
      <c r="BM491" s="100">
        <v>0</v>
      </c>
      <c r="BN491" s="128" t="str">
        <f>IF(BM491="NA","NA",IF(BM491="Not Reported","Not Reported",IF(BM491&gt;$L$491,"Not Met","Met")))</f>
        <v>Met</v>
      </c>
      <c r="BO491" s="315">
        <v>0</v>
      </c>
      <c r="BP491" s="128" t="s">
        <v>198</v>
      </c>
      <c r="BQ491" s="31" t="s">
        <v>61</v>
      </c>
      <c r="BR491" s="128" t="s">
        <v>61</v>
      </c>
      <c r="BS491" s="310">
        <v>0.25</v>
      </c>
      <c r="BT491" s="128" t="str">
        <f>IF(BS491="NA","NA",IF(BS491="Not Reported","Not Reported",IF(BS491&gt;$L$491,"Not Met","Met")))</f>
        <v>Not Met</v>
      </c>
      <c r="BU491" s="310">
        <v>0.12</v>
      </c>
      <c r="BV491" s="128" t="str">
        <f>IF(BU491="NA","NA",IF(BU491="Not Reported","Not Reported",IF(BU491&gt;$L$491,"Not Met","Met")))</f>
        <v>Met</v>
      </c>
    </row>
    <row r="492" spans="1:74" x14ac:dyDescent="0.25">
      <c r="A492" s="121">
        <v>491</v>
      </c>
      <c r="B492" s="254" t="s">
        <v>893</v>
      </c>
      <c r="C492" s="122" t="s">
        <v>106</v>
      </c>
      <c r="D492" s="123" t="s">
        <v>920</v>
      </c>
      <c r="E492" s="123" t="s">
        <v>894</v>
      </c>
      <c r="F492" s="62" t="s">
        <v>300</v>
      </c>
      <c r="G492" s="254" t="s">
        <v>273</v>
      </c>
      <c r="H492" s="254" t="s">
        <v>192</v>
      </c>
      <c r="I492" s="254"/>
      <c r="J492" s="254"/>
      <c r="K492" s="62" t="s">
        <v>296</v>
      </c>
      <c r="L492" s="100">
        <v>0.85</v>
      </c>
      <c r="M492" s="100">
        <v>0.85</v>
      </c>
      <c r="N492" s="291"/>
      <c r="O492" s="254"/>
      <c r="P492" s="254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  <c r="AS492" s="89"/>
      <c r="AT492" s="89"/>
      <c r="AU492" s="89"/>
      <c r="AV492" s="89"/>
      <c r="AW492" s="89"/>
      <c r="AX492" s="89"/>
      <c r="AY492" s="89"/>
      <c r="AZ492" s="89"/>
      <c r="BA492" s="89"/>
      <c r="BB492" s="89"/>
      <c r="BC492" s="89"/>
      <c r="BD492" s="89"/>
      <c r="BE492" s="89"/>
      <c r="BF492" s="89"/>
      <c r="BG492" s="89"/>
      <c r="BH492" s="89"/>
      <c r="BI492" s="89"/>
      <c r="BJ492" s="89"/>
      <c r="BK492" s="89"/>
      <c r="BL492" s="89"/>
      <c r="BM492" s="100">
        <v>0.4</v>
      </c>
      <c r="BN492" s="128" t="str">
        <f>IF(BM492="NA","NA",IF(BM492="Not Reported","Not Reported",IF(BM492&lt;$L$492,"Not Met","Met")))</f>
        <v>Not Met</v>
      </c>
      <c r="BO492" s="315">
        <v>0.4</v>
      </c>
      <c r="BP492" s="128" t="s">
        <v>251</v>
      </c>
      <c r="BQ492" s="31" t="s">
        <v>61</v>
      </c>
      <c r="BR492" s="128" t="s">
        <v>61</v>
      </c>
      <c r="BS492" s="310">
        <v>0.4</v>
      </c>
      <c r="BT492" s="128" t="str">
        <f>IF(BS492="NA","NA",IF(BS492="Not Reported","Not Reported",IF(BS492&lt;$L$492,"Not Met","Met")))</f>
        <v>Not Met</v>
      </c>
      <c r="BU492" s="310">
        <v>0.5</v>
      </c>
      <c r="BV492" s="128" t="str">
        <f>IF(BU492="NA","NA",IF(BU492="Not Reported","Not Reported",IF(BU492&lt;$L$492,"Not Met","Met")))</f>
        <v>Not Met</v>
      </c>
    </row>
    <row r="493" spans="1:74" x14ac:dyDescent="0.25">
      <c r="A493" s="121">
        <v>492</v>
      </c>
      <c r="B493" s="254" t="s">
        <v>893</v>
      </c>
      <c r="C493" s="122" t="s">
        <v>106</v>
      </c>
      <c r="D493" s="123" t="s">
        <v>920</v>
      </c>
      <c r="E493" s="123" t="s">
        <v>894</v>
      </c>
      <c r="F493" s="62" t="s">
        <v>300</v>
      </c>
      <c r="G493" s="254" t="s">
        <v>273</v>
      </c>
      <c r="H493" s="254" t="s">
        <v>192</v>
      </c>
      <c r="I493" s="254"/>
      <c r="J493" s="254"/>
      <c r="K493" s="62" t="s">
        <v>259</v>
      </c>
      <c r="L493" s="100">
        <v>0.2</v>
      </c>
      <c r="M493" s="100">
        <v>0.2</v>
      </c>
      <c r="N493" s="291"/>
      <c r="O493" s="254"/>
      <c r="P493" s="254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  <c r="BA493" s="89"/>
      <c r="BB493" s="89"/>
      <c r="BC493" s="89"/>
      <c r="BD493" s="89"/>
      <c r="BE493" s="89"/>
      <c r="BF493" s="89"/>
      <c r="BG493" s="89"/>
      <c r="BH493" s="89"/>
      <c r="BI493" s="89"/>
      <c r="BJ493" s="89"/>
      <c r="BK493" s="89"/>
      <c r="BL493" s="89"/>
      <c r="BM493" s="89" t="s">
        <v>11</v>
      </c>
      <c r="BN493" s="128" t="str">
        <f>IF(BM493="NA","NA",IF(BM493="Not Reported","Not Reported",IF(BM493&lt;$L$493,"Not Met","Met")))</f>
        <v>NA</v>
      </c>
      <c r="BO493" s="31" t="s">
        <v>11</v>
      </c>
      <c r="BP493" s="128" t="s">
        <v>11</v>
      </c>
      <c r="BQ493" s="31" t="s">
        <v>11</v>
      </c>
      <c r="BR493" s="128" t="s">
        <v>11</v>
      </c>
      <c r="BS493" s="31" t="s">
        <v>323</v>
      </c>
      <c r="BT493" s="128" t="str">
        <f>IF(BS493="NA","NA",IF(BS493="Not Reported","Not Reported",IF(BS493&lt;$L$493,"Not Met","Met")))</f>
        <v>Met</v>
      </c>
      <c r="BU493" s="31" t="s">
        <v>323</v>
      </c>
      <c r="BV493" s="128" t="str">
        <f>IF(BU493="NA","NA",IF(BU493="Not Reported","Not Reported",IF(BU493&lt;$L$493,"Not Met","Met")))</f>
        <v>Met</v>
      </c>
    </row>
    <row r="494" spans="1:74" x14ac:dyDescent="0.25">
      <c r="A494" s="121">
        <v>493</v>
      </c>
      <c r="B494" s="254" t="s">
        <v>897</v>
      </c>
      <c r="C494" s="122" t="s">
        <v>903</v>
      </c>
      <c r="D494" s="254" t="s">
        <v>133</v>
      </c>
      <c r="E494" s="123" t="s">
        <v>899</v>
      </c>
      <c r="F494" s="62" t="s">
        <v>300</v>
      </c>
      <c r="G494" s="254" t="s">
        <v>273</v>
      </c>
      <c r="H494" s="254" t="s">
        <v>192</v>
      </c>
      <c r="I494" s="254"/>
      <c r="J494" s="254"/>
      <c r="K494" s="62" t="s">
        <v>274</v>
      </c>
      <c r="L494" s="89">
        <v>80</v>
      </c>
      <c r="M494" s="292" t="s">
        <v>785</v>
      </c>
      <c r="N494" s="291"/>
      <c r="O494" s="254"/>
      <c r="P494" s="254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  <c r="AS494" s="89"/>
      <c r="AT494" s="89"/>
      <c r="AU494" s="89"/>
      <c r="AV494" s="89"/>
      <c r="AW494" s="89"/>
      <c r="AX494" s="89"/>
      <c r="AY494" s="89"/>
      <c r="AZ494" s="89"/>
      <c r="BA494" s="89"/>
      <c r="BB494" s="89"/>
      <c r="BC494" s="89"/>
      <c r="BD494" s="89"/>
      <c r="BE494" s="89"/>
      <c r="BF494" s="89"/>
      <c r="BG494" s="89"/>
      <c r="BH494" s="89"/>
      <c r="BI494" s="89"/>
      <c r="BJ494" s="89"/>
      <c r="BK494" s="89"/>
      <c r="BL494" s="89"/>
      <c r="BM494" s="89">
        <v>79</v>
      </c>
      <c r="BN494" s="128" t="str">
        <f>IF(BM494="NA","NA",IF(BM494="Not Reported","Not Reported",IF(BM494&gt;$L$494,"Not Met","Met")))</f>
        <v>Met</v>
      </c>
      <c r="BO494" s="128" t="s">
        <v>61</v>
      </c>
      <c r="BP494" s="128" t="s">
        <v>61</v>
      </c>
      <c r="BQ494" s="128" t="s">
        <v>61</v>
      </c>
      <c r="BR494" s="128" t="s">
        <v>61</v>
      </c>
      <c r="BS494" s="31">
        <v>117</v>
      </c>
      <c r="BT494" s="128" t="str">
        <f>IF(BS494="NA","NA",IF(BS494="Not Reported","Not Reported",IF(BS494&gt;$L$494,"Not Met","Met")))</f>
        <v>Not Met</v>
      </c>
      <c r="BU494" s="89" t="s">
        <v>61</v>
      </c>
      <c r="BV494" s="128" t="str">
        <f>IF(BU494="NA","NA",IF(BU494="Not Reported","Not Reported",IF(BU494&gt;$L$494,"Not Met","Met")))</f>
        <v>Not Reported</v>
      </c>
    </row>
    <row r="495" spans="1:74" x14ac:dyDescent="0.25">
      <c r="A495" s="121">
        <v>494</v>
      </c>
      <c r="B495" s="254" t="s">
        <v>897</v>
      </c>
      <c r="C495" s="122" t="s">
        <v>903</v>
      </c>
      <c r="D495" s="254" t="s">
        <v>133</v>
      </c>
      <c r="E495" s="123" t="s">
        <v>899</v>
      </c>
      <c r="F495" s="62" t="s">
        <v>300</v>
      </c>
      <c r="G495" s="254" t="s">
        <v>273</v>
      </c>
      <c r="H495" s="254" t="s">
        <v>192</v>
      </c>
      <c r="I495" s="254"/>
      <c r="J495" s="254"/>
      <c r="K495" s="62" t="s">
        <v>213</v>
      </c>
      <c r="L495" s="89">
        <v>40</v>
      </c>
      <c r="M495" s="292" t="s">
        <v>492</v>
      </c>
      <c r="N495" s="291"/>
      <c r="O495" s="254"/>
      <c r="P495" s="254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  <c r="AS495" s="89"/>
      <c r="AT495" s="89"/>
      <c r="AU495" s="89"/>
      <c r="AV495" s="89"/>
      <c r="AW495" s="89"/>
      <c r="AX495" s="89"/>
      <c r="AY495" s="89"/>
      <c r="AZ495" s="89"/>
      <c r="BA495" s="89"/>
      <c r="BB495" s="89"/>
      <c r="BC495" s="89"/>
      <c r="BD495" s="89"/>
      <c r="BE495" s="89"/>
      <c r="BF495" s="89"/>
      <c r="BG495" s="89"/>
      <c r="BH495" s="89"/>
      <c r="BI495" s="89"/>
      <c r="BJ495" s="89"/>
      <c r="BK495" s="89"/>
      <c r="BL495" s="89"/>
      <c r="BM495" s="280">
        <v>55</v>
      </c>
      <c r="BN495" s="128" t="str">
        <f>IF(BM495="NA","NA",IF(BM495="Not Reported","Not Reported",IF(BM495&gt;$L$495,"Not Met","Met")))</f>
        <v>Not Met</v>
      </c>
      <c r="BO495" s="128" t="s">
        <v>61</v>
      </c>
      <c r="BP495" s="128" t="s">
        <v>61</v>
      </c>
      <c r="BQ495" s="128" t="s">
        <v>61</v>
      </c>
      <c r="BR495" s="128" t="s">
        <v>61</v>
      </c>
      <c r="BS495" s="172">
        <v>79</v>
      </c>
      <c r="BT495" s="128" t="str">
        <f>IF(BS495="NA","NA",IF(BS495="Not Reported","Not Reported",IF(BS495&gt;$L$495,"Not Met","Met")))</f>
        <v>Not Met</v>
      </c>
      <c r="BU495" s="89" t="s">
        <v>61</v>
      </c>
      <c r="BV495" s="128" t="str">
        <f>IF(BU495="NA","NA",IF(BU495="Not Reported","Not Reported",IF(BU495&gt;$L$495,"Not Met","Met")))</f>
        <v>Not Reported</v>
      </c>
    </row>
    <row r="496" spans="1:74" x14ac:dyDescent="0.25">
      <c r="A496" s="121">
        <v>495</v>
      </c>
      <c r="B496" s="254" t="s">
        <v>897</v>
      </c>
      <c r="C496" s="122" t="s">
        <v>903</v>
      </c>
      <c r="D496" s="254" t="s">
        <v>133</v>
      </c>
      <c r="E496" s="123" t="s">
        <v>899</v>
      </c>
      <c r="F496" s="62" t="s">
        <v>300</v>
      </c>
      <c r="G496" s="254" t="s">
        <v>273</v>
      </c>
      <c r="H496" s="254" t="s">
        <v>192</v>
      </c>
      <c r="I496" s="293"/>
      <c r="J496" s="293"/>
      <c r="K496" s="62" t="s">
        <v>326</v>
      </c>
      <c r="L496" s="100">
        <v>0.25</v>
      </c>
      <c r="M496" s="294">
        <v>0.25</v>
      </c>
      <c r="N496" s="295"/>
      <c r="O496" s="293"/>
      <c r="P496" s="293"/>
      <c r="Q496" s="296"/>
      <c r="R496" s="296"/>
      <c r="S496" s="296"/>
      <c r="T496" s="296"/>
      <c r="U496" s="296"/>
      <c r="V496" s="296"/>
      <c r="W496" s="296"/>
      <c r="X496" s="296"/>
      <c r="Y496" s="296"/>
      <c r="Z496" s="296"/>
      <c r="AA496" s="296"/>
      <c r="AB496" s="296"/>
      <c r="AC496" s="296"/>
      <c r="AD496" s="296"/>
      <c r="AE496" s="296"/>
      <c r="AF496" s="296"/>
      <c r="AG496" s="296"/>
      <c r="AH496" s="296"/>
      <c r="AI496" s="296"/>
      <c r="AJ496" s="296"/>
      <c r="AK496" s="296"/>
      <c r="AL496" s="296"/>
      <c r="AM496" s="296"/>
      <c r="AN496" s="296"/>
      <c r="AO496" s="296"/>
      <c r="AP496" s="296"/>
      <c r="AQ496" s="296"/>
      <c r="AR496" s="296"/>
      <c r="AS496" s="296"/>
      <c r="AT496" s="296"/>
      <c r="AU496" s="296"/>
      <c r="AV496" s="296"/>
      <c r="AW496" s="296"/>
      <c r="AX496" s="296"/>
      <c r="AY496" s="296"/>
      <c r="AZ496" s="296"/>
      <c r="BA496" s="296"/>
      <c r="BB496" s="296"/>
      <c r="BC496" s="296"/>
      <c r="BD496" s="296"/>
      <c r="BE496" s="296"/>
      <c r="BF496" s="296"/>
      <c r="BG496" s="296"/>
      <c r="BH496" s="296"/>
      <c r="BI496" s="296"/>
      <c r="BJ496" s="296"/>
      <c r="BK496" s="296"/>
      <c r="BL496" s="296"/>
      <c r="BM496" s="281">
        <f>22/66</f>
        <v>0.33333333333333331</v>
      </c>
      <c r="BN496" s="128" t="str">
        <f>IF(BM496="NA","NA",IF(BM496="Not Reported","Not Reported",IF(BM496&gt;$L$496,"Not Met","Met")))</f>
        <v>Not Met</v>
      </c>
      <c r="BO496" s="128" t="s">
        <v>61</v>
      </c>
      <c r="BP496" s="128" t="s">
        <v>61</v>
      </c>
      <c r="BQ496" s="128" t="s">
        <v>61</v>
      </c>
      <c r="BR496" s="128" t="s">
        <v>61</v>
      </c>
      <c r="BS496" s="128">
        <v>0.47</v>
      </c>
      <c r="BT496" s="128" t="str">
        <f>IF(BS496="NA","NA",IF(BS496="Not Reported","Not Reported",IF(BS496&gt;$L$496,"Not Met","Met")))</f>
        <v>Not Met</v>
      </c>
      <c r="BU496" s="89" t="s">
        <v>61</v>
      </c>
      <c r="BV496" s="128" t="str">
        <f>IF(BU496="NA","NA",IF(BU496="Not Reported","Not Reported",IF(BU496&gt;$L$496,"Not Met","Met")))</f>
        <v>Not Reported</v>
      </c>
    </row>
    <row r="497" spans="1:74" x14ac:dyDescent="0.25">
      <c r="A497" s="121">
        <v>496</v>
      </c>
      <c r="B497" s="254" t="s">
        <v>897</v>
      </c>
      <c r="C497" s="122" t="s">
        <v>903</v>
      </c>
      <c r="D497" s="254" t="s">
        <v>133</v>
      </c>
      <c r="E497" s="123" t="s">
        <v>899</v>
      </c>
      <c r="F497" s="62" t="s">
        <v>300</v>
      </c>
      <c r="G497" s="254" t="s">
        <v>273</v>
      </c>
      <c r="H497" s="254" t="s">
        <v>192</v>
      </c>
      <c r="I497" s="293"/>
      <c r="J497" s="293"/>
      <c r="K497" s="62" t="s">
        <v>284</v>
      </c>
      <c r="L497" s="100">
        <v>0.6</v>
      </c>
      <c r="M497" s="294">
        <v>0.6</v>
      </c>
      <c r="N497" s="295"/>
      <c r="O497" s="293"/>
      <c r="P497" s="293"/>
      <c r="Q497" s="296"/>
      <c r="R497" s="296"/>
      <c r="S497" s="296"/>
      <c r="T497" s="296"/>
      <c r="U497" s="296"/>
      <c r="V497" s="296"/>
      <c r="W497" s="296"/>
      <c r="X497" s="296"/>
      <c r="Y497" s="296"/>
      <c r="Z497" s="296"/>
      <c r="AA497" s="296"/>
      <c r="AB497" s="296"/>
      <c r="AC497" s="296"/>
      <c r="AD497" s="296"/>
      <c r="AE497" s="296"/>
      <c r="AF497" s="296"/>
      <c r="AG497" s="296"/>
      <c r="AH497" s="296"/>
      <c r="AI497" s="296"/>
      <c r="AJ497" s="296"/>
      <c r="AK497" s="296"/>
      <c r="AL497" s="296"/>
      <c r="AM497" s="296"/>
      <c r="AN497" s="296"/>
      <c r="AO497" s="296"/>
      <c r="AP497" s="296"/>
      <c r="AQ497" s="296"/>
      <c r="AR497" s="296"/>
      <c r="AS497" s="296"/>
      <c r="AT497" s="296"/>
      <c r="AU497" s="296"/>
      <c r="AV497" s="296"/>
      <c r="AW497" s="296"/>
      <c r="AX497" s="296"/>
      <c r="AY497" s="296"/>
      <c r="AZ497" s="296"/>
      <c r="BA497" s="296"/>
      <c r="BB497" s="296"/>
      <c r="BC497" s="296"/>
      <c r="BD497" s="296"/>
      <c r="BE497" s="296"/>
      <c r="BF497" s="296"/>
      <c r="BG497" s="296"/>
      <c r="BH497" s="296"/>
      <c r="BI497" s="296"/>
      <c r="BJ497" s="296"/>
      <c r="BK497" s="296"/>
      <c r="BL497" s="296"/>
      <c r="BM497" s="281">
        <v>0.56999999999999995</v>
      </c>
      <c r="BN497" s="128" t="str">
        <f>IF(BM497="NA","NA",IF(BM497="Not Reported","Not Reported",IF(BM497&lt;$L$497,"Not Met","Met")))</f>
        <v>Not Met</v>
      </c>
      <c r="BO497" s="128" t="s">
        <v>61</v>
      </c>
      <c r="BP497" s="128" t="s">
        <v>61</v>
      </c>
      <c r="BQ497" s="128" t="s">
        <v>61</v>
      </c>
      <c r="BR497" s="128" t="s">
        <v>61</v>
      </c>
      <c r="BS497" s="128">
        <v>0.72</v>
      </c>
      <c r="BT497" s="128" t="str">
        <f>IF(BS497="NA","NA",IF(BS497="Not Reported","Not Reported",IF(BS497&lt;$L$497,"Not Met","Met")))</f>
        <v>Met</v>
      </c>
      <c r="BU497" s="89" t="s">
        <v>61</v>
      </c>
      <c r="BV497" s="128" t="str">
        <f>IF(BU497="NA","NA",IF(BU497="Not Reported","Not Reported",IF(BU497&lt;$L$497,"Not Met","Met")))</f>
        <v>Not Reported</v>
      </c>
    </row>
    <row r="498" spans="1:74" x14ac:dyDescent="0.25">
      <c r="A498" s="121">
        <v>497</v>
      </c>
      <c r="B498" s="254" t="s">
        <v>897</v>
      </c>
      <c r="C498" s="122" t="s">
        <v>903</v>
      </c>
      <c r="D498" s="254" t="s">
        <v>133</v>
      </c>
      <c r="E498" s="123" t="s">
        <v>899</v>
      </c>
      <c r="F498" s="62" t="s">
        <v>300</v>
      </c>
      <c r="G498" s="254" t="s">
        <v>273</v>
      </c>
      <c r="H498" s="254" t="s">
        <v>192</v>
      </c>
      <c r="I498" s="293"/>
      <c r="J498" s="293"/>
      <c r="K498" s="62" t="s">
        <v>289</v>
      </c>
      <c r="L498" s="102" t="s">
        <v>905</v>
      </c>
      <c r="M498" s="255">
        <v>0.05</v>
      </c>
      <c r="N498" s="295"/>
      <c r="O498" s="293"/>
      <c r="P498" s="293"/>
      <c r="Q498" s="296"/>
      <c r="R498" s="296"/>
      <c r="S498" s="296"/>
      <c r="T498" s="296"/>
      <c r="U498" s="296"/>
      <c r="V498" s="296"/>
      <c r="W498" s="296"/>
      <c r="X498" s="296"/>
      <c r="Y498" s="296"/>
      <c r="Z498" s="296"/>
      <c r="AA498" s="296"/>
      <c r="AB498" s="296"/>
      <c r="AC498" s="296"/>
      <c r="AD498" s="296"/>
      <c r="AE498" s="296"/>
      <c r="AF498" s="296"/>
      <c r="AG498" s="296"/>
      <c r="AH498" s="296"/>
      <c r="AI498" s="296"/>
      <c r="AJ498" s="296"/>
      <c r="AK498" s="296"/>
      <c r="AL498" s="296"/>
      <c r="AM498" s="296"/>
      <c r="AN498" s="296"/>
      <c r="AO498" s="296"/>
      <c r="AP498" s="296"/>
      <c r="AQ498" s="296"/>
      <c r="AR498" s="296"/>
      <c r="AS498" s="296"/>
      <c r="AT498" s="296"/>
      <c r="AU498" s="296"/>
      <c r="AV498" s="296"/>
      <c r="AW498" s="296"/>
      <c r="AX498" s="296"/>
      <c r="AY498" s="296"/>
      <c r="AZ498" s="296"/>
      <c r="BA498" s="296"/>
      <c r="BB498" s="296"/>
      <c r="BC498" s="296"/>
      <c r="BD498" s="296"/>
      <c r="BE498" s="296"/>
      <c r="BF498" s="296"/>
      <c r="BG498" s="296"/>
      <c r="BH498" s="296"/>
      <c r="BI498" s="296"/>
      <c r="BJ498" s="296"/>
      <c r="BK498" s="296"/>
      <c r="BL498" s="296"/>
      <c r="BM498" s="255">
        <v>4.3749999999999997E-2</v>
      </c>
      <c r="BN498" s="128" t="str">
        <f>IF(BM498="NA","NA",IF(BM498="Not Reported","Not Reported",IF(BM498&gt;$L$498,"Not Met","Met")))</f>
        <v>Met</v>
      </c>
      <c r="BO498" s="128" t="s">
        <v>61</v>
      </c>
      <c r="BP498" s="128" t="s">
        <v>61</v>
      </c>
      <c r="BQ498" s="128" t="s">
        <v>61</v>
      </c>
      <c r="BR498" s="128" t="s">
        <v>61</v>
      </c>
      <c r="BS498" s="437">
        <v>1.03</v>
      </c>
      <c r="BT498" s="128" t="str">
        <f>IF(BS498="NA","NA",IF(BS498="Not Reported","Not Reported",IF(BS498&gt;$L$498,"Not Met","Met")))</f>
        <v>Met</v>
      </c>
      <c r="BU498" s="89" t="s">
        <v>61</v>
      </c>
      <c r="BV498" s="128" t="str">
        <f>IF(BU498="NA","NA",IF(BU498="Not Reported","Not Reported",IF(BU498&gt;$L$498,"Not Met","Met")))</f>
        <v>Not Reported</v>
      </c>
    </row>
    <row r="499" spans="1:74" x14ac:dyDescent="0.25">
      <c r="A499" s="121">
        <v>498</v>
      </c>
      <c r="B499" s="254" t="s">
        <v>897</v>
      </c>
      <c r="C499" s="122" t="s">
        <v>903</v>
      </c>
      <c r="D499" s="254" t="s">
        <v>133</v>
      </c>
      <c r="E499" s="123" t="s">
        <v>899</v>
      </c>
      <c r="F499" s="62" t="s">
        <v>300</v>
      </c>
      <c r="G499" s="254" t="s">
        <v>273</v>
      </c>
      <c r="H499" s="254" t="s">
        <v>192</v>
      </c>
      <c r="I499" s="293"/>
      <c r="J499" s="293"/>
      <c r="K499" s="62" t="s">
        <v>292</v>
      </c>
      <c r="L499" s="100">
        <v>0.35</v>
      </c>
      <c r="M499" s="297">
        <v>0.35</v>
      </c>
      <c r="N499" s="295"/>
      <c r="O499" s="293"/>
      <c r="P499" s="293"/>
      <c r="Q499" s="296"/>
      <c r="R499" s="296"/>
      <c r="S499" s="296"/>
      <c r="T499" s="296"/>
      <c r="U499" s="296"/>
      <c r="V499" s="296"/>
      <c r="W499" s="296"/>
      <c r="X499" s="296"/>
      <c r="Y499" s="296"/>
      <c r="Z499" s="296"/>
      <c r="AA499" s="296"/>
      <c r="AB499" s="296"/>
      <c r="AC499" s="296"/>
      <c r="AD499" s="296"/>
      <c r="AE499" s="296"/>
      <c r="AF499" s="296"/>
      <c r="AG499" s="296"/>
      <c r="AH499" s="296"/>
      <c r="AI499" s="296"/>
      <c r="AJ499" s="296"/>
      <c r="AK499" s="296"/>
      <c r="AL499" s="296"/>
      <c r="AM499" s="296"/>
      <c r="AN499" s="296"/>
      <c r="AO499" s="296"/>
      <c r="AP499" s="296"/>
      <c r="AQ499" s="296"/>
      <c r="AR499" s="296"/>
      <c r="AS499" s="296"/>
      <c r="AT499" s="296"/>
      <c r="AU499" s="296"/>
      <c r="AV499" s="296"/>
      <c r="AW499" s="296"/>
      <c r="AX499" s="296"/>
      <c r="AY499" s="296"/>
      <c r="AZ499" s="296"/>
      <c r="BA499" s="296"/>
      <c r="BB499" s="296"/>
      <c r="BC499" s="296"/>
      <c r="BD499" s="296"/>
      <c r="BE499" s="296"/>
      <c r="BF499" s="296"/>
      <c r="BG499" s="296"/>
      <c r="BH499" s="296"/>
      <c r="BI499" s="296"/>
      <c r="BJ499" s="296"/>
      <c r="BK499" s="296"/>
      <c r="BL499" s="296"/>
      <c r="BM499" s="100">
        <v>0.17</v>
      </c>
      <c r="BN499" s="128" t="str">
        <f>IF(BM499="NA","NA",IF(BM499="Not Reported","Not Reported",IF(BM499&gt;$L$499,"Not Met","Met")))</f>
        <v>Met</v>
      </c>
      <c r="BO499" s="128" t="s">
        <v>61</v>
      </c>
      <c r="BP499" s="128" t="s">
        <v>61</v>
      </c>
      <c r="BQ499" s="128" t="s">
        <v>61</v>
      </c>
      <c r="BR499" s="128" t="s">
        <v>61</v>
      </c>
      <c r="BS499" s="128">
        <v>0.28000000000000003</v>
      </c>
      <c r="BT499" s="128" t="str">
        <f>IF(BS499="NA","NA",IF(BS499="Not Reported","Not Reported",IF(BS499&gt;$L$499,"Not Met","Met")))</f>
        <v>Met</v>
      </c>
      <c r="BU499" s="89" t="s">
        <v>61</v>
      </c>
      <c r="BV499" s="128" t="str">
        <f>IF(BU499="NA","NA",IF(BU499="Not Reported","Not Reported",IF(BU499&gt;$L$499,"Not Met","Met")))</f>
        <v>Not Reported</v>
      </c>
    </row>
    <row r="500" spans="1:74" ht="14.45" customHeight="1" x14ac:dyDescent="0.25">
      <c r="A500" s="121">
        <v>499</v>
      </c>
      <c r="B500" s="254" t="s">
        <v>959</v>
      </c>
      <c r="C500" s="122" t="s">
        <v>903</v>
      </c>
      <c r="D500" s="254" t="s">
        <v>926</v>
      </c>
      <c r="E500" s="123" t="s">
        <v>899</v>
      </c>
      <c r="F500" s="62" t="s">
        <v>300</v>
      </c>
      <c r="G500" s="254" t="s">
        <v>273</v>
      </c>
      <c r="H500" s="254" t="s">
        <v>192</v>
      </c>
      <c r="I500" s="293"/>
      <c r="J500" s="293"/>
      <c r="K500" s="62" t="s">
        <v>910</v>
      </c>
      <c r="L500" s="89">
        <v>39</v>
      </c>
      <c r="M500" s="256" t="s">
        <v>908</v>
      </c>
      <c r="N500" s="295"/>
      <c r="O500" s="293"/>
      <c r="P500" s="293"/>
      <c r="Q500" s="296"/>
      <c r="R500" s="296"/>
      <c r="S500" s="296"/>
      <c r="T500" s="296"/>
      <c r="U500" s="296"/>
      <c r="V500" s="296"/>
      <c r="W500" s="296"/>
      <c r="X500" s="296"/>
      <c r="Y500" s="296"/>
      <c r="Z500" s="296"/>
      <c r="AA500" s="296"/>
      <c r="AB500" s="296"/>
      <c r="AC500" s="296"/>
      <c r="AD500" s="296"/>
      <c r="AE500" s="296"/>
      <c r="AF500" s="296"/>
      <c r="AG500" s="296"/>
      <c r="AH500" s="296"/>
      <c r="AI500" s="296"/>
      <c r="AJ500" s="296"/>
      <c r="AK500" s="296"/>
      <c r="AL500" s="296"/>
      <c r="AM500" s="296"/>
      <c r="AN500" s="296"/>
      <c r="AO500" s="296"/>
      <c r="AP500" s="296"/>
      <c r="AQ500" s="296"/>
      <c r="AR500" s="296"/>
      <c r="AS500" s="296"/>
      <c r="AT500" s="296"/>
      <c r="AU500" s="296"/>
      <c r="AV500" s="296"/>
      <c r="AW500" s="296"/>
      <c r="AX500" s="296"/>
      <c r="AY500" s="296"/>
      <c r="AZ500" s="296"/>
      <c r="BA500" s="296"/>
      <c r="BB500" s="296"/>
      <c r="BC500" s="296"/>
      <c r="BD500" s="296"/>
      <c r="BE500" s="296"/>
      <c r="BF500" s="296"/>
      <c r="BG500" s="296"/>
      <c r="BH500" s="296"/>
      <c r="BI500" s="296"/>
      <c r="BJ500" s="296"/>
      <c r="BK500" s="296"/>
      <c r="BL500" s="296"/>
      <c r="BM500" s="89" t="s">
        <v>61</v>
      </c>
      <c r="BN500" s="128" t="str">
        <f>IF(BM500="NA","NA",IF(BM500="Not Reported","Not Reported",IF(BM500&gt;$L$500,"Not Met","Met")))</f>
        <v>Not Reported</v>
      </c>
      <c r="BO500" s="172">
        <v>59</v>
      </c>
      <c r="BP500" s="128" t="s">
        <v>251</v>
      </c>
      <c r="BQ500" s="128" t="s">
        <v>61</v>
      </c>
      <c r="BR500" s="128" t="s">
        <v>61</v>
      </c>
      <c r="BS500" s="128">
        <v>0.37</v>
      </c>
      <c r="BT500" s="128" t="str">
        <f>IF(BS500="NA","NA",IF(BS500="Not Reported","Not Reported",IF(BS500&gt;$L$500,"Not Met","Met")))</f>
        <v>Met</v>
      </c>
      <c r="BU500" s="130">
        <v>34</v>
      </c>
      <c r="BV500" s="128" t="str">
        <f>IF(BU500="NA","NA",IF(BU500="Not Reported","Not Reported",IF(BU500&gt;$L$500,"Not Met","Met")))</f>
        <v>Met</v>
      </c>
    </row>
    <row r="501" spans="1:74" x14ac:dyDescent="0.25">
      <c r="A501" s="121">
        <v>500</v>
      </c>
      <c r="B501" s="254" t="s">
        <v>959</v>
      </c>
      <c r="C501" s="122" t="s">
        <v>903</v>
      </c>
      <c r="D501" s="254" t="s">
        <v>926</v>
      </c>
      <c r="E501" s="123" t="s">
        <v>899</v>
      </c>
      <c r="F501" s="62" t="s">
        <v>300</v>
      </c>
      <c r="G501" s="254" t="s">
        <v>273</v>
      </c>
      <c r="H501" s="254" t="s">
        <v>192</v>
      </c>
      <c r="I501" s="293"/>
      <c r="J501" s="293"/>
      <c r="K501" s="62" t="s">
        <v>906</v>
      </c>
      <c r="L501" s="89">
        <v>39</v>
      </c>
      <c r="M501" s="256" t="s">
        <v>908</v>
      </c>
      <c r="N501" s="295"/>
      <c r="O501" s="293"/>
      <c r="P501" s="293"/>
      <c r="Q501" s="296"/>
      <c r="R501" s="296"/>
      <c r="S501" s="296"/>
      <c r="T501" s="296"/>
      <c r="U501" s="296"/>
      <c r="V501" s="296"/>
      <c r="W501" s="296"/>
      <c r="X501" s="296"/>
      <c r="Y501" s="296"/>
      <c r="Z501" s="296"/>
      <c r="AA501" s="296"/>
      <c r="AB501" s="296"/>
      <c r="AC501" s="296"/>
      <c r="AD501" s="296"/>
      <c r="AE501" s="296"/>
      <c r="AF501" s="296"/>
      <c r="AG501" s="296"/>
      <c r="AH501" s="296"/>
      <c r="AI501" s="296"/>
      <c r="AJ501" s="296"/>
      <c r="AK501" s="296"/>
      <c r="AL501" s="296"/>
      <c r="AM501" s="296"/>
      <c r="AN501" s="296"/>
      <c r="AO501" s="296"/>
      <c r="AP501" s="296"/>
      <c r="AQ501" s="296"/>
      <c r="AR501" s="296"/>
      <c r="AS501" s="296"/>
      <c r="AT501" s="296"/>
      <c r="AU501" s="296"/>
      <c r="AV501" s="296"/>
      <c r="AW501" s="296"/>
      <c r="AX501" s="296"/>
      <c r="AY501" s="296"/>
      <c r="AZ501" s="296"/>
      <c r="BA501" s="296"/>
      <c r="BB501" s="296"/>
      <c r="BC501" s="296"/>
      <c r="BD501" s="296"/>
      <c r="BE501" s="296"/>
      <c r="BF501" s="296"/>
      <c r="BG501" s="296"/>
      <c r="BH501" s="296"/>
      <c r="BI501" s="296"/>
      <c r="BJ501" s="296"/>
      <c r="BK501" s="296"/>
      <c r="BL501" s="296"/>
      <c r="BM501" s="89" t="s">
        <v>61</v>
      </c>
      <c r="BN501" s="128" t="str">
        <f>IF(BM501="NA","NA",IF(BM501="Not Reported","Not Reported",IF(BM501&gt;$L$501,"Not Met","Met")))</f>
        <v>Not Reported</v>
      </c>
      <c r="BO501" s="172">
        <v>81</v>
      </c>
      <c r="BP501" s="128" t="s">
        <v>251</v>
      </c>
      <c r="BQ501" s="128" t="s">
        <v>61</v>
      </c>
      <c r="BR501" s="128" t="s">
        <v>61</v>
      </c>
      <c r="BS501" s="128">
        <v>0.27</v>
      </c>
      <c r="BT501" s="128" t="str">
        <f>IF(BS501="NA","NA",IF(BS501="Not Reported","Not Reported",IF(BS501&gt;$L$501,"Not Met","Met")))</f>
        <v>Met</v>
      </c>
      <c r="BU501" s="130">
        <v>51</v>
      </c>
      <c r="BV501" s="128" t="str">
        <f>IF(BU501="NA","NA",IF(BU501="Not Reported","Not Reported",IF(BU501&gt;$L$501,"Not Met","Met")))</f>
        <v>Not Met</v>
      </c>
    </row>
    <row r="502" spans="1:74" x14ac:dyDescent="0.25">
      <c r="A502" s="121">
        <v>501</v>
      </c>
      <c r="B502" s="254" t="s">
        <v>959</v>
      </c>
      <c r="C502" s="122" t="s">
        <v>903</v>
      </c>
      <c r="D502" s="254" t="s">
        <v>926</v>
      </c>
      <c r="E502" s="123" t="s">
        <v>899</v>
      </c>
      <c r="F502" s="62" t="s">
        <v>300</v>
      </c>
      <c r="G502" s="254" t="s">
        <v>273</v>
      </c>
      <c r="H502" s="254" t="s">
        <v>192</v>
      </c>
      <c r="I502" s="293"/>
      <c r="J502" s="293"/>
      <c r="K502" s="62" t="s">
        <v>907</v>
      </c>
      <c r="L502" s="89">
        <v>69</v>
      </c>
      <c r="M502" s="256" t="s">
        <v>909</v>
      </c>
      <c r="N502" s="295"/>
      <c r="O502" s="293"/>
      <c r="P502" s="293"/>
      <c r="Q502" s="296"/>
      <c r="R502" s="296"/>
      <c r="S502" s="296"/>
      <c r="T502" s="296"/>
      <c r="U502" s="296"/>
      <c r="V502" s="296"/>
      <c r="W502" s="296"/>
      <c r="X502" s="296"/>
      <c r="Y502" s="296"/>
      <c r="Z502" s="296"/>
      <c r="AA502" s="296"/>
      <c r="AB502" s="296"/>
      <c r="AC502" s="296"/>
      <c r="AD502" s="296"/>
      <c r="AE502" s="296"/>
      <c r="AF502" s="296"/>
      <c r="AG502" s="296"/>
      <c r="AH502" s="296"/>
      <c r="AI502" s="296"/>
      <c r="AJ502" s="296"/>
      <c r="AK502" s="296"/>
      <c r="AL502" s="296"/>
      <c r="AM502" s="296"/>
      <c r="AN502" s="296"/>
      <c r="AO502" s="296"/>
      <c r="AP502" s="296"/>
      <c r="AQ502" s="296"/>
      <c r="AR502" s="296"/>
      <c r="AS502" s="296"/>
      <c r="AT502" s="296"/>
      <c r="AU502" s="296"/>
      <c r="AV502" s="296"/>
      <c r="AW502" s="296"/>
      <c r="AX502" s="296"/>
      <c r="AY502" s="296"/>
      <c r="AZ502" s="296"/>
      <c r="BA502" s="296"/>
      <c r="BB502" s="296"/>
      <c r="BC502" s="296"/>
      <c r="BD502" s="296"/>
      <c r="BE502" s="296"/>
      <c r="BF502" s="296"/>
      <c r="BG502" s="296"/>
      <c r="BH502" s="296"/>
      <c r="BI502" s="296"/>
      <c r="BJ502" s="296"/>
      <c r="BK502" s="296"/>
      <c r="BL502" s="296"/>
      <c r="BM502" s="89" t="s">
        <v>61</v>
      </c>
      <c r="BN502" s="128" t="str">
        <f>IF(BM502="NA","NA",IF(BM502="Not Reported","Not Reported",IF(BM502&gt;$L$502,"Not Met","Met")))</f>
        <v>Not Reported</v>
      </c>
      <c r="BO502" s="172">
        <v>0</v>
      </c>
      <c r="BP502" s="128" t="s">
        <v>198</v>
      </c>
      <c r="BQ502" s="128" t="s">
        <v>61</v>
      </c>
      <c r="BR502" s="128" t="s">
        <v>61</v>
      </c>
      <c r="BS502" s="128">
        <v>0</v>
      </c>
      <c r="BT502" s="128" t="str">
        <f>IF(BS502="NA","NA",IF(BS502="Not Reported","Not Reported",IF(BS502&gt;$L$502,"Not Met","Met")))</f>
        <v>Met</v>
      </c>
      <c r="BU502" s="130">
        <v>0</v>
      </c>
      <c r="BV502" s="128" t="str">
        <f>IF(BU502="NA","NA",IF(BU502="Not Reported","Not Reported",IF(BU502&gt;$L$502,"Not Met","Met")))</f>
        <v>Met</v>
      </c>
    </row>
    <row r="503" spans="1:74" x14ac:dyDescent="0.25">
      <c r="A503" s="121">
        <v>502</v>
      </c>
      <c r="B503" s="254" t="s">
        <v>959</v>
      </c>
      <c r="C503" s="122" t="s">
        <v>903</v>
      </c>
      <c r="D503" s="254" t="s">
        <v>926</v>
      </c>
      <c r="E503" s="123" t="s">
        <v>899</v>
      </c>
      <c r="F503" s="62" t="s">
        <v>300</v>
      </c>
      <c r="G503" s="254" t="s">
        <v>273</v>
      </c>
      <c r="H503" s="254" t="s">
        <v>192</v>
      </c>
      <c r="I503" s="293"/>
      <c r="J503" s="293"/>
      <c r="K503" s="62" t="s">
        <v>911</v>
      </c>
      <c r="L503" s="89">
        <v>99</v>
      </c>
      <c r="M503" s="256" t="s">
        <v>726</v>
      </c>
      <c r="N503" s="295"/>
      <c r="O503" s="293"/>
      <c r="P503" s="293"/>
      <c r="Q503" s="296"/>
      <c r="R503" s="296"/>
      <c r="S503" s="296"/>
      <c r="T503" s="296"/>
      <c r="U503" s="296"/>
      <c r="V503" s="296"/>
      <c r="W503" s="296"/>
      <c r="X503" s="296"/>
      <c r="Y503" s="296"/>
      <c r="Z503" s="296"/>
      <c r="AA503" s="296"/>
      <c r="AB503" s="296"/>
      <c r="AC503" s="296"/>
      <c r="AD503" s="296"/>
      <c r="AE503" s="296"/>
      <c r="AF503" s="296"/>
      <c r="AG503" s="296"/>
      <c r="AH503" s="296"/>
      <c r="AI503" s="296"/>
      <c r="AJ503" s="296"/>
      <c r="AK503" s="296"/>
      <c r="AL503" s="296"/>
      <c r="AM503" s="296"/>
      <c r="AN503" s="296"/>
      <c r="AO503" s="296"/>
      <c r="AP503" s="296"/>
      <c r="AQ503" s="296"/>
      <c r="AR503" s="296"/>
      <c r="AS503" s="296"/>
      <c r="AT503" s="296"/>
      <c r="AU503" s="296"/>
      <c r="AV503" s="296"/>
      <c r="AW503" s="296"/>
      <c r="AX503" s="296"/>
      <c r="AY503" s="296"/>
      <c r="AZ503" s="296"/>
      <c r="BA503" s="296"/>
      <c r="BB503" s="296"/>
      <c r="BC503" s="296"/>
      <c r="BD503" s="296"/>
      <c r="BE503" s="296"/>
      <c r="BF503" s="296"/>
      <c r="BG503" s="296"/>
      <c r="BH503" s="296"/>
      <c r="BI503" s="296"/>
      <c r="BJ503" s="296"/>
      <c r="BK503" s="296"/>
      <c r="BL503" s="296"/>
      <c r="BM503" s="89" t="s">
        <v>61</v>
      </c>
      <c r="BN503" s="128" t="str">
        <f>IF(BM503="NA","NA",IF(BM503="Not Reported","Not Reported",IF(BM503&gt;$L$503,"Not Met","Met")))</f>
        <v>Not Reported</v>
      </c>
      <c r="BO503" s="172">
        <v>122</v>
      </c>
      <c r="BP503" s="128" t="s">
        <v>251</v>
      </c>
      <c r="BQ503" s="128" t="s">
        <v>61</v>
      </c>
      <c r="BR503" s="128" t="s">
        <v>61</v>
      </c>
      <c r="BS503" s="128">
        <v>1.1399999999999999</v>
      </c>
      <c r="BT503" s="128" t="str">
        <f>IF(BS503="NA","NA",IF(BS503="Not Reported","Not Reported",IF(BS503&gt;$L$503,"Not Met","Met")))</f>
        <v>Met</v>
      </c>
      <c r="BU503" s="130">
        <v>88</v>
      </c>
      <c r="BV503" s="128" t="str">
        <f>IF(BU503="NA","NA",IF(BU503="Not Reported","Not Reported",IF(BU503&gt;$L$503,"Not Met","Met")))</f>
        <v>Met</v>
      </c>
    </row>
    <row r="504" spans="1:74" x14ac:dyDescent="0.25">
      <c r="A504" s="121">
        <v>503</v>
      </c>
      <c r="B504" s="254" t="s">
        <v>959</v>
      </c>
      <c r="C504" s="122" t="s">
        <v>903</v>
      </c>
      <c r="D504" s="254" t="s">
        <v>926</v>
      </c>
      <c r="E504" s="123" t="s">
        <v>899</v>
      </c>
      <c r="F504" s="62" t="s">
        <v>300</v>
      </c>
      <c r="G504" s="254" t="s">
        <v>273</v>
      </c>
      <c r="H504" s="254" t="s">
        <v>192</v>
      </c>
      <c r="I504" s="293"/>
      <c r="J504" s="293"/>
      <c r="K504" s="62" t="s">
        <v>912</v>
      </c>
      <c r="L504" s="89">
        <v>99</v>
      </c>
      <c r="M504" s="256" t="s">
        <v>726</v>
      </c>
      <c r="N504" s="295"/>
      <c r="O504" s="293"/>
      <c r="P504" s="293"/>
      <c r="Q504" s="296"/>
      <c r="R504" s="296"/>
      <c r="S504" s="296"/>
      <c r="T504" s="296"/>
      <c r="U504" s="296"/>
      <c r="V504" s="296"/>
      <c r="W504" s="296"/>
      <c r="X504" s="296"/>
      <c r="Y504" s="296"/>
      <c r="Z504" s="296"/>
      <c r="AA504" s="296"/>
      <c r="AB504" s="296"/>
      <c r="AC504" s="296"/>
      <c r="AD504" s="296"/>
      <c r="AE504" s="296"/>
      <c r="AF504" s="296"/>
      <c r="AG504" s="296"/>
      <c r="AH504" s="296"/>
      <c r="AI504" s="296"/>
      <c r="AJ504" s="296"/>
      <c r="AK504" s="296"/>
      <c r="AL504" s="296"/>
      <c r="AM504" s="296"/>
      <c r="AN504" s="296"/>
      <c r="AO504" s="296"/>
      <c r="AP504" s="296"/>
      <c r="AQ504" s="296"/>
      <c r="AR504" s="296"/>
      <c r="AS504" s="296"/>
      <c r="AT504" s="296"/>
      <c r="AU504" s="296"/>
      <c r="AV504" s="296"/>
      <c r="AW504" s="296"/>
      <c r="AX504" s="296"/>
      <c r="AY504" s="296"/>
      <c r="AZ504" s="296"/>
      <c r="BA504" s="296"/>
      <c r="BB504" s="296"/>
      <c r="BC504" s="296"/>
      <c r="BD504" s="296"/>
      <c r="BE504" s="296"/>
      <c r="BF504" s="296"/>
      <c r="BG504" s="296"/>
      <c r="BH504" s="296"/>
      <c r="BI504" s="296"/>
      <c r="BJ504" s="296"/>
      <c r="BK504" s="296"/>
      <c r="BL504" s="296"/>
      <c r="BM504" s="89" t="s">
        <v>61</v>
      </c>
      <c r="BN504" s="128" t="str">
        <f>IF(BM504="NA","NA",IF(BM504="Not Reported","Not Reported",IF(BM504&gt;$L$504,"Not Met","Met")))</f>
        <v>Not Reported</v>
      </c>
      <c r="BO504" s="172">
        <v>139</v>
      </c>
      <c r="BP504" s="128" t="s">
        <v>251</v>
      </c>
      <c r="BQ504" s="128" t="s">
        <v>61</v>
      </c>
      <c r="BR504" s="128" t="s">
        <v>61</v>
      </c>
      <c r="BS504" s="128">
        <v>0.84</v>
      </c>
      <c r="BT504" s="128" t="str">
        <f>IF(BS504="NA","NA",IF(BS504="Not Reported","Not Reported",IF(BS504&gt;$L$504,"Not Met","Met")))</f>
        <v>Met</v>
      </c>
      <c r="BU504" s="130">
        <v>109</v>
      </c>
      <c r="BV504" s="128" t="str">
        <f>IF(BU504="NA","NA",IF(BU504="Not Reported","Not Reported",IF(BU504&gt;$L$504,"Not Met","Met")))</f>
        <v>Not Met</v>
      </c>
    </row>
    <row r="505" spans="1:74" x14ac:dyDescent="0.25">
      <c r="A505" s="121">
        <v>504</v>
      </c>
      <c r="B505" s="254" t="s">
        <v>959</v>
      </c>
      <c r="C505" s="122" t="s">
        <v>903</v>
      </c>
      <c r="D505" s="254" t="s">
        <v>926</v>
      </c>
      <c r="E505" s="123" t="s">
        <v>899</v>
      </c>
      <c r="F505" s="62" t="s">
        <v>300</v>
      </c>
      <c r="G505" s="254" t="s">
        <v>273</v>
      </c>
      <c r="H505" s="254" t="s">
        <v>192</v>
      </c>
      <c r="I505" s="293"/>
      <c r="J505" s="293"/>
      <c r="K505" s="62" t="s">
        <v>913</v>
      </c>
      <c r="L505" s="89">
        <v>129</v>
      </c>
      <c r="M505" s="256" t="s">
        <v>914</v>
      </c>
      <c r="N505" s="295"/>
      <c r="O505" s="293"/>
      <c r="P505" s="293"/>
      <c r="Q505" s="296"/>
      <c r="R505" s="296"/>
      <c r="S505" s="296"/>
      <c r="T505" s="296"/>
      <c r="U505" s="296"/>
      <c r="V505" s="296"/>
      <c r="W505" s="296"/>
      <c r="X505" s="296"/>
      <c r="Y505" s="296"/>
      <c r="Z505" s="296"/>
      <c r="AA505" s="296"/>
      <c r="AB505" s="296"/>
      <c r="AC505" s="296"/>
      <c r="AD505" s="296"/>
      <c r="AE505" s="296"/>
      <c r="AF505" s="296"/>
      <c r="AG505" s="296"/>
      <c r="AH505" s="296"/>
      <c r="AI505" s="296"/>
      <c r="AJ505" s="296"/>
      <c r="AK505" s="296"/>
      <c r="AL505" s="296"/>
      <c r="AM505" s="296"/>
      <c r="AN505" s="296"/>
      <c r="AO505" s="296"/>
      <c r="AP505" s="296"/>
      <c r="AQ505" s="296"/>
      <c r="AR505" s="296"/>
      <c r="AS505" s="296"/>
      <c r="AT505" s="296"/>
      <c r="AU505" s="296"/>
      <c r="AV505" s="296"/>
      <c r="AW505" s="296"/>
      <c r="AX505" s="296"/>
      <c r="AY505" s="296"/>
      <c r="AZ505" s="296"/>
      <c r="BA505" s="296"/>
      <c r="BB505" s="296"/>
      <c r="BC505" s="296"/>
      <c r="BD505" s="296"/>
      <c r="BE505" s="296"/>
      <c r="BF505" s="296"/>
      <c r="BG505" s="296"/>
      <c r="BH505" s="296"/>
      <c r="BI505" s="296"/>
      <c r="BJ505" s="296"/>
      <c r="BK505" s="296"/>
      <c r="BL505" s="296"/>
      <c r="BM505" s="89" t="s">
        <v>61</v>
      </c>
      <c r="BN505" s="128" t="str">
        <f>IF(BM505="NA","NA",IF(BM505="Not Reported","Not Reported",IF(BM505&gt;$L$505,"Not Met","Met")))</f>
        <v>Not Reported</v>
      </c>
      <c r="BO505" s="172">
        <v>0</v>
      </c>
      <c r="BP505" s="128" t="s">
        <v>198</v>
      </c>
      <c r="BQ505" s="128" t="s">
        <v>61</v>
      </c>
      <c r="BR505" s="128" t="s">
        <v>61</v>
      </c>
      <c r="BS505" s="128">
        <v>0</v>
      </c>
      <c r="BT505" s="128" t="str">
        <f>IF(BS505="NA","NA",IF(BS505="Not Reported","Not Reported",IF(BS505&gt;$L$505,"Not Met","Met")))</f>
        <v>Met</v>
      </c>
      <c r="BU505" s="130">
        <v>0</v>
      </c>
      <c r="BV505" s="128" t="str">
        <f>IF(BU505="NA","NA",IF(BU505="Not Reported","Not Reported",IF(BU505&gt;$L$505,"Not Met","Met")))</f>
        <v>Met</v>
      </c>
    </row>
    <row r="506" spans="1:74" x14ac:dyDescent="0.25">
      <c r="A506" s="121">
        <v>505</v>
      </c>
      <c r="B506" s="254" t="s">
        <v>959</v>
      </c>
      <c r="C506" s="122" t="s">
        <v>903</v>
      </c>
      <c r="D506" s="254" t="s">
        <v>926</v>
      </c>
      <c r="E506" s="123" t="s">
        <v>899</v>
      </c>
      <c r="F506" s="62" t="s">
        <v>300</v>
      </c>
      <c r="G506" s="254" t="s">
        <v>273</v>
      </c>
      <c r="H506" s="254" t="s">
        <v>192</v>
      </c>
      <c r="I506" s="293"/>
      <c r="J506" s="293"/>
      <c r="K506" s="62" t="s">
        <v>915</v>
      </c>
      <c r="L506" s="296">
        <v>7</v>
      </c>
      <c r="M506" s="256" t="s">
        <v>916</v>
      </c>
      <c r="N506" s="295"/>
      <c r="O506" s="293"/>
      <c r="P506" s="293"/>
      <c r="Q506" s="296"/>
      <c r="R506" s="296"/>
      <c r="S506" s="296"/>
      <c r="T506" s="296"/>
      <c r="U506" s="296"/>
      <c r="V506" s="296"/>
      <c r="W506" s="296"/>
      <c r="X506" s="296"/>
      <c r="Y506" s="296"/>
      <c r="Z506" s="296"/>
      <c r="AA506" s="296"/>
      <c r="AB506" s="296"/>
      <c r="AC506" s="296"/>
      <c r="AD506" s="296"/>
      <c r="AE506" s="296"/>
      <c r="AF506" s="296"/>
      <c r="AG506" s="296"/>
      <c r="AH506" s="296"/>
      <c r="AI506" s="296"/>
      <c r="AJ506" s="296"/>
      <c r="AK506" s="296"/>
      <c r="AL506" s="296"/>
      <c r="AM506" s="296"/>
      <c r="AN506" s="296"/>
      <c r="AO506" s="296"/>
      <c r="AP506" s="296"/>
      <c r="AQ506" s="296"/>
      <c r="AR506" s="296"/>
      <c r="AS506" s="296"/>
      <c r="AT506" s="296"/>
      <c r="AU506" s="296"/>
      <c r="AV506" s="296"/>
      <c r="AW506" s="296"/>
      <c r="AX506" s="296"/>
      <c r="AY506" s="296"/>
      <c r="AZ506" s="296"/>
      <c r="BA506" s="296"/>
      <c r="BB506" s="296"/>
      <c r="BC506" s="296"/>
      <c r="BD506" s="296"/>
      <c r="BE506" s="296"/>
      <c r="BF506" s="296"/>
      <c r="BG506" s="296"/>
      <c r="BH506" s="296"/>
      <c r="BI506" s="296"/>
      <c r="BJ506" s="296"/>
      <c r="BK506" s="296"/>
      <c r="BL506" s="296"/>
      <c r="BM506" s="89" t="s">
        <v>61</v>
      </c>
      <c r="BN506" s="128" t="str">
        <f>IF(BM506="NA","NA",IF(BM506="Not Reported","Not Reported",IF(BM506&gt;$L$506,"Not Met","Met")))</f>
        <v>Not Reported</v>
      </c>
      <c r="BO506" s="172">
        <v>17</v>
      </c>
      <c r="BP506" s="128" t="s">
        <v>251</v>
      </c>
      <c r="BQ506" s="128" t="s">
        <v>61</v>
      </c>
      <c r="BR506" s="128" t="s">
        <v>61</v>
      </c>
      <c r="BS506" s="128">
        <v>0.11</v>
      </c>
      <c r="BT506" s="128" t="str">
        <f>IF(BS506="NA","NA",IF(BS506="Not Reported","Not Reported",IF(BS506&gt;$L$506,"Not Met","Met")))</f>
        <v>Met</v>
      </c>
      <c r="BU506" s="130">
        <v>12</v>
      </c>
      <c r="BV506" s="128" t="str">
        <f>IF(BU506="NA","NA",IF(BU506="Not Reported","Not Reported",IF(BU506&gt;$L$506,"Not Met","Met")))</f>
        <v>Not Met</v>
      </c>
    </row>
    <row r="507" spans="1:74" x14ac:dyDescent="0.25">
      <c r="A507" s="121">
        <v>506</v>
      </c>
      <c r="B507" s="254" t="s">
        <v>959</v>
      </c>
      <c r="C507" s="122" t="s">
        <v>903</v>
      </c>
      <c r="D507" s="254" t="s">
        <v>926</v>
      </c>
      <c r="E507" s="123" t="s">
        <v>899</v>
      </c>
      <c r="F507" s="62" t="s">
        <v>300</v>
      </c>
      <c r="G507" s="254" t="s">
        <v>273</v>
      </c>
      <c r="H507" s="254" t="s">
        <v>192</v>
      </c>
      <c r="I507" s="293"/>
      <c r="J507" s="293"/>
      <c r="K507" s="62" t="s">
        <v>915</v>
      </c>
      <c r="L507" s="296">
        <v>15</v>
      </c>
      <c r="M507" s="256" t="s">
        <v>917</v>
      </c>
      <c r="N507" s="295"/>
      <c r="O507" s="293"/>
      <c r="P507" s="293"/>
      <c r="Q507" s="296"/>
      <c r="R507" s="296"/>
      <c r="S507" s="296"/>
      <c r="T507" s="296"/>
      <c r="U507" s="296"/>
      <c r="V507" s="296"/>
      <c r="W507" s="296"/>
      <c r="X507" s="296"/>
      <c r="Y507" s="296"/>
      <c r="Z507" s="296"/>
      <c r="AA507" s="296"/>
      <c r="AB507" s="296"/>
      <c r="AC507" s="296"/>
      <c r="AD507" s="296"/>
      <c r="AE507" s="296"/>
      <c r="AF507" s="296"/>
      <c r="AG507" s="296"/>
      <c r="AH507" s="296"/>
      <c r="AI507" s="296"/>
      <c r="AJ507" s="296"/>
      <c r="AK507" s="296"/>
      <c r="AL507" s="296"/>
      <c r="AM507" s="296"/>
      <c r="AN507" s="296"/>
      <c r="AO507" s="296"/>
      <c r="AP507" s="296"/>
      <c r="AQ507" s="296"/>
      <c r="AR507" s="296"/>
      <c r="AS507" s="296"/>
      <c r="AT507" s="296"/>
      <c r="AU507" s="296"/>
      <c r="AV507" s="296"/>
      <c r="AW507" s="296"/>
      <c r="AX507" s="296"/>
      <c r="AY507" s="296"/>
      <c r="AZ507" s="296"/>
      <c r="BA507" s="296"/>
      <c r="BB507" s="296"/>
      <c r="BC507" s="296"/>
      <c r="BD507" s="296"/>
      <c r="BE507" s="296"/>
      <c r="BF507" s="296"/>
      <c r="BG507" s="296"/>
      <c r="BH507" s="296"/>
      <c r="BI507" s="296"/>
      <c r="BJ507" s="296"/>
      <c r="BK507" s="296"/>
      <c r="BL507" s="296"/>
      <c r="BM507" s="89" t="s">
        <v>61</v>
      </c>
      <c r="BN507" s="128" t="str">
        <f>IF(BM507="NA","NA",IF(BM507="Not Reported","Not Reported",IF(BM507&gt;$L$507,"Not Met","Met")))</f>
        <v>Not Reported</v>
      </c>
      <c r="BO507" s="172">
        <v>14</v>
      </c>
      <c r="BP507" s="128" t="s">
        <v>198</v>
      </c>
      <c r="BQ507" s="128" t="s">
        <v>61</v>
      </c>
      <c r="BR507" s="128" t="s">
        <v>61</v>
      </c>
      <c r="BS507" s="128">
        <v>0.21</v>
      </c>
      <c r="BT507" s="128" t="str">
        <f>IF(BS507="NA","NA",IF(BS507="Not Reported","Not Reported",IF(BS507&gt;$L$507,"Not Met","Met")))</f>
        <v>Met</v>
      </c>
      <c r="BU507" s="130">
        <v>16</v>
      </c>
      <c r="BV507" s="128" t="str">
        <f>IF(BU507="NA","NA",IF(BU507="Not Reported","Not Reported",IF(BU507&gt;$L$507,"Not Met","Met")))</f>
        <v>Not Met</v>
      </c>
    </row>
    <row r="508" spans="1:74" x14ac:dyDescent="0.25">
      <c r="BV508" s="429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B39:B48 U92:U96 N304:O309 I304:J313 D3:D287 F34:F287 P87:P104 G90:H93">
    <cfRule type="containsText" dxfId="4299" priority="16256" operator="containsText" text="Met">
      <formula>NOT(ISERROR(SEARCH("Met",B3)))</formula>
    </cfRule>
  </conditionalFormatting>
  <conditionalFormatting sqref="B171:B211">
    <cfRule type="containsText" dxfId="4298" priority="16071" operator="containsText" text="Met">
      <formula>NOT(ISERROR(SEARCH("Met",B171)))</formula>
    </cfRule>
    <cfRule type="containsText" dxfId="4297" priority="16070" operator="containsText" text="Not Met">
      <formula>NOT(ISERROR(SEARCH("Not Met",B171)))</formula>
    </cfRule>
  </conditionalFormatting>
  <conditionalFormatting sqref="B472:B485">
    <cfRule type="containsText" dxfId="4296" priority="1698" operator="containsText" text="Not Met">
      <formula>NOT(ISERROR(SEARCH("Not Met",B472)))</formula>
    </cfRule>
    <cfRule type="containsText" dxfId="4295" priority="1694" operator="containsText" text="Met">
      <formula>NOT(ISERROR(SEARCH("Met",B472)))</formula>
    </cfRule>
  </conditionalFormatting>
  <conditionalFormatting sqref="B482:B485">
    <cfRule type="containsText" dxfId="4294" priority="1693" operator="containsText" text="Not Met">
      <formula>NOT(ISERROR(SEARCH("Not Met",B482)))</formula>
    </cfRule>
  </conditionalFormatting>
  <conditionalFormatting sqref="C3:E443 B34:B71 F34:F443 G78:H93 P87:P104 B105:B128 B90:B96 R39:R50 R171:R175 R286:R288 T90:T134 Q90:S96 V89:V165 V168:V193 V34:V74 Z171:Z206 AA90:AA113 Z36:AA53 C2:H2 A2:B4 B5:B12 A5:A493 AD27:AD50 AL27:AL50 AP34:AP43 AJ34:AJ50 AN34:AN50 X34:X89 AF36:AF50 AP45:AP47 BC147:BJ148 AS155:AS181 AQ155:AQ189 AO212:AO229 T242:T302 AT257:AW257 V266:V302 P280:P302 X282:X294 AO288:AO302 AS288:AS302 AO304:AO314 T304:T325 P304:P419 V304:V419 B458:B471 F458:F485 D458:D493 C458:C507 E458:E507">
    <cfRule type="containsText" dxfId="4293" priority="16259" operator="containsText" text="Not Met">
      <formula>NOT(ISERROR(SEARCH("Not Met",A2)))</formula>
    </cfRule>
  </conditionalFormatting>
  <conditionalFormatting sqref="C444:F457">
    <cfRule type="containsText" dxfId="4292" priority="875" operator="containsText" text="Met">
      <formula>NOT(ISERROR(SEARCH("Met",C444)))</formula>
    </cfRule>
    <cfRule type="containsText" dxfId="4291" priority="874" operator="containsText" text="Not Met">
      <formula>NOT(ISERROR(SEARCH("Not Met",C444)))</formula>
    </cfRule>
  </conditionalFormatting>
  <conditionalFormatting sqref="F486:F507">
    <cfRule type="containsText" dxfId="4290" priority="899" operator="containsText" text="Met">
      <formula>NOT(ISERROR(SEARCH("Met",F486)))</formula>
    </cfRule>
    <cfRule type="containsText" dxfId="4289" priority="898" operator="containsText" text="Not Met">
      <formula>NOT(ISERROR(SEARCH("Not Met",F486)))</formula>
    </cfRule>
  </conditionalFormatting>
  <conditionalFormatting sqref="G13:G14">
    <cfRule type="containsText" dxfId="4288" priority="31374" operator="containsText" text="Met">
      <formula>NOT(ISERROR(SEARCH("Met",G13)))</formula>
    </cfRule>
  </conditionalFormatting>
  <conditionalFormatting sqref="G39:G48">
    <cfRule type="containsText" dxfId="4287" priority="16261" operator="containsText" text="Not Met">
      <formula>NOT(ISERROR(SEARCH("Not Met",G39)))</formula>
    </cfRule>
    <cfRule type="containsText" dxfId="4286" priority="16262" operator="containsText" text="Met">
      <formula>NOT(ISERROR(SEARCH("Met",G39)))</formula>
    </cfRule>
  </conditionalFormatting>
  <conditionalFormatting sqref="G72:G73">
    <cfRule type="containsText" dxfId="4285" priority="14717" operator="containsText" text="Met">
      <formula>NOT(ISERROR(SEARCH("Met",G72)))</formula>
    </cfRule>
    <cfRule type="containsText" dxfId="4284" priority="14716" operator="containsText" text="Not Met">
      <formula>NOT(ISERROR(SEARCH("Not Met",G72)))</formula>
    </cfRule>
  </conditionalFormatting>
  <conditionalFormatting sqref="G135:G136">
    <cfRule type="containsText" dxfId="4283" priority="14409" operator="containsText" text="Met">
      <formula>NOT(ISERROR(SEARCH("Met",G135)))</formula>
    </cfRule>
    <cfRule type="containsText" dxfId="4282" priority="14408" operator="containsText" text="Not Met">
      <formula>NOT(ISERROR(SEARCH("Not Met",G135)))</formula>
    </cfRule>
  </conditionalFormatting>
  <conditionalFormatting sqref="G3:H12">
    <cfRule type="containsText" dxfId="4281" priority="24971" operator="containsText" text="Not Met">
      <formula>NOT(ISERROR(SEARCH("Not Met",G3)))</formula>
    </cfRule>
  </conditionalFormatting>
  <conditionalFormatting sqref="G15:H19 Q257:Q264 S257:S265 N264:O265 Q265:S265">
    <cfRule type="containsText" dxfId="4280" priority="17039" operator="containsText" text="Met">
      <formula>NOT(ISERROR(SEARCH("Met",G15)))</formula>
    </cfRule>
  </conditionalFormatting>
  <conditionalFormatting sqref="G34:H71">
    <cfRule type="containsText" dxfId="4279" priority="14718" operator="containsText" text="Not Met">
      <formula>NOT(ISERROR(SEARCH("Not Met",G34)))</formula>
    </cfRule>
  </conditionalFormatting>
  <conditionalFormatting sqref="G69:H71">
    <cfRule type="containsText" dxfId="4278" priority="14719" operator="containsText" text="Met">
      <formula>NOT(ISERROR(SEARCH("Met",G69)))</formula>
    </cfRule>
  </conditionalFormatting>
  <conditionalFormatting sqref="G113:H127">
    <cfRule type="containsText" dxfId="4277" priority="28549" operator="containsText" text="Not Met">
      <formula>NOT(ISERROR(SEARCH("Not Met",G113)))</formula>
    </cfRule>
    <cfRule type="containsText" dxfId="4276" priority="28550" operator="containsText" text="Met">
      <formula>NOT(ISERROR(SEARCH("Met",G113)))</formula>
    </cfRule>
  </conditionalFormatting>
  <conditionalFormatting sqref="G147:H148">
    <cfRule type="containsText" dxfId="4275" priority="31254" operator="containsText" text="Met">
      <formula>NOT(ISERROR(SEARCH("Met",G147)))</formula>
    </cfRule>
    <cfRule type="containsText" dxfId="4274" priority="31253" operator="containsText" text="Not Met">
      <formula>NOT(ISERROR(SEARCH("Not Met",G147)))</formula>
    </cfRule>
  </conditionalFormatting>
  <conditionalFormatting sqref="G155:H158">
    <cfRule type="containsText" dxfId="4273" priority="29318" operator="containsText" text="Met">
      <formula>NOT(ISERROR(SEARCH("Met",G155)))</formula>
    </cfRule>
    <cfRule type="containsText" dxfId="4272" priority="29317" operator="containsText" text="Not Met">
      <formula>NOT(ISERROR(SEARCH("Not Met",G155)))</formula>
    </cfRule>
  </conditionalFormatting>
  <conditionalFormatting sqref="G444:H457">
    <cfRule type="containsText" dxfId="4271" priority="879" operator="containsText" text="Met">
      <formula>NOT(ISERROR(SEARCH("Met",G444)))</formula>
    </cfRule>
    <cfRule type="containsText" dxfId="4270" priority="878" operator="containsText" text="Not Met">
      <formula>NOT(ISERROR(SEARCH("Not Met",G444)))</formula>
    </cfRule>
  </conditionalFormatting>
  <conditionalFormatting sqref="G454:H457">
    <cfRule type="containsText" dxfId="4269" priority="876" operator="containsText" text="Not Met">
      <formula>NOT(ISERROR(SEARCH("Not Met",G454)))</formula>
    </cfRule>
    <cfRule type="containsText" dxfId="4268" priority="877" operator="containsText" text="Met">
      <formula>NOT(ISERROR(SEARCH("Met",G454)))</formula>
    </cfRule>
  </conditionalFormatting>
  <conditionalFormatting sqref="G458:H458 XDW458:XDX458">
    <cfRule type="containsText" dxfId="4267" priority="1661" operator="containsText" text="Met">
      <formula>NOT(ISERROR(SEARCH("Met",G458)))</formula>
    </cfRule>
    <cfRule type="containsText" dxfId="4266" priority="1665" operator="containsText" text="Met">
      <formula>NOT(ISERROR(SEARCH("Met",G458)))</formula>
    </cfRule>
  </conditionalFormatting>
  <conditionalFormatting sqref="G459:H471">
    <cfRule type="containsText" dxfId="4265" priority="1691" operator="containsText" text="Not Met">
      <formula>NOT(ISERROR(SEARCH("Not Met",G459)))</formula>
    </cfRule>
    <cfRule type="containsText" dxfId="4264" priority="1692" operator="containsText" text="Met">
      <formula>NOT(ISERROR(SEARCH("Met",G459)))</formula>
    </cfRule>
  </conditionalFormatting>
  <conditionalFormatting sqref="G468:H471">
    <cfRule type="containsText" dxfId="4263" priority="1689" operator="containsText" text="Not Met">
      <formula>NOT(ISERROR(SEARCH("Not Met",G468)))</formula>
    </cfRule>
    <cfRule type="containsText" dxfId="4262" priority="1690" operator="containsText" text="Met">
      <formula>NOT(ISERROR(SEARCH("Met",G468)))</formula>
    </cfRule>
  </conditionalFormatting>
  <conditionalFormatting sqref="G472:H485">
    <cfRule type="containsText" dxfId="4261" priority="1688" operator="containsText" text="Met">
      <formula>NOT(ISERROR(SEARCH("Met",G472)))</formula>
    </cfRule>
    <cfRule type="containsText" dxfId="4260" priority="1687" operator="containsText" text="Not Met">
      <formula>NOT(ISERROR(SEARCH("Not Met",G472)))</formula>
    </cfRule>
  </conditionalFormatting>
  <conditionalFormatting sqref="G482:H485">
    <cfRule type="containsText" dxfId="4259" priority="1686" operator="containsText" text="Met">
      <formula>NOT(ISERROR(SEARCH("Met",G482)))</formula>
    </cfRule>
    <cfRule type="containsText" dxfId="4258" priority="1685" operator="containsText" text="Not Met">
      <formula>NOT(ISERROR(SEARCH("Not Met",G482)))</formula>
    </cfRule>
  </conditionalFormatting>
  <conditionalFormatting sqref="H72:H77">
    <cfRule type="containsText" dxfId="4257" priority="15844" operator="containsText" text="Not Met">
      <formula>NOT(ISERROR(SEARCH("Not Met",H72)))</formula>
    </cfRule>
    <cfRule type="containsText" dxfId="4256" priority="15845" operator="containsText" text="Met">
      <formula>NOT(ISERROR(SEARCH("Met",H72)))</formula>
    </cfRule>
  </conditionalFormatting>
  <conditionalFormatting sqref="H118:H123">
    <cfRule type="containsText" dxfId="4255" priority="16100" operator="containsText" text="Not Met">
      <formula>NOT(ISERROR(SEARCH("Not Met",H118)))</formula>
    </cfRule>
    <cfRule type="containsText" dxfId="4254" priority="16101" operator="containsText" text="Met">
      <formula>NOT(ISERROR(SEARCH("Met",H118)))</formula>
    </cfRule>
  </conditionalFormatting>
  <conditionalFormatting sqref="H129:H141">
    <cfRule type="containsText" dxfId="4253" priority="15950" operator="containsText" text="Met">
      <formula>NOT(ISERROR(SEARCH("Met",H129)))</formula>
    </cfRule>
    <cfRule type="containsText" dxfId="4252" priority="15949" operator="containsText" text="Not Met">
      <formula>NOT(ISERROR(SEARCH("Not Met",H129)))</formula>
    </cfRule>
  </conditionalFormatting>
  <conditionalFormatting sqref="H179:H181">
    <cfRule type="containsText" dxfId="4251" priority="16073" operator="containsText" text="Met">
      <formula>NOT(ISERROR(SEARCH("Met",H179)))</formula>
    </cfRule>
    <cfRule type="containsText" dxfId="4250" priority="16072" operator="containsText" text="Not Met">
      <formula>NOT(ISERROR(SEARCH("Not Met",H179)))</formula>
    </cfRule>
  </conditionalFormatting>
  <conditionalFormatting sqref="I98">
    <cfRule type="containsText" dxfId="4249" priority="5" operator="containsText" text="Not Met">
      <formula>NOT(ISERROR(SEARCH("Not Met",I98)))</formula>
    </cfRule>
    <cfRule type="containsText" dxfId="4248" priority="6" operator="containsText" text="Met">
      <formula>NOT(ISERROR(SEARCH("Met",I98)))</formula>
    </cfRule>
  </conditionalFormatting>
  <conditionalFormatting sqref="I322:J457">
    <cfRule type="containsText" dxfId="4247" priority="4462" operator="containsText" text="Not Met">
      <formula>NOT(ISERROR(SEARCH("Not Met",I322)))</formula>
    </cfRule>
    <cfRule type="containsText" dxfId="4246" priority="4463" operator="containsText" text="Met">
      <formula>NOT(ISERROR(SEARCH("Met",I322)))</formula>
    </cfRule>
  </conditionalFormatting>
  <conditionalFormatting sqref="I2:L6 N2:P12 I11:J12 I15:J18 I20:J32 I78:J95 I97:J97 J98 I99:J105 I107:J109 I111:J121 I123:J132 I134:J140 I142:J154 I157:J157 I159:J168 I171:J179 I181:J183 I186:J209 I229:J234 I236:J238 I240:J249 I252:J255 I257:J264 I266:J270 I272:J275 I277:J285 I289:J300 I315:J320">
    <cfRule type="containsText" dxfId="4245" priority="13958" operator="containsText" text="Met">
      <formula>NOT(ISERROR(SEARCH("Met",I2)))</formula>
    </cfRule>
    <cfRule type="containsText" dxfId="4244" priority="13957" operator="containsText" text="Not Met">
      <formula>NOT(ISERROR(SEARCH("Not Met",I2)))</formula>
    </cfRule>
  </conditionalFormatting>
  <conditionalFormatting sqref="J170">
    <cfRule type="containsText" dxfId="4243" priority="10422" operator="containsText" text="Met">
      <formula>NOT(ISERROR(SEARCH("Met",J170)))</formula>
    </cfRule>
    <cfRule type="containsText" dxfId="4242" priority="10421" operator="containsText" text="Not Met">
      <formula>NOT(ISERROR(SEARCH("Not Met",J170)))</formula>
    </cfRule>
  </conditionalFormatting>
  <conditionalFormatting sqref="K18 K28 K41 K61 K87 K92 K104 K108 K121 K132 K140 K146 K152 K161 K168 K179 K206:K207 K224 K234 K242 K279 K285 K294 K300 K313 K320">
    <cfRule type="containsText" dxfId="4241" priority="17037" operator="containsText" text="Met">
      <formula>NOT(ISERROR(SEARCH("Met",K18)))</formula>
    </cfRule>
    <cfRule type="containsText" dxfId="4240" priority="17036" operator="containsText" text="Not Met">
      <formula>NOT(ISERROR(SEARCH("Not Met",K18)))</formula>
    </cfRule>
  </conditionalFormatting>
  <conditionalFormatting sqref="K34 L36">
    <cfRule type="containsText" dxfId="4239" priority="31145" operator="containsText" text="Not Met">
      <formula>NOT(ISERROR(SEARCH("Not Met",K34)))</formula>
    </cfRule>
    <cfRule type="containsText" dxfId="4238" priority="31146" operator="containsText" text="Met">
      <formula>NOT(ISERROR(SEARCH("Met",K34)))</formula>
    </cfRule>
  </conditionalFormatting>
  <conditionalFormatting sqref="K49:K58">
    <cfRule type="containsText" dxfId="4237" priority="31033" operator="containsText" text="Not Met">
      <formula>NOT(ISERROR(SEARCH("Not Met",K49)))</formula>
    </cfRule>
    <cfRule type="containsText" dxfId="4236" priority="31034" operator="containsText" text="Met">
      <formula>NOT(ISERROR(SEARCH("Met",K49)))</formula>
    </cfRule>
  </conditionalFormatting>
  <conditionalFormatting sqref="K145">
    <cfRule type="containsText" dxfId="4235" priority="30749" operator="containsText" text="Not Met">
      <formula>NOT(ISERROR(SEARCH("Not Met",K145)))</formula>
    </cfRule>
    <cfRule type="containsText" dxfId="4234" priority="30750" operator="containsText" text="Met">
      <formula>NOT(ISERROR(SEARCH("Met",K145)))</formula>
    </cfRule>
  </conditionalFormatting>
  <conditionalFormatting sqref="K173:K175">
    <cfRule type="containsText" dxfId="4233" priority="27379" operator="containsText" text="Not Met">
      <formula>NOT(ISERROR(SEARCH("Not Met",K173)))</formula>
    </cfRule>
    <cfRule type="containsText" dxfId="4232" priority="27380" operator="containsText" text="Met">
      <formula>NOT(ISERROR(SEARCH("Met",K173)))</formula>
    </cfRule>
  </conditionalFormatting>
  <conditionalFormatting sqref="K200:K201">
    <cfRule type="containsText" dxfId="4231" priority="29659" operator="containsText" text="Not Met">
      <formula>NOT(ISERROR(SEARCH("Not Met",K200)))</formula>
    </cfRule>
    <cfRule type="containsText" dxfId="4230" priority="29660" operator="containsText" text="Met">
      <formula>NOT(ISERROR(SEARCH("Met",K200)))</formula>
    </cfRule>
  </conditionalFormatting>
  <conditionalFormatting sqref="K213">
    <cfRule type="containsText" dxfId="4229" priority="24748" operator="containsText" text="Met">
      <formula>NOT(ISERROR(SEARCH("Met",K213)))</formula>
    </cfRule>
    <cfRule type="containsText" dxfId="4228" priority="24747" operator="containsText" text="Not Met">
      <formula>NOT(ISERROR(SEARCH("Not Met",K213)))</formula>
    </cfRule>
  </conditionalFormatting>
  <conditionalFormatting sqref="K215:K216">
    <cfRule type="containsText" dxfId="4227" priority="24750" operator="containsText" text="Met">
      <formula>NOT(ISERROR(SEARCH("Met",K215)))</formula>
    </cfRule>
    <cfRule type="containsText" dxfId="4226" priority="24749" operator="containsText" text="Not Met">
      <formula>NOT(ISERROR(SEARCH("Not Met",K215)))</formula>
    </cfRule>
  </conditionalFormatting>
  <conditionalFormatting sqref="K218">
    <cfRule type="containsText" dxfId="4225" priority="24722" operator="containsText" text="Met">
      <formula>NOT(ISERROR(SEARCH("Met",K218)))</formula>
    </cfRule>
    <cfRule type="containsText" dxfId="4224" priority="24721" operator="containsText" text="Not Met">
      <formula>NOT(ISERROR(SEARCH("Not Met",K218)))</formula>
    </cfRule>
  </conditionalFormatting>
  <conditionalFormatting sqref="K246">
    <cfRule type="containsText" dxfId="4223" priority="22460" operator="containsText" text="Met">
      <formula>NOT(ISERROR(SEARCH("Met",K246)))</formula>
    </cfRule>
    <cfRule type="containsText" dxfId="4222" priority="22459" operator="containsText" text="Not Met">
      <formula>NOT(ISERROR(SEARCH("Not Met",K246)))</formula>
    </cfRule>
  </conditionalFormatting>
  <conditionalFormatting sqref="K268">
    <cfRule type="containsText" dxfId="4221" priority="21008" operator="containsText" text="Met">
      <formula>NOT(ISERROR(SEARCH("Met",K268)))</formula>
    </cfRule>
    <cfRule type="containsText" dxfId="4220" priority="21007" operator="containsText" text="Not Met">
      <formula>NOT(ISERROR(SEARCH("Not Met",K268)))</formula>
    </cfRule>
  </conditionalFormatting>
  <conditionalFormatting sqref="K303">
    <cfRule type="containsText" dxfId="4219" priority="2549" operator="containsText" text="Not Met">
      <formula>NOT(ISERROR(SEARCH("Not Met",K303)))</formula>
    </cfRule>
    <cfRule type="containsText" dxfId="4218" priority="2553" operator="containsText" text="Not Met">
      <formula>NOT(ISERROR(SEARCH("Not Met",K303)))</formula>
    </cfRule>
    <cfRule type="containsText" dxfId="4217" priority="2552" operator="containsText" text="Met">
      <formula>NOT(ISERROR(SEARCH("Met",K303)))</formula>
    </cfRule>
    <cfRule type="containsText" dxfId="4216" priority="2551" operator="containsText" text="Not Met">
      <formula>NOT(ISERROR(SEARCH("Not Met",K303)))</formula>
    </cfRule>
    <cfRule type="containsText" dxfId="4215" priority="2550" operator="containsText" text="Met">
      <formula>NOT(ISERROR(SEARCH("Met",K303)))</formula>
    </cfRule>
    <cfRule type="containsText" dxfId="4214" priority="2554" operator="containsText" text="Met">
      <formula>NOT(ISERROR(SEARCH("Met",K303)))</formula>
    </cfRule>
  </conditionalFormatting>
  <conditionalFormatting sqref="K321">
    <cfRule type="containsText" dxfId="4213" priority="14228" operator="containsText" text="Not Met">
      <formula>NOT(ISERROR(SEARCH("Not Met",K321)))</formula>
    </cfRule>
    <cfRule type="containsText" dxfId="4212" priority="14229" operator="containsText" text="Met">
      <formula>NOT(ISERROR(SEARCH("Met",K321)))</formula>
    </cfRule>
  </conditionalFormatting>
  <conditionalFormatting sqref="K450">
    <cfRule type="containsText" dxfId="4211" priority="881" operator="containsText" text="Met">
      <formula>NOT(ISERROR(SEARCH("Met",K450)))</formula>
    </cfRule>
    <cfRule type="containsText" dxfId="4210" priority="880" operator="containsText" text="Not Met">
      <formula>NOT(ISERROR(SEARCH("Not Met",K450)))</formula>
    </cfRule>
  </conditionalFormatting>
  <conditionalFormatting sqref="K458 N458">
    <cfRule type="containsText" dxfId="4209" priority="1654" operator="containsText" text="Not Met">
      <formula>NOT(ISERROR(SEARCH("Not Met",K458)))</formula>
    </cfRule>
    <cfRule type="containsText" dxfId="4208" priority="1655" operator="containsText" text="Met">
      <formula>NOT(ISERROR(SEARCH("Met",K458)))</formula>
    </cfRule>
  </conditionalFormatting>
  <conditionalFormatting sqref="K464">
    <cfRule type="containsText" dxfId="4207" priority="1702" operator="containsText" text="Not Met">
      <formula>NOT(ISERROR(SEARCH("Not Met",K464)))</formula>
    </cfRule>
    <cfRule type="containsText" dxfId="4206" priority="1703" operator="containsText" text="Met">
      <formula>NOT(ISERROR(SEARCH("Met",K464)))</formula>
    </cfRule>
  </conditionalFormatting>
  <conditionalFormatting sqref="K478">
    <cfRule type="containsText" dxfId="4205" priority="1700" operator="containsText" text="Not Met">
      <formula>NOT(ISERROR(SEARCH("Not Met",K478)))</formula>
    </cfRule>
    <cfRule type="containsText" dxfId="4204" priority="1701" operator="containsText" text="Met">
      <formula>NOT(ISERROR(SEARCH("Met",K478)))</formula>
    </cfRule>
  </conditionalFormatting>
  <conditionalFormatting sqref="K35:L35">
    <cfRule type="containsText" dxfId="4203" priority="14769" operator="containsText" text="Met">
      <formula>NOT(ISERROR(SEARCH("Met",K35)))</formula>
    </cfRule>
    <cfRule type="containsText" dxfId="4202" priority="14768" operator="containsText" text="Not Met">
      <formula>NOT(ISERROR(SEARCH("Not Met",K35)))</formula>
    </cfRule>
  </conditionalFormatting>
  <conditionalFormatting sqref="K97:L98">
    <cfRule type="containsText" dxfId="4201" priority="30651" operator="containsText" text="Not Met">
      <formula>NOT(ISERROR(SEARCH("Not Met",K97)))</formula>
    </cfRule>
    <cfRule type="containsText" dxfId="4200" priority="30652" operator="containsText" text="Met">
      <formula>NOT(ISERROR(SEARCH("Met",K97)))</formula>
    </cfRule>
  </conditionalFormatting>
  <conditionalFormatting sqref="K115:L117">
    <cfRule type="containsText" dxfId="4199" priority="28509" operator="containsText" text="Not Met">
      <formula>NOT(ISERROR(SEARCH("Not Met",K115)))</formula>
    </cfRule>
    <cfRule type="containsText" dxfId="4198" priority="28510" operator="containsText" text="Met">
      <formula>NOT(ISERROR(SEARCH("Met",K115)))</formula>
    </cfRule>
  </conditionalFormatting>
  <conditionalFormatting sqref="K126:L128 G128:H128 N128:Q128">
    <cfRule type="containsText" dxfId="4197" priority="14392" operator="containsText" text="Not Met">
      <formula>NOT(ISERROR(SEARCH("Not Met",G126)))</formula>
    </cfRule>
    <cfRule type="containsText" dxfId="4196" priority="14393" operator="containsText" text="Met">
      <formula>NOT(ISERROR(SEARCH("Met",G126)))</formula>
    </cfRule>
  </conditionalFormatting>
  <conditionalFormatting sqref="K147:L148 N147:N148">
    <cfRule type="containsText" dxfId="4195" priority="30748" operator="containsText" text="Met">
      <formula>NOT(ISERROR(SEARCH("Met",K147)))</formula>
    </cfRule>
    <cfRule type="containsText" dxfId="4194" priority="30747" operator="containsText" text="Not Met">
      <formula>NOT(ISERROR(SEARCH("Not Met",K147)))</formula>
    </cfRule>
  </conditionalFormatting>
  <conditionalFormatting sqref="L38">
    <cfRule type="containsText" dxfId="4193" priority="12917" operator="containsText" text="Met">
      <formula>NOT(ISERROR(SEARCH("Met",L38)))</formula>
    </cfRule>
    <cfRule type="containsText" dxfId="4192" priority="12916" operator="containsText" text="Not Met">
      <formula>NOT(ISERROR(SEARCH("Not Met",L38)))</formula>
    </cfRule>
  </conditionalFormatting>
  <conditionalFormatting sqref="L69:L74 N73:N74">
    <cfRule type="containsText" dxfId="4191" priority="14705" operator="containsText" text="Met">
      <formula>NOT(ISERROR(SEARCH("Met",L69)))</formula>
    </cfRule>
  </conditionalFormatting>
  <conditionalFormatting sqref="L94:L96">
    <cfRule type="containsText" dxfId="4190" priority="15262" operator="containsText" text="Met">
      <formula>NOT(ISERROR(SEARCH("Met",L94)))</formula>
    </cfRule>
    <cfRule type="containsText" dxfId="4189" priority="15261" operator="containsText" text="Not Met">
      <formula>NOT(ISERROR(SEARCH("Not Met",L94)))</formula>
    </cfRule>
  </conditionalFormatting>
  <conditionalFormatting sqref="L118:L125">
    <cfRule type="containsText" dxfId="4188" priority="14285" operator="containsText" text="Met">
      <formula>NOT(ISERROR(SEARCH("Met",L118)))</formula>
    </cfRule>
    <cfRule type="containsText" dxfId="4187" priority="14284" operator="containsText" text="Not Met">
      <formula>NOT(ISERROR(SEARCH("Not Met",L118)))</formula>
    </cfRule>
  </conditionalFormatting>
  <conditionalFormatting sqref="L129:L141">
    <cfRule type="containsText" dxfId="4186" priority="14364" operator="containsText" text="Not Met">
      <formula>NOT(ISERROR(SEARCH("Not Met",L129)))</formula>
    </cfRule>
    <cfRule type="containsText" dxfId="4185" priority="14365" operator="containsText" text="Met">
      <formula>NOT(ISERROR(SEARCH("Met",L129)))</formula>
    </cfRule>
  </conditionalFormatting>
  <conditionalFormatting sqref="L155:L157">
    <cfRule type="containsText" dxfId="4184" priority="30743" operator="containsText" text="Not Met">
      <formula>NOT(ISERROR(SEARCH("Not Met",L155)))</formula>
    </cfRule>
    <cfRule type="containsText" dxfId="4183" priority="30744" operator="containsText" text="Met">
      <formula>NOT(ISERROR(SEARCH("Met",L155)))</formula>
    </cfRule>
  </conditionalFormatting>
  <conditionalFormatting sqref="L163:L168">
    <cfRule type="containsText" dxfId="4182" priority="14552" operator="containsText" text="Met">
      <formula>NOT(ISERROR(SEARCH("Met",L163)))</formula>
    </cfRule>
    <cfRule type="containsText" dxfId="4181" priority="14551" operator="containsText" text="Not Met">
      <formula>NOT(ISERROR(SEARCH("Not Met",L163)))</formula>
    </cfRule>
  </conditionalFormatting>
  <conditionalFormatting sqref="L171:L181">
    <cfRule type="containsText" dxfId="4180" priority="14304" operator="containsText" text="Not Met">
      <formula>NOT(ISERROR(SEARCH("Not Met",L171)))</formula>
    </cfRule>
    <cfRule type="containsText" dxfId="4179" priority="14305" operator="containsText" text="Met">
      <formula>NOT(ISERROR(SEARCH("Met",L171)))</formula>
    </cfRule>
  </conditionalFormatting>
  <conditionalFormatting sqref="L212:L213">
    <cfRule type="containsText" dxfId="4178" priority="24729" operator="containsText" text="Not Met">
      <formula>NOT(ISERROR(SEARCH("Not Met",L212)))</formula>
    </cfRule>
    <cfRule type="containsText" dxfId="4177" priority="24730" operator="containsText" text="Met">
      <formula>NOT(ISERROR(SEARCH("Met",L212)))</formula>
    </cfRule>
  </conditionalFormatting>
  <conditionalFormatting sqref="L217:L218">
    <cfRule type="containsText" dxfId="4176" priority="24725" operator="containsText" text="Not Met">
      <formula>NOT(ISERROR(SEARCH("Not Met",L217)))</formula>
    </cfRule>
    <cfRule type="containsText" dxfId="4175" priority="24726" operator="containsText" text="Met">
      <formula>NOT(ISERROR(SEARCH("Met",L217)))</formula>
    </cfRule>
  </conditionalFormatting>
  <conditionalFormatting sqref="L230">
    <cfRule type="containsText" dxfId="4174" priority="26840" operator="containsText" text="Met">
      <formula>NOT(ISERROR(SEARCH("Met",L230)))</formula>
    </cfRule>
    <cfRule type="containsText" dxfId="4173" priority="26839" operator="containsText" text="Not Met">
      <formula>NOT(ISERROR(SEARCH("Not Met",L230)))</formula>
    </cfRule>
  </conditionalFormatting>
  <conditionalFormatting sqref="L261:L262">
    <cfRule type="containsText" dxfId="4172" priority="31273" operator="containsText" text="Not Met">
      <formula>NOT(ISERROR(SEARCH("Not Met",L261)))</formula>
    </cfRule>
    <cfRule type="containsText" dxfId="4171" priority="31274" operator="containsText" text="Met">
      <formula>NOT(ISERROR(SEARCH("Met",L261)))</formula>
    </cfRule>
  </conditionalFormatting>
  <conditionalFormatting sqref="L273:L279">
    <cfRule type="containsText" dxfId="4170" priority="14276" operator="containsText" text="Not Met">
      <formula>NOT(ISERROR(SEARCH("Not Met",L273)))</formula>
    </cfRule>
    <cfRule type="containsText" dxfId="4169" priority="14277" operator="containsText" text="Met">
      <formula>NOT(ISERROR(SEARCH("Met",L273)))</formula>
    </cfRule>
  </conditionalFormatting>
  <conditionalFormatting sqref="L303 N303:O303">
    <cfRule type="containsText" dxfId="4168" priority="2559" operator="containsText" text="Not Met">
      <formula>NOT(ISERROR(SEARCH("Not Met",L303)))</formula>
    </cfRule>
    <cfRule type="containsText" dxfId="4167" priority="2560" operator="containsText" text="Met">
      <formula>NOT(ISERROR(SEARCH("Met",L303)))</formula>
    </cfRule>
  </conditionalFormatting>
  <conditionalFormatting sqref="L303">
    <cfRule type="containsText" dxfId="4166" priority="2557" operator="containsText" text="Not Met">
      <formula>NOT(ISERROR(SEARCH("Not Met",L303)))</formula>
    </cfRule>
    <cfRule type="containsText" dxfId="4165" priority="2556" operator="containsText" text="Met">
      <formula>NOT(ISERROR(SEARCH("Met",L303)))</formula>
    </cfRule>
    <cfRule type="containsText" dxfId="4164" priority="2555" operator="containsText" text="Not Met">
      <formula>NOT(ISERROR(SEARCH("Not Met",L303)))</formula>
    </cfRule>
    <cfRule type="containsText" dxfId="4163" priority="2558" operator="containsText" text="Met">
      <formula>NOT(ISERROR(SEARCH("Met",L303)))</formula>
    </cfRule>
  </conditionalFormatting>
  <conditionalFormatting sqref="L458 O458:Q458">
    <cfRule type="containsText" dxfId="4162" priority="1659" operator="containsText" text="Met">
      <formula>NOT(ISERROR(SEARCH("Met",L458)))</formula>
    </cfRule>
    <cfRule type="containsText" dxfId="4161" priority="1658" operator="containsText" text="Not Met">
      <formula>NOT(ISERROR(SEARCH("Not Met",L458)))</formula>
    </cfRule>
  </conditionalFormatting>
  <conditionalFormatting sqref="M2:M6">
    <cfRule type="containsText" dxfId="4160" priority="1363" operator="containsText" text="Met">
      <formula>NOT(ISERROR(SEARCH("Met",M2)))</formula>
    </cfRule>
    <cfRule type="containsText" dxfId="4159" priority="1362" operator="containsText" text="Not Met">
      <formula>NOT(ISERROR(SEARCH("Not Met",M2)))</formula>
    </cfRule>
  </conditionalFormatting>
  <conditionalFormatting sqref="M7:M12 M84:M85 M87 M106">
    <cfRule type="containsText" dxfId="4158" priority="1421" operator="containsText" text="Not Met">
      <formula>NOT(ISERROR(SEARCH("Not Met",M7)))</formula>
    </cfRule>
  </conditionalFormatting>
  <conditionalFormatting sqref="M35">
    <cfRule type="containsText" dxfId="4157" priority="1386" operator="containsText" text="Met">
      <formula>NOT(ISERROR(SEARCH("Met",M35)))</formula>
    </cfRule>
    <cfRule type="containsText" dxfId="4156" priority="1385" operator="containsText" text="Not Met">
      <formula>NOT(ISERROR(SEARCH("Not Met",M35)))</formula>
    </cfRule>
  </conditionalFormatting>
  <conditionalFormatting sqref="M36">
    <cfRule type="containsText" dxfId="4155" priority="1415" operator="containsText" text="Not Met">
      <formula>NOT(ISERROR(SEARCH("Not Met",M36)))</formula>
    </cfRule>
    <cfRule type="containsText" dxfId="4154" priority="1416" operator="containsText" text="Met">
      <formula>NOT(ISERROR(SEARCH("Met",M36)))</formula>
    </cfRule>
  </conditionalFormatting>
  <conditionalFormatting sqref="M38">
    <cfRule type="containsText" dxfId="4153" priority="1361" operator="containsText" text="Met">
      <formula>NOT(ISERROR(SEARCH("Met",M38)))</formula>
    </cfRule>
    <cfRule type="containsText" dxfId="4152" priority="1360" operator="containsText" text="Not Met">
      <formula>NOT(ISERROR(SEARCH("Not Met",M38)))</formula>
    </cfRule>
  </conditionalFormatting>
  <conditionalFormatting sqref="M49:M60 M62:M65 M79:M81">
    <cfRule type="containsText" dxfId="4151" priority="1389" operator="containsText" text="Not Met">
      <formula>NOT(ISERROR(SEARCH("Not Met",M49)))</formula>
    </cfRule>
    <cfRule type="containsText" dxfId="4150" priority="1390" operator="containsText" text="Met">
      <formula>NOT(ISERROR(SEARCH("Met",M49)))</formula>
    </cfRule>
  </conditionalFormatting>
  <conditionalFormatting sqref="M61 M66:M68">
    <cfRule type="containsText" dxfId="4149" priority="1400" operator="containsText" text="Met">
      <formula>NOT(ISERROR(SEARCH("Met",M61)))</formula>
    </cfRule>
    <cfRule type="containsText" dxfId="4148" priority="1399" operator="containsText" text="Not Met">
      <formula>NOT(ISERROR(SEARCH("Not Met",M61)))</formula>
    </cfRule>
  </conditionalFormatting>
  <conditionalFormatting sqref="M69:M72">
    <cfRule type="containsText" dxfId="4147" priority="1383" operator="containsText" text="Not Met">
      <formula>NOT(ISERROR(SEARCH("Not Met",M69)))</formula>
    </cfRule>
    <cfRule type="containsText" dxfId="4146" priority="1384" operator="containsText" text="Met">
      <formula>NOT(ISERROR(SEARCH("Met",M69)))</formula>
    </cfRule>
  </conditionalFormatting>
  <conditionalFormatting sqref="M73:M74">
    <cfRule type="containsText" dxfId="4145" priority="1382" operator="containsText" text="Met">
      <formula>NOT(ISERROR(SEARCH("Met",M73)))</formula>
    </cfRule>
    <cfRule type="containsText" dxfId="4144" priority="1381" operator="containsText" text="Not Met">
      <formula>NOT(ISERROR(SEARCH("Not Met",M73)))</formula>
    </cfRule>
  </conditionalFormatting>
  <conditionalFormatting sqref="M86">
    <cfRule type="containsText" dxfId="4143" priority="1380" operator="containsText" text="Met">
      <formula>NOT(ISERROR(SEARCH("Met",M86)))</formula>
    </cfRule>
    <cfRule type="containsText" dxfId="4142" priority="1379" operator="containsText" text="Not Met">
      <formula>NOT(ISERROR(SEARCH("Not Met",M86)))</formula>
    </cfRule>
  </conditionalFormatting>
  <conditionalFormatting sqref="M91:M92">
    <cfRule type="containsText" dxfId="4141" priority="1378" operator="containsText" text="Not Met">
      <formula>NOT(ISERROR(SEARCH("Not Met",M91)))</formula>
    </cfRule>
  </conditionalFormatting>
  <conditionalFormatting sqref="M94:M96">
    <cfRule type="containsText" dxfId="4140" priority="1387" operator="containsText" text="Not Met">
      <formula>NOT(ISERROR(SEARCH("Not Met",M94)))</formula>
    </cfRule>
    <cfRule type="containsText" dxfId="4139" priority="1388" operator="containsText" text="Met">
      <formula>NOT(ISERROR(SEARCH("Met",M94)))</formula>
    </cfRule>
  </conditionalFormatting>
  <conditionalFormatting sqref="M97:M98">
    <cfRule type="containsText" dxfId="4138" priority="1407" operator="containsText" text="Not Met">
      <formula>NOT(ISERROR(SEARCH("Not Met",M97)))</formula>
    </cfRule>
    <cfRule type="containsText" dxfId="4137" priority="1408" operator="containsText" text="Met">
      <formula>NOT(ISERROR(SEARCH("Met",M97)))</formula>
    </cfRule>
  </conditionalFormatting>
  <conditionalFormatting sqref="M99:M104">
    <cfRule type="containsText" dxfId="4136" priority="1364" operator="containsText" text="Not Met">
      <formula>NOT(ISERROR(SEARCH("Not Met",M99)))</formula>
    </cfRule>
    <cfRule type="containsText" dxfId="4135" priority="1365" operator="containsText" text="Met">
      <formula>NOT(ISERROR(SEARCH("Met",M99)))</formula>
    </cfRule>
  </conditionalFormatting>
  <conditionalFormatting sqref="M105">
    <cfRule type="containsText" dxfId="4134" priority="1391" operator="containsText" text="Not Met">
      <formula>NOT(ISERROR(SEARCH("Not Met",M105)))</formula>
    </cfRule>
    <cfRule type="containsText" dxfId="4133" priority="1392" operator="containsText" text="Met">
      <formula>NOT(ISERROR(SEARCH("Met",M105)))</formula>
    </cfRule>
  </conditionalFormatting>
  <conditionalFormatting sqref="M115:M116">
    <cfRule type="containsText" dxfId="4132" priority="1402" operator="containsText" text="Met">
      <formula>NOT(ISERROR(SEARCH("Met",M115)))</formula>
    </cfRule>
    <cfRule type="containsText" dxfId="4131" priority="1401" operator="containsText" text="Not Met">
      <formula>NOT(ISERROR(SEARCH("Not Met",M115)))</formula>
    </cfRule>
  </conditionalFormatting>
  <conditionalFormatting sqref="M117 M7:M12 M84:M85 M87 M106 M91:M92">
    <cfRule type="containsText" dxfId="4130" priority="1423" operator="containsText" text="Met">
      <formula>NOT(ISERROR(SEARCH("Met",M7)))</formula>
    </cfRule>
  </conditionalFormatting>
  <conditionalFormatting sqref="M117">
    <cfRule type="containsText" dxfId="4129" priority="1422" operator="containsText" text="Not Met">
      <formula>NOT(ISERROR(SEARCH("Not Met",M117)))</formula>
    </cfRule>
  </conditionalFormatting>
  <conditionalFormatting sqref="M118:M125">
    <cfRule type="containsText" dxfId="4128" priority="1368" operator="containsText" text="Not Met">
      <formula>NOT(ISERROR(SEARCH("Not Met",M118)))</formula>
    </cfRule>
    <cfRule type="containsText" dxfId="4127" priority="1369" operator="containsText" text="Met">
      <formula>NOT(ISERROR(SEARCH("Met",M118)))</formula>
    </cfRule>
  </conditionalFormatting>
  <conditionalFormatting sqref="M126">
    <cfRule type="containsText" dxfId="4126" priority="1405" operator="containsText" text="Not Met">
      <formula>NOT(ISERROR(SEARCH("Not Met",M126)))</formula>
    </cfRule>
    <cfRule type="containsText" dxfId="4125" priority="1406" operator="containsText" text="Met">
      <formula>NOT(ISERROR(SEARCH("Met",M126)))</formula>
    </cfRule>
  </conditionalFormatting>
  <conditionalFormatting sqref="M127">
    <cfRule type="containsText" dxfId="4124" priority="1404" operator="containsText" text="Met">
      <formula>NOT(ISERROR(SEARCH("Met",M127)))</formula>
    </cfRule>
    <cfRule type="containsText" dxfId="4123" priority="1403" operator="containsText" text="Not Met">
      <formula>NOT(ISERROR(SEARCH("Not Met",M127)))</formula>
    </cfRule>
  </conditionalFormatting>
  <conditionalFormatting sqref="M128">
    <cfRule type="containsText" dxfId="4122" priority="1375" operator="containsText" text="Met">
      <formula>NOT(ISERROR(SEARCH("Met",M128)))</formula>
    </cfRule>
    <cfRule type="containsText" dxfId="4121" priority="1374" operator="containsText" text="Not Met">
      <formula>NOT(ISERROR(SEARCH("Not Met",M128)))</formula>
    </cfRule>
  </conditionalFormatting>
  <conditionalFormatting sqref="M129:M141">
    <cfRule type="containsText" dxfId="4120" priority="1372" operator="containsText" text="Not Met">
      <formula>NOT(ISERROR(SEARCH("Not Met",M129)))</formula>
    </cfRule>
    <cfRule type="containsText" dxfId="4119" priority="1373" operator="containsText" text="Met">
      <formula>NOT(ISERROR(SEARCH("Met",M129)))</formula>
    </cfRule>
  </conditionalFormatting>
  <conditionalFormatting sqref="M147:M148">
    <cfRule type="containsText" dxfId="4118" priority="1411" operator="containsText" text="Not Met">
      <formula>NOT(ISERROR(SEARCH("Not Met",M147)))</formula>
    </cfRule>
    <cfRule type="containsText" dxfId="4117" priority="1412" operator="containsText" text="Met">
      <formula>NOT(ISERROR(SEARCH("Met",M147)))</formula>
    </cfRule>
  </conditionalFormatting>
  <conditionalFormatting sqref="M150:M152">
    <cfRule type="containsText" dxfId="4116" priority="1414" operator="containsText" text="Met">
      <formula>NOT(ISERROR(SEARCH("Met",M150)))</formula>
    </cfRule>
    <cfRule type="containsText" dxfId="4115" priority="1413" operator="containsText" text="Not Met">
      <formula>NOT(ISERROR(SEARCH("Not Met",M150)))</formula>
    </cfRule>
  </conditionalFormatting>
  <conditionalFormatting sqref="M155:M157">
    <cfRule type="containsText" dxfId="4114" priority="1410" operator="containsText" text="Met">
      <formula>NOT(ISERROR(SEARCH("Met",M155)))</formula>
    </cfRule>
    <cfRule type="containsText" dxfId="4113" priority="1409" operator="containsText" text="Not Met">
      <formula>NOT(ISERROR(SEARCH("Not Met",M155)))</formula>
    </cfRule>
  </conditionalFormatting>
  <conditionalFormatting sqref="M159:M161">
    <cfRule type="containsText" dxfId="4112" priority="1419" operator="containsText" text="Not Met">
      <formula>NOT(ISERROR(SEARCH("Not Met",M159)))</formula>
    </cfRule>
    <cfRule type="containsText" dxfId="4111" priority="1420" operator="containsText" text="Met">
      <formula>NOT(ISERROR(SEARCH("Met",M159)))</formula>
    </cfRule>
  </conditionalFormatting>
  <conditionalFormatting sqref="M163:M168">
    <cfRule type="containsText" dxfId="4110" priority="1376" operator="containsText" text="Not Met">
      <formula>NOT(ISERROR(SEARCH("Not Met",M163)))</formula>
    </cfRule>
    <cfRule type="containsText" dxfId="4109" priority="1377" operator="containsText" text="Met">
      <formula>NOT(ISERROR(SEARCH("Met",M163)))</formula>
    </cfRule>
  </conditionalFormatting>
  <conditionalFormatting sqref="M171:M181">
    <cfRule type="containsText" dxfId="4108" priority="1370" operator="containsText" text="Not Met">
      <formula>NOT(ISERROR(SEARCH("Not Met",M171)))</formula>
    </cfRule>
    <cfRule type="containsText" dxfId="4107" priority="1371" operator="containsText" text="Met">
      <formula>NOT(ISERROR(SEARCH("Met",M171)))</formula>
    </cfRule>
  </conditionalFormatting>
  <conditionalFormatting sqref="M212:M213">
    <cfRule type="containsText" dxfId="4106" priority="1396" operator="containsText" text="Met">
      <formula>NOT(ISERROR(SEARCH("Met",M212)))</formula>
    </cfRule>
    <cfRule type="containsText" dxfId="4105" priority="1395" operator="containsText" text="Not Met">
      <formula>NOT(ISERROR(SEARCH("Not Met",M212)))</formula>
    </cfRule>
  </conditionalFormatting>
  <conditionalFormatting sqref="M217:M218">
    <cfRule type="containsText" dxfId="4104" priority="1393" operator="containsText" text="Not Met">
      <formula>NOT(ISERROR(SEARCH("Not Met",M217)))</formula>
    </cfRule>
    <cfRule type="containsText" dxfId="4103" priority="1394" operator="containsText" text="Met">
      <formula>NOT(ISERROR(SEARCH("Met",M217)))</formula>
    </cfRule>
  </conditionalFormatting>
  <conditionalFormatting sqref="M230">
    <cfRule type="containsText" dxfId="4102" priority="1397" operator="containsText" text="Not Met">
      <formula>NOT(ISERROR(SEARCH("Not Met",M230)))</formula>
    </cfRule>
    <cfRule type="containsText" dxfId="4101" priority="1398" operator="containsText" text="Met">
      <formula>NOT(ISERROR(SEARCH("Met",M230)))</formula>
    </cfRule>
  </conditionalFormatting>
  <conditionalFormatting sqref="M261:M262">
    <cfRule type="containsText" dxfId="4100" priority="1418" operator="containsText" text="Met">
      <formula>NOT(ISERROR(SEARCH("Met",M261)))</formula>
    </cfRule>
    <cfRule type="containsText" dxfId="4099" priority="1417" operator="containsText" text="Not Met">
      <formula>NOT(ISERROR(SEARCH("Not Met",M261)))</formula>
    </cfRule>
  </conditionalFormatting>
  <conditionalFormatting sqref="M273:M279">
    <cfRule type="containsText" dxfId="4098" priority="1366" operator="containsText" text="Not Met">
      <formula>NOT(ISERROR(SEARCH("Not Met",M273)))</formula>
    </cfRule>
    <cfRule type="containsText" dxfId="4097" priority="1367" operator="containsText" text="Met">
      <formula>NOT(ISERROR(SEARCH("Met",M273)))</formula>
    </cfRule>
  </conditionalFormatting>
  <conditionalFormatting sqref="M303">
    <cfRule type="containsText" dxfId="4096" priority="1358" operator="containsText" text="Not Met">
      <formula>NOT(ISERROR(SEARCH("Not Met",M303)))</formula>
    </cfRule>
    <cfRule type="containsText" dxfId="4095" priority="1359" operator="containsText" text="Met">
      <formula>NOT(ISERROR(SEARCH("Met",M303)))</formula>
    </cfRule>
    <cfRule type="containsText" dxfId="4094" priority="1354" operator="containsText" text="Not Met">
      <formula>NOT(ISERROR(SEARCH("Not Met",M303)))</formula>
    </cfRule>
    <cfRule type="containsText" dxfId="4093" priority="1355" operator="containsText" text="Met">
      <formula>NOT(ISERROR(SEARCH("Met",M303)))</formula>
    </cfRule>
    <cfRule type="containsText" dxfId="4092" priority="1356" operator="containsText" text="Not Met">
      <formula>NOT(ISERROR(SEARCH("Not Met",M303)))</formula>
    </cfRule>
    <cfRule type="containsText" dxfId="4091" priority="1357" operator="containsText" text="Met">
      <formula>NOT(ISERROR(SEARCH("Met",M303)))</formula>
    </cfRule>
  </conditionalFormatting>
  <conditionalFormatting sqref="M458">
    <cfRule type="containsText" dxfId="4090" priority="1352" operator="containsText" text="Not Met">
      <formula>NOT(ISERROR(SEARCH("Not Met",M458)))</formula>
    </cfRule>
    <cfRule type="containsText" dxfId="4089" priority="1353" operator="containsText" text="Met">
      <formula>NOT(ISERROR(SEARCH("Met",M458)))</formula>
    </cfRule>
  </conditionalFormatting>
  <conditionalFormatting sqref="N66:N68">
    <cfRule type="containsText" dxfId="4088" priority="27382" operator="containsText" text="Met">
      <formula>NOT(ISERROR(SEARCH("Met",N66)))</formula>
    </cfRule>
    <cfRule type="containsText" dxfId="4087" priority="27381" operator="containsText" text="Not Met">
      <formula>NOT(ISERROR(SEARCH("Not Met",N66)))</formula>
    </cfRule>
  </conditionalFormatting>
  <conditionalFormatting sqref="N73:N74 L69:L74">
    <cfRule type="containsText" dxfId="4086" priority="14704" operator="containsText" text="Not Met">
      <formula>NOT(ISERROR(SEARCH("Not Met",L69)))</formula>
    </cfRule>
  </conditionalFormatting>
  <conditionalFormatting sqref="N90:N91">
    <cfRule type="containsText" dxfId="4085" priority="14647" operator="containsText" text="Met">
      <formula>NOT(ISERROR(SEARCH("Met",N90)))</formula>
    </cfRule>
  </conditionalFormatting>
  <conditionalFormatting sqref="N90:N92 L91:L92">
    <cfRule type="containsText" dxfId="4084" priority="14645" operator="containsText" text="Not Met">
      <formula>NOT(ISERROR(SEARCH("Not Met",L90)))</formula>
    </cfRule>
  </conditionalFormatting>
  <conditionalFormatting sqref="N92">
    <cfRule type="containsText" dxfId="4083" priority="14644" operator="containsText" text="Met">
      <formula>NOT(ISERROR(SEARCH("Met",N92)))</formula>
    </cfRule>
  </conditionalFormatting>
  <conditionalFormatting sqref="N115">
    <cfRule type="containsText" dxfId="4082" priority="19591" operator="containsText" text="Not Met">
      <formula>NOT(ISERROR(SEARCH("Not Met",N115)))</formula>
    </cfRule>
    <cfRule type="containsText" dxfId="4081" priority="19592" operator="containsText" text="Met">
      <formula>NOT(ISERROR(SEARCH("Met",N115)))</formula>
    </cfRule>
  </conditionalFormatting>
  <conditionalFormatting sqref="N134">
    <cfRule type="containsText" dxfId="4080" priority="14342" operator="containsText" text="Not Met">
      <formula>NOT(ISERROR(SEARCH("Not Met",N134)))</formula>
    </cfRule>
    <cfRule type="containsText" dxfId="4079" priority="14343" operator="containsText" text="Met">
      <formula>NOT(ISERROR(SEARCH("Met",N134)))</formula>
    </cfRule>
  </conditionalFormatting>
  <conditionalFormatting sqref="N156">
    <cfRule type="containsText" dxfId="4078" priority="30735" operator="containsText" text="Not Met">
      <formula>NOT(ISERROR(SEARCH("Not Met",N156)))</formula>
    </cfRule>
    <cfRule type="containsText" dxfId="4077" priority="30736" operator="containsText" text="Met">
      <formula>NOT(ISERROR(SEARCH("Met",N156)))</formula>
    </cfRule>
  </conditionalFormatting>
  <conditionalFormatting sqref="N444:N449 N451:N453 N454:O457">
    <cfRule type="containsText" dxfId="4076" priority="710" operator="containsText" text="Met">
      <formula>NOT(ISERROR(SEARCH("Met",N444)))</formula>
    </cfRule>
  </conditionalFormatting>
  <conditionalFormatting sqref="N444:N449 N451:N453">
    <cfRule type="containsText" dxfId="4075" priority="709" operator="containsText" text="Not Met">
      <formula>NOT(ISERROR(SEARCH("Not Met",N444)))</formula>
    </cfRule>
  </conditionalFormatting>
  <conditionalFormatting sqref="N18:O18 N28:O28 L159:L161">
    <cfRule type="containsText" dxfId="4074" priority="31337" operator="containsText" text="Not Met">
      <formula>NOT(ISERROR(SEARCH("Not Met",L18)))</formula>
    </cfRule>
    <cfRule type="containsText" dxfId="4073" priority="31338" operator="containsText" text="Met">
      <formula>NOT(ISERROR(SEARCH("Met",L18)))</formula>
    </cfRule>
  </conditionalFormatting>
  <conditionalFormatting sqref="N39:O40">
    <cfRule type="containsText" dxfId="4072" priority="16250" operator="containsText" text="Met">
      <formula>NOT(ISERROR(SEARCH("Met",N39)))</formula>
    </cfRule>
    <cfRule type="containsText" dxfId="4071" priority="16249" operator="containsText" text="Not Met">
      <formula>NOT(ISERROR(SEARCH("Not Met",N39)))</formula>
    </cfRule>
  </conditionalFormatting>
  <conditionalFormatting sqref="N70:O70">
    <cfRule type="containsText" dxfId="4070" priority="14740" operator="containsText" text="Not Met">
      <formula>NOT(ISERROR(SEARCH("Not Met",N70)))</formula>
    </cfRule>
    <cfRule type="containsText" dxfId="4069" priority="14741" operator="containsText" text="Met">
      <formula>NOT(ISERROR(SEARCH("Met",N70)))</formula>
    </cfRule>
  </conditionalFormatting>
  <conditionalFormatting sqref="N72:O72">
    <cfRule type="containsText" dxfId="4068" priority="10171" operator="containsText" text="Not Met">
      <formula>NOT(ISERROR(SEARCH("Not Met",N72)))</formula>
    </cfRule>
    <cfRule type="containsText" dxfId="4067" priority="10172" operator="containsText" text="Met">
      <formula>NOT(ISERROR(SEARCH("Met",N72)))</formula>
    </cfRule>
  </conditionalFormatting>
  <conditionalFormatting sqref="N74:O74">
    <cfRule type="containsText" dxfId="4066" priority="14703" operator="containsText" text="Met">
      <formula>NOT(ISERROR(SEARCH("Met",N74)))</formula>
    </cfRule>
    <cfRule type="containsText" dxfId="4065" priority="14702" operator="containsText" text="Not Met">
      <formula>NOT(ISERROR(SEARCH("Not Met",N74)))</formula>
    </cfRule>
  </conditionalFormatting>
  <conditionalFormatting sqref="N93:O93">
    <cfRule type="containsText" dxfId="4064" priority="31351" operator="containsText" text="Not Met">
      <formula>NOT(ISERROR(SEARCH("Not Met",N93)))</formula>
    </cfRule>
    <cfRule type="containsText" dxfId="4063" priority="31352" operator="containsText" text="Met">
      <formula>NOT(ISERROR(SEARCH("Met",N93)))</formula>
    </cfRule>
  </conditionalFormatting>
  <conditionalFormatting sqref="N97:O104 L99:L105">
    <cfRule type="containsText" dxfId="4062" priority="14246" operator="containsText" text="Not Met">
      <formula>NOT(ISERROR(SEARCH("Not Met",L97)))</formula>
    </cfRule>
    <cfRule type="containsText" dxfId="4061" priority="14247" operator="containsText" text="Met">
      <formula>NOT(ISERROR(SEARCH("Met",L97)))</formula>
    </cfRule>
  </conditionalFormatting>
  <conditionalFormatting sqref="N116:O127">
    <cfRule type="containsText" dxfId="4060" priority="14282" operator="containsText" text="Not Met">
      <formula>NOT(ISERROR(SEARCH("Not Met",N116)))</formula>
    </cfRule>
    <cfRule type="containsText" dxfId="4059" priority="14283" operator="containsText" text="Met">
      <formula>NOT(ISERROR(SEARCH("Met",N116)))</formula>
    </cfRule>
  </conditionalFormatting>
  <conditionalFormatting sqref="N129:O133">
    <cfRule type="containsText" dxfId="4058" priority="14344" operator="containsText" text="Not Met">
      <formula>NOT(ISERROR(SEARCH("Not Met",N129)))</formula>
    </cfRule>
    <cfRule type="containsText" dxfId="4057" priority="14345" operator="containsText" text="Met">
      <formula>NOT(ISERROR(SEARCH("Met",N129)))</formula>
    </cfRule>
  </conditionalFormatting>
  <conditionalFormatting sqref="N136:O141">
    <cfRule type="containsText" dxfId="4056" priority="14401" operator="containsText" text="Met">
      <formula>NOT(ISERROR(SEARCH("Met",N136)))</formula>
    </cfRule>
    <cfRule type="containsText" dxfId="4055" priority="14400" operator="containsText" text="Not Met">
      <formula>NOT(ISERROR(SEARCH("Not Met",N136)))</formula>
    </cfRule>
  </conditionalFormatting>
  <conditionalFormatting sqref="N152:O154">
    <cfRule type="containsText" dxfId="4054" priority="15662" operator="containsText" text="Met">
      <formula>NOT(ISERROR(SEARCH("Met",N152)))</formula>
    </cfRule>
    <cfRule type="containsText" dxfId="4053" priority="15661" operator="containsText" text="Not Met">
      <formula>NOT(ISERROR(SEARCH("Not Met",N152)))</formula>
    </cfRule>
  </conditionalFormatting>
  <conditionalFormatting sqref="N157:O158">
    <cfRule type="containsText" dxfId="4052" priority="30737" operator="containsText" text="Not Met">
      <formula>NOT(ISERROR(SEARCH("Not Met",N157)))</formula>
    </cfRule>
    <cfRule type="containsText" dxfId="4051" priority="30738" operator="containsText" text="Met">
      <formula>NOT(ISERROR(SEARCH("Met",N157)))</formula>
    </cfRule>
  </conditionalFormatting>
  <conditionalFormatting sqref="N169:O170">
    <cfRule type="containsText" dxfId="4050" priority="16925" operator="containsText" text="Met">
      <formula>NOT(ISERROR(SEARCH("Met",N169)))</formula>
    </cfRule>
    <cfRule type="containsText" dxfId="4049" priority="16924" operator="containsText" text="Not Met">
      <formula>NOT(ISERROR(SEARCH("Not Met",N169)))</formula>
    </cfRule>
  </conditionalFormatting>
  <conditionalFormatting sqref="N171:O174 O114:O115 N288:O290">
    <cfRule type="containsText" dxfId="4048" priority="19589" operator="containsText" text="Not Met">
      <formula>NOT(ISERROR(SEARCH("Not Met",N114)))</formula>
    </cfRule>
  </conditionalFormatting>
  <conditionalFormatting sqref="N176:O181">
    <cfRule type="containsText" dxfId="4047" priority="14303" operator="containsText" text="Met">
      <formula>NOT(ISERROR(SEARCH("Met",N176)))</formula>
    </cfRule>
    <cfRule type="containsText" dxfId="4046" priority="14302" operator="containsText" text="Not Met">
      <formula>NOT(ISERROR(SEARCH("Not Met",N176)))</formula>
    </cfRule>
  </conditionalFormatting>
  <conditionalFormatting sqref="N212:O224">
    <cfRule type="containsText" dxfId="4045" priority="14603" operator="containsText" text="Not Met">
      <formula>NOT(ISERROR(SEARCH("Not Met",N212)))</formula>
    </cfRule>
    <cfRule type="containsText" dxfId="4044" priority="14604" operator="containsText" text="Met">
      <formula>NOT(ISERROR(SEARCH("Met",N212)))</formula>
    </cfRule>
  </conditionalFormatting>
  <conditionalFormatting sqref="N232:O232">
    <cfRule type="containsText" dxfId="4043" priority="15627" operator="containsText" text="Not Met">
      <formula>NOT(ISERROR(SEARCH("Not Met",N232)))</formula>
    </cfRule>
    <cfRule type="containsText" dxfId="4042" priority="15628" operator="containsText" text="Met">
      <formula>NOT(ISERROR(SEARCH("Met",N232)))</formula>
    </cfRule>
  </conditionalFormatting>
  <conditionalFormatting sqref="N233:O246">
    <cfRule type="containsText" dxfId="4041" priority="15632" operator="containsText" text="Met">
      <formula>NOT(ISERROR(SEARCH("Met",N233)))</formula>
    </cfRule>
    <cfRule type="containsText" dxfId="4040" priority="15631" operator="containsText" text="Not Met">
      <formula>NOT(ISERROR(SEARCH("Not Met",N233)))</formula>
    </cfRule>
  </conditionalFormatting>
  <conditionalFormatting sqref="N249:O249">
    <cfRule type="containsText" dxfId="4039" priority="30101" operator="containsText" text="Not Met">
      <formula>NOT(ISERROR(SEARCH("Not Met",N249)))</formula>
    </cfRule>
    <cfRule type="containsText" dxfId="4038" priority="30102" operator="containsText" text="Met">
      <formula>NOT(ISERROR(SEARCH("Met",N249)))</formula>
    </cfRule>
  </conditionalFormatting>
  <conditionalFormatting sqref="N257:O263 N266:O269">
    <cfRule type="containsText" dxfId="4037" priority="19608" operator="containsText" text="Met">
      <formula>NOT(ISERROR(SEARCH("Met",N257)))</formula>
    </cfRule>
    <cfRule type="containsText" dxfId="4036" priority="19607" operator="containsText" text="Not Met">
      <formula>NOT(ISERROR(SEARCH("Not Met",N257)))</formula>
    </cfRule>
  </conditionalFormatting>
  <conditionalFormatting sqref="N270:O272">
    <cfRule type="containsText" dxfId="4035" priority="16529" operator="containsText" text="Met">
      <formula>NOT(ISERROR(SEARCH("Met",N270)))</formula>
    </cfRule>
    <cfRule type="containsText" dxfId="4034" priority="16528" operator="containsText" text="Not Met">
      <formula>NOT(ISERROR(SEARCH("Not Met",N270)))</formula>
    </cfRule>
  </conditionalFormatting>
  <conditionalFormatting sqref="N273:O281">
    <cfRule type="containsText" dxfId="4033" priority="14273" operator="containsText" text="Met">
      <formula>NOT(ISERROR(SEARCH("Met",N273)))</formula>
    </cfRule>
    <cfRule type="containsText" dxfId="4032" priority="14272" operator="containsText" text="Not Met">
      <formula>NOT(ISERROR(SEARCH("Not Met",N273)))</formula>
    </cfRule>
  </conditionalFormatting>
  <conditionalFormatting sqref="N294:O296">
    <cfRule type="containsText" dxfId="4031" priority="14233" operator="containsText" text="Met">
      <formula>NOT(ISERROR(SEARCH("Met",N294)))</formula>
    </cfRule>
    <cfRule type="containsText" dxfId="4030" priority="14232" operator="containsText" text="Not Met">
      <formula>NOT(ISERROR(SEARCH("Not Met",N294)))</formula>
    </cfRule>
  </conditionalFormatting>
  <conditionalFormatting sqref="N298:O298">
    <cfRule type="containsText" dxfId="4029" priority="14235" operator="containsText" text="Met">
      <formula>NOT(ISERROR(SEARCH("Met",N298)))</formula>
    </cfRule>
    <cfRule type="containsText" dxfId="4028" priority="14234" operator="containsText" text="Not Met">
      <formula>NOT(ISERROR(SEARCH("Not Met",N298)))</formula>
    </cfRule>
  </conditionalFormatting>
  <conditionalFormatting sqref="N311:O311">
    <cfRule type="containsText" dxfId="4027" priority="14227" operator="containsText" text="Met">
      <formula>NOT(ISERROR(SEARCH("Met",N311)))</formula>
    </cfRule>
    <cfRule type="containsText" dxfId="4026" priority="14226" operator="containsText" text="Not Met">
      <formula>NOT(ISERROR(SEARCH("Not Met",N311)))</formula>
    </cfRule>
  </conditionalFormatting>
  <conditionalFormatting sqref="N316:O316">
    <cfRule type="containsText" dxfId="4025" priority="10190" operator="containsText" text="Met">
      <formula>NOT(ISERROR(SEARCH("Met",N316)))</formula>
    </cfRule>
    <cfRule type="containsText" dxfId="4024" priority="10189" operator="containsText" text="Not Met">
      <formula>NOT(ISERROR(SEARCH("Not Met",N316)))</formula>
    </cfRule>
  </conditionalFormatting>
  <conditionalFormatting sqref="N324:O324">
    <cfRule type="containsText" dxfId="4023" priority="10188" operator="containsText" text="Met">
      <formula>NOT(ISERROR(SEARCH("Met",N324)))</formula>
    </cfRule>
    <cfRule type="containsText" dxfId="4022" priority="10187" operator="containsText" text="Not Met">
      <formula>NOT(ISERROR(SEARCH("Not Met",N324)))</formula>
    </cfRule>
  </conditionalFormatting>
  <conditionalFormatting sqref="N331:O331">
    <cfRule type="containsText" dxfId="4021" priority="10186" operator="containsText" text="Met">
      <formula>NOT(ISERROR(SEARCH("Met",N331)))</formula>
    </cfRule>
    <cfRule type="containsText" dxfId="4020" priority="10185" operator="containsText" text="Not Met">
      <formula>NOT(ISERROR(SEARCH("Not Met",N331)))</formula>
    </cfRule>
  </conditionalFormatting>
  <conditionalFormatting sqref="N339:O339">
    <cfRule type="containsText" dxfId="4019" priority="10183" operator="containsText" text="Not Met">
      <formula>NOT(ISERROR(SEARCH("Not Met",N339)))</formula>
    </cfRule>
    <cfRule type="containsText" dxfId="4018" priority="10184" operator="containsText" text="Met">
      <formula>NOT(ISERROR(SEARCH("Met",N339)))</formula>
    </cfRule>
  </conditionalFormatting>
  <conditionalFormatting sqref="N347:O347">
    <cfRule type="containsText" dxfId="4017" priority="10181" operator="containsText" text="Not Met">
      <formula>NOT(ISERROR(SEARCH("Not Met",N347)))</formula>
    </cfRule>
    <cfRule type="containsText" dxfId="4016" priority="10182" operator="containsText" text="Met">
      <formula>NOT(ISERROR(SEARCH("Met",N347)))</formula>
    </cfRule>
  </conditionalFormatting>
  <conditionalFormatting sqref="N355:O356">
    <cfRule type="containsText" dxfId="4015" priority="10173" operator="containsText" text="Not Met">
      <formula>NOT(ISERROR(SEARCH("Not Met",N355)))</formula>
    </cfRule>
    <cfRule type="containsText" dxfId="4014" priority="10174" operator="containsText" text="Met">
      <formula>NOT(ISERROR(SEARCH("Met",N355)))</formula>
    </cfRule>
  </conditionalFormatting>
  <conditionalFormatting sqref="N450:O450">
    <cfRule type="containsText" dxfId="4013" priority="707" operator="containsText" text="Met">
      <formula>NOT(ISERROR(SEARCH("Met",N450)))</formula>
    </cfRule>
    <cfRule type="containsText" dxfId="4012" priority="706" operator="containsText" text="Not Met">
      <formula>NOT(ISERROR(SEARCH("Not Met",N450)))</formula>
    </cfRule>
  </conditionalFormatting>
  <conditionalFormatting sqref="N454:O457">
    <cfRule type="containsText" dxfId="4011" priority="708" operator="containsText" text="Not Met">
      <formula>NOT(ISERROR(SEARCH("Not Met",N454)))</formula>
    </cfRule>
    <cfRule type="containsText" dxfId="4010" priority="703" operator="containsText" text="Met">
      <formula>NOT(ISERROR(SEARCH("Met",N454)))</formula>
    </cfRule>
    <cfRule type="containsText" dxfId="4009" priority="702" operator="containsText" text="Not Met">
      <formula>NOT(ISERROR(SEARCH("Not Met",N454)))</formula>
    </cfRule>
  </conditionalFormatting>
  <conditionalFormatting sqref="N35:P38">
    <cfRule type="containsText" dxfId="4008" priority="14766" operator="containsText" text="Not Met">
      <formula>NOT(ISERROR(SEARCH("Not Met",N35)))</formula>
    </cfRule>
    <cfRule type="containsText" dxfId="4007" priority="14767" operator="containsText" text="Met">
      <formula>NOT(ISERROR(SEARCH("Met",N35)))</formula>
    </cfRule>
  </conditionalFormatting>
  <conditionalFormatting sqref="N39:P60 P13:P25 F20:G33 P27:P32 L49:L61 Q52 S52 N61:O65 K62:L68 L79:L81 P129:P134 P152:P158 N159:P163 H163:H165 N164:O168 P164:P170 O171:P172 K220:K221 P232:P235 P237:P239 P252:P256 P270:P272">
    <cfRule type="containsText" dxfId="4006" priority="16271" operator="containsText" text="Not Met">
      <formula>NOT(ISERROR(SEARCH("Not Met",F13)))</formula>
    </cfRule>
  </conditionalFormatting>
  <conditionalFormatting sqref="N79:P86 L86:L87">
    <cfRule type="containsText" dxfId="4005" priority="14669" operator="containsText" text="Not Met">
      <formula>NOT(ISERROR(SEARCH("Not Met",L79)))</formula>
    </cfRule>
    <cfRule type="containsText" dxfId="4004" priority="14670" operator="containsText" text="Met">
      <formula>NOT(ISERROR(SEARCH("Met",L79)))</formula>
    </cfRule>
  </conditionalFormatting>
  <conditionalFormatting sqref="N105:P112">
    <cfRule type="containsText" dxfId="4003" priority="15223" operator="containsText" text="Met">
      <formula>NOT(ISERROR(SEARCH("Met",N105)))</formula>
    </cfRule>
    <cfRule type="containsText" dxfId="4002" priority="15222" operator="containsText" text="Not Met">
      <formula>NOT(ISERROR(SEARCH("Not Met",N105)))</formula>
    </cfRule>
  </conditionalFormatting>
  <conditionalFormatting sqref="N175:P175">
    <cfRule type="containsText" dxfId="4001" priority="23724" operator="containsText" text="Met">
      <formula>NOT(ISERROR(SEARCH("Met",N175)))</formula>
    </cfRule>
    <cfRule type="containsText" dxfId="4000" priority="23723" operator="containsText" text="Not Met">
      <formula>NOT(ISERROR(SEARCH("Not Met",N175)))</formula>
    </cfRule>
  </conditionalFormatting>
  <conditionalFormatting sqref="N200:P211">
    <cfRule type="containsText" dxfId="3999" priority="15492" operator="containsText" text="Met">
      <formula>NOT(ISERROR(SEARCH("Met",N200)))</formula>
    </cfRule>
    <cfRule type="containsText" dxfId="3998" priority="15491" operator="containsText" text="Not Met">
      <formula>NOT(ISERROR(SEARCH("Not Met",N200)))</formula>
    </cfRule>
  </conditionalFormatting>
  <conditionalFormatting sqref="N34:R34 B74:B96 N78:Q78 P113:Q113 N142:S146 Q243:S256">
    <cfRule type="containsText" dxfId="3997" priority="15843" operator="containsText" text="Met">
      <formula>NOT(ISERROR(SEARCH("Met",B34)))</formula>
    </cfRule>
  </conditionalFormatting>
  <conditionalFormatting sqref="N142:S146 N34:R34 B74:B89 N78:Q78 P113:Q113 Q243:S256">
    <cfRule type="containsText" dxfId="3996" priority="15842" operator="containsText" text="Not Met">
      <formula>NOT(ISERROR(SEARCH("Not Met",B34)))</formula>
    </cfRule>
  </conditionalFormatting>
  <conditionalFormatting sqref="O74">
    <cfRule type="containsText" dxfId="3995" priority="14700" operator="containsText" text="Not Met">
      <formula>NOT(ISERROR(SEARCH("Not Met",O74)))</formula>
    </cfRule>
    <cfRule type="containsText" dxfId="3994" priority="14701" operator="containsText" text="Met">
      <formula>NOT(ISERROR(SEARCH("Met",O74)))</formula>
    </cfRule>
  </conditionalFormatting>
  <conditionalFormatting sqref="O90:O91">
    <cfRule type="containsText" dxfId="3993" priority="14638" operator="containsText" text="Not Met">
      <formula>NOT(ISERROR(SEARCH("Not Met",O90)))</formula>
    </cfRule>
  </conditionalFormatting>
  <conditionalFormatting sqref="O90:O92">
    <cfRule type="containsText" dxfId="3992" priority="14639" operator="containsText" text="Met">
      <formula>NOT(ISERROR(SEARCH("Met",O90)))</formula>
    </cfRule>
  </conditionalFormatting>
  <conditionalFormatting sqref="O92">
    <cfRule type="containsText" dxfId="3991" priority="14643" operator="containsText" text="Not Met">
      <formula>NOT(ISERROR(SEARCH("Not Met",O92)))</formula>
    </cfRule>
  </conditionalFormatting>
  <conditionalFormatting sqref="O114:O115 N171:O174 N288:O290">
    <cfRule type="containsText" dxfId="3990" priority="19590" operator="containsText" text="Met">
      <formula>NOT(ISERROR(SEARCH("Met",N114)))</formula>
    </cfRule>
  </conditionalFormatting>
  <conditionalFormatting sqref="O134:O135">
    <cfRule type="containsText" dxfId="3989" priority="14341" operator="containsText" text="Met">
      <formula>NOT(ISERROR(SEARCH("Met",O134)))</formula>
    </cfRule>
    <cfRule type="containsText" dxfId="3988" priority="14340" operator="containsText" text="Not Met">
      <formula>NOT(ISERROR(SEARCH("Not Met",O134)))</formula>
    </cfRule>
  </conditionalFormatting>
  <conditionalFormatting sqref="O174:P174">
    <cfRule type="containsText" dxfId="3987" priority="30665" operator="containsText" text="Not Met">
      <formula>NOT(ISERROR(SEARCH("Not Met",O174)))</formula>
    </cfRule>
    <cfRule type="containsText" dxfId="3986" priority="30666" operator="containsText" text="Met">
      <formula>NOT(ISERROR(SEARCH("Met",O174)))</formula>
    </cfRule>
  </conditionalFormatting>
  <conditionalFormatting sqref="P13:P25 F20:G33 P27:P32 N39:P60 L49:L61 Q52 S52 N61:O65 K62:L68 L79:L81 P129:P134 P152:P158 N159:P163 H163:H165 N164:O168 P164:P170 O171:P172 K220:K221 P232:P235 P237:P239 P252:P256 P270:P272 G78:H89">
    <cfRule type="containsText" dxfId="3985" priority="16272" operator="containsText" text="Met">
      <formula>NOT(ISERROR(SEARCH("Met",F13)))</formula>
    </cfRule>
  </conditionalFormatting>
  <conditionalFormatting sqref="P114:P127">
    <cfRule type="containsText" dxfId="3984" priority="31288" operator="containsText" text="Met">
      <formula>NOT(ISERROR(SEARCH("Met",P114)))</formula>
    </cfRule>
    <cfRule type="containsText" dxfId="3983" priority="31287" operator="containsText" text="Not Met">
      <formula>NOT(ISERROR(SEARCH("Not Met",P114)))</formula>
    </cfRule>
  </conditionalFormatting>
  <conditionalFormatting sqref="P147:P148 N149:P151 L150:L152">
    <cfRule type="containsText" dxfId="3982" priority="30754" operator="containsText" text="Met">
      <formula>NOT(ISERROR(SEARCH("Met",L147)))</formula>
    </cfRule>
    <cfRule type="containsText" dxfId="3981" priority="30753" operator="containsText" text="Not Met">
      <formula>NOT(ISERROR(SEARCH("Not Met",L147)))</formula>
    </cfRule>
  </conditionalFormatting>
  <conditionalFormatting sqref="P444:P457">
    <cfRule type="containsText" dxfId="3980" priority="704" operator="containsText" text="Not Met">
      <formula>NOT(ISERROR(SEARCH("Not Met",P444)))</formula>
    </cfRule>
    <cfRule type="containsText" dxfId="3979" priority="705" operator="containsText" text="Met">
      <formula>NOT(ISERROR(SEARCH("Met",P444)))</formula>
    </cfRule>
  </conditionalFormatting>
  <conditionalFormatting sqref="P173:Q173">
    <cfRule type="containsText" dxfId="3978" priority="14314" operator="containsText" text="Not Met">
      <formula>NOT(ISERROR(SEARCH("Not Met",P173)))</formula>
    </cfRule>
    <cfRule type="containsText" dxfId="3977" priority="14315" operator="containsText" text="Met">
      <formula>NOT(ISERROR(SEARCH("Met",P173)))</formula>
    </cfRule>
  </conditionalFormatting>
  <conditionalFormatting sqref="P26:R26 P33:S33 K93 P135:R141 K260 F3:F19 K7:L11 L12 R24:R25 R28:R31 T38:T72 Q49:T50 Q51:S51 Q52:Q53 S52:S53 R52:R58 Q59:R59 R61:R66 P61:P71 R68:R71 R73:R78 R80:R89 K84:L85 N87:O87 Q90:S96 R97 R99 R102 R104 K106:L106 R113:R118 R121:R128 R132 R163:R165 R168 R179:R180 R182 R186:R193 R222 R224:R225 R228 N229:P231 Q243:S256 U243:U256 R280:R283 R290:R291 R294 G3:H12 G34:H68 A2:H2 A3:B4 C3:C443 E3:E443 B5:B12 A5:A493 AD27:AD50 AL27:AL50 AP34:AP43 AJ34:AJ50 AN34:AN50 B34:B71 V34:V74 X34:X89 AF36:AF50 Z36:AA53 AP45:AP47 B105:B128 AS167:AS181 AQ167:AQ189 V168:V193 R171:R175 Z171:Z206 AO212:AO229 T242:T302 AT257:AW257 V266:V302 P280:P302 X282:X294 R286:R288 AO288:AO302 AS288:AS302 D288:D443 F288:F443 T304:T325 P304:P419 V304:V419 B458:B471 F458:F485 D458:D493 C458:C507 E458:E507 L91:L92">
    <cfRule type="containsText" dxfId="3976" priority="31422" operator="containsText" text="Met">
      <formula>NOT(ISERROR(SEARCH("Met",A2)))</formula>
    </cfRule>
  </conditionalFormatting>
  <conditionalFormatting sqref="P135:R141 P33:S33 P26:R26 K93 K260">
    <cfRule type="containsText" dxfId="3975" priority="31421" operator="containsText" text="Not Met">
      <formula>NOT(ISERROR(SEARCH("Not Met",K26)))</formula>
    </cfRule>
  </conditionalFormatting>
  <conditionalFormatting sqref="Q7:Q20">
    <cfRule type="containsText" dxfId="3974" priority="14024" operator="containsText" text="Met">
      <formula>NOT(ISERROR(SEARCH("Met",Q7)))</formula>
    </cfRule>
    <cfRule type="containsText" dxfId="3973" priority="14023" operator="containsText" text="Not Met">
      <formula>NOT(ISERROR(SEARCH("Not Met",Q7)))</formula>
    </cfRule>
  </conditionalFormatting>
  <conditionalFormatting sqref="Q23">
    <cfRule type="containsText" dxfId="3972" priority="14015" operator="containsText" text="Not Met">
      <formula>NOT(ISERROR(SEARCH("Not Met",Q23)))</formula>
    </cfRule>
    <cfRule type="containsText" dxfId="3971" priority="14016" operator="containsText" text="Met">
      <formula>NOT(ISERROR(SEARCH("Met",Q23)))</formula>
    </cfRule>
  </conditionalFormatting>
  <conditionalFormatting sqref="Q25 Q28:Q30 Q59:R60 R61:R66 Q142:S146 Q222:R227 Q288:S288 Q289:R289">
    <cfRule type="containsText" dxfId="3970" priority="13997" operator="containsText" text="Not Met">
      <formula>NOT(ISERROR(SEARCH("Not Met",Q25)))</formula>
    </cfRule>
  </conditionalFormatting>
  <conditionalFormatting sqref="Q25 Q28:Q30 Q59:R60 R61:R66 Q142:S146 Q288:S288 Q289:R289">
    <cfRule type="containsText" dxfId="3969" priority="13998" operator="containsText" text="Met">
      <formula>NOT(ISERROR(SEARCH("Met",Q25)))</formula>
    </cfRule>
  </conditionalFormatting>
  <conditionalFormatting sqref="Q30:Q31">
    <cfRule type="containsText" dxfId="3968" priority="14820" operator="containsText" text="Not Met">
      <formula>NOT(ISERROR(SEARCH("Not Met",Q30)))</formula>
    </cfRule>
    <cfRule type="containsText" dxfId="3967" priority="14819" operator="containsText" text="Met">
      <formula>NOT(ISERROR(SEARCH("Met",Q30)))</formula>
    </cfRule>
    <cfRule type="containsText" dxfId="3966" priority="14818" operator="containsText" text="Not Met">
      <formula>NOT(ISERROR(SEARCH("Not Met",Q30)))</formula>
    </cfRule>
    <cfRule type="containsText" dxfId="3965" priority="14821" operator="containsText" text="Met">
      <formula>NOT(ISERROR(SEARCH("Met",Q30)))</formula>
    </cfRule>
  </conditionalFormatting>
  <conditionalFormatting sqref="Q31:Q32">
    <cfRule type="containsText" dxfId="3964" priority="14815" operator="containsText" text="Met">
      <formula>NOT(ISERROR(SEARCH("Met",Q31)))</formula>
    </cfRule>
    <cfRule type="containsText" dxfId="3963" priority="14814" operator="containsText" text="Not Met">
      <formula>NOT(ISERROR(SEARCH("Not Met",Q31)))</formula>
    </cfRule>
  </conditionalFormatting>
  <conditionalFormatting sqref="Q32">
    <cfRule type="containsText" dxfId="3962" priority="14811" operator="containsText" text="Met">
      <formula>NOT(ISERROR(SEARCH("Met",Q32)))</formula>
    </cfRule>
    <cfRule type="containsText" dxfId="3961" priority="14812" operator="containsText" text="Not Met">
      <formula>NOT(ISERROR(SEARCH("Not Met",Q32)))</formula>
    </cfRule>
    <cfRule type="containsText" dxfId="3960" priority="14813" operator="containsText" text="Met">
      <formula>NOT(ISERROR(SEARCH("Met",Q32)))</formula>
    </cfRule>
  </conditionalFormatting>
  <conditionalFormatting sqref="Q39:Q48">
    <cfRule type="containsText" dxfId="3959" priority="14792" operator="containsText" text="Not Met">
      <formula>NOT(ISERROR(SEARCH("Not Met",Q39)))</formula>
    </cfRule>
    <cfRule type="containsText" dxfId="3958" priority="14793" operator="containsText" text="Met">
      <formula>NOT(ISERROR(SEARCH("Met",Q39)))</formula>
    </cfRule>
  </conditionalFormatting>
  <conditionalFormatting sqref="Q39:Q49 S39:S49 AB36:AC50 AH34:AH50 AG34:AG53 AM34:AM53 AO34:AO53 I34:J76 Y41:Y53">
    <cfRule type="containsText" dxfId="3957" priority="16112" operator="containsText" text="Not Met">
      <formula>NOT(ISERROR(SEARCH("Not Met",I34)))</formula>
    </cfRule>
  </conditionalFormatting>
  <conditionalFormatting sqref="Q54:Q58">
    <cfRule type="containsText" dxfId="3956" priority="14765" operator="containsText" text="Met">
      <formula>NOT(ISERROR(SEARCH("Met",Q54)))</formula>
    </cfRule>
    <cfRule type="containsText" dxfId="3955" priority="14764" operator="containsText" text="Not Met">
      <formula>NOT(ISERROR(SEARCH("Not Met",Q54)))</formula>
    </cfRule>
    <cfRule type="containsText" dxfId="3954" priority="14761" operator="containsText" text="Met">
      <formula>NOT(ISERROR(SEARCH("Met",Q54)))</formula>
    </cfRule>
    <cfRule type="containsText" dxfId="3953" priority="14760" operator="containsText" text="Not Met">
      <formula>NOT(ISERROR(SEARCH("Not Met",Q54)))</formula>
    </cfRule>
  </conditionalFormatting>
  <conditionalFormatting sqref="Q60:Q66">
    <cfRule type="containsText" dxfId="3952" priority="14731" operator="containsText" text="Met">
      <formula>NOT(ISERROR(SEARCH("Met",Q60)))</formula>
    </cfRule>
  </conditionalFormatting>
  <conditionalFormatting sqref="Q68:Q71 Q60:Q66 Q67:R67">
    <cfRule type="containsText" dxfId="3951" priority="14696" operator="containsText" text="Not Met">
      <formula>NOT(ISERROR(SEARCH("Not Met",Q60)))</formula>
    </cfRule>
  </conditionalFormatting>
  <conditionalFormatting sqref="Q71 Q72:R72 Q73:Q74">
    <cfRule type="containsText" dxfId="3950" priority="14687" operator="containsText" text="Not Met">
      <formula>NOT(ISERROR(SEARCH("Not Met",Q71)))</formula>
    </cfRule>
  </conditionalFormatting>
  <conditionalFormatting sqref="Q71 Q72:R72">
    <cfRule type="containsText" dxfId="3949" priority="14691" operator="containsText" text="Met">
      <formula>NOT(ISERROR(SEARCH("Met",Q71)))</formula>
    </cfRule>
  </conditionalFormatting>
  <conditionalFormatting sqref="Q73:Q74">
    <cfRule type="containsText" dxfId="3948" priority="14689" operator="containsText" text="Met">
      <formula>NOT(ISERROR(SEARCH("Met",Q73)))</formula>
    </cfRule>
  </conditionalFormatting>
  <conditionalFormatting sqref="Q98">
    <cfRule type="containsText" dxfId="3947" priority="14259" operator="containsText" text="Met">
      <formula>NOT(ISERROR(SEARCH("Met",Q98)))</formula>
    </cfRule>
    <cfRule type="containsText" dxfId="3946" priority="14258" operator="containsText" text="Not Met">
      <formula>NOT(ISERROR(SEARCH("Not Met",Q98)))</formula>
    </cfRule>
    <cfRule type="containsText" dxfId="3945" priority="14256" operator="containsText" text="Not Met">
      <formula>NOT(ISERROR(SEARCH("Not Met",Q98)))</formula>
    </cfRule>
    <cfRule type="containsText" dxfId="3944" priority="14255" operator="containsText" text="Met">
      <formula>NOT(ISERROR(SEARCH("Met",Q98)))</formula>
    </cfRule>
    <cfRule type="containsText" dxfId="3943" priority="14257" operator="containsText" text="Met">
      <formula>NOT(ISERROR(SEARCH("Met",Q98)))</formula>
    </cfRule>
    <cfRule type="containsText" dxfId="3942" priority="14254" operator="containsText" text="Not Met">
      <formula>NOT(ISERROR(SEARCH("Not Met",Q98)))</formula>
    </cfRule>
  </conditionalFormatting>
  <conditionalFormatting sqref="Q118 Q119:R120 Q121:Q124">
    <cfRule type="containsText" dxfId="3941" priority="14280" operator="containsText" text="Not Met">
      <formula>NOT(ISERROR(SEARCH("Not Met",Q118)))</formula>
    </cfRule>
  </conditionalFormatting>
  <conditionalFormatting sqref="Q118 Q119:R120 Q121:Q126">
    <cfRule type="containsText" dxfId="3940" priority="14281" operator="containsText" text="Met">
      <formula>NOT(ISERROR(SEARCH("Met",Q118)))</formula>
    </cfRule>
  </conditionalFormatting>
  <conditionalFormatting sqref="Q125:Q126">
    <cfRule type="containsText" dxfId="3939" priority="14391" operator="containsText" text="Not Met">
      <formula>NOT(ISERROR(SEARCH("Not Met",Q125)))</formula>
    </cfRule>
  </conditionalFormatting>
  <conditionalFormatting sqref="Q135:Q136">
    <cfRule type="containsText" dxfId="3938" priority="14396" operator="containsText" text="Not Met">
      <formula>NOT(ISERROR(SEARCH("Not Met",Q135)))</formula>
    </cfRule>
    <cfRule type="containsText" dxfId="3937" priority="14397" operator="containsText" text="Met">
      <formula>NOT(ISERROR(SEARCH("Met",Q135)))</formula>
    </cfRule>
    <cfRule type="containsText" dxfId="3936" priority="14398" operator="containsText" text="Not Met">
      <formula>NOT(ISERROR(SEARCH("Not Met",Q135)))</formula>
    </cfRule>
    <cfRule type="containsText" dxfId="3935" priority="14399" operator="containsText" text="Met">
      <formula>NOT(ISERROR(SEARCH("Met",Q135)))</formula>
    </cfRule>
  </conditionalFormatting>
  <conditionalFormatting sqref="Q148:Q152">
    <cfRule type="containsText" dxfId="3934" priority="14864" operator="containsText" text="Not Met">
      <formula>NOT(ISERROR(SEARCH("Not Met",Q148)))</formula>
    </cfRule>
    <cfRule type="containsText" dxfId="3933" priority="14865" operator="containsText" text="Met">
      <formula>NOT(ISERROR(SEARCH("Met",Q148)))</formula>
    </cfRule>
  </conditionalFormatting>
  <conditionalFormatting sqref="Q155:Q162">
    <cfRule type="containsText" dxfId="3932" priority="14513" operator="containsText" text="Not Met">
      <formula>NOT(ISERROR(SEARCH("Not Met",Q155)))</formula>
    </cfRule>
    <cfRule type="containsText" dxfId="3931" priority="14514" operator="containsText" text="Met">
      <formula>NOT(ISERROR(SEARCH("Met",Q155)))</formula>
    </cfRule>
  </conditionalFormatting>
  <conditionalFormatting sqref="Q155:Q164">
    <cfRule type="containsText" dxfId="3930" priority="14515" operator="containsText" text="Not Met">
      <formula>NOT(ISERROR(SEARCH("Not Met",Q155)))</formula>
    </cfRule>
    <cfRule type="containsText" dxfId="3929" priority="14516" operator="containsText" text="Met">
      <formula>NOT(ISERROR(SEARCH("Met",Q155)))</formula>
    </cfRule>
  </conditionalFormatting>
  <conditionalFormatting sqref="Q162">
    <cfRule type="containsText" dxfId="3928" priority="13884" operator="containsText" text="Met">
      <formula>NOT(ISERROR(SEARCH("Met",Q162)))</formula>
    </cfRule>
    <cfRule type="containsText" dxfId="3927" priority="13883" operator="containsText" text="Not Met">
      <formula>NOT(ISERROR(SEARCH("Not Met",Q162)))</formula>
    </cfRule>
    <cfRule type="containsText" dxfId="3926" priority="13885" operator="containsText" text="Not Met">
      <formula>NOT(ISERROR(SEARCH("Not Met",Q162)))</formula>
    </cfRule>
    <cfRule type="containsText" dxfId="3925" priority="13886" operator="containsText" text="Met">
      <formula>NOT(ISERROR(SEARCH("Met",Q162)))</formula>
    </cfRule>
  </conditionalFormatting>
  <conditionalFormatting sqref="Q163:Q170">
    <cfRule type="containsText" dxfId="3924" priority="14545" operator="containsText" text="Not Met">
      <formula>NOT(ISERROR(SEARCH("Not Met",Q163)))</formula>
    </cfRule>
    <cfRule type="containsText" dxfId="3923" priority="14546" operator="containsText" text="Met">
      <formula>NOT(ISERROR(SEARCH("Met",Q163)))</formula>
    </cfRule>
  </conditionalFormatting>
  <conditionalFormatting sqref="Q166:Q170">
    <cfRule type="containsText" dxfId="3922" priority="14541" operator="containsText" text="Not Met">
      <formula>NOT(ISERROR(SEARCH("Not Met",Q166)))</formula>
    </cfRule>
    <cfRule type="containsText" dxfId="3921" priority="14542" operator="containsText" text="Met">
      <formula>NOT(ISERROR(SEARCH("Met",Q166)))</formula>
    </cfRule>
  </conditionalFormatting>
  <conditionalFormatting sqref="Q167">
    <cfRule type="containsText" dxfId="3920" priority="14539" operator="containsText" text="Not Met">
      <formula>NOT(ISERROR(SEARCH("Not Met",Q167)))</formula>
    </cfRule>
    <cfRule type="containsText" dxfId="3919" priority="14540" operator="containsText" text="Met">
      <formula>NOT(ISERROR(SEARCH("Met",Q167)))</formula>
    </cfRule>
  </conditionalFormatting>
  <conditionalFormatting sqref="Q194:Q201">
    <cfRule type="containsText" dxfId="3918" priority="14415" operator="containsText" text="Met">
      <formula>NOT(ISERROR(SEARCH("Met",Q194)))</formula>
    </cfRule>
    <cfRule type="containsText" dxfId="3917" priority="14414" operator="containsText" text="Not Met">
      <formula>NOT(ISERROR(SEARCH("Not Met",Q194)))</formula>
    </cfRule>
  </conditionalFormatting>
  <conditionalFormatting sqref="Q202:Q211">
    <cfRule type="containsText" dxfId="3916" priority="14420" operator="containsText" text="Not Met">
      <formula>NOT(ISERROR(SEARCH("Not Met",Q202)))</formula>
    </cfRule>
    <cfRule type="containsText" dxfId="3915" priority="14421" operator="containsText" text="Met">
      <formula>NOT(ISERROR(SEARCH("Met",Q202)))</formula>
    </cfRule>
  </conditionalFormatting>
  <conditionalFormatting sqref="Q222">
    <cfRule type="containsText" dxfId="3914" priority="14582" operator="containsText" text="Met">
      <formula>NOT(ISERROR(SEARCH("Met",Q222)))</formula>
    </cfRule>
  </conditionalFormatting>
  <conditionalFormatting sqref="Q222:Q227">
    <cfRule type="containsText" dxfId="3913" priority="14585" operator="containsText" text="Not Met">
      <formula>NOT(ISERROR(SEARCH("Not Met",Q222)))</formula>
    </cfRule>
  </conditionalFormatting>
  <conditionalFormatting sqref="Q223:Q227">
    <cfRule type="containsText" dxfId="3912" priority="14586" operator="containsText" text="Met">
      <formula>NOT(ISERROR(SEARCH("Met",Q223)))</formula>
    </cfRule>
  </conditionalFormatting>
  <conditionalFormatting sqref="Q228">
    <cfRule type="containsText" dxfId="3911" priority="14567" operator="containsText" text="Not Met">
      <formula>NOT(ISERROR(SEARCH("Not Met",Q228)))</formula>
    </cfRule>
    <cfRule type="containsText" dxfId="3910" priority="14566" operator="containsText" text="Met">
      <formula>NOT(ISERROR(SEARCH("Met",Q228)))</formula>
    </cfRule>
  </conditionalFormatting>
  <conditionalFormatting sqref="Q257:Q264 S257:S265 G15:H19 N264:O265">
    <cfRule type="containsText" dxfId="3909" priority="17038" operator="containsText" text="Not Met">
      <formula>NOT(ISERROR(SEARCH("Not Met",G15)))</formula>
    </cfRule>
  </conditionalFormatting>
  <conditionalFormatting sqref="Q273:Q279">
    <cfRule type="containsText" dxfId="3908" priority="13830" operator="containsText" text="Met">
      <formula>NOT(ISERROR(SEARCH("Met",Q273)))</formula>
    </cfRule>
    <cfRule type="containsText" dxfId="3907" priority="13829" operator="containsText" text="Not Met">
      <formula>NOT(ISERROR(SEARCH("Not Met",Q273)))</formula>
    </cfRule>
  </conditionalFormatting>
  <conditionalFormatting sqref="Q283 S283 Q285:Q286 S285:S286">
    <cfRule type="containsText" dxfId="3906" priority="14445" operator="containsText" text="Not Met">
      <formula>NOT(ISERROR(SEARCH("Not Met",Q283)))</formula>
    </cfRule>
    <cfRule type="containsText" dxfId="3905" priority="14446" operator="containsText" text="Met">
      <formula>NOT(ISERROR(SEARCH("Met",Q283)))</formula>
    </cfRule>
    <cfRule type="containsText" dxfId="3904" priority="14444" operator="containsText" text="Met">
      <formula>NOT(ISERROR(SEARCH("Met",Q283)))</formula>
    </cfRule>
  </conditionalFormatting>
  <conditionalFormatting sqref="Q285:Q286 S285:S286 Q283 S283">
    <cfRule type="containsText" dxfId="3903" priority="14443" operator="containsText" text="Not Met">
      <formula>NOT(ISERROR(SEARCH("Not Met",Q283)))</formula>
    </cfRule>
  </conditionalFormatting>
  <conditionalFormatting sqref="Q286 S286">
    <cfRule type="containsText" dxfId="3902" priority="14439" operator="containsText" text="Met">
      <formula>NOT(ISERROR(SEARCH("Met",Q286)))</formula>
    </cfRule>
    <cfRule type="containsText" dxfId="3901" priority="14440" operator="containsText" text="Not Met">
      <formula>NOT(ISERROR(SEARCH("Not Met",Q286)))</formula>
    </cfRule>
    <cfRule type="containsText" dxfId="3900" priority="14441" operator="containsText" text="Met">
      <formula>NOT(ISERROR(SEARCH("Met",Q286)))</formula>
    </cfRule>
    <cfRule type="containsText" dxfId="3899" priority="14442" operator="containsText" text="Not Met">
      <formula>NOT(ISERROR(SEARCH("Not Met",Q286)))</formula>
    </cfRule>
  </conditionalFormatting>
  <conditionalFormatting sqref="Q290">
    <cfRule type="containsText" dxfId="3898" priority="14608" operator="containsText" text="Met">
      <formula>NOT(ISERROR(SEARCH("Met",Q290)))</formula>
    </cfRule>
    <cfRule type="containsText" dxfId="3897" priority="14607" operator="containsText" text="Not Met">
      <formula>NOT(ISERROR(SEARCH("Not Met",Q290)))</formula>
    </cfRule>
  </conditionalFormatting>
  <conditionalFormatting sqref="Q291">
    <cfRule type="containsText" dxfId="3896" priority="14624" operator="containsText" text="Not Met">
      <formula>NOT(ISERROR(SEARCH("Not Met",Q291)))</formula>
    </cfRule>
    <cfRule type="containsText" dxfId="3895" priority="14625" operator="containsText" text="Met">
      <formula>NOT(ISERROR(SEARCH("Met",Q291)))</formula>
    </cfRule>
  </conditionalFormatting>
  <conditionalFormatting sqref="Q291:Q292">
    <cfRule type="containsText" dxfId="3894" priority="14622" operator="containsText" text="Met">
      <formula>NOT(ISERROR(SEARCH("Met",Q291)))</formula>
    </cfRule>
  </conditionalFormatting>
  <conditionalFormatting sqref="Q291:Q294">
    <cfRule type="containsText" dxfId="3893" priority="14614" operator="containsText" text="Not Met">
      <formula>NOT(ISERROR(SEARCH("Not Met",Q291)))</formula>
    </cfRule>
  </conditionalFormatting>
  <conditionalFormatting sqref="Q292">
    <cfRule type="containsText" dxfId="3892" priority="14621" operator="containsText" text="Not Met">
      <formula>NOT(ISERROR(SEARCH("Not Met",Q292)))</formula>
    </cfRule>
  </conditionalFormatting>
  <conditionalFormatting sqref="Q292:Q293">
    <cfRule type="containsText" dxfId="3891" priority="14620" operator="containsText" text="Met">
      <formula>NOT(ISERROR(SEARCH("Met",Q292)))</formula>
    </cfRule>
  </conditionalFormatting>
  <conditionalFormatting sqref="Q293">
    <cfRule type="containsText" dxfId="3890" priority="14619" operator="containsText" text="Not Met">
      <formula>NOT(ISERROR(SEARCH("Not Met",Q293)))</formula>
    </cfRule>
  </conditionalFormatting>
  <conditionalFormatting sqref="Q293:Q294">
    <cfRule type="containsText" dxfId="3889" priority="14617" operator="containsText" text="Met">
      <formula>NOT(ISERROR(SEARCH("Met",Q293)))</formula>
    </cfRule>
  </conditionalFormatting>
  <conditionalFormatting sqref="Q294">
    <cfRule type="containsText" dxfId="3888" priority="14615" operator="containsText" text="Met">
      <formula>NOT(ISERROR(SEARCH("Met",Q294)))</formula>
    </cfRule>
    <cfRule type="containsText" dxfId="3887" priority="14616" operator="containsText" text="Not Met">
      <formula>NOT(ISERROR(SEARCH("Not Met",Q294)))</formula>
    </cfRule>
  </conditionalFormatting>
  <conditionalFormatting sqref="Q453 S453">
    <cfRule type="containsText" dxfId="3886" priority="862" operator="containsText" text="Met">
      <formula>NOT(ISERROR(SEARCH("Met",Q453)))</formula>
    </cfRule>
    <cfRule type="containsText" dxfId="3885" priority="859" operator="containsText" text="Not Met">
      <formula>NOT(ISERROR(SEARCH("Not Met",Q453)))</formula>
    </cfRule>
    <cfRule type="containsText" dxfId="3884" priority="860" operator="containsText" text="Met">
      <formula>NOT(ISERROR(SEARCH("Met",Q453)))</formula>
    </cfRule>
    <cfRule type="containsText" dxfId="3883" priority="861" operator="containsText" text="Not Met">
      <formula>NOT(ISERROR(SEARCH("Not Met",Q453)))</formula>
    </cfRule>
  </conditionalFormatting>
  <conditionalFormatting sqref="Q7:R19 Q6:S6 T6:T10 R52:R58 R73:R78 R113:R118 R290:R294">
    <cfRule type="containsText" dxfId="3882" priority="14434" operator="containsText" text="Not Met">
      <formula>NOT(ISERROR(SEARCH("Not Met",Q6)))</formula>
    </cfRule>
  </conditionalFormatting>
  <conditionalFormatting sqref="Q7:R19">
    <cfRule type="containsText" dxfId="3881" priority="14432" operator="containsText" text="Not Met">
      <formula>NOT(ISERROR(SEARCH("Not Met",Q7)))</formula>
    </cfRule>
    <cfRule type="containsText" dxfId="3880" priority="14433" operator="containsText" text="Met">
      <formula>NOT(ISERROR(SEARCH("Met",Q7)))</formula>
    </cfRule>
  </conditionalFormatting>
  <conditionalFormatting sqref="Q21:R22">
    <cfRule type="containsText" dxfId="3879" priority="14827" operator="containsText" text="Met">
      <formula>NOT(ISERROR(SEARCH("Met",Q21)))</formula>
    </cfRule>
    <cfRule type="containsText" dxfId="3878" priority="14826" operator="containsText" text="Not Met">
      <formula>NOT(ISERROR(SEARCH("Not Met",Q21)))</formula>
    </cfRule>
  </conditionalFormatting>
  <conditionalFormatting sqref="Q35:R48">
    <cfRule type="containsText" dxfId="3877" priority="14786" operator="containsText" text="Not Met">
      <formula>NOT(ISERROR(SEARCH("Not Met",Q35)))</formula>
    </cfRule>
    <cfRule type="containsText" dxfId="3876" priority="14789" operator="containsText" text="Met">
      <formula>NOT(ISERROR(SEARCH("Met",Q35)))</formula>
    </cfRule>
  </conditionalFormatting>
  <conditionalFormatting sqref="Q67:R71">
    <cfRule type="containsText" dxfId="3875" priority="14697" operator="containsText" text="Met">
      <formula>NOT(ISERROR(SEARCH("Met",Q67)))</formula>
    </cfRule>
  </conditionalFormatting>
  <conditionalFormatting sqref="Q79:R79 Q80:Q87">
    <cfRule type="containsText" dxfId="3874" priority="14662" operator="containsText" text="Not Met">
      <formula>NOT(ISERROR(SEARCH("Not Met",Q79)))</formula>
    </cfRule>
    <cfRule type="containsText" dxfId="3873" priority="14666" operator="containsText" text="Met">
      <formula>NOT(ISERROR(SEARCH("Met",Q79)))</formula>
    </cfRule>
  </conditionalFormatting>
  <conditionalFormatting sqref="Q194:R201">
    <cfRule type="containsText" dxfId="3872" priority="14427" operator="containsText" text="Met">
      <formula>NOT(ISERROR(SEARCH("Met",Q194)))</formula>
    </cfRule>
    <cfRule type="containsText" dxfId="3871" priority="14426" operator="containsText" text="Not Met">
      <formula>NOT(ISERROR(SEARCH("Not Met",Q194)))</formula>
    </cfRule>
    <cfRule type="containsText" dxfId="3870" priority="14428" operator="containsText" text="Not Met">
      <formula>NOT(ISERROR(SEARCH("Not Met",Q194)))</formula>
    </cfRule>
    <cfRule type="containsText" dxfId="3869" priority="14429" operator="containsText" text="Met">
      <formula>NOT(ISERROR(SEARCH("Met",Q194)))</formula>
    </cfRule>
  </conditionalFormatting>
  <conditionalFormatting sqref="Q202:R211">
    <cfRule type="containsText" dxfId="3868" priority="14418" operator="containsText" text="Not Met">
      <formula>NOT(ISERROR(SEARCH("Not Met",Q202)))</formula>
    </cfRule>
    <cfRule type="containsText" dxfId="3867" priority="14419" operator="containsText" text="Met">
      <formula>NOT(ISERROR(SEARCH("Met",Q202)))</formula>
    </cfRule>
  </conditionalFormatting>
  <conditionalFormatting sqref="Q222:R222">
    <cfRule type="containsText" dxfId="3866" priority="14598" operator="containsText" text="Met">
      <formula>NOT(ISERROR(SEARCH("Met",Q222)))</formula>
    </cfRule>
  </conditionalFormatting>
  <conditionalFormatting sqref="Q223:R228">
    <cfRule type="containsText" dxfId="3865" priority="14568" operator="containsText" text="Met">
      <formula>NOT(ISERROR(SEARCH("Met",Q223)))</formula>
    </cfRule>
  </conditionalFormatting>
  <conditionalFormatting sqref="Q26:S27">
    <cfRule type="containsText" dxfId="3864" priority="13399" operator="containsText" text="Met">
      <formula>NOT(ISERROR(SEARCH("Met",Q26)))</formula>
    </cfRule>
    <cfRule type="containsText" dxfId="3863" priority="13398" operator="containsText" text="Not Met">
      <formula>NOT(ISERROR(SEARCH("Not Met",Q26)))</formula>
    </cfRule>
  </conditionalFormatting>
  <conditionalFormatting sqref="Q32:S33">
    <cfRule type="containsText" dxfId="3862" priority="13400" operator="containsText" text="Not Met">
      <formula>NOT(ISERROR(SEARCH("Not Met",Q32)))</formula>
    </cfRule>
  </conditionalFormatting>
  <conditionalFormatting sqref="Q51:S51">
    <cfRule type="containsText" dxfId="3861" priority="13996" operator="containsText" text="Met">
      <formula>NOT(ISERROR(SEARCH("Met",Q51)))</formula>
    </cfRule>
    <cfRule type="containsText" dxfId="3860" priority="13995" operator="containsText" text="Not Met">
      <formula>NOT(ISERROR(SEARCH("Not Met",Q51)))</formula>
    </cfRule>
  </conditionalFormatting>
  <conditionalFormatting sqref="Q90:S90">
    <cfRule type="containsText" dxfId="3859" priority="13199" operator="containsText" text="Met">
      <formula>NOT(ISERROR(SEARCH("Met",Q90)))</formula>
    </cfRule>
    <cfRule type="containsText" dxfId="3858" priority="13198" operator="containsText" text="Not Met">
      <formula>NOT(ISERROR(SEARCH("Not Met",Q90)))</formula>
    </cfRule>
  </conditionalFormatting>
  <conditionalFormatting sqref="Q155:S162">
    <cfRule type="containsText" dxfId="3857" priority="14510" operator="containsText" text="Met">
      <formula>NOT(ISERROR(SEARCH("Met",Q155)))</formula>
    </cfRule>
    <cfRule type="containsText" dxfId="3856" priority="14509" operator="containsText" text="Not Met">
      <formula>NOT(ISERROR(SEARCH("Not Met",Q155)))</formula>
    </cfRule>
  </conditionalFormatting>
  <conditionalFormatting sqref="Q202:S211">
    <cfRule type="containsText" dxfId="3855" priority="13539" operator="containsText" text="Met">
      <formula>NOT(ISERROR(SEARCH("Met",Q202)))</formula>
    </cfRule>
    <cfRule type="containsText" dxfId="3854" priority="13538" operator="containsText" text="Not Met">
      <formula>NOT(ISERROR(SEARCH("Not Met",Q202)))</formula>
    </cfRule>
  </conditionalFormatting>
  <conditionalFormatting sqref="Q229:S234">
    <cfRule type="containsText" dxfId="3853" priority="13118" operator="containsText" text="Met">
      <formula>NOT(ISERROR(SEARCH("Met",Q229)))</formula>
    </cfRule>
    <cfRule type="containsText" dxfId="3852" priority="13117" operator="containsText" text="Not Met">
      <formula>NOT(ISERROR(SEARCH("Not Met",Q229)))</formula>
    </cfRule>
  </conditionalFormatting>
  <conditionalFormatting sqref="Q257:S257">
    <cfRule type="containsText" dxfId="3851" priority="13954" operator="containsText" text="Met">
      <formula>NOT(ISERROR(SEARCH("Met",Q257)))</formula>
    </cfRule>
    <cfRule type="containsText" dxfId="3850" priority="13955" operator="containsText" text="Not Met">
      <formula>NOT(ISERROR(SEARCH("Not Met",Q257)))</formula>
    </cfRule>
    <cfRule type="containsText" dxfId="3849" priority="13956" operator="containsText" text="Met">
      <formula>NOT(ISERROR(SEARCH("Met",Q257)))</formula>
    </cfRule>
    <cfRule type="containsText" dxfId="3848" priority="13953" operator="containsText" text="Not Met">
      <formula>NOT(ISERROR(SEARCH("Not Met",Q257)))</formula>
    </cfRule>
  </conditionalFormatting>
  <conditionalFormatting sqref="Q258:S258">
    <cfRule type="containsText" dxfId="3847" priority="14190" operator="containsText" text="Not Met">
      <formula>NOT(ISERROR(SEARCH("Not Met",Q258)))</formula>
    </cfRule>
    <cfRule type="containsText" dxfId="3846" priority="14191" operator="containsText" text="Met">
      <formula>NOT(ISERROR(SEARCH("Met",Q258)))</formula>
    </cfRule>
  </conditionalFormatting>
  <conditionalFormatting sqref="Q258:S259">
    <cfRule type="containsText" dxfId="3845" priority="14186" operator="containsText" text="Not Met">
      <formula>NOT(ISERROR(SEARCH("Not Met",Q258)))</formula>
    </cfRule>
    <cfRule type="containsText" dxfId="3844" priority="14187" operator="containsText" text="Met">
      <formula>NOT(ISERROR(SEARCH("Met",Q258)))</formula>
    </cfRule>
  </conditionalFormatting>
  <conditionalFormatting sqref="Q259:S260">
    <cfRule type="containsText" dxfId="3843" priority="14182" operator="containsText" text="Not Met">
      <formula>NOT(ISERROR(SEARCH("Not Met",Q259)))</formula>
    </cfRule>
    <cfRule type="containsText" dxfId="3842" priority="14183" operator="containsText" text="Met">
      <formula>NOT(ISERROR(SEARCH("Met",Q259)))</formula>
    </cfRule>
  </conditionalFormatting>
  <conditionalFormatting sqref="Q260:S261">
    <cfRule type="containsText" dxfId="3841" priority="14178" operator="containsText" text="Not Met">
      <formula>NOT(ISERROR(SEARCH("Not Met",Q260)))</formula>
    </cfRule>
    <cfRule type="containsText" dxfId="3840" priority="14179" operator="containsText" text="Met">
      <formula>NOT(ISERROR(SEARCH("Met",Q260)))</formula>
    </cfRule>
  </conditionalFormatting>
  <conditionalFormatting sqref="Q261:S262">
    <cfRule type="containsText" dxfId="3839" priority="14174" operator="containsText" text="Not Met">
      <formula>NOT(ISERROR(SEARCH("Not Met",Q261)))</formula>
    </cfRule>
    <cfRule type="containsText" dxfId="3838" priority="14175" operator="containsText" text="Met">
      <formula>NOT(ISERROR(SEARCH("Met",Q261)))</formula>
    </cfRule>
  </conditionalFormatting>
  <conditionalFormatting sqref="Q262:S263">
    <cfRule type="containsText" dxfId="3837" priority="14170" operator="containsText" text="Not Met">
      <formula>NOT(ISERROR(SEARCH("Not Met",Q262)))</formula>
    </cfRule>
    <cfRule type="containsText" dxfId="3836" priority="14171" operator="containsText" text="Met">
      <formula>NOT(ISERROR(SEARCH("Met",Q262)))</formula>
    </cfRule>
  </conditionalFormatting>
  <conditionalFormatting sqref="Q263:S264">
    <cfRule type="containsText" dxfId="3835" priority="14167" operator="containsText" text="Met">
      <formula>NOT(ISERROR(SEARCH("Met",Q263)))</formula>
    </cfRule>
  </conditionalFormatting>
  <conditionalFormatting sqref="Q263:S265">
    <cfRule type="containsText" dxfId="3834" priority="14166" operator="containsText" text="Not Met">
      <formula>NOT(ISERROR(SEARCH("Not Met",Q263)))</formula>
    </cfRule>
  </conditionalFormatting>
  <conditionalFormatting sqref="Q264:S265">
    <cfRule type="containsText" dxfId="3833" priority="14156" operator="containsText" text="Not Met">
      <formula>NOT(ISERROR(SEARCH("Not Met",Q264)))</formula>
    </cfRule>
    <cfRule type="containsText" dxfId="3832" priority="14157" operator="containsText" text="Met">
      <formula>NOT(ISERROR(SEARCH("Met",Q264)))</formula>
    </cfRule>
  </conditionalFormatting>
  <conditionalFormatting sqref="Q273:S279">
    <cfRule type="containsText" dxfId="3831" priority="13824" operator="containsText" text="Met">
      <formula>NOT(ISERROR(SEARCH("Met",Q273)))</formula>
    </cfRule>
    <cfRule type="containsText" dxfId="3830" priority="13823" operator="containsText" text="Not Met">
      <formula>NOT(ISERROR(SEARCH("Not Met",Q273)))</formula>
    </cfRule>
  </conditionalFormatting>
  <conditionalFormatting sqref="Q444:S445 Q446:Q448">
    <cfRule type="containsText" dxfId="3829" priority="864" operator="containsText" text="Not Met">
      <formula>NOT(ISERROR(SEARCH("Not Met",Q444)))</formula>
    </cfRule>
  </conditionalFormatting>
  <conditionalFormatting sqref="Q444:S449">
    <cfRule type="containsText" dxfId="3828" priority="865" operator="containsText" text="Met">
      <formula>NOT(ISERROR(SEARCH("Met",Q444)))</formula>
    </cfRule>
  </conditionalFormatting>
  <conditionalFormatting sqref="Q449:S453">
    <cfRule type="containsText" dxfId="3827" priority="857" operator="containsText" text="Not Met">
      <formula>NOT(ISERROR(SEARCH("Not Met",Q449)))</formula>
    </cfRule>
  </conditionalFormatting>
  <conditionalFormatting sqref="Q454:S455 Q456:T457">
    <cfRule type="containsText" dxfId="3826" priority="854" operator="containsText" text="Met">
      <formula>NOT(ISERROR(SEARCH("Met",Q454)))</formula>
    </cfRule>
    <cfRule type="containsText" dxfId="3825" priority="853" operator="containsText" text="Not Met">
      <formula>NOT(ISERROR(SEARCH("Not Met",Q454)))</formula>
    </cfRule>
  </conditionalFormatting>
  <conditionalFormatting sqref="Q49:T50 R52:R58 R73:R78 R113:R118 Q52:Q53 S52:S53 Q243:S256 R28:R31 R68:R71 R222 R224:R225 R228 R290:R291 R294 R121:R128 R132 R97 R99 R102 R104 R163:R165 R168 R179:R180 R182 R186:R193 R24:R25 Q59:R59 R61:R66 Q51:S51 R280:R283 R80:R89 U243:U256 F3:F19 K7:L11 L12 G13:G14 P61:P71 K84:L85 N87:O87 Q92:R93 R94:R95 K106:L106 R136 R140:R141 N229:P231">
    <cfRule type="containsText" dxfId="3824" priority="31373" operator="containsText" text="Not Met">
      <formula>NOT(ISERROR(SEARCH("Not Met",F3)))</formula>
    </cfRule>
  </conditionalFormatting>
  <conditionalFormatting sqref="Q450:T453">
    <cfRule type="containsText" dxfId="3823" priority="858" operator="containsText" text="Met">
      <formula>NOT(ISERROR(SEARCH("Met",Q450)))</formula>
    </cfRule>
  </conditionalFormatting>
  <conditionalFormatting sqref="Q2:AA5">
    <cfRule type="containsText" dxfId="3822" priority="9069" operator="containsText" text="Met">
      <formula>NOT(ISERROR(SEARCH("Met",Q2)))</formula>
    </cfRule>
    <cfRule type="containsText" dxfId="3821" priority="9068" operator="containsText" text="Not Met">
      <formula>NOT(ISERROR(SEARCH("Not Met",Q2)))</formula>
    </cfRule>
  </conditionalFormatting>
  <conditionalFormatting sqref="R23:R25">
    <cfRule type="containsText" dxfId="3820" priority="14013" operator="containsText" text="Not Met">
      <formula>NOT(ISERROR(SEARCH("Not Met",R23)))</formula>
    </cfRule>
    <cfRule type="containsText" dxfId="3819" priority="14014" operator="containsText" text="Met">
      <formula>NOT(ISERROR(SEARCH("Met",R23)))</formula>
    </cfRule>
  </conditionalFormatting>
  <conditionalFormatting sqref="R28:R32">
    <cfRule type="containsText" dxfId="3818" priority="14809" operator="containsText" text="Met">
      <formula>NOT(ISERROR(SEARCH("Met",R28)))</formula>
    </cfRule>
  </conditionalFormatting>
  <conditionalFormatting sqref="R39:R48">
    <cfRule type="containsText" dxfId="3817" priority="14787" operator="containsText" text="Met">
      <formula>NOT(ISERROR(SEARCH("Met",R39)))</formula>
    </cfRule>
  </conditionalFormatting>
  <conditionalFormatting sqref="R49:R50 Q6:S6 T6:T10 R52:R58 R73:R78 R113:R118">
    <cfRule type="containsText" dxfId="3816" priority="23902" operator="containsText" text="Met">
      <formula>NOT(ISERROR(SEARCH("Met",Q6)))</formula>
    </cfRule>
  </conditionalFormatting>
  <conditionalFormatting sqref="R97:R104">
    <cfRule type="containsText" dxfId="3815" priority="14241" operator="containsText" text="Met">
      <formula>NOT(ISERROR(SEARCH("Met",R97)))</formula>
    </cfRule>
    <cfRule type="containsText" dxfId="3814" priority="14240" operator="containsText" text="Not Met">
      <formula>NOT(ISERROR(SEARCH("Not Met",R97)))</formula>
    </cfRule>
  </conditionalFormatting>
  <conditionalFormatting sqref="R108">
    <cfRule type="containsText" dxfId="3813" priority="12951" operator="containsText" text="Not Met">
      <formula>NOT(ISERROR(SEARCH("Not Met",R108)))</formula>
    </cfRule>
    <cfRule type="containsText" dxfId="3812" priority="12952" operator="containsText" text="Met">
      <formula>NOT(ISERROR(SEARCH("Met",R108)))</formula>
    </cfRule>
  </conditionalFormatting>
  <conditionalFormatting sqref="R121:R134">
    <cfRule type="containsText" dxfId="3811" priority="14318" operator="containsText" text="Not Met">
      <formula>NOT(ISERROR(SEARCH("Not Met",R121)))</formula>
    </cfRule>
    <cfRule type="containsText" dxfId="3810" priority="14319" operator="containsText" text="Met">
      <formula>NOT(ISERROR(SEARCH("Met",R121)))</formula>
    </cfRule>
  </conditionalFormatting>
  <conditionalFormatting sqref="R155:R162">
    <cfRule type="containsText" dxfId="3809" priority="14508" operator="containsText" text="Met">
      <formula>NOT(ISERROR(SEARCH("Met",R155)))</formula>
    </cfRule>
    <cfRule type="containsText" dxfId="3808" priority="14507" operator="containsText" text="Not Met">
      <formula>NOT(ISERROR(SEARCH("Not Met",R155)))</formula>
    </cfRule>
  </conditionalFormatting>
  <conditionalFormatting sqref="R163:R193">
    <cfRule type="containsText" dxfId="3807" priority="14028" operator="containsText" text="Met">
      <formula>NOT(ISERROR(SEARCH("Met",R163)))</formula>
    </cfRule>
    <cfRule type="containsText" dxfId="3806" priority="14027" operator="containsText" text="Not Met">
      <formula>NOT(ISERROR(SEARCH("Not Met",R163)))</formula>
    </cfRule>
  </conditionalFormatting>
  <conditionalFormatting sqref="R237:R239">
    <cfRule type="containsText" dxfId="3805" priority="13862" operator="containsText" text="Met">
      <formula>NOT(ISERROR(SEARCH("Met",R237)))</formula>
    </cfRule>
    <cfRule type="containsText" dxfId="3804" priority="13861" operator="containsText" text="Not Met">
      <formula>NOT(ISERROR(SEARCH("Not Met",R237)))</formula>
    </cfRule>
  </conditionalFormatting>
  <conditionalFormatting sqref="R238">
    <cfRule type="containsText" dxfId="3803" priority="13860" operator="containsText" text="Met">
      <formula>NOT(ISERROR(SEARCH("Met",R238)))</formula>
    </cfRule>
    <cfRule type="containsText" dxfId="3802" priority="13859" operator="containsText" text="Not Met">
      <formula>NOT(ISERROR(SEARCH("Not Met",R238)))</formula>
    </cfRule>
  </conditionalFormatting>
  <conditionalFormatting sqref="R241:R242">
    <cfRule type="containsText" dxfId="3801" priority="13972" operator="containsText" text="Met">
      <formula>NOT(ISERROR(SEARCH("Met",R241)))</formula>
    </cfRule>
    <cfRule type="containsText" dxfId="3800" priority="13971" operator="containsText" text="Not Met">
      <formula>NOT(ISERROR(SEARCH("Not Met",R241)))</formula>
    </cfRule>
  </conditionalFormatting>
  <conditionalFormatting sqref="R266:R268">
    <cfRule type="containsText" dxfId="3799" priority="13857" operator="containsText" text="Not Met">
      <formula>NOT(ISERROR(SEARCH("Not Met",R266)))</formula>
    </cfRule>
    <cfRule type="containsText" dxfId="3798" priority="13858" operator="containsText" text="Met">
      <formula>NOT(ISERROR(SEARCH("Met",R266)))</formula>
    </cfRule>
  </conditionalFormatting>
  <conditionalFormatting sqref="R268:R269">
    <cfRule type="containsText" dxfId="3797" priority="13853" operator="containsText" text="Not Met">
      <formula>NOT(ISERROR(SEARCH("Not Met",R268)))</formula>
    </cfRule>
    <cfRule type="containsText" dxfId="3796" priority="13854" operator="containsText" text="Met">
      <formula>NOT(ISERROR(SEARCH("Met",R268)))</formula>
    </cfRule>
  </conditionalFormatting>
  <conditionalFormatting sqref="R269:R270">
    <cfRule type="containsText" dxfId="3795" priority="13850" operator="containsText" text="Met">
      <formula>NOT(ISERROR(SEARCH("Met",R269)))</formula>
    </cfRule>
    <cfRule type="containsText" dxfId="3794" priority="13849" operator="containsText" text="Not Met">
      <formula>NOT(ISERROR(SEARCH("Not Met",R269)))</formula>
    </cfRule>
  </conditionalFormatting>
  <conditionalFormatting sqref="R270:R287">
    <cfRule type="containsText" dxfId="3793" priority="13826" operator="containsText" text="Met">
      <formula>NOT(ISERROR(SEARCH("Met",R270)))</formula>
    </cfRule>
    <cfRule type="containsText" dxfId="3792" priority="13825" operator="containsText" text="Not Met">
      <formula>NOT(ISERROR(SEARCH("Not Met",R270)))</formula>
    </cfRule>
  </conditionalFormatting>
  <conditionalFormatting sqref="R290:R294">
    <cfRule type="containsText" dxfId="3791" priority="14492" operator="containsText" text="Met">
      <formula>NOT(ISERROR(SEARCH("Met",R290)))</formula>
    </cfRule>
  </conditionalFormatting>
  <conditionalFormatting sqref="R311:R419">
    <cfRule type="containsText" dxfId="3790" priority="13865" operator="containsText" text="Not Met">
      <formula>NOT(ISERROR(SEARCH("Not Met",R311)))</formula>
    </cfRule>
    <cfRule type="containsText" dxfId="3789" priority="13866" operator="containsText" text="Met">
      <formula>NOT(ISERROR(SEARCH("Met",R311)))</formula>
    </cfRule>
  </conditionalFormatting>
  <conditionalFormatting sqref="R313">
    <cfRule type="containsText" dxfId="3788" priority="13864" operator="containsText" text="Met">
      <formula>NOT(ISERROR(SEARCH("Met",R313)))</formula>
    </cfRule>
    <cfRule type="containsText" dxfId="3787" priority="13863" operator="containsText" text="Not Met">
      <formula>NOT(ISERROR(SEARCH("Not Met",R313)))</formula>
    </cfRule>
  </conditionalFormatting>
  <conditionalFormatting sqref="R315:R321">
    <cfRule type="containsText" dxfId="3786" priority="25377" operator="containsText" text="Not Met">
      <formula>NOT(ISERROR(SEARCH("Not Met",R315)))</formula>
    </cfRule>
    <cfRule type="containsText" dxfId="3785" priority="25378" operator="containsText" text="Met">
      <formula>NOT(ISERROR(SEARCH("Met",R315)))</formula>
    </cfRule>
  </conditionalFormatting>
  <conditionalFormatting sqref="R321">
    <cfRule type="containsText" dxfId="3784" priority="14140" operator="containsText" text="Met">
      <formula>NOT(ISERROR(SEARCH("Met",R321)))</formula>
    </cfRule>
    <cfRule type="containsText" dxfId="3783" priority="14138" operator="containsText" text="Not Met">
      <formula>NOT(ISERROR(SEARCH("Not Met",R321)))</formula>
    </cfRule>
  </conditionalFormatting>
  <conditionalFormatting sqref="R444:R445">
    <cfRule type="containsText" dxfId="3782" priority="863" operator="containsText" text="Met">
      <formula>NOT(ISERROR(SEARCH("Met",R444)))</formula>
    </cfRule>
  </conditionalFormatting>
  <conditionalFormatting sqref="R444:R453 S446:T448">
    <cfRule type="containsText" dxfId="3781" priority="850" operator="containsText" text="Not Met">
      <formula>NOT(ISERROR(SEARCH("Not Met",R444)))</formula>
    </cfRule>
  </conditionalFormatting>
  <conditionalFormatting sqref="R446:R448 X444:X457">
    <cfRule type="containsText" dxfId="3780" priority="873" operator="containsText" text="Met">
      <formula>NOT(ISERROR(SEARCH("Met",R444)))</formula>
    </cfRule>
  </conditionalFormatting>
  <conditionalFormatting sqref="R446:R448">
    <cfRule type="containsText" dxfId="3779" priority="872" operator="containsText" text="Not Met">
      <formula>NOT(ISERROR(SEARCH("Not Met",R446)))</formula>
    </cfRule>
  </conditionalFormatting>
  <conditionalFormatting sqref="R449:R454">
    <cfRule type="containsText" dxfId="3778" priority="856" operator="containsText" text="Met">
      <formula>NOT(ISERROR(SEARCH("Met",R449)))</formula>
    </cfRule>
  </conditionalFormatting>
  <conditionalFormatting sqref="R454">
    <cfRule type="containsText" dxfId="3777" priority="855" operator="containsText" text="Not Met">
      <formula>NOT(ISERROR(SEARCH("Not Met",R454)))</formula>
    </cfRule>
  </conditionalFormatting>
  <conditionalFormatting sqref="R455:R457">
    <cfRule type="containsText" dxfId="3776" priority="852" operator="containsText" text="Met">
      <formula>NOT(ISERROR(SEARCH("Met",R455)))</formula>
    </cfRule>
    <cfRule type="containsText" dxfId="3775" priority="851" operator="containsText" text="Not Met">
      <formula>NOT(ISERROR(SEARCH("Not Met",R455)))</formula>
    </cfRule>
  </conditionalFormatting>
  <conditionalFormatting sqref="R458">
    <cfRule type="containsText" dxfId="3774" priority="1653" operator="containsText" text="Met">
      <formula>NOT(ISERROR(SEARCH("Met",R458)))</formula>
    </cfRule>
    <cfRule type="containsText" dxfId="3773" priority="1652" operator="containsText" text="Not Met">
      <formula>NOT(ISERROR(SEARCH("Not Met",R458)))</formula>
    </cfRule>
  </conditionalFormatting>
  <conditionalFormatting sqref="R28:S31">
    <cfRule type="containsText" dxfId="3772" priority="13374" operator="containsText" text="Not Met">
      <formula>NOT(ISERROR(SEARCH("Not Met",R28)))</formula>
    </cfRule>
  </conditionalFormatting>
  <conditionalFormatting sqref="R36:S37">
    <cfRule type="containsText" dxfId="3771" priority="13354" operator="containsText" text="Not Met">
      <formula>NOT(ISERROR(SEARCH("Not Met",R36)))</formula>
    </cfRule>
  </conditionalFormatting>
  <conditionalFormatting sqref="R39:S48">
    <cfRule type="containsText" dxfId="3770" priority="13351" operator="containsText" text="Met">
      <formula>NOT(ISERROR(SEARCH("Met",R39)))</formula>
    </cfRule>
  </conditionalFormatting>
  <conditionalFormatting sqref="R68:S71">
    <cfRule type="containsText" dxfId="3769" priority="13268" operator="containsText" text="Not Met">
      <formula>NOT(ISERROR(SEARCH("Not Met",R68)))</formula>
    </cfRule>
  </conditionalFormatting>
  <conditionalFormatting sqref="R80:S89">
    <cfRule type="containsText" dxfId="3768" priority="13225" operator="containsText" text="Met">
      <formula>NOT(ISERROR(SEARCH("Met",R80)))</formula>
    </cfRule>
  </conditionalFormatting>
  <conditionalFormatting sqref="R147:S154">
    <cfRule type="containsText" dxfId="3767" priority="13428" operator="containsText" text="Not Met">
      <formula>NOT(ISERROR(SEARCH("Not Met",R147)))</formula>
    </cfRule>
    <cfRule type="containsText" dxfId="3766" priority="13429" operator="containsText" text="Met">
      <formula>NOT(ISERROR(SEARCH("Met",R147)))</formula>
    </cfRule>
  </conditionalFormatting>
  <conditionalFormatting sqref="R149:S150 R152:S154">
    <cfRule type="containsText" dxfId="3765" priority="13439" operator="containsText" text="Met">
      <formula>NOT(ISERROR(SEARCH("Met",R149)))</formula>
    </cfRule>
    <cfRule type="containsText" dxfId="3764" priority="13438" operator="containsText" text="Not Met">
      <formula>NOT(ISERROR(SEARCH("Not Met",R149)))</formula>
    </cfRule>
  </conditionalFormatting>
  <conditionalFormatting sqref="R155:S162">
    <cfRule type="containsText" dxfId="3763" priority="13634" operator="containsText" text="Not Met">
      <formula>NOT(ISERROR(SEARCH("Not Met",R155)))</formula>
    </cfRule>
    <cfRule type="containsText" dxfId="3762" priority="13635" operator="containsText" text="Met">
      <formula>NOT(ISERROR(SEARCH("Met",R155)))</formula>
    </cfRule>
  </conditionalFormatting>
  <conditionalFormatting sqref="R234:S234">
    <cfRule type="containsText" dxfId="3761" priority="13119" operator="containsText" text="Not Met">
      <formula>NOT(ISERROR(SEARCH("Not Met",R234)))</formula>
    </cfRule>
    <cfRule type="containsText" dxfId="3760" priority="13120" operator="containsText" text="Met">
      <formula>NOT(ISERROR(SEARCH("Met",R234)))</formula>
    </cfRule>
  </conditionalFormatting>
  <conditionalFormatting sqref="R235:S235">
    <cfRule type="containsText" dxfId="3759" priority="13102" operator="containsText" text="Met">
      <formula>NOT(ISERROR(SEARCH("Met",R235)))</formula>
    </cfRule>
    <cfRule type="containsText" dxfId="3758" priority="13101" operator="containsText" text="Not Met">
      <formula>NOT(ISERROR(SEARCH("Not Met",R235)))</formula>
    </cfRule>
  </conditionalFormatting>
  <conditionalFormatting sqref="R271:S271">
    <cfRule type="containsText" dxfId="3757" priority="13454" operator="containsText" text="Not Met">
      <formula>NOT(ISERROR(SEARCH("Not Met",R271)))</formula>
    </cfRule>
    <cfRule type="containsText" dxfId="3756" priority="13455" operator="containsText" text="Met">
      <formula>NOT(ISERROR(SEARCH("Met",R271)))</formula>
    </cfRule>
  </conditionalFormatting>
  <conditionalFormatting sqref="R20:T20 T21:T35 T89 T137:T167 T214 T223:T235 T327:T329 T332:T334 T336:T419">
    <cfRule type="containsText" dxfId="3755" priority="13388" operator="containsText" text="Not Met">
      <formula>NOT(ISERROR(SEARCH("Not Met",R20)))</formula>
    </cfRule>
  </conditionalFormatting>
  <conditionalFormatting sqref="R20:T20 T21:T35 T89:T134 T137:T170 T214 T223:T235 T327:T329 T332:T334 T336:T419">
    <cfRule type="containsText" dxfId="3754" priority="13389" operator="containsText" text="Met">
      <formula>NOT(ISERROR(SEARCH("Met",R20)))</formula>
    </cfRule>
  </conditionalFormatting>
  <conditionalFormatting sqref="S7:S10 S11:T11 S12:S15 S16:T19 T212 T216:T217 T221 T194:T201 T35 U7:V19 T75">
    <cfRule type="containsText" dxfId="3753" priority="13560" operator="containsText" text="Not Met">
      <formula>NOT(ISERROR(SEARCH("Not Met",S7)))</formula>
    </cfRule>
  </conditionalFormatting>
  <conditionalFormatting sqref="S7:S10 S11:T11 S12:S15 S16:T19 T212 T216:T217 T221">
    <cfRule type="containsText" dxfId="3752" priority="13559" operator="containsText" text="Met">
      <formula>NOT(ISERROR(SEARCH("Met",S7)))</formula>
    </cfRule>
    <cfRule type="containsText" dxfId="3751" priority="13558" operator="containsText" text="Not Met">
      <formula>NOT(ISERROR(SEARCH("Not Met",S7)))</formula>
    </cfRule>
  </conditionalFormatting>
  <conditionalFormatting sqref="S7:S10 U7:V19 S11:T11 S12:S15 S16:T19 T35 T75 T194:T201 T212 T216:T217 T221">
    <cfRule type="containsText" dxfId="3750" priority="13561" operator="containsText" text="Met">
      <formula>NOT(ISERROR(SEARCH("Met",S7)))</formula>
    </cfRule>
  </conditionalFormatting>
  <conditionalFormatting sqref="S21:S23">
    <cfRule type="containsText" dxfId="3749" priority="13385" operator="containsText" text="Met">
      <formula>NOT(ISERROR(SEARCH("Met",S21)))</formula>
    </cfRule>
    <cfRule type="containsText" dxfId="3748" priority="13384" operator="containsText" text="Not Met">
      <formula>NOT(ISERROR(SEARCH("Not Met",S21)))</formula>
    </cfRule>
  </conditionalFormatting>
  <conditionalFormatting sqref="S25">
    <cfRule type="containsText" dxfId="3747" priority="13395" operator="containsText" text="Met">
      <formula>NOT(ISERROR(SEARCH("Met",S25)))</formula>
    </cfRule>
    <cfRule type="containsText" dxfId="3746" priority="13394" operator="containsText" text="Not Met">
      <formula>NOT(ISERROR(SEARCH("Not Met",S25)))</formula>
    </cfRule>
  </conditionalFormatting>
  <conditionalFormatting sqref="S25:S26">
    <cfRule type="containsText" dxfId="3745" priority="13407" operator="containsText" text="Met">
      <formula>NOT(ISERROR(SEARCH("Met",S25)))</formula>
    </cfRule>
    <cfRule type="containsText" dxfId="3744" priority="13406" operator="containsText" text="Not Met">
      <formula>NOT(ISERROR(SEARCH("Not Met",S25)))</formula>
    </cfRule>
  </conditionalFormatting>
  <conditionalFormatting sqref="S28:S29">
    <cfRule type="containsText" dxfId="3743" priority="13375" operator="containsText" text="Met">
      <formula>NOT(ISERROR(SEARCH("Met",S28)))</formula>
    </cfRule>
  </conditionalFormatting>
  <conditionalFormatting sqref="S30:S31">
    <cfRule type="containsText" dxfId="3742" priority="13403" operator="containsText" text="Met">
      <formula>NOT(ISERROR(SEARCH("Met",S30)))</formula>
    </cfRule>
    <cfRule type="containsText" dxfId="3741" priority="13402" operator="containsText" text="Not Met">
      <formula>NOT(ISERROR(SEARCH("Not Met",S30)))</formula>
    </cfRule>
  </conditionalFormatting>
  <conditionalFormatting sqref="S30:S33">
    <cfRule type="containsText" dxfId="3740" priority="13401" operator="containsText" text="Met">
      <formula>NOT(ISERROR(SEARCH("Met",S30)))</formula>
    </cfRule>
  </conditionalFormatting>
  <conditionalFormatting sqref="S33:S48">
    <cfRule type="containsText" dxfId="3739" priority="13342" operator="containsText" text="Met">
      <formula>NOT(ISERROR(SEARCH("Met",S33)))</formula>
    </cfRule>
    <cfRule type="containsText" dxfId="3738" priority="13341" operator="containsText" text="Not Met">
      <formula>NOT(ISERROR(SEARCH("Not Met",S33)))</formula>
    </cfRule>
  </conditionalFormatting>
  <conditionalFormatting sqref="S36:S37">
    <cfRule type="containsText" dxfId="3737" priority="13355" operator="containsText" text="Met">
      <formula>NOT(ISERROR(SEARCH("Met",S36)))</formula>
    </cfRule>
  </conditionalFormatting>
  <conditionalFormatting sqref="S39:S48">
    <cfRule type="containsText" dxfId="3736" priority="13350" operator="containsText" text="Not Met">
      <formula>NOT(ISERROR(SEARCH("Not Met",S39)))</formula>
    </cfRule>
  </conditionalFormatting>
  <conditionalFormatting sqref="S54:S59">
    <cfRule type="containsText" dxfId="3735" priority="13335" operator="containsText" text="Not Met">
      <formula>NOT(ISERROR(SEARCH("Not Met",S54)))</formula>
    </cfRule>
    <cfRule type="containsText" dxfId="3734" priority="13336" operator="containsText" text="Met">
      <formula>NOT(ISERROR(SEARCH("Met",S54)))</formula>
    </cfRule>
  </conditionalFormatting>
  <conditionalFormatting sqref="S54:S67">
    <cfRule type="containsText" dxfId="3733" priority="13284" operator="containsText" text="Not Met">
      <formula>NOT(ISERROR(SEARCH("Not Met",S54)))</formula>
    </cfRule>
  </conditionalFormatting>
  <conditionalFormatting sqref="S54:S68">
    <cfRule type="containsText" dxfId="3732" priority="13285" operator="containsText" text="Met">
      <formula>NOT(ISERROR(SEARCH("Met",S54)))</formula>
    </cfRule>
  </conditionalFormatting>
  <conditionalFormatting sqref="S61">
    <cfRule type="containsText" dxfId="3731" priority="13318" operator="containsText" text="Met">
      <formula>NOT(ISERROR(SEARCH("Met",S61)))</formula>
    </cfRule>
    <cfRule type="containsText" dxfId="3730" priority="13317" operator="containsText" text="Not Met">
      <formula>NOT(ISERROR(SEARCH("Not Met",S61)))</formula>
    </cfRule>
  </conditionalFormatting>
  <conditionalFormatting sqref="S62:S66">
    <cfRule type="containsText" dxfId="3729" priority="13283" operator="containsText" text="Met">
      <formula>NOT(ISERROR(SEARCH("Met",S62)))</formula>
    </cfRule>
    <cfRule type="containsText" dxfId="3728" priority="13282" operator="containsText" text="Not Met">
      <formula>NOT(ISERROR(SEARCH("Not Met",S62)))</formula>
    </cfRule>
  </conditionalFormatting>
  <conditionalFormatting sqref="S68">
    <cfRule type="containsText" dxfId="3727" priority="13287" operator="containsText" text="Not Met">
      <formula>NOT(ISERROR(SEARCH("Not Met",S68)))</formula>
    </cfRule>
    <cfRule type="containsText" dxfId="3726" priority="13288" operator="containsText" text="Met">
      <formula>NOT(ISERROR(SEARCH("Met",S68)))</formula>
    </cfRule>
  </conditionalFormatting>
  <conditionalFormatting sqref="S69">
    <cfRule type="containsText" dxfId="3725" priority="13267" operator="containsText" text="Met">
      <formula>NOT(ISERROR(SEARCH("Met",S69)))</formula>
    </cfRule>
    <cfRule type="containsText" dxfId="3724" priority="13263" operator="containsText" text="Not Met">
      <formula>NOT(ISERROR(SEARCH("Not Met",S69)))</formula>
    </cfRule>
  </conditionalFormatting>
  <conditionalFormatting sqref="S69:S71">
    <cfRule type="containsText" dxfId="3723" priority="13269" operator="containsText" text="Met">
      <formula>NOT(ISERROR(SEARCH("Met",S69)))</formula>
    </cfRule>
  </conditionalFormatting>
  <conditionalFormatting sqref="S70:S71">
    <cfRule type="containsText" dxfId="3722" priority="13305" operator="containsText" text="Not Met">
      <formula>NOT(ISERROR(SEARCH("Not Met",S70)))</formula>
    </cfRule>
    <cfRule type="containsText" dxfId="3721" priority="13306" operator="containsText" text="Met">
      <formula>NOT(ISERROR(SEARCH("Met",S70)))</formula>
    </cfRule>
  </conditionalFormatting>
  <conditionalFormatting sqref="S72:S78">
    <cfRule type="containsText" dxfId="3720" priority="13229" operator="containsText" text="Not Met">
      <formula>NOT(ISERROR(SEARCH("Not Met",S72)))</formula>
    </cfRule>
    <cfRule type="containsText" dxfId="3719" priority="13230" operator="containsText" text="Met">
      <formula>NOT(ISERROR(SEARCH("Met",S72)))</formula>
    </cfRule>
  </conditionalFormatting>
  <conditionalFormatting sqref="S73:S77">
    <cfRule type="containsText" dxfId="3718" priority="13258" operator="containsText" text="Met">
      <formula>NOT(ISERROR(SEARCH("Met",S73)))</formula>
    </cfRule>
    <cfRule type="containsText" dxfId="3717" priority="13257" operator="containsText" text="Not Met">
      <formula>NOT(ISERROR(SEARCH("Not Met",S73)))</formula>
    </cfRule>
  </conditionalFormatting>
  <conditionalFormatting sqref="S78 R80:S89">
    <cfRule type="containsText" dxfId="3716" priority="13224" operator="containsText" text="Not Met">
      <formula>NOT(ISERROR(SEARCH("Not Met",R78)))</formula>
    </cfRule>
  </conditionalFormatting>
  <conditionalFormatting sqref="S78:S89">
    <cfRule type="containsText" dxfId="3715" priority="13227" operator="containsText" text="Met">
      <formula>NOT(ISERROR(SEARCH("Met",S78)))</formula>
    </cfRule>
  </conditionalFormatting>
  <conditionalFormatting sqref="S79:S89">
    <cfRule type="containsText" dxfId="3714" priority="13226" operator="containsText" text="Not Met">
      <formula>NOT(ISERROR(SEARCH("Not Met",S79)))</formula>
    </cfRule>
  </conditionalFormatting>
  <conditionalFormatting sqref="S113">
    <cfRule type="containsText" dxfId="3713" priority="13484" operator="containsText" text="Not Met">
      <formula>NOT(ISERROR(SEARCH("Not Met",S113)))</formula>
    </cfRule>
    <cfRule type="containsText" dxfId="3712" priority="13485" operator="containsText" text="Met">
      <formula>NOT(ISERROR(SEARCH("Met",S113)))</formula>
    </cfRule>
  </conditionalFormatting>
  <conditionalFormatting sqref="S118:S124">
    <cfRule type="containsText" dxfId="3711" priority="13476" operator="containsText" text="Not Met">
      <formula>NOT(ISERROR(SEARCH("Not Met",S118)))</formula>
    </cfRule>
  </conditionalFormatting>
  <conditionalFormatting sqref="S118:S126">
    <cfRule type="containsText" dxfId="3710" priority="13477" operator="containsText" text="Met">
      <formula>NOT(ISERROR(SEARCH("Met",S118)))</formula>
    </cfRule>
  </conditionalFormatting>
  <conditionalFormatting sqref="S125:S126">
    <cfRule type="containsText" dxfId="3709" priority="13511" operator="containsText" text="Not Met">
      <formula>NOT(ISERROR(SEARCH("Not Met",S125)))</formula>
    </cfRule>
  </conditionalFormatting>
  <conditionalFormatting sqref="S128:S136">
    <cfRule type="containsText" dxfId="3708" priority="13500" operator="containsText" text="Not Met">
      <formula>NOT(ISERROR(SEARCH("Not Met",S128)))</formula>
    </cfRule>
    <cfRule type="containsText" dxfId="3707" priority="13501" operator="containsText" text="Met">
      <formula>NOT(ISERROR(SEARCH("Met",S128)))</formula>
    </cfRule>
  </conditionalFormatting>
  <conditionalFormatting sqref="S135:S136">
    <cfRule type="containsText" dxfId="3706" priority="13518" operator="containsText" text="Not Met">
      <formula>NOT(ISERROR(SEARCH("Not Met",S135)))</formula>
    </cfRule>
    <cfRule type="containsText" dxfId="3705" priority="13519" operator="containsText" text="Met">
      <formula>NOT(ISERROR(SEARCH("Met",S135)))</formula>
    </cfRule>
  </conditionalFormatting>
  <conditionalFormatting sqref="S155:S164">
    <cfRule type="containsText" dxfId="3704" priority="13639" operator="containsText" text="Met">
      <formula>NOT(ISERROR(SEARCH("Met",S155)))</formula>
    </cfRule>
    <cfRule type="containsText" dxfId="3703" priority="13638" operator="containsText" text="Not Met">
      <formula>NOT(ISERROR(SEARCH("Not Met",S155)))</formula>
    </cfRule>
  </conditionalFormatting>
  <conditionalFormatting sqref="S162">
    <cfRule type="containsText" dxfId="3702" priority="13589" operator="containsText" text="Met">
      <formula>NOT(ISERROR(SEARCH("Met",S162)))</formula>
    </cfRule>
    <cfRule type="containsText" dxfId="3701" priority="13586" operator="containsText" text="Not Met">
      <formula>NOT(ISERROR(SEARCH("Not Met",S162)))</formula>
    </cfRule>
    <cfRule type="containsText" dxfId="3700" priority="13587" operator="containsText" text="Met">
      <formula>NOT(ISERROR(SEARCH("Met",S162)))</formula>
    </cfRule>
    <cfRule type="containsText" dxfId="3699" priority="13588" operator="containsText" text="Not Met">
      <formula>NOT(ISERROR(SEARCH("Not Met",S162)))</formula>
    </cfRule>
  </conditionalFormatting>
  <conditionalFormatting sqref="S163:S170">
    <cfRule type="containsText" dxfId="3698" priority="13646" operator="containsText" text="Met">
      <formula>NOT(ISERROR(SEARCH("Met",S163)))</formula>
    </cfRule>
    <cfRule type="containsText" dxfId="3697" priority="13645" operator="containsText" text="Not Met">
      <formula>NOT(ISERROR(SEARCH("Not Met",S163)))</formula>
    </cfRule>
  </conditionalFormatting>
  <conditionalFormatting sqref="S166:S170">
    <cfRule type="containsText" dxfId="3696" priority="13644" operator="containsText" text="Met">
      <formula>NOT(ISERROR(SEARCH("Met",S166)))</formula>
    </cfRule>
    <cfRule type="containsText" dxfId="3695" priority="13643" operator="containsText" text="Not Met">
      <formula>NOT(ISERROR(SEARCH("Not Met",S166)))</formula>
    </cfRule>
  </conditionalFormatting>
  <conditionalFormatting sqref="S167">
    <cfRule type="containsText" dxfId="3694" priority="13642" operator="containsText" text="Met">
      <formula>NOT(ISERROR(SEARCH("Met",S167)))</formula>
    </cfRule>
    <cfRule type="containsText" dxfId="3693" priority="13641" operator="containsText" text="Not Met">
      <formula>NOT(ISERROR(SEARCH("Not Met",S167)))</formula>
    </cfRule>
  </conditionalFormatting>
  <conditionalFormatting sqref="S173">
    <cfRule type="containsText" dxfId="3692" priority="13494" operator="containsText" text="Not Met">
      <formula>NOT(ISERROR(SEARCH("Not Met",S173)))</formula>
    </cfRule>
    <cfRule type="containsText" dxfId="3691" priority="13495" operator="containsText" text="Met">
      <formula>NOT(ISERROR(SEARCH("Met",S173)))</formula>
    </cfRule>
  </conditionalFormatting>
  <conditionalFormatting sqref="S176:S181">
    <cfRule type="containsText" dxfId="3690" priority="13488" operator="containsText" text="Not Met">
      <formula>NOT(ISERROR(SEARCH("Not Met",S176)))</formula>
    </cfRule>
    <cfRule type="containsText" dxfId="3689" priority="13489" operator="containsText" text="Met">
      <formula>NOT(ISERROR(SEARCH("Met",S176)))</formula>
    </cfRule>
  </conditionalFormatting>
  <conditionalFormatting sqref="S194:S201">
    <cfRule type="containsText" dxfId="3688" priority="13545" operator="containsText" text="Met">
      <formula>NOT(ISERROR(SEARCH("Met",S194)))</formula>
    </cfRule>
    <cfRule type="containsText" dxfId="3687" priority="13532" operator="containsText" text="Not Met">
      <formula>NOT(ISERROR(SEARCH("Not Met",S194)))</formula>
    </cfRule>
    <cfRule type="containsText" dxfId="3686" priority="13544" operator="containsText" text="Not Met">
      <formula>NOT(ISERROR(SEARCH("Not Met",S194)))</formula>
    </cfRule>
    <cfRule type="containsText" dxfId="3685" priority="13533" operator="containsText" text="Met">
      <formula>NOT(ISERROR(SEARCH("Met",S194)))</formula>
    </cfRule>
  </conditionalFormatting>
  <conditionalFormatting sqref="S202:S211">
    <cfRule type="containsText" dxfId="3684" priority="13535" operator="containsText" text="Met">
      <formula>NOT(ISERROR(SEARCH("Met",S202)))</formula>
    </cfRule>
    <cfRule type="containsText" dxfId="3683" priority="13534" operator="containsText" text="Not Met">
      <formula>NOT(ISERROR(SEARCH("Not Met",S202)))</formula>
    </cfRule>
    <cfRule type="containsText" dxfId="3682" priority="13536" operator="containsText" text="Not Met">
      <formula>NOT(ISERROR(SEARCH("Not Met",S202)))</formula>
    </cfRule>
    <cfRule type="containsText" dxfId="3681" priority="13537" operator="containsText" text="Met">
      <formula>NOT(ISERROR(SEARCH("Met",S202)))</formula>
    </cfRule>
  </conditionalFormatting>
  <conditionalFormatting sqref="S222 S224:S225 Q228:S228">
    <cfRule type="containsText" dxfId="3680" priority="13172" operator="containsText" text="Not Met">
      <formula>NOT(ISERROR(SEARCH("Not Met",Q222)))</formula>
    </cfRule>
  </conditionalFormatting>
  <conditionalFormatting sqref="S222 S224:S225 S228">
    <cfRule type="containsText" dxfId="3679" priority="13173" operator="containsText" text="Met">
      <formula>NOT(ISERROR(SEARCH("Met",S222)))</formula>
    </cfRule>
  </conditionalFormatting>
  <conditionalFormatting sqref="S222:S228">
    <cfRule type="containsText" dxfId="3678" priority="13155" operator="containsText" text="Not Met">
      <formula>NOT(ISERROR(SEARCH("Not Met",S222)))</formula>
    </cfRule>
    <cfRule type="containsText" dxfId="3677" priority="13168" operator="containsText" text="Met">
      <formula>NOT(ISERROR(SEARCH("Met",S222)))</formula>
    </cfRule>
  </conditionalFormatting>
  <conditionalFormatting sqref="S237:S238">
    <cfRule type="containsText" dxfId="3676" priority="12927" operator="containsText" text="Met">
      <formula>NOT(ISERROR(SEARCH("Met",S237)))</formula>
    </cfRule>
    <cfRule type="containsText" dxfId="3675" priority="12928" operator="containsText" text="Not Met">
      <formula>NOT(ISERROR(SEARCH("Not Met",S237)))</formula>
    </cfRule>
    <cfRule type="containsText" dxfId="3674" priority="12926" operator="containsText" text="Not Met">
      <formula>NOT(ISERROR(SEARCH("Not Met",S237)))</formula>
    </cfRule>
    <cfRule type="containsText" dxfId="3673" priority="12929" operator="containsText" text="Met">
      <formula>NOT(ISERROR(SEARCH("Met",S237)))</formula>
    </cfRule>
  </conditionalFormatting>
  <conditionalFormatting sqref="S239 S242">
    <cfRule type="containsText" dxfId="3672" priority="13567" operator="containsText" text="Met">
      <formula>NOT(ISERROR(SEARCH("Met",S239)))</formula>
    </cfRule>
  </conditionalFormatting>
  <conditionalFormatting sqref="S239:S240">
    <cfRule type="containsText" dxfId="3671" priority="12941" operator="containsText" text="Met">
      <formula>NOT(ISERROR(SEARCH("Met",S239)))</formula>
    </cfRule>
    <cfRule type="containsText" dxfId="3670" priority="12940" operator="containsText" text="Not Met">
      <formula>NOT(ISERROR(SEARCH("Not Met",S239)))</formula>
    </cfRule>
  </conditionalFormatting>
  <conditionalFormatting sqref="S240">
    <cfRule type="containsText" dxfId="3669" priority="12938" operator="containsText" text="Not Met">
      <formula>NOT(ISERROR(SEARCH("Not Met",S240)))</formula>
    </cfRule>
    <cfRule type="containsText" dxfId="3668" priority="12939" operator="containsText" text="Met">
      <formula>NOT(ISERROR(SEARCH("Met",S240)))</formula>
    </cfRule>
  </conditionalFormatting>
  <conditionalFormatting sqref="S242 S239">
    <cfRule type="containsText" dxfId="3667" priority="13566" operator="containsText" text="Not Met">
      <formula>NOT(ISERROR(SEARCH("Not Met",S239)))</formula>
    </cfRule>
  </conditionalFormatting>
  <conditionalFormatting sqref="S242">
    <cfRule type="containsText" dxfId="3666" priority="13565" operator="containsText" text="Met">
      <formula>NOT(ISERROR(SEARCH("Met",S242)))</formula>
    </cfRule>
    <cfRule type="containsText" dxfId="3665" priority="13564" operator="containsText" text="Not Met">
      <formula>NOT(ISERROR(SEARCH("Not Met",S242)))</formula>
    </cfRule>
  </conditionalFormatting>
  <conditionalFormatting sqref="S266:S268">
    <cfRule type="containsText" dxfId="3664" priority="13463" operator="containsText" text="Met">
      <formula>NOT(ISERROR(SEARCH("Met",S266)))</formula>
    </cfRule>
    <cfRule type="containsText" dxfId="3663" priority="13462" operator="containsText" text="Not Met">
      <formula>NOT(ISERROR(SEARCH("Not Met",S266)))</formula>
    </cfRule>
  </conditionalFormatting>
  <conditionalFormatting sqref="S268:S269">
    <cfRule type="containsText" dxfId="3662" priority="13460" operator="containsText" text="Not Met">
      <formula>NOT(ISERROR(SEARCH("Not Met",S268)))</formula>
    </cfRule>
    <cfRule type="containsText" dxfId="3661" priority="13461" operator="containsText" text="Met">
      <formula>NOT(ISERROR(SEARCH("Met",S268)))</formula>
    </cfRule>
  </conditionalFormatting>
  <conditionalFormatting sqref="S269:S270">
    <cfRule type="containsText" dxfId="3660" priority="13458" operator="containsText" text="Not Met">
      <formula>NOT(ISERROR(SEARCH("Not Met",S269)))</formula>
    </cfRule>
    <cfRule type="containsText" dxfId="3659" priority="13459" operator="containsText" text="Met">
      <formula>NOT(ISERROR(SEARCH("Met",S269)))</formula>
    </cfRule>
  </conditionalFormatting>
  <conditionalFormatting sqref="S270:S279">
    <cfRule type="containsText" dxfId="3658" priority="13457" operator="containsText" text="Met">
      <formula>NOT(ISERROR(SEARCH("Met",S270)))</formula>
    </cfRule>
    <cfRule type="containsText" dxfId="3657" priority="13456" operator="containsText" text="Not Met">
      <formula>NOT(ISERROR(SEARCH("Not Met",S270)))</formula>
    </cfRule>
  </conditionalFormatting>
  <conditionalFormatting sqref="S289:S294">
    <cfRule type="containsText" dxfId="3656" priority="13633" operator="containsText" text="Met">
      <formula>NOT(ISERROR(SEARCH("Met",S289)))</formula>
    </cfRule>
    <cfRule type="containsText" dxfId="3655" priority="13632" operator="containsText" text="Not Met">
      <formula>NOT(ISERROR(SEARCH("Not Met",S289)))</formula>
    </cfRule>
  </conditionalFormatting>
  <conditionalFormatting sqref="S458">
    <cfRule type="containsText" dxfId="3654" priority="1657" operator="containsText" text="Met">
      <formula>NOT(ISERROR(SEARCH("Met",S458)))</formula>
    </cfRule>
    <cfRule type="containsText" dxfId="3653" priority="1656" operator="containsText" text="Not Met">
      <formula>NOT(ISERROR(SEARCH("Not Met",S458)))</formula>
    </cfRule>
  </conditionalFormatting>
  <conditionalFormatting sqref="S135:T136">
    <cfRule type="containsText" dxfId="3652" priority="13521" operator="containsText" text="Met">
      <formula>NOT(ISERROR(SEARCH("Met",S135)))</formula>
    </cfRule>
    <cfRule type="containsText" dxfId="3651" priority="13520" operator="containsText" text="Not Met">
      <formula>NOT(ISERROR(SEARCH("Not Met",S135)))</formula>
    </cfRule>
  </conditionalFormatting>
  <conditionalFormatting sqref="S194:T201">
    <cfRule type="containsText" dxfId="3650" priority="13547" operator="containsText" text="Met">
      <formula>NOT(ISERROR(SEARCH("Met",S194)))</formula>
    </cfRule>
    <cfRule type="containsText" dxfId="3649" priority="13546" operator="containsText" text="Not Met">
      <formula>NOT(ISERROR(SEARCH("Not Met",S194)))</formula>
    </cfRule>
  </conditionalFormatting>
  <conditionalFormatting sqref="S236:T236">
    <cfRule type="containsText" dxfId="3648" priority="12944" operator="containsText" text="Not Met">
      <formula>NOT(ISERROR(SEARCH("Not Met",S236)))</formula>
    </cfRule>
    <cfRule type="containsText" dxfId="3647" priority="12947" operator="containsText" text="Met">
      <formula>NOT(ISERROR(SEARCH("Met",S236)))</formula>
    </cfRule>
    <cfRule type="containsText" dxfId="3646" priority="12946" operator="containsText" text="Not Met">
      <formula>NOT(ISERROR(SEARCH("Not Met",S236)))</formula>
    </cfRule>
    <cfRule type="containsText" dxfId="3645" priority="12945" operator="containsText" text="Met">
      <formula>NOT(ISERROR(SEARCH("Met",S236)))</formula>
    </cfRule>
  </conditionalFormatting>
  <conditionalFormatting sqref="S236:T238">
    <cfRule type="containsText" dxfId="3644" priority="12920" operator="containsText" text="Not Met">
      <formula>NOT(ISERROR(SEARCH("Not Met",S236)))</formula>
    </cfRule>
    <cfRule type="containsText" dxfId="3643" priority="12921" operator="containsText" text="Met">
      <formula>NOT(ISERROR(SEARCH("Met",S236)))</formula>
    </cfRule>
  </conditionalFormatting>
  <conditionalFormatting sqref="S239:T239 S242">
    <cfRule type="containsText" dxfId="3642" priority="13568" operator="containsText" text="Not Met">
      <formula>NOT(ISERROR(SEARCH("Not Met",S239)))</formula>
    </cfRule>
    <cfRule type="containsText" dxfId="3641" priority="13569" operator="containsText" text="Met">
      <formula>NOT(ISERROR(SEARCH("Met",S239)))</formula>
    </cfRule>
  </conditionalFormatting>
  <conditionalFormatting sqref="S240:T240">
    <cfRule type="containsText" dxfId="3640" priority="12935" operator="containsText" text="Met">
      <formula>NOT(ISERROR(SEARCH("Met",S240)))</formula>
    </cfRule>
    <cfRule type="containsText" dxfId="3639" priority="12934" operator="containsText" text="Not Met">
      <formula>NOT(ISERROR(SEARCH("Not Met",S240)))</formula>
    </cfRule>
  </conditionalFormatting>
  <conditionalFormatting sqref="T240">
    <cfRule type="containsText" dxfId="3638" priority="12933" operator="containsText" text="Met">
      <formula>NOT(ISERROR(SEARCH("Met",T240)))</formula>
    </cfRule>
    <cfRule type="containsText" dxfId="3637" priority="12932" operator="containsText" text="Not Met">
      <formula>NOT(ISERROR(SEARCH("Not Met",T240)))</formula>
    </cfRule>
  </conditionalFormatting>
  <conditionalFormatting sqref="T444:T445 T449 T454:T455">
    <cfRule type="containsText" dxfId="3636" priority="849" operator="containsText" text="Met">
      <formula>NOT(ISERROR(SEARCH("Met",T444)))</formula>
    </cfRule>
  </conditionalFormatting>
  <conditionalFormatting sqref="T444:T445 T449:T455">
    <cfRule type="containsText" dxfId="3635" priority="848" operator="containsText" text="Not Met">
      <formula>NOT(ISERROR(SEARCH("Not Met",T444)))</formula>
    </cfRule>
  </conditionalFormatting>
  <conditionalFormatting sqref="T446:T448">
    <cfRule type="containsText" dxfId="3634" priority="871" operator="containsText" text="Met">
      <formula>NOT(ISERROR(SEARCH("Met",T446)))</formula>
    </cfRule>
  </conditionalFormatting>
  <conditionalFormatting sqref="T456:T457">
    <cfRule type="containsText" dxfId="3633" priority="700" operator="containsText" text="Not Met">
      <formula>NOT(ISERROR(SEARCH("Not Met",T456)))</formula>
    </cfRule>
    <cfRule type="containsText" dxfId="3632" priority="701" operator="containsText" text="Met">
      <formula>NOT(ISERROR(SEARCH("Met",T456)))</formula>
    </cfRule>
  </conditionalFormatting>
  <conditionalFormatting sqref="T238:U238">
    <cfRule type="containsText" dxfId="3631" priority="12210" operator="containsText" text="Met">
      <formula>NOT(ISERROR(SEARCH("Met",T238)))</formula>
    </cfRule>
    <cfRule type="containsText" dxfId="3630" priority="12209" operator="containsText" text="Not Met">
      <formula>NOT(ISERROR(SEARCH("Not Met",T238)))</formula>
    </cfRule>
  </conditionalFormatting>
  <conditionalFormatting sqref="T240:U241">
    <cfRule type="containsText" dxfId="3629" priority="12204" operator="containsText" text="Met">
      <formula>NOT(ISERROR(SEARCH("Met",T240)))</formula>
    </cfRule>
    <cfRule type="containsText" dxfId="3628" priority="12203" operator="containsText" text="Not Met">
      <formula>NOT(ISERROR(SEARCH("Not Met",T240)))</formula>
    </cfRule>
  </conditionalFormatting>
  <conditionalFormatting sqref="T75:V75">
    <cfRule type="containsText" dxfId="3627" priority="12425" operator="containsText" text="Met">
      <formula>NOT(ISERROR(SEARCH("Met",T75)))</formula>
    </cfRule>
    <cfRule type="containsText" dxfId="3626" priority="12424" operator="containsText" text="Not Met">
      <formula>NOT(ISERROR(SEARCH("Not Met",T75)))</formula>
    </cfRule>
  </conditionalFormatting>
  <conditionalFormatting sqref="U21:U23">
    <cfRule type="containsText" dxfId="3625" priority="12518" operator="containsText" text="Not Met">
      <formula>NOT(ISERROR(SEARCH("Not Met",U21)))</formula>
    </cfRule>
    <cfRule type="containsText" dxfId="3624" priority="12519" operator="containsText" text="Met">
      <formula>NOT(ISERROR(SEARCH("Met",U21)))</formula>
    </cfRule>
  </conditionalFormatting>
  <conditionalFormatting sqref="U22">
    <cfRule type="containsText" dxfId="3623" priority="12516" operator="containsText" text="Not Met">
      <formula>NOT(ISERROR(SEARCH("Not Met",U22)))</formula>
    </cfRule>
    <cfRule type="containsText" dxfId="3622" priority="12517" operator="containsText" text="Met">
      <formula>NOT(ISERROR(SEARCH("Met",U22)))</formula>
    </cfRule>
  </conditionalFormatting>
  <conditionalFormatting sqref="U23">
    <cfRule type="containsText" dxfId="3621" priority="12526" operator="containsText" text="Not Met">
      <formula>NOT(ISERROR(SEARCH("Not Met",U23)))</formula>
    </cfRule>
    <cfRule type="containsText" dxfId="3620" priority="12527" operator="containsText" text="Met">
      <formula>NOT(ISERROR(SEARCH("Met",U23)))</formula>
    </cfRule>
  </conditionalFormatting>
  <conditionalFormatting sqref="U24">
    <cfRule type="containsText" dxfId="3619" priority="12512" operator="containsText" text="Not Met">
      <formula>NOT(ISERROR(SEARCH("Not Met",U24)))</formula>
    </cfRule>
    <cfRule type="containsText" dxfId="3618" priority="12513" operator="containsText" text="Met">
      <formula>NOT(ISERROR(SEARCH("Met",U24)))</formula>
    </cfRule>
  </conditionalFormatting>
  <conditionalFormatting sqref="U24:U25">
    <cfRule type="containsText" dxfId="3617" priority="12514" operator="containsText" text="Not Met">
      <formula>NOT(ISERROR(SEARCH("Not Met",U24)))</formula>
    </cfRule>
    <cfRule type="containsText" dxfId="3616" priority="12515" operator="containsText" text="Met">
      <formula>NOT(ISERROR(SEARCH("Met",U24)))</formula>
    </cfRule>
  </conditionalFormatting>
  <conditionalFormatting sqref="U25">
    <cfRule type="containsText" dxfId="3615" priority="12528" operator="containsText" text="Not Met">
      <formula>NOT(ISERROR(SEARCH("Not Met",U25)))</formula>
    </cfRule>
    <cfRule type="containsText" dxfId="3614" priority="12529" operator="containsText" text="Met">
      <formula>NOT(ISERROR(SEARCH("Met",U25)))</formula>
    </cfRule>
  </conditionalFormatting>
  <conditionalFormatting sqref="U25:U26 V26">
    <cfRule type="containsText" dxfId="3613" priority="12537" operator="containsText" text="Met">
      <formula>NOT(ISERROR(SEARCH("Met",U25)))</formula>
    </cfRule>
    <cfRule type="containsText" dxfId="3612" priority="12536" operator="containsText" text="Not Met">
      <formula>NOT(ISERROR(SEARCH("Not Met",U25)))</formula>
    </cfRule>
  </conditionalFormatting>
  <conditionalFormatting sqref="U25:U26">
    <cfRule type="containsText" dxfId="3611" priority="12531" operator="containsText" text="Met">
      <formula>NOT(ISERROR(SEARCH("Met",U25)))</formula>
    </cfRule>
    <cfRule type="containsText" dxfId="3610" priority="12530" operator="containsText" text="Not Met">
      <formula>NOT(ISERROR(SEARCH("Not Met",U25)))</formula>
    </cfRule>
  </conditionalFormatting>
  <conditionalFormatting sqref="U25:U27 V26">
    <cfRule type="containsText" dxfId="3609" priority="12533" operator="containsText" text="Met">
      <formula>NOT(ISERROR(SEARCH("Met",U25)))</formula>
    </cfRule>
    <cfRule type="containsText" dxfId="3608" priority="12532" operator="containsText" text="Not Met">
      <formula>NOT(ISERROR(SEARCH("Not Met",U25)))</formula>
    </cfRule>
  </conditionalFormatting>
  <conditionalFormatting sqref="U28">
    <cfRule type="containsText" dxfId="3607" priority="12510" operator="containsText" text="Not Met">
      <formula>NOT(ISERROR(SEARCH("Not Met",U28)))</formula>
    </cfRule>
    <cfRule type="containsText" dxfId="3606" priority="12511" operator="containsText" text="Met">
      <formula>NOT(ISERROR(SEARCH("Met",U28)))</formula>
    </cfRule>
  </conditionalFormatting>
  <conditionalFormatting sqref="U28:U32">
    <cfRule type="containsText" dxfId="3605" priority="12509" operator="containsText" text="Met">
      <formula>NOT(ISERROR(SEARCH("Met",U28)))</formula>
    </cfRule>
    <cfRule type="containsText" dxfId="3604" priority="12508" operator="containsText" text="Not Met">
      <formula>NOT(ISERROR(SEARCH("Not Met",U28)))</formula>
    </cfRule>
  </conditionalFormatting>
  <conditionalFormatting sqref="U29:U33">
    <cfRule type="containsText" dxfId="3603" priority="12484" operator="containsText" text="Not Met">
      <formula>NOT(ISERROR(SEARCH("Not Met",U29)))</formula>
    </cfRule>
    <cfRule type="containsText" dxfId="3602" priority="12485" operator="containsText" text="Met">
      <formula>NOT(ISERROR(SEARCH("Met",U29)))</formula>
    </cfRule>
  </conditionalFormatting>
  <conditionalFormatting sqref="U33">
    <cfRule type="containsText" dxfId="3601" priority="12483" operator="containsText" text="Met">
      <formula>NOT(ISERROR(SEARCH("Met",U33)))</formula>
    </cfRule>
    <cfRule type="containsText" dxfId="3600" priority="12482" operator="containsText" text="Not Met">
      <formula>NOT(ISERROR(SEARCH("Not Met",U33)))</formula>
    </cfRule>
  </conditionalFormatting>
  <conditionalFormatting sqref="U49:U61">
    <cfRule type="containsText" dxfId="3599" priority="12473" operator="containsText" text="Met">
      <formula>NOT(ISERROR(SEARCH("Met",U49)))</formula>
    </cfRule>
    <cfRule type="containsText" dxfId="3598" priority="12472" operator="containsText" text="Not Met">
      <formula>NOT(ISERROR(SEARCH("Not Met",U49)))</formula>
    </cfRule>
  </conditionalFormatting>
  <conditionalFormatting sqref="U60:U71">
    <cfRule type="containsText" dxfId="3597" priority="12437" operator="containsText" text="Met">
      <formula>NOT(ISERROR(SEARCH("Met",U60)))</formula>
    </cfRule>
    <cfRule type="containsText" dxfId="3596" priority="12436" operator="containsText" text="Not Met">
      <formula>NOT(ISERROR(SEARCH("Not Met",U60)))</formula>
    </cfRule>
  </conditionalFormatting>
  <conditionalFormatting sqref="U69">
    <cfRule type="containsText" dxfId="3595" priority="12435" operator="containsText" text="Met">
      <formula>NOT(ISERROR(SEARCH("Met",U69)))</formula>
    </cfRule>
    <cfRule type="containsText" dxfId="3594" priority="12434" operator="containsText" text="Not Met">
      <formula>NOT(ISERROR(SEARCH("Not Met",U69)))</formula>
    </cfRule>
  </conditionalFormatting>
  <conditionalFormatting sqref="U70:U71">
    <cfRule type="containsText" dxfId="3593" priority="12462" operator="containsText" text="Not Met">
      <formula>NOT(ISERROR(SEARCH("Not Met",U70)))</formula>
    </cfRule>
    <cfRule type="containsText" dxfId="3592" priority="12463" operator="containsText" text="Met">
      <formula>NOT(ISERROR(SEARCH("Met",U70)))</formula>
    </cfRule>
  </conditionalFormatting>
  <conditionalFormatting sqref="U71">
    <cfRule type="containsText" dxfId="3591" priority="12460" operator="containsText" text="Not Met">
      <formula>NOT(ISERROR(SEARCH("Not Met",U71)))</formula>
    </cfRule>
    <cfRule type="containsText" dxfId="3590" priority="12461" operator="containsText" text="Met">
      <formula>NOT(ISERROR(SEARCH("Met",U71)))</formula>
    </cfRule>
  </conditionalFormatting>
  <conditionalFormatting sqref="U72:U74">
    <cfRule type="containsText" dxfId="3589" priority="12393" operator="containsText" text="Not Met">
      <formula>NOT(ISERROR(SEARCH("Not Met",U72)))</formula>
    </cfRule>
    <cfRule type="containsText" dxfId="3588" priority="12394" operator="containsText" text="Met">
      <formula>NOT(ISERROR(SEARCH("Met",U72)))</formula>
    </cfRule>
  </conditionalFormatting>
  <conditionalFormatting sqref="U74">
    <cfRule type="containsText" dxfId="3587" priority="12413" operator="containsText" text="Not Met">
      <formula>NOT(ISERROR(SEARCH("Not Met",U74)))</formula>
    </cfRule>
    <cfRule type="containsText" dxfId="3586" priority="12414" operator="containsText" text="Met">
      <formula>NOT(ISERROR(SEARCH("Met",U74)))</formula>
    </cfRule>
  </conditionalFormatting>
  <conditionalFormatting sqref="U76">
    <cfRule type="containsText" dxfId="3585" priority="12404" operator="containsText" text="Met">
      <formula>NOT(ISERROR(SEARCH("Met",U76)))</formula>
    </cfRule>
    <cfRule type="containsText" dxfId="3584" priority="12403" operator="containsText" text="Not Met">
      <formula>NOT(ISERROR(SEARCH("Not Met",U76)))</formula>
    </cfRule>
  </conditionalFormatting>
  <conditionalFormatting sqref="U76:U77">
    <cfRule type="containsText" dxfId="3583" priority="12407" operator="containsText" text="Not Met">
      <formula>NOT(ISERROR(SEARCH("Not Met",U76)))</formula>
    </cfRule>
    <cfRule type="containsText" dxfId="3582" priority="12408" operator="containsText" text="Met">
      <formula>NOT(ISERROR(SEARCH("Met",U76)))</formula>
    </cfRule>
  </conditionalFormatting>
  <conditionalFormatting sqref="U77">
    <cfRule type="containsText" dxfId="3581" priority="12422" operator="containsText" text="Not Met">
      <formula>NOT(ISERROR(SEARCH("Not Met",U77)))</formula>
    </cfRule>
  </conditionalFormatting>
  <conditionalFormatting sqref="U78:U83 U85:U87 U88:V88 U89:U90">
    <cfRule type="containsText" dxfId="3580" priority="12386" operator="containsText" text="Met">
      <formula>NOT(ISERROR(SEARCH("Met",U78)))</formula>
    </cfRule>
  </conditionalFormatting>
  <conditionalFormatting sqref="U78:U83 U85:U87 U88:V88">
    <cfRule type="containsText" dxfId="3579" priority="12385" operator="containsText" text="Not Met">
      <formula>NOT(ISERROR(SEARCH("Not Met",U78)))</formula>
    </cfRule>
    <cfRule type="containsText" dxfId="3578" priority="12384" operator="containsText" text="Met">
      <formula>NOT(ISERROR(SEARCH("Met",U78)))</formula>
    </cfRule>
  </conditionalFormatting>
  <conditionalFormatting sqref="U78:U83">
    <cfRule type="containsText" dxfId="3577" priority="12383" operator="containsText" text="Not Met">
      <formula>NOT(ISERROR(SEARCH("Not Met",U78)))</formula>
    </cfRule>
  </conditionalFormatting>
  <conditionalFormatting sqref="U89">
    <cfRule type="containsText" dxfId="3576" priority="12074" operator="containsText" text="Met">
      <formula>NOT(ISERROR(SEARCH("Met",U89)))</formula>
    </cfRule>
  </conditionalFormatting>
  <conditionalFormatting sqref="U89:U90 U85:U87 U88:V88">
    <cfRule type="containsText" dxfId="3575" priority="12372" operator="containsText" text="Not Met">
      <formula>NOT(ISERROR(SEARCH("Not Met",U85)))</formula>
    </cfRule>
  </conditionalFormatting>
  <conditionalFormatting sqref="U90">
    <cfRule type="containsText" dxfId="3574" priority="12356" operator="containsText" text="Not Met">
      <formula>NOT(ISERROR(SEARCH("Not Met",U90)))</formula>
    </cfRule>
    <cfRule type="containsText" dxfId="3573" priority="12357" operator="containsText" text="Met">
      <formula>NOT(ISERROR(SEARCH("Met",U90)))</formula>
    </cfRule>
  </conditionalFormatting>
  <conditionalFormatting sqref="U90:U96">
    <cfRule type="containsText" dxfId="3572" priority="12354" operator="containsText" text="Not Met">
      <formula>NOT(ISERROR(SEARCH("Not Met",U90)))</formula>
    </cfRule>
    <cfRule type="containsText" dxfId="3571" priority="12355" operator="containsText" text="Met">
      <formula>NOT(ISERROR(SEARCH("Met",U90)))</formula>
    </cfRule>
  </conditionalFormatting>
  <conditionalFormatting sqref="U92:U96 B39:B48 N304:O309 I304:J313">
    <cfRule type="containsText" dxfId="3570" priority="16255" operator="containsText" text="Not Met">
      <formula>NOT(ISERROR(SEARCH("Not Met",B39)))</formula>
    </cfRule>
  </conditionalFormatting>
  <conditionalFormatting sqref="U92:U96">
    <cfRule type="containsText" dxfId="3569" priority="12342" operator="containsText" text="Not Met">
      <formula>NOT(ISERROR(SEARCH("Not Met",U92)))</formula>
    </cfRule>
    <cfRule type="containsText" dxfId="3568" priority="12343" operator="containsText" text="Met">
      <formula>NOT(ISERROR(SEARCH("Met",U92)))</formula>
    </cfRule>
  </conditionalFormatting>
  <conditionalFormatting sqref="U113">
    <cfRule type="containsText" dxfId="3567" priority="12137" operator="containsText" text="Not Met">
      <formula>NOT(ISERROR(SEARCH("Not Met",U113)))</formula>
    </cfRule>
    <cfRule type="containsText" dxfId="3566" priority="12138" operator="containsText" text="Met">
      <formula>NOT(ISERROR(SEARCH("Met",U113)))</formula>
    </cfRule>
  </conditionalFormatting>
  <conditionalFormatting sqref="U118:U124">
    <cfRule type="containsText" dxfId="3565" priority="12129" operator="containsText" text="Not Met">
      <formula>NOT(ISERROR(SEARCH("Not Met",U118)))</formula>
    </cfRule>
  </conditionalFormatting>
  <conditionalFormatting sqref="U118:U126">
    <cfRule type="containsText" dxfId="3564" priority="12130" operator="containsText" text="Met">
      <formula>NOT(ISERROR(SEARCH("Met",U118)))</formula>
    </cfRule>
  </conditionalFormatting>
  <conditionalFormatting sqref="U125:U126">
    <cfRule type="containsText" dxfId="3563" priority="12170" operator="containsText" text="Not Met">
      <formula>NOT(ISERROR(SEARCH("Not Met",U125)))</formula>
    </cfRule>
  </conditionalFormatting>
  <conditionalFormatting sqref="U128:U129">
    <cfRule type="containsText" dxfId="3562" priority="12158" operator="containsText" text="Met">
      <formula>NOT(ISERROR(SEARCH("Met",U128)))</formula>
    </cfRule>
    <cfRule type="containsText" dxfId="3561" priority="12157" operator="containsText" text="Not Met">
      <formula>NOT(ISERROR(SEARCH("Not Met",U128)))</formula>
    </cfRule>
  </conditionalFormatting>
  <conditionalFormatting sqref="U131:U135">
    <cfRule type="containsText" dxfId="3560" priority="12154" operator="containsText" text="Met">
      <formula>NOT(ISERROR(SEARCH("Met",U131)))</formula>
    </cfRule>
    <cfRule type="containsText" dxfId="3559" priority="12153" operator="containsText" text="Not Met">
      <formula>NOT(ISERROR(SEARCH("Not Met",U131)))</formula>
    </cfRule>
  </conditionalFormatting>
  <conditionalFormatting sqref="U142">
    <cfRule type="containsText" dxfId="3558" priority="12679" operator="containsText" text="Not Met">
      <formula>NOT(ISERROR(SEARCH("Not Met",U142)))</formula>
    </cfRule>
    <cfRule type="containsText" dxfId="3557" priority="12680" operator="containsText" text="Met">
      <formula>NOT(ISERROR(SEARCH("Met",U142)))</formula>
    </cfRule>
  </conditionalFormatting>
  <conditionalFormatting sqref="U142:U143">
    <cfRule type="containsText" dxfId="3556" priority="12675" operator="containsText" text="Not Met">
      <formula>NOT(ISERROR(SEARCH("Not Met",U142)))</formula>
    </cfRule>
    <cfRule type="containsText" dxfId="3555" priority="12676" operator="containsText" text="Met">
      <formula>NOT(ISERROR(SEARCH("Met",U142)))</formula>
    </cfRule>
  </conditionalFormatting>
  <conditionalFormatting sqref="U143:U144">
    <cfRule type="containsText" dxfId="3554" priority="12671" operator="containsText" text="Not Met">
      <formula>NOT(ISERROR(SEARCH("Not Met",U143)))</formula>
    </cfRule>
    <cfRule type="containsText" dxfId="3553" priority="12672" operator="containsText" text="Met">
      <formula>NOT(ISERROR(SEARCH("Met",U143)))</formula>
    </cfRule>
  </conditionalFormatting>
  <conditionalFormatting sqref="U144:U145">
    <cfRule type="containsText" dxfId="3552" priority="12667" operator="containsText" text="Not Met">
      <formula>NOT(ISERROR(SEARCH("Not Met",U144)))</formula>
    </cfRule>
    <cfRule type="containsText" dxfId="3551" priority="12668" operator="containsText" text="Met">
      <formula>NOT(ISERROR(SEARCH("Met",U144)))</formula>
    </cfRule>
  </conditionalFormatting>
  <conditionalFormatting sqref="U145:U146">
    <cfRule type="containsText" dxfId="3550" priority="12663" operator="containsText" text="Not Met">
      <formula>NOT(ISERROR(SEARCH("Not Met",U145)))</formula>
    </cfRule>
    <cfRule type="containsText" dxfId="3549" priority="12664" operator="containsText" text="Met">
      <formula>NOT(ISERROR(SEARCH("Met",U145)))</formula>
    </cfRule>
  </conditionalFormatting>
  <conditionalFormatting sqref="U146:U154">
    <cfRule type="containsText" dxfId="3548" priority="12565" operator="containsText" text="Not Met">
      <formula>NOT(ISERROR(SEARCH("Not Met",U146)))</formula>
    </cfRule>
    <cfRule type="containsText" dxfId="3547" priority="12566" operator="containsText" text="Met">
      <formula>NOT(ISERROR(SEARCH("Met",U146)))</formula>
    </cfRule>
  </conditionalFormatting>
  <conditionalFormatting sqref="U149:U154">
    <cfRule type="containsText" dxfId="3546" priority="12574" operator="containsText" text="Met">
      <formula>NOT(ISERROR(SEARCH("Met",U149)))</formula>
    </cfRule>
    <cfRule type="containsText" dxfId="3545" priority="12573" operator="containsText" text="Not Met">
      <formula>NOT(ISERROR(SEARCH("Not Met",U149)))</formula>
    </cfRule>
  </conditionalFormatting>
  <conditionalFormatting sqref="U155:U162">
    <cfRule type="containsText" dxfId="3544" priority="12702" operator="containsText" text="Met">
      <formula>NOT(ISERROR(SEARCH("Met",U155)))</formula>
    </cfRule>
    <cfRule type="containsText" dxfId="3543" priority="12701" operator="containsText" text="Not Met">
      <formula>NOT(ISERROR(SEARCH("Not Met",U155)))</formula>
    </cfRule>
    <cfRule type="containsText" dxfId="3542" priority="12700" operator="containsText" text="Met">
      <formula>NOT(ISERROR(SEARCH("Met",U155)))</formula>
    </cfRule>
    <cfRule type="containsText" dxfId="3541" priority="12699" operator="containsText" text="Not Met">
      <formula>NOT(ISERROR(SEARCH("Not Met",U155)))</formula>
    </cfRule>
  </conditionalFormatting>
  <conditionalFormatting sqref="U155:U170">
    <cfRule type="containsText" dxfId="3540" priority="12658" operator="containsText" text="Met">
      <formula>NOT(ISERROR(SEARCH("Met",U155)))</formula>
    </cfRule>
    <cfRule type="containsText" dxfId="3539" priority="12657" operator="containsText" text="Not Met">
      <formula>NOT(ISERROR(SEARCH("Not Met",U155)))</formula>
    </cfRule>
  </conditionalFormatting>
  <conditionalFormatting sqref="U163:U164">
    <cfRule type="containsText" dxfId="3538" priority="12651" operator="containsText" text="Not Met">
      <formula>NOT(ISERROR(SEARCH("Not Met",U163)))</formula>
    </cfRule>
    <cfRule type="containsText" dxfId="3537" priority="12652" operator="containsText" text="Met">
      <formula>NOT(ISERROR(SEARCH("Met",U163)))</formula>
    </cfRule>
  </conditionalFormatting>
  <conditionalFormatting sqref="U166:U170">
    <cfRule type="containsText" dxfId="3536" priority="12656" operator="containsText" text="Met">
      <formula>NOT(ISERROR(SEARCH("Met",U166)))</formula>
    </cfRule>
    <cfRule type="containsText" dxfId="3535" priority="12655" operator="containsText" text="Not Met">
      <formula>NOT(ISERROR(SEARCH("Not Met",U166)))</formula>
    </cfRule>
  </conditionalFormatting>
  <conditionalFormatting sqref="U167">
    <cfRule type="containsText" dxfId="3534" priority="12653" operator="containsText" text="Not Met">
      <formula>NOT(ISERROR(SEARCH("Not Met",U167)))</formula>
    </cfRule>
    <cfRule type="containsText" dxfId="3533" priority="12654" operator="containsText" text="Met">
      <formula>NOT(ISERROR(SEARCH("Met",U167)))</formula>
    </cfRule>
  </conditionalFormatting>
  <conditionalFormatting sqref="U173">
    <cfRule type="containsText" dxfId="3532" priority="12149" operator="containsText" text="Not Met">
      <formula>NOT(ISERROR(SEARCH("Not Met",U173)))</formula>
    </cfRule>
    <cfRule type="containsText" dxfId="3531" priority="12150" operator="containsText" text="Met">
      <formula>NOT(ISERROR(SEARCH("Met",U173)))</formula>
    </cfRule>
  </conditionalFormatting>
  <conditionalFormatting sqref="U176:U181">
    <cfRule type="containsText" dxfId="3530" priority="12142" operator="containsText" text="Met">
      <formula>NOT(ISERROR(SEARCH("Met",U176)))</formula>
    </cfRule>
    <cfRule type="containsText" dxfId="3529" priority="12141" operator="containsText" text="Not Met">
      <formula>NOT(ISERROR(SEARCH("Not Met",U176)))</formula>
    </cfRule>
  </conditionalFormatting>
  <conditionalFormatting sqref="U194:U201">
    <cfRule type="containsText" dxfId="3528" priority="12234" operator="containsText" text="Met">
      <formula>NOT(ISERROR(SEARCH("Met",U194)))</formula>
    </cfRule>
    <cfRule type="containsText" dxfId="3527" priority="12233" operator="containsText" text="Not Met">
      <formula>NOT(ISERROR(SEARCH("Not Met",U194)))</formula>
    </cfRule>
  </conditionalFormatting>
  <conditionalFormatting sqref="U213">
    <cfRule type="containsText" dxfId="3526" priority="12275" operator="containsText" text="Not Met">
      <formula>NOT(ISERROR(SEARCH("Not Met",U213)))</formula>
    </cfRule>
    <cfRule type="containsText" dxfId="3525" priority="12276" operator="containsText" text="Met">
      <formula>NOT(ISERROR(SEARCH("Met",U213)))</formula>
    </cfRule>
    <cfRule type="containsText" dxfId="3524" priority="12278" operator="containsText" text="Met">
      <formula>NOT(ISERROR(SEARCH("Met",U213)))</formula>
    </cfRule>
    <cfRule type="containsText" dxfId="3523" priority="12277" operator="containsText" text="Not Met">
      <formula>NOT(ISERROR(SEARCH("Not Met",U213)))</formula>
    </cfRule>
  </conditionalFormatting>
  <conditionalFormatting sqref="U213:U215">
    <cfRule type="containsText" dxfId="3522" priority="12269" operator="containsText" text="Not Met">
      <formula>NOT(ISERROR(SEARCH("Not Met",U213)))</formula>
    </cfRule>
    <cfRule type="containsText" dxfId="3521" priority="12270" operator="containsText" text="Met">
      <formula>NOT(ISERROR(SEARCH("Met",U213)))</formula>
    </cfRule>
  </conditionalFormatting>
  <conditionalFormatting sqref="U215">
    <cfRule type="containsText" dxfId="3520" priority="12274" operator="containsText" text="Met">
      <formula>NOT(ISERROR(SEARCH("Met",U215)))</formula>
    </cfRule>
    <cfRule type="containsText" dxfId="3519" priority="12273" operator="containsText" text="Not Met">
      <formula>NOT(ISERROR(SEARCH("Not Met",U215)))</formula>
    </cfRule>
    <cfRule type="containsText" dxfId="3518" priority="12263" operator="containsText" text="Not Met">
      <formula>NOT(ISERROR(SEARCH("Not Met",U215)))</formula>
    </cfRule>
    <cfRule type="containsText" dxfId="3517" priority="12264" operator="containsText" text="Met">
      <formula>NOT(ISERROR(SEARCH("Met",U215)))</formula>
    </cfRule>
  </conditionalFormatting>
  <conditionalFormatting sqref="U219">
    <cfRule type="containsText" dxfId="3516" priority="12253" operator="containsText" text="Not Met">
      <formula>NOT(ISERROR(SEARCH("Not Met",U219)))</formula>
    </cfRule>
    <cfRule type="containsText" dxfId="3515" priority="12254" operator="containsText" text="Met">
      <formula>NOT(ISERROR(SEARCH("Met",U219)))</formula>
    </cfRule>
  </conditionalFormatting>
  <conditionalFormatting sqref="U222">
    <cfRule type="containsText" dxfId="3514" priority="12307" operator="containsText" text="Not Met">
      <formula>NOT(ISERROR(SEARCH("Not Met",U222)))</formula>
    </cfRule>
    <cfRule type="containsText" dxfId="3513" priority="12315" operator="containsText" text="Met">
      <formula>NOT(ISERROR(SEARCH("Met",U222)))</formula>
    </cfRule>
    <cfRule type="containsText" dxfId="3512" priority="12316" operator="containsText" text="Not Met">
      <formula>NOT(ISERROR(SEARCH("Not Met",U222)))</formula>
    </cfRule>
    <cfRule type="containsText" dxfId="3511" priority="12317" operator="containsText" text="Met">
      <formula>NOT(ISERROR(SEARCH("Met",U222)))</formula>
    </cfRule>
  </conditionalFormatting>
  <conditionalFormatting sqref="U222:U225">
    <cfRule type="containsText" dxfId="3510" priority="12303" operator="containsText" text="Not Met">
      <formula>NOT(ISERROR(SEARCH("Not Met",U222)))</formula>
    </cfRule>
    <cfRule type="containsText" dxfId="3509" priority="12304" operator="containsText" text="Met">
      <formula>NOT(ISERROR(SEARCH("Met",U222)))</formula>
    </cfRule>
  </conditionalFormatting>
  <conditionalFormatting sqref="U224">
    <cfRule type="containsText" dxfId="3508" priority="12302" operator="containsText" text="Met">
      <formula>NOT(ISERROR(SEARCH("Met",U224)))</formula>
    </cfRule>
    <cfRule type="containsText" dxfId="3507" priority="12301" operator="containsText" text="Not Met">
      <formula>NOT(ISERROR(SEARCH("Not Met",U224)))</formula>
    </cfRule>
  </conditionalFormatting>
  <conditionalFormatting sqref="U226">
    <cfRule type="containsText" dxfId="3506" priority="12311" operator="containsText" text="Not Met">
      <formula>NOT(ISERROR(SEARCH("Not Met",U226)))</formula>
    </cfRule>
    <cfRule type="containsText" dxfId="3505" priority="12313" operator="containsText" text="Not Met">
      <formula>NOT(ISERROR(SEARCH("Not Met",U226)))</formula>
    </cfRule>
    <cfRule type="containsText" dxfId="3504" priority="12314" operator="containsText" text="Met">
      <formula>NOT(ISERROR(SEARCH("Met",U226)))</formula>
    </cfRule>
    <cfRule type="containsText" dxfId="3503" priority="12312" operator="containsText" text="Met">
      <formula>NOT(ISERROR(SEARCH("Met",U226)))</formula>
    </cfRule>
  </conditionalFormatting>
  <conditionalFormatting sqref="U226:U228">
    <cfRule type="containsText" dxfId="3502" priority="12306" operator="containsText" text="Met">
      <formula>NOT(ISERROR(SEARCH("Met",U226)))</formula>
    </cfRule>
  </conditionalFormatting>
  <conditionalFormatting sqref="U227:U228">
    <cfRule type="containsText" dxfId="3501" priority="12305" operator="containsText" text="Not Met">
      <formula>NOT(ISERROR(SEARCH("Not Met",U227)))</formula>
    </cfRule>
  </conditionalFormatting>
  <conditionalFormatting sqref="U236">
    <cfRule type="containsText" dxfId="3500" priority="12194" operator="containsText" text="Met">
      <formula>NOT(ISERROR(SEARCH("Met",U236)))</formula>
    </cfRule>
    <cfRule type="containsText" dxfId="3499" priority="12190" operator="containsText" text="Met">
      <formula>NOT(ISERROR(SEARCH("Met",U236)))</formula>
    </cfRule>
    <cfRule type="containsText" dxfId="3498" priority="12191" operator="containsText" text="Not Met">
      <formula>NOT(ISERROR(SEARCH("Not Met",U236)))</formula>
    </cfRule>
    <cfRule type="containsText" dxfId="3497" priority="12192" operator="containsText" text="Met">
      <formula>NOT(ISERROR(SEARCH("Met",U236)))</formula>
    </cfRule>
    <cfRule type="containsText" dxfId="3496" priority="12193" operator="containsText" text="Not Met">
      <formula>NOT(ISERROR(SEARCH("Not Met",U236)))</formula>
    </cfRule>
    <cfRule type="containsText" dxfId="3495" priority="12189" operator="containsText" text="Not Met">
      <formula>NOT(ISERROR(SEARCH("Not Met",U236)))</formula>
    </cfRule>
  </conditionalFormatting>
  <conditionalFormatting sqref="U237">
    <cfRule type="containsText" dxfId="3494" priority="12222" operator="containsText" text="Met">
      <formula>NOT(ISERROR(SEARCH("Met",U237)))</formula>
    </cfRule>
    <cfRule type="containsText" dxfId="3493" priority="12220" operator="containsText" text="Met">
      <formula>NOT(ISERROR(SEARCH("Met",U237)))</formula>
    </cfRule>
    <cfRule type="containsText" dxfId="3492" priority="12219" operator="containsText" text="Not Met">
      <formula>NOT(ISERROR(SEARCH("Not Met",U237)))</formula>
    </cfRule>
    <cfRule type="containsText" dxfId="3491" priority="12221" operator="containsText" text="Not Met">
      <formula>NOT(ISERROR(SEARCH("Not Met",U237)))</formula>
    </cfRule>
  </conditionalFormatting>
  <conditionalFormatting sqref="U237:U239">
    <cfRule type="containsText" dxfId="3490" priority="12214" operator="containsText" text="Met">
      <formula>NOT(ISERROR(SEARCH("Met",U237)))</formula>
    </cfRule>
    <cfRule type="containsText" dxfId="3489" priority="12213" operator="containsText" text="Not Met">
      <formula>NOT(ISERROR(SEARCH("Not Met",U237)))</formula>
    </cfRule>
  </conditionalFormatting>
  <conditionalFormatting sqref="U238:U239">
    <cfRule type="containsText" dxfId="3488" priority="12212" operator="containsText" text="Met">
      <formula>NOT(ISERROR(SEARCH("Met",U238)))</formula>
    </cfRule>
    <cfRule type="containsText" dxfId="3487" priority="12211" operator="containsText" text="Not Met">
      <formula>NOT(ISERROR(SEARCH("Not Met",U238)))</formula>
    </cfRule>
  </conditionalFormatting>
  <conditionalFormatting sqref="U239:U241">
    <cfRule type="containsText" dxfId="3486" priority="12205" operator="containsText" text="Not Met">
      <formula>NOT(ISERROR(SEARCH("Not Met",U239)))</formula>
    </cfRule>
    <cfRule type="containsText" dxfId="3485" priority="12206" operator="containsText" text="Met">
      <formula>NOT(ISERROR(SEARCH("Met",U239)))</formula>
    </cfRule>
  </conditionalFormatting>
  <conditionalFormatting sqref="U240:U256">
    <cfRule type="containsText" dxfId="3484" priority="12200" operator="containsText" text="Met">
      <formula>NOT(ISERROR(SEARCH("Met",U240)))</formula>
    </cfRule>
    <cfRule type="containsText" dxfId="3483" priority="12199" operator="containsText" text="Not Met">
      <formula>NOT(ISERROR(SEARCH("Not Met",U240)))</formula>
    </cfRule>
  </conditionalFormatting>
  <conditionalFormatting sqref="U242">
    <cfRule type="containsText" dxfId="3482" priority="12197" operator="containsText" text="Not Met">
      <formula>NOT(ISERROR(SEARCH("Not Met",U242)))</formula>
    </cfRule>
    <cfRule type="containsText" dxfId="3481" priority="12196" operator="containsText" text="Met">
      <formula>NOT(ISERROR(SEARCH("Met",U242)))</formula>
    </cfRule>
    <cfRule type="containsText" dxfId="3480" priority="12195" operator="containsText" text="Not Met">
      <formula>NOT(ISERROR(SEARCH("Not Met",U242)))</formula>
    </cfRule>
    <cfRule type="containsText" dxfId="3479" priority="12198" operator="containsText" text="Met">
      <formula>NOT(ISERROR(SEARCH("Met",U242)))</formula>
    </cfRule>
  </conditionalFormatting>
  <conditionalFormatting sqref="U258:U265">
    <cfRule type="containsText" dxfId="3478" priority="12707" operator="containsText" text="Not Met">
      <formula>NOT(ISERROR(SEARCH("Not Met",U258)))</formula>
    </cfRule>
    <cfRule type="containsText" dxfId="3477" priority="12708" operator="containsText" text="Met">
      <formula>NOT(ISERROR(SEARCH("Met",U258)))</formula>
    </cfRule>
    <cfRule type="containsText" dxfId="3476" priority="12709" operator="containsText" text="Not Met">
      <formula>NOT(ISERROR(SEARCH("Not Met",U258)))</formula>
    </cfRule>
    <cfRule type="containsText" dxfId="3475" priority="12710" operator="containsText" text="Met">
      <formula>NOT(ISERROR(SEARCH("Met",U258)))</formula>
    </cfRule>
    <cfRule type="containsText" dxfId="3474" priority="12711" operator="containsText" text="Not Met">
      <formula>NOT(ISERROR(SEARCH("Not Met",U258)))</formula>
    </cfRule>
    <cfRule type="containsText" dxfId="3473" priority="12712" operator="containsText" text="Met">
      <formula>NOT(ISERROR(SEARCH("Met",U258)))</formula>
    </cfRule>
  </conditionalFormatting>
  <conditionalFormatting sqref="U266">
    <cfRule type="containsText" dxfId="3472" priority="12588" operator="containsText" text="Met">
      <formula>NOT(ISERROR(SEARCH("Met",U266)))</formula>
    </cfRule>
    <cfRule type="containsText" dxfId="3471" priority="12587" operator="containsText" text="Not Met">
      <formula>NOT(ISERROR(SEARCH("Not Met",U266)))</formula>
    </cfRule>
  </conditionalFormatting>
  <conditionalFormatting sqref="U267:U268">
    <cfRule type="containsText" dxfId="3470" priority="12597" operator="containsText" text="Not Met">
      <formula>NOT(ISERROR(SEARCH("Not Met",U267)))</formula>
    </cfRule>
    <cfRule type="containsText" dxfId="3469" priority="12598" operator="containsText" text="Met">
      <formula>NOT(ISERROR(SEARCH("Met",U267)))</formula>
    </cfRule>
  </conditionalFormatting>
  <conditionalFormatting sqref="U267:U272">
    <cfRule type="containsText" dxfId="3468" priority="12594" operator="containsText" text="Met">
      <formula>NOT(ISERROR(SEARCH("Met",U267)))</formula>
    </cfRule>
    <cfRule type="containsText" dxfId="3467" priority="12593" operator="containsText" text="Not Met">
      <formula>NOT(ISERROR(SEARCH("Not Met",U267)))</formula>
    </cfRule>
  </conditionalFormatting>
  <conditionalFormatting sqref="U269">
    <cfRule type="containsText" dxfId="3466" priority="12592" operator="containsText" text="Met">
      <formula>NOT(ISERROR(SEARCH("Met",U269)))</formula>
    </cfRule>
    <cfRule type="containsText" dxfId="3465" priority="12591" operator="containsText" text="Not Met">
      <formula>NOT(ISERROR(SEARCH("Not Met",U269)))</formula>
    </cfRule>
  </conditionalFormatting>
  <conditionalFormatting sqref="U273:U279">
    <cfRule type="containsText" dxfId="3464" priority="12115" operator="containsText" text="Not Met">
      <formula>NOT(ISERROR(SEARCH("Not Met",U273)))</formula>
    </cfRule>
    <cfRule type="containsText" dxfId="3463" priority="12117" operator="containsText" text="Not Met">
      <formula>NOT(ISERROR(SEARCH("Not Met",U273)))</formula>
    </cfRule>
    <cfRule type="containsText" dxfId="3462" priority="12116" operator="containsText" text="Met">
      <formula>NOT(ISERROR(SEARCH("Met",U273)))</formula>
    </cfRule>
    <cfRule type="containsText" dxfId="3461" priority="12118" operator="containsText" text="Met">
      <formula>NOT(ISERROR(SEARCH("Met",U273)))</formula>
    </cfRule>
  </conditionalFormatting>
  <conditionalFormatting sqref="U281">
    <cfRule type="containsText" dxfId="3460" priority="12029" operator="containsText" text="Met">
      <formula>NOT(ISERROR(SEARCH("Met",U281)))</formula>
    </cfRule>
    <cfRule type="containsText" dxfId="3459" priority="12028" operator="containsText" text="Not Met">
      <formula>NOT(ISERROR(SEARCH("Not Met",U281)))</formula>
    </cfRule>
  </conditionalFormatting>
  <conditionalFormatting sqref="U288:U294">
    <cfRule type="containsText" dxfId="3458" priority="11954" operator="containsText" text="Not Met">
      <formula>NOT(ISERROR(SEARCH("Not Met",U288)))</formula>
    </cfRule>
    <cfRule type="containsText" dxfId="3457" priority="11955" operator="containsText" text="Met">
      <formula>NOT(ISERROR(SEARCH("Met",U288)))</formula>
    </cfRule>
  </conditionalFormatting>
  <conditionalFormatting sqref="U444:U452 U454:U455">
    <cfRule type="containsText" dxfId="3456" priority="845" operator="containsText" text="Not Met">
      <formula>NOT(ISERROR(SEARCH("Not Met",U444)))</formula>
    </cfRule>
  </conditionalFormatting>
  <conditionalFormatting sqref="U444:U452">
    <cfRule type="containsText" dxfId="3455" priority="847" operator="containsText" text="Met">
      <formula>NOT(ISERROR(SEARCH("Met",U444)))</formula>
    </cfRule>
  </conditionalFormatting>
  <conditionalFormatting sqref="U454:U455">
    <cfRule type="containsText" dxfId="3454" priority="846" operator="containsText" text="Met">
      <formula>NOT(ISERROR(SEARCH("Met",U454)))</formula>
    </cfRule>
  </conditionalFormatting>
  <conditionalFormatting sqref="U6:V19 S7:S10 R11:T11 S12:T19 T35:T37 T73:T88 T168:T213 T215:T222">
    <cfRule type="containsText" dxfId="3453" priority="13563" operator="containsText" text="Met">
      <formula>NOT(ISERROR(SEARCH("Met",R6)))</formula>
    </cfRule>
  </conditionalFormatting>
  <conditionalFormatting sqref="U6:V19 S7:S10 R11:T11 S12:T19 T35:T88 T168:T213 T215:T222">
    <cfRule type="containsText" dxfId="3452" priority="13562" operator="containsText" text="Not Met">
      <formula>NOT(ISERROR(SEARCH("Not Met",R6)))</formula>
    </cfRule>
  </conditionalFormatting>
  <conditionalFormatting sqref="U7:V20 V76:V87 V166:V167 V217:V220 V222:V228 V236:V258">
    <cfRule type="containsText" dxfId="3451" priority="12522" operator="containsText" text="Not Met">
      <formula>NOT(ISERROR(SEARCH("Not Met",U7)))</formula>
    </cfRule>
  </conditionalFormatting>
  <conditionalFormatting sqref="U7:V20 V76:V87 V166:V170 V217:V220 V222:V228 V236:V258">
    <cfRule type="containsText" dxfId="3450" priority="12523" operator="containsText" text="Met">
      <formula>NOT(ISERROR(SEARCH("Met",U7)))</formula>
    </cfRule>
  </conditionalFormatting>
  <conditionalFormatting sqref="U194:V201">
    <cfRule type="containsText" dxfId="3449" priority="12235" operator="containsText" text="Not Met">
      <formula>NOT(ISERROR(SEARCH("Not Met",U194)))</formula>
    </cfRule>
    <cfRule type="containsText" dxfId="3448" priority="12236" operator="containsText" text="Met">
      <formula>NOT(ISERROR(SEARCH("Met",U194)))</formula>
    </cfRule>
    <cfRule type="containsText" dxfId="3447" priority="12237" operator="containsText" text="Not Met">
      <formula>NOT(ISERROR(SEARCH("Not Met",U194)))</formula>
    </cfRule>
    <cfRule type="containsText" dxfId="3446" priority="12238" operator="containsText" text="Met">
      <formula>NOT(ISERROR(SEARCH("Met",U194)))</formula>
    </cfRule>
  </conditionalFormatting>
  <conditionalFormatting sqref="U202:V211">
    <cfRule type="containsText" dxfId="3445" priority="12231" operator="containsText" text="Not Met">
      <formula>NOT(ISERROR(SEARCH("Not Met",U202)))</formula>
    </cfRule>
    <cfRule type="containsText" dxfId="3444" priority="12230" operator="containsText" text="Met">
      <formula>NOT(ISERROR(SEARCH("Met",U202)))</formula>
    </cfRule>
    <cfRule type="containsText" dxfId="3443" priority="12229" operator="containsText" text="Not Met">
      <formula>NOT(ISERROR(SEARCH("Not Met",U202)))</formula>
    </cfRule>
    <cfRule type="containsText" dxfId="3442" priority="12232" operator="containsText" text="Met">
      <formula>NOT(ISERROR(SEARCH("Met",U202)))</formula>
    </cfRule>
  </conditionalFormatting>
  <conditionalFormatting sqref="U34:W48">
    <cfRule type="containsText" dxfId="3441" priority="11631" operator="containsText" text="Not Met">
      <formula>NOT(ISERROR(SEARCH("Not Met",U34)))</formula>
    </cfRule>
    <cfRule type="containsText" dxfId="3440" priority="11632" operator="containsText" text="Met">
      <formula>NOT(ISERROR(SEARCH("Met",U34)))</formula>
    </cfRule>
  </conditionalFormatting>
  <conditionalFormatting sqref="U75:W75">
    <cfRule type="containsText" dxfId="3439" priority="11363" operator="containsText" text="Met">
      <formula>NOT(ISERROR(SEARCH("Met",U75)))</formula>
    </cfRule>
    <cfRule type="containsText" dxfId="3438" priority="11362" operator="containsText" text="Not Met">
      <formula>NOT(ISERROR(SEARCH("Not Met",U75)))</formula>
    </cfRule>
  </conditionalFormatting>
  <conditionalFormatting sqref="U202:W211">
    <cfRule type="containsText" dxfId="3437" priority="11170" operator="containsText" text="Not Met">
      <formula>NOT(ISERROR(SEARCH("Not Met",U202)))</formula>
    </cfRule>
    <cfRule type="containsText" dxfId="3436" priority="11171" operator="containsText" text="Met">
      <formula>NOT(ISERROR(SEARCH("Met",U202)))</formula>
    </cfRule>
  </conditionalFormatting>
  <conditionalFormatting sqref="U229:W235">
    <cfRule type="containsText" dxfId="3435" priority="11439" operator="containsText" text="Met">
      <formula>NOT(ISERROR(SEARCH("Met",U229)))</formula>
    </cfRule>
    <cfRule type="containsText" dxfId="3434" priority="11438" operator="containsText" text="Not Met">
      <formula>NOT(ISERROR(SEARCH("Not Met",U229)))</formula>
    </cfRule>
  </conditionalFormatting>
  <conditionalFormatting sqref="V21:V48">
    <cfRule type="containsText" dxfId="3433" priority="12491" operator="containsText" text="Met">
      <formula>NOT(ISERROR(SEARCH("Met",V21)))</formula>
    </cfRule>
    <cfRule type="containsText" dxfId="3432" priority="12490" operator="containsText" text="Not Met">
      <formula>NOT(ISERROR(SEARCH("Not Met",V21)))</formula>
    </cfRule>
  </conditionalFormatting>
  <conditionalFormatting sqref="V89:V165">
    <cfRule type="containsText" dxfId="3431" priority="12694" operator="containsText" text="Met">
      <formula>NOT(ISERROR(SEARCH("Met",V89)))</formula>
    </cfRule>
  </conditionalFormatting>
  <conditionalFormatting sqref="V155:V162">
    <cfRule type="containsText" dxfId="3430" priority="12693" operator="containsText" text="Not Met">
      <formula>NOT(ISERROR(SEARCH("Not Met",V155)))</formula>
    </cfRule>
    <cfRule type="containsText" dxfId="3429" priority="12692" operator="containsText" text="Met">
      <formula>NOT(ISERROR(SEARCH("Met",V155)))</formula>
    </cfRule>
    <cfRule type="containsText" dxfId="3428" priority="12691" operator="containsText" text="Not Met">
      <formula>NOT(ISERROR(SEARCH("Not Met",V155)))</formula>
    </cfRule>
  </conditionalFormatting>
  <conditionalFormatting sqref="V259:V262">
    <cfRule type="containsText" dxfId="3427" priority="11900" operator="containsText" text="Not Met">
      <formula>NOT(ISERROR(SEARCH("Not Met",V259)))</formula>
    </cfRule>
    <cfRule type="containsText" dxfId="3426" priority="11901" operator="containsText" text="Met">
      <formula>NOT(ISERROR(SEARCH("Met",V259)))</formula>
    </cfRule>
    <cfRule type="containsText" dxfId="3425" priority="11902" operator="containsText" text="Not Met">
      <formula>NOT(ISERROR(SEARCH("Not Met",V259)))</formula>
    </cfRule>
    <cfRule type="containsText" dxfId="3424" priority="11903" operator="containsText" text="Met">
      <formula>NOT(ISERROR(SEARCH("Met",V259)))</formula>
    </cfRule>
  </conditionalFormatting>
  <conditionalFormatting sqref="V259:V264">
    <cfRule type="containsText" dxfId="3423" priority="11905" operator="containsText" text="Met">
      <formula>NOT(ISERROR(SEARCH("Met",V259)))</formula>
    </cfRule>
    <cfRule type="containsText" dxfId="3422" priority="11904" operator="containsText" text="Not Met">
      <formula>NOT(ISERROR(SEARCH("Not Met",V259)))</formula>
    </cfRule>
  </conditionalFormatting>
  <conditionalFormatting sqref="V263:V264">
    <cfRule type="containsText" dxfId="3421" priority="11908" operator="containsText" text="Not Met">
      <formula>NOT(ISERROR(SEARCH("Not Met",V263)))</formula>
    </cfRule>
    <cfRule type="containsText" dxfId="3420" priority="11909" operator="containsText" text="Met">
      <formula>NOT(ISERROR(SEARCH("Met",V263)))</formula>
    </cfRule>
    <cfRule type="containsText" dxfId="3419" priority="11910" operator="containsText" text="Not Met">
      <formula>NOT(ISERROR(SEARCH("Not Met",V263)))</formula>
    </cfRule>
    <cfRule type="containsText" dxfId="3418" priority="11911" operator="containsText" text="Met">
      <formula>NOT(ISERROR(SEARCH("Met",V263)))</formula>
    </cfRule>
  </conditionalFormatting>
  <conditionalFormatting sqref="V265">
    <cfRule type="containsText" dxfId="3417" priority="11893" operator="containsText" text="Met">
      <formula>NOT(ISERROR(SEARCH("Met",V265)))</formula>
    </cfRule>
    <cfRule type="containsText" dxfId="3416" priority="11892" operator="containsText" text="Not Met">
      <formula>NOT(ISERROR(SEARCH("Not Met",V265)))</formula>
    </cfRule>
  </conditionalFormatting>
  <conditionalFormatting sqref="V444:V457 AA454:AA457">
    <cfRule type="containsText" dxfId="3415" priority="866" operator="containsText" text="Not Met">
      <formula>NOT(ISERROR(SEARCH("Not Met",V444)))</formula>
    </cfRule>
    <cfRule type="containsText" dxfId="3414" priority="867" operator="containsText" text="Met">
      <formula>NOT(ISERROR(SEARCH("Met",V444)))</formula>
    </cfRule>
  </conditionalFormatting>
  <conditionalFormatting sqref="V265:W265">
    <cfRule type="containsText" dxfId="3413" priority="11502" operator="containsText" text="Not Met">
      <formula>NOT(ISERROR(SEARCH("Not Met",V265)))</formula>
    </cfRule>
    <cfRule type="containsText" dxfId="3412" priority="11503" operator="containsText" text="Met">
      <formula>NOT(ISERROR(SEARCH("Met",V265)))</formula>
    </cfRule>
    <cfRule type="containsText" dxfId="3411" priority="11504" operator="containsText" text="Not Met">
      <formula>NOT(ISERROR(SEARCH("Not Met",V265)))</formula>
    </cfRule>
    <cfRule type="containsText" dxfId="3410" priority="11505" operator="containsText" text="Met">
      <formula>NOT(ISERROR(SEARCH("Met",V265)))</formula>
    </cfRule>
  </conditionalFormatting>
  <conditionalFormatting sqref="W14:W15">
    <cfRule type="containsText" dxfId="3409" priority="11190" operator="containsText" text="Not Met">
      <formula>NOT(ISERROR(SEARCH("Not Met",W14)))</formula>
    </cfRule>
    <cfRule type="containsText" dxfId="3408" priority="11191" operator="containsText" text="Met">
      <formula>NOT(ISERROR(SEARCH("Met",W14)))</formula>
    </cfRule>
    <cfRule type="containsText" dxfId="3407" priority="11189" operator="containsText" text="Met">
      <formula>NOT(ISERROR(SEARCH("Met",W14)))</formula>
    </cfRule>
    <cfRule type="containsText" dxfId="3406" priority="11188" operator="containsText" text="Not Met">
      <formula>NOT(ISERROR(SEARCH("Not Met",W14)))</formula>
    </cfRule>
  </conditionalFormatting>
  <conditionalFormatting sqref="W21">
    <cfRule type="containsText" dxfId="3405" priority="11388" operator="containsText" text="Not Met">
      <formula>NOT(ISERROR(SEARCH("Not Met",W21)))</formula>
    </cfRule>
    <cfRule type="containsText" dxfId="3404" priority="11389" operator="containsText" text="Met">
      <formula>NOT(ISERROR(SEARCH("Met",W21)))</formula>
    </cfRule>
  </conditionalFormatting>
  <conditionalFormatting sqref="W23 X27:X31 W32:X32">
    <cfRule type="containsText" dxfId="3403" priority="11398" operator="containsText" text="Met">
      <formula>NOT(ISERROR(SEARCH("Met",W23)))</formula>
    </cfRule>
  </conditionalFormatting>
  <conditionalFormatting sqref="W23">
    <cfRule type="containsText" dxfId="3402" priority="11397" operator="containsText" text="Not Met">
      <formula>NOT(ISERROR(SEARCH("Not Met",W23)))</formula>
    </cfRule>
  </conditionalFormatting>
  <conditionalFormatting sqref="W23:W26">
    <cfRule type="containsText" dxfId="3401" priority="11386" operator="containsText" text="Not Met">
      <formula>NOT(ISERROR(SEARCH("Not Met",W23)))</formula>
    </cfRule>
    <cfRule type="containsText" dxfId="3400" priority="11387" operator="containsText" text="Met">
      <formula>NOT(ISERROR(SEARCH("Met",W23)))</formula>
    </cfRule>
  </conditionalFormatting>
  <conditionalFormatting sqref="W24">
    <cfRule type="containsText" dxfId="3399" priority="11384" operator="containsText" text="Not Met">
      <formula>NOT(ISERROR(SEARCH("Not Met",W24)))</formula>
    </cfRule>
    <cfRule type="containsText" dxfId="3398" priority="11385" operator="containsText" text="Met">
      <formula>NOT(ISERROR(SEARCH("Met",W24)))</formula>
    </cfRule>
  </conditionalFormatting>
  <conditionalFormatting sqref="W26">
    <cfRule type="containsText" dxfId="3397" priority="11412" operator="containsText" text="Not Met">
      <formula>NOT(ISERROR(SEARCH("Not Met",W26)))</formula>
    </cfRule>
    <cfRule type="containsText" dxfId="3396" priority="11413" operator="containsText" text="Met">
      <formula>NOT(ISERROR(SEARCH("Met",W26)))</formula>
    </cfRule>
  </conditionalFormatting>
  <conditionalFormatting sqref="W26:W31">
    <cfRule type="containsText" dxfId="3395" priority="11396" operator="containsText" text="Met">
      <formula>NOT(ISERROR(SEARCH("Met",W26)))</formula>
    </cfRule>
  </conditionalFormatting>
  <conditionalFormatting sqref="W26:W33">
    <cfRule type="containsText" dxfId="3394" priority="11391" operator="containsText" text="Not Met">
      <formula>NOT(ISERROR(SEARCH("Not Met",W26)))</formula>
    </cfRule>
  </conditionalFormatting>
  <conditionalFormatting sqref="W28:W31">
    <cfRule type="containsText" dxfId="3393" priority="11394" operator="containsText" text="Met">
      <formula>NOT(ISERROR(SEARCH("Met",W28)))</formula>
    </cfRule>
  </conditionalFormatting>
  <conditionalFormatting sqref="W32:W48">
    <cfRule type="containsText" dxfId="3392" priority="11402" operator="containsText" text="Not Met">
      <formula>NOT(ISERROR(SEARCH("Not Met",W32)))</formula>
    </cfRule>
    <cfRule type="containsText" dxfId="3391" priority="11403" operator="containsText" text="Met">
      <formula>NOT(ISERROR(SEARCH("Met",W32)))</formula>
    </cfRule>
  </conditionalFormatting>
  <conditionalFormatting sqref="W34:W48">
    <cfRule type="containsText" dxfId="3390" priority="11623" operator="containsText" text="Not Met">
      <formula>NOT(ISERROR(SEARCH("Not Met",W34)))</formula>
    </cfRule>
    <cfRule type="containsText" dxfId="3389" priority="11624" operator="containsText" text="Met">
      <formula>NOT(ISERROR(SEARCH("Met",W34)))</formula>
    </cfRule>
  </conditionalFormatting>
  <conditionalFormatting sqref="W49:W53">
    <cfRule type="containsText" dxfId="3388" priority="11112" operator="containsText" text="Not Met">
      <formula>NOT(ISERROR(SEARCH("Not Met",W49)))</formula>
    </cfRule>
    <cfRule type="containsText" dxfId="3387" priority="11113" operator="containsText" text="Met">
      <formula>NOT(ISERROR(SEARCH("Met",W49)))</formula>
    </cfRule>
  </conditionalFormatting>
  <conditionalFormatting sqref="W54:W71">
    <cfRule type="containsText" dxfId="3386" priority="11371" operator="containsText" text="Met">
      <formula>NOT(ISERROR(SEARCH("Met",W54)))</formula>
    </cfRule>
    <cfRule type="containsText" dxfId="3385" priority="11370" operator="containsText" text="Not Met">
      <formula>NOT(ISERROR(SEARCH("Not Met",W54)))</formula>
    </cfRule>
  </conditionalFormatting>
  <conditionalFormatting sqref="W69">
    <cfRule type="containsText" dxfId="3384" priority="11368" operator="containsText" text="Not Met">
      <formula>NOT(ISERROR(SEARCH("Not Met",W69)))</formula>
    </cfRule>
    <cfRule type="containsText" dxfId="3383" priority="11369" operator="containsText" text="Met">
      <formula>NOT(ISERROR(SEARCH("Met",W69)))</formula>
    </cfRule>
    <cfRule type="containsText" dxfId="3382" priority="11365" operator="containsText" text="Met">
      <formula>NOT(ISERROR(SEARCH("Met",W69)))</formula>
    </cfRule>
    <cfRule type="containsText" dxfId="3381" priority="11366" operator="containsText" text="Not Met">
      <formula>NOT(ISERROR(SEARCH("Not Met",W69)))</formula>
    </cfRule>
    <cfRule type="containsText" dxfId="3380" priority="11367" operator="containsText" text="Met">
      <formula>NOT(ISERROR(SEARCH("Met",W69)))</formula>
    </cfRule>
    <cfRule type="containsText" dxfId="3379" priority="11364" operator="containsText" text="Not Met">
      <formula>NOT(ISERROR(SEARCH("Not Met",W69)))</formula>
    </cfRule>
  </conditionalFormatting>
  <conditionalFormatting sqref="W70:W71">
    <cfRule type="containsText" dxfId="3378" priority="11380" operator="containsText" text="Met">
      <formula>NOT(ISERROR(SEARCH("Met",W70)))</formula>
    </cfRule>
    <cfRule type="containsText" dxfId="3377" priority="11379" operator="containsText" text="Not Met">
      <formula>NOT(ISERROR(SEARCH("Not Met",W70)))</formula>
    </cfRule>
  </conditionalFormatting>
  <conditionalFormatting sqref="W71">
    <cfRule type="containsText" dxfId="3376" priority="11377" operator="containsText" text="Not Met">
      <formula>NOT(ISERROR(SEARCH("Not Met",W71)))</formula>
    </cfRule>
    <cfRule type="containsText" dxfId="3375" priority="11378" operator="containsText" text="Met">
      <formula>NOT(ISERROR(SEARCH("Met",W71)))</formula>
    </cfRule>
  </conditionalFormatting>
  <conditionalFormatting sqref="W72">
    <cfRule type="containsText" dxfId="3374" priority="11360" operator="containsText" text="Not Met">
      <formula>NOT(ISERROR(SEARCH("Not Met",W72)))</formula>
    </cfRule>
    <cfRule type="containsText" dxfId="3373" priority="11352" operator="containsText" text="Not Met">
      <formula>NOT(ISERROR(SEARCH("Not Met",W72)))</formula>
    </cfRule>
    <cfRule type="containsText" dxfId="3372" priority="11353" operator="containsText" text="Met">
      <formula>NOT(ISERROR(SEARCH("Met",W72)))</formula>
    </cfRule>
    <cfRule type="containsText" dxfId="3371" priority="11361" operator="containsText" text="Met">
      <formula>NOT(ISERROR(SEARCH("Met",W72)))</formula>
    </cfRule>
  </conditionalFormatting>
  <conditionalFormatting sqref="W72:W74">
    <cfRule type="containsText" dxfId="3370" priority="11341" operator="containsText" text="Met">
      <formula>NOT(ISERROR(SEARCH("Met",W72)))</formula>
    </cfRule>
    <cfRule type="containsText" dxfId="3369" priority="11340" operator="containsText" text="Not Met">
      <formula>NOT(ISERROR(SEARCH("Not Met",W72)))</formula>
    </cfRule>
  </conditionalFormatting>
  <conditionalFormatting sqref="W74">
    <cfRule type="containsText" dxfId="3368" priority="11357" operator="containsText" text="Met">
      <formula>NOT(ISERROR(SEARCH("Met",W74)))</formula>
    </cfRule>
    <cfRule type="containsText" dxfId="3367" priority="11356" operator="containsText" text="Not Met">
      <formula>NOT(ISERROR(SEARCH("Not Met",W74)))</formula>
    </cfRule>
  </conditionalFormatting>
  <conditionalFormatting sqref="W76">
    <cfRule type="containsText" dxfId="3366" priority="11349" operator="containsText" text="Met">
      <formula>NOT(ISERROR(SEARCH("Met",W76)))</formula>
    </cfRule>
    <cfRule type="containsText" dxfId="3365" priority="11348" operator="containsText" text="Not Met">
      <formula>NOT(ISERROR(SEARCH("Not Met",W76)))</formula>
    </cfRule>
    <cfRule type="containsText" dxfId="3364" priority="11351" operator="containsText" text="Met">
      <formula>NOT(ISERROR(SEARCH("Met",W76)))</formula>
    </cfRule>
    <cfRule type="containsText" dxfId="3363" priority="11350" operator="containsText" text="Not Met">
      <formula>NOT(ISERROR(SEARCH("Not Met",W76)))</formula>
    </cfRule>
  </conditionalFormatting>
  <conditionalFormatting sqref="W76:W77">
    <cfRule type="containsText" dxfId="3362" priority="11347" operator="containsText" text="Met">
      <formula>NOT(ISERROR(SEARCH("Met",W76)))</formula>
    </cfRule>
    <cfRule type="containsText" dxfId="3361" priority="11346" operator="containsText" text="Not Met">
      <formula>NOT(ISERROR(SEARCH("Not Met",W76)))</formula>
    </cfRule>
  </conditionalFormatting>
  <conditionalFormatting sqref="W77:W83 W85:W89">
    <cfRule type="containsText" dxfId="3360" priority="11338" operator="containsText" text="Not Met">
      <formula>NOT(ISERROR(SEARCH("Not Met",W77)))</formula>
    </cfRule>
    <cfRule type="containsText" dxfId="3359" priority="11339" operator="containsText" text="Met">
      <formula>NOT(ISERROR(SEARCH("Met",W77)))</formula>
    </cfRule>
  </conditionalFormatting>
  <conditionalFormatting sqref="W78:W88">
    <cfRule type="containsText" dxfId="3358" priority="11333" operator="containsText" text="Met">
      <formula>NOT(ISERROR(SEARCH("Met",W78)))</formula>
    </cfRule>
  </conditionalFormatting>
  <conditionalFormatting sqref="W78:W89">
    <cfRule type="containsText" dxfId="3357" priority="11332" operator="containsText" text="Not Met">
      <formula>NOT(ISERROR(SEARCH("Not Met",W78)))</formula>
    </cfRule>
  </conditionalFormatting>
  <conditionalFormatting sqref="W89">
    <cfRule type="containsText" dxfId="3356" priority="11326" operator="containsText" text="Met">
      <formula>NOT(ISERROR(SEARCH("Met",W89)))</formula>
    </cfRule>
    <cfRule type="containsText" dxfId="3355" priority="11330" operator="containsText" text="Not Met">
      <formula>NOT(ISERROR(SEARCH("Not Met",W89)))</formula>
    </cfRule>
    <cfRule type="containsText" dxfId="3354" priority="11331" operator="containsText" text="Met">
      <formula>NOT(ISERROR(SEARCH("Met",W89)))</formula>
    </cfRule>
  </conditionalFormatting>
  <conditionalFormatting sqref="W91">
    <cfRule type="containsText" dxfId="3353" priority="11293" operator="containsText" text="Not Met">
      <formula>NOT(ISERROR(SEARCH("Not Met",W91)))</formula>
    </cfRule>
    <cfRule type="containsText" dxfId="3352" priority="11292" operator="containsText" text="Met">
      <formula>NOT(ISERROR(SEARCH("Met",W91)))</formula>
    </cfRule>
    <cfRule type="containsText" dxfId="3351" priority="11294" operator="containsText" text="Met">
      <formula>NOT(ISERROR(SEARCH("Met",W91)))</formula>
    </cfRule>
    <cfRule type="containsText" dxfId="3350" priority="11291" operator="containsText" text="Not Met">
      <formula>NOT(ISERROR(SEARCH("Not Met",W91)))</formula>
    </cfRule>
  </conditionalFormatting>
  <conditionalFormatting sqref="W92:W96">
    <cfRule type="containsText" dxfId="3349" priority="11299" operator="containsText" text="Not Met">
      <formula>NOT(ISERROR(SEARCH("Not Met",W92)))</formula>
    </cfRule>
    <cfRule type="containsText" dxfId="3348" priority="11300" operator="containsText" text="Met">
      <formula>NOT(ISERROR(SEARCH("Met",W92)))</formula>
    </cfRule>
  </conditionalFormatting>
  <conditionalFormatting sqref="W94">
    <cfRule type="containsText" dxfId="3347" priority="11295" operator="containsText" text="Not Met">
      <formula>NOT(ISERROR(SEARCH("Not Met",W94)))</formula>
    </cfRule>
    <cfRule type="containsText" dxfId="3346" priority="11296" operator="containsText" text="Met">
      <formula>NOT(ISERROR(SEARCH("Met",W94)))</formula>
    </cfRule>
    <cfRule type="containsText" dxfId="3345" priority="11298" operator="containsText" text="Met">
      <formula>NOT(ISERROR(SEARCH("Met",W94)))</formula>
    </cfRule>
    <cfRule type="containsText" dxfId="3344" priority="11297" operator="containsText" text="Not Met">
      <formula>NOT(ISERROR(SEARCH("Not Met",W94)))</formula>
    </cfRule>
  </conditionalFormatting>
  <conditionalFormatting sqref="W95:W96">
    <cfRule type="containsText" dxfId="3343" priority="11302" operator="containsText" text="Met">
      <formula>NOT(ISERROR(SEARCH("Met",W95)))</formula>
    </cfRule>
    <cfRule type="containsText" dxfId="3342" priority="11301" operator="containsText" text="Not Met">
      <formula>NOT(ISERROR(SEARCH("Not Met",W95)))</formula>
    </cfRule>
  </conditionalFormatting>
  <conditionalFormatting sqref="W97:W104">
    <cfRule type="containsText" dxfId="3341" priority="11167" operator="containsText" text="Met">
      <formula>NOT(ISERROR(SEARCH("Met",W97)))</formula>
    </cfRule>
    <cfRule type="containsText" dxfId="3340" priority="11166" operator="containsText" text="Not Met">
      <formula>NOT(ISERROR(SEARCH("Not Met",W97)))</formula>
    </cfRule>
  </conditionalFormatting>
  <conditionalFormatting sqref="W113">
    <cfRule type="containsText" dxfId="3339" priority="11135" operator="containsText" text="Met">
      <formula>NOT(ISERROR(SEARCH("Met",W113)))</formula>
    </cfRule>
    <cfRule type="containsText" dxfId="3338" priority="11134" operator="containsText" text="Not Met">
      <formula>NOT(ISERROR(SEARCH("Not Met",W113)))</formula>
    </cfRule>
  </conditionalFormatting>
  <conditionalFormatting sqref="W118:W124">
    <cfRule type="containsText" dxfId="3337" priority="11130" operator="containsText" text="Not Met">
      <formula>NOT(ISERROR(SEARCH("Not Met",W118)))</formula>
    </cfRule>
  </conditionalFormatting>
  <conditionalFormatting sqref="W118:W126">
    <cfRule type="containsText" dxfId="3336" priority="11131" operator="containsText" text="Met">
      <formula>NOT(ISERROR(SEARCH("Met",W118)))</formula>
    </cfRule>
  </conditionalFormatting>
  <conditionalFormatting sqref="W125:W126">
    <cfRule type="containsText" dxfId="3335" priority="11153" operator="containsText" text="Not Met">
      <formula>NOT(ISERROR(SEARCH("Not Met",W125)))</formula>
    </cfRule>
  </conditionalFormatting>
  <conditionalFormatting sqref="W128:W135">
    <cfRule type="containsText" dxfId="3334" priority="11149" operator="containsText" text="Met">
      <formula>NOT(ISERROR(SEARCH("Met",W128)))</formula>
    </cfRule>
    <cfRule type="containsText" dxfId="3333" priority="11148" operator="containsText" text="Not Met">
      <formula>NOT(ISERROR(SEARCH("Not Met",W128)))</formula>
    </cfRule>
  </conditionalFormatting>
  <conditionalFormatting sqref="W142">
    <cfRule type="containsText" dxfId="3332" priority="11560" operator="containsText" text="Not Met">
      <formula>NOT(ISERROR(SEARCH("Not Met",W142)))</formula>
    </cfRule>
    <cfRule type="containsText" dxfId="3331" priority="11561" operator="containsText" text="Met">
      <formula>NOT(ISERROR(SEARCH("Met",W142)))</formula>
    </cfRule>
  </conditionalFormatting>
  <conditionalFormatting sqref="W142:W143">
    <cfRule type="containsText" dxfId="3330" priority="11559" operator="containsText" text="Met">
      <formula>NOT(ISERROR(SEARCH("Met",W142)))</formula>
    </cfRule>
    <cfRule type="containsText" dxfId="3329" priority="11558" operator="containsText" text="Not Met">
      <formula>NOT(ISERROR(SEARCH("Not Met",W142)))</formula>
    </cfRule>
  </conditionalFormatting>
  <conditionalFormatting sqref="W143:W144">
    <cfRule type="containsText" dxfId="3328" priority="11557" operator="containsText" text="Met">
      <formula>NOT(ISERROR(SEARCH("Met",W143)))</formula>
    </cfRule>
    <cfRule type="containsText" dxfId="3327" priority="11556" operator="containsText" text="Not Met">
      <formula>NOT(ISERROR(SEARCH("Not Met",W143)))</formula>
    </cfRule>
  </conditionalFormatting>
  <conditionalFormatting sqref="W144:W145">
    <cfRule type="containsText" dxfId="3326" priority="11554" operator="containsText" text="Not Met">
      <formula>NOT(ISERROR(SEARCH("Not Met",W144)))</formula>
    </cfRule>
    <cfRule type="containsText" dxfId="3325" priority="11555" operator="containsText" text="Met">
      <formula>NOT(ISERROR(SEARCH("Met",W144)))</formula>
    </cfRule>
  </conditionalFormatting>
  <conditionalFormatting sqref="W145:W146">
    <cfRule type="containsText" dxfId="3324" priority="11553" operator="containsText" text="Met">
      <formula>NOT(ISERROR(SEARCH("Met",W145)))</formula>
    </cfRule>
    <cfRule type="containsText" dxfId="3323" priority="11552" operator="containsText" text="Not Met">
      <formula>NOT(ISERROR(SEARCH("Not Met",W145)))</formula>
    </cfRule>
  </conditionalFormatting>
  <conditionalFormatting sqref="W146:W154">
    <cfRule type="containsText" dxfId="3322" priority="11445" operator="containsText" text="Not Met">
      <formula>NOT(ISERROR(SEARCH("Not Met",W146)))</formula>
    </cfRule>
    <cfRule type="containsText" dxfId="3321" priority="11446" operator="containsText" text="Met">
      <formula>NOT(ISERROR(SEARCH("Met",W146)))</formula>
    </cfRule>
  </conditionalFormatting>
  <conditionalFormatting sqref="W149:W151 W153:W154">
    <cfRule type="containsText" dxfId="3320" priority="11447" operator="containsText" text="Not Met">
      <formula>NOT(ISERROR(SEARCH("Not Met",W149)))</formula>
    </cfRule>
    <cfRule type="containsText" dxfId="3319" priority="11448" operator="containsText" text="Met">
      <formula>NOT(ISERROR(SEARCH("Met",W149)))</formula>
    </cfRule>
  </conditionalFormatting>
  <conditionalFormatting sqref="W152">
    <cfRule type="containsText" dxfId="3318" priority="11444" operator="containsText" text="Met">
      <formula>NOT(ISERROR(SEARCH("Met",W152)))</formula>
    </cfRule>
    <cfRule type="containsText" dxfId="3317" priority="11443" operator="containsText" text="Not Met">
      <formula>NOT(ISERROR(SEARCH("Not Met",W152)))</formula>
    </cfRule>
  </conditionalFormatting>
  <conditionalFormatting sqref="W155:W162">
    <cfRule type="containsText" dxfId="3316" priority="11563" operator="containsText" text="Not Met">
      <formula>NOT(ISERROR(SEARCH("Not Met",W155)))</formula>
    </cfRule>
    <cfRule type="containsText" dxfId="3315" priority="11565" operator="containsText" text="Not Met">
      <formula>NOT(ISERROR(SEARCH("Not Met",W155)))</formula>
    </cfRule>
    <cfRule type="containsText" dxfId="3314" priority="11566" operator="containsText" text="Met">
      <formula>NOT(ISERROR(SEARCH("Met",W155)))</formula>
    </cfRule>
    <cfRule type="containsText" dxfId="3313" priority="11564" operator="containsText" text="Met">
      <formula>NOT(ISERROR(SEARCH("Met",W155)))</formula>
    </cfRule>
  </conditionalFormatting>
  <conditionalFormatting sqref="W155:W170">
    <cfRule type="containsText" dxfId="3312" priority="11545" operator="containsText" text="Met">
      <formula>NOT(ISERROR(SEARCH("Met",W155)))</formula>
    </cfRule>
    <cfRule type="containsText" dxfId="3311" priority="11544" operator="containsText" text="Not Met">
      <formula>NOT(ISERROR(SEARCH("Not Met",W155)))</formula>
    </cfRule>
  </conditionalFormatting>
  <conditionalFormatting sqref="W163:W164">
    <cfRule type="containsText" dxfId="3310" priority="11538" operator="containsText" text="Not Met">
      <formula>NOT(ISERROR(SEARCH("Not Met",W163)))</formula>
    </cfRule>
    <cfRule type="containsText" dxfId="3309" priority="11539" operator="containsText" text="Met">
      <formula>NOT(ISERROR(SEARCH("Met",W163)))</formula>
    </cfRule>
  </conditionalFormatting>
  <conditionalFormatting sqref="W166:W170">
    <cfRule type="containsText" dxfId="3308" priority="11542" operator="containsText" text="Not Met">
      <formula>NOT(ISERROR(SEARCH("Not Met",W166)))</formula>
    </cfRule>
    <cfRule type="containsText" dxfId="3307" priority="11543" operator="containsText" text="Met">
      <formula>NOT(ISERROR(SEARCH("Met",W166)))</formula>
    </cfRule>
  </conditionalFormatting>
  <conditionalFormatting sqref="W167">
    <cfRule type="containsText" dxfId="3306" priority="11540" operator="containsText" text="Not Met">
      <formula>NOT(ISERROR(SEARCH("Not Met",W167)))</formula>
    </cfRule>
    <cfRule type="containsText" dxfId="3305" priority="11541" operator="containsText" text="Met">
      <formula>NOT(ISERROR(SEARCH("Met",W167)))</formula>
    </cfRule>
  </conditionalFormatting>
  <conditionalFormatting sqref="W173">
    <cfRule type="containsText" dxfId="3304" priority="11143" operator="containsText" text="Met">
      <formula>NOT(ISERROR(SEARCH("Met",W173)))</formula>
    </cfRule>
    <cfRule type="containsText" dxfId="3303" priority="11142" operator="containsText" text="Not Met">
      <formula>NOT(ISERROR(SEARCH("Not Met",W173)))</formula>
    </cfRule>
  </conditionalFormatting>
  <conditionalFormatting sqref="W176:W181">
    <cfRule type="containsText" dxfId="3302" priority="11139" operator="containsText" text="Met">
      <formula>NOT(ISERROR(SEARCH("Met",W176)))</formula>
    </cfRule>
    <cfRule type="containsText" dxfId="3301" priority="11138" operator="containsText" text="Not Met">
      <formula>NOT(ISERROR(SEARCH("Not Met",W176)))</formula>
    </cfRule>
  </conditionalFormatting>
  <conditionalFormatting sqref="W194:W211">
    <cfRule type="containsText" dxfId="3300" priority="11177" operator="containsText" text="Met">
      <formula>NOT(ISERROR(SEARCH("Met",W194)))</formula>
    </cfRule>
    <cfRule type="containsText" dxfId="3299" priority="11176" operator="containsText" text="Not Met">
      <formula>NOT(ISERROR(SEARCH("Not Met",W194)))</formula>
    </cfRule>
    <cfRule type="containsText" dxfId="3298" priority="11173" operator="containsText" text="Met">
      <formula>NOT(ISERROR(SEARCH("Met",W194)))</formula>
    </cfRule>
    <cfRule type="containsText" dxfId="3297" priority="11172" operator="containsText" text="Not Met">
      <formula>NOT(ISERROR(SEARCH("Not Met",W194)))</formula>
    </cfRule>
    <cfRule type="containsText" dxfId="3296" priority="11178" operator="containsText" text="Not Met">
      <formula>NOT(ISERROR(SEARCH("Not Met",W194)))</formula>
    </cfRule>
    <cfRule type="containsText" dxfId="3295" priority="11179" operator="containsText" text="Met">
      <formula>NOT(ISERROR(SEARCH("Met",W194)))</formula>
    </cfRule>
  </conditionalFormatting>
  <conditionalFormatting sqref="W202:W211">
    <cfRule type="containsText" dxfId="3294" priority="11169" operator="containsText" text="Met">
      <formula>NOT(ISERROR(SEARCH("Met",W202)))</formula>
    </cfRule>
    <cfRule type="containsText" dxfId="3293" priority="11168" operator="containsText" text="Not Met">
      <formula>NOT(ISERROR(SEARCH("Not Met",W202)))</formula>
    </cfRule>
  </conditionalFormatting>
  <conditionalFormatting sqref="W212:W216">
    <cfRule type="containsText" dxfId="3292" priority="11246" operator="containsText" text="Not Met">
      <formula>NOT(ISERROR(SEARCH("Not Met",W212)))</formula>
    </cfRule>
    <cfRule type="containsText" dxfId="3291" priority="11244" operator="containsText" text="Not Met">
      <formula>NOT(ISERROR(SEARCH("Not Met",W212)))</formula>
    </cfRule>
    <cfRule type="containsText" dxfId="3290" priority="11247" operator="containsText" text="Met">
      <formula>NOT(ISERROR(SEARCH("Met",W212)))</formula>
    </cfRule>
    <cfRule type="containsText" dxfId="3289" priority="11245" operator="containsText" text="Met">
      <formula>NOT(ISERROR(SEARCH("Met",W212)))</formula>
    </cfRule>
  </conditionalFormatting>
  <conditionalFormatting sqref="W213">
    <cfRule type="containsText" dxfId="3288" priority="11252" operator="containsText" text="Not Met">
      <formula>NOT(ISERROR(SEARCH("Not Met",W213)))</formula>
    </cfRule>
    <cfRule type="containsText" dxfId="3287" priority="11250" operator="containsText" text="Not Met">
      <formula>NOT(ISERROR(SEARCH("Not Met",W213)))</formula>
    </cfRule>
    <cfRule type="containsText" dxfId="3286" priority="11251" operator="containsText" text="Met">
      <formula>NOT(ISERROR(SEARCH("Met",W213)))</formula>
    </cfRule>
    <cfRule type="containsText" dxfId="3285" priority="11253" operator="containsText" text="Met">
      <formula>NOT(ISERROR(SEARCH("Met",W213)))</formula>
    </cfRule>
  </conditionalFormatting>
  <conditionalFormatting sqref="W213:W214">
    <cfRule type="containsText" dxfId="3284" priority="11248" operator="containsText" text="Not Met">
      <formula>NOT(ISERROR(SEARCH("Not Met",W213)))</formula>
    </cfRule>
    <cfRule type="containsText" dxfId="3283" priority="11249" operator="containsText" text="Met">
      <formula>NOT(ISERROR(SEARCH("Met",W213)))</formula>
    </cfRule>
  </conditionalFormatting>
  <conditionalFormatting sqref="W215">
    <cfRule type="containsText" dxfId="3282" priority="11240" operator="containsText" text="Not Met">
      <formula>NOT(ISERROR(SEARCH("Not Met",W215)))</formula>
    </cfRule>
    <cfRule type="containsText" dxfId="3281" priority="11241" operator="containsText" text="Met">
      <formula>NOT(ISERROR(SEARCH("Met",W215)))</formula>
    </cfRule>
    <cfRule type="containsText" dxfId="3280" priority="11242" operator="containsText" text="Not Met">
      <formula>NOT(ISERROR(SEARCH("Not Met",W215)))</formula>
    </cfRule>
    <cfRule type="containsText" dxfId="3279" priority="11243" operator="containsText" text="Met">
      <formula>NOT(ISERROR(SEARCH("Met",W215)))</formula>
    </cfRule>
  </conditionalFormatting>
  <conditionalFormatting sqref="W217:W221">
    <cfRule type="containsText" dxfId="3278" priority="11231" operator="containsText" text="Met">
      <formula>NOT(ISERROR(SEARCH("Met",W217)))</formula>
    </cfRule>
    <cfRule type="containsText" dxfId="3277" priority="11230" operator="containsText" text="Not Met">
      <formula>NOT(ISERROR(SEARCH("Not Met",W217)))</formula>
    </cfRule>
    <cfRule type="containsText" dxfId="3276" priority="11233" operator="containsText" text="Met">
      <formula>NOT(ISERROR(SEARCH("Met",W217)))</formula>
    </cfRule>
    <cfRule type="containsText" dxfId="3275" priority="11232" operator="containsText" text="Not Met">
      <formula>NOT(ISERROR(SEARCH("Not Met",W217)))</formula>
    </cfRule>
  </conditionalFormatting>
  <conditionalFormatting sqref="W218">
    <cfRule type="containsText" dxfId="3274" priority="11238" operator="containsText" text="Not Met">
      <formula>NOT(ISERROR(SEARCH("Not Met",W218)))</formula>
    </cfRule>
    <cfRule type="containsText" dxfId="3273" priority="11239" operator="containsText" text="Met">
      <formula>NOT(ISERROR(SEARCH("Met",W218)))</formula>
    </cfRule>
    <cfRule type="containsText" dxfId="3272" priority="11236" operator="containsText" text="Not Met">
      <formula>NOT(ISERROR(SEARCH("Not Met",W218)))</formula>
    </cfRule>
    <cfRule type="containsText" dxfId="3271" priority="11237" operator="containsText" text="Met">
      <formula>NOT(ISERROR(SEARCH("Met",W218)))</formula>
    </cfRule>
  </conditionalFormatting>
  <conditionalFormatting sqref="W218:W219">
    <cfRule type="containsText" dxfId="3270" priority="11235" operator="containsText" text="Met">
      <formula>NOT(ISERROR(SEARCH("Met",W218)))</formula>
    </cfRule>
    <cfRule type="containsText" dxfId="3269" priority="11234" operator="containsText" text="Not Met">
      <formula>NOT(ISERROR(SEARCH("Not Met",W218)))</formula>
    </cfRule>
  </conditionalFormatting>
  <conditionalFormatting sqref="W220">
    <cfRule type="containsText" dxfId="3268" priority="11229" operator="containsText" text="Met">
      <formula>NOT(ISERROR(SEARCH("Met",W220)))</formula>
    </cfRule>
    <cfRule type="containsText" dxfId="3267" priority="11228" operator="containsText" text="Not Met">
      <formula>NOT(ISERROR(SEARCH("Not Met",W220)))</formula>
    </cfRule>
    <cfRule type="containsText" dxfId="3266" priority="11226" operator="containsText" text="Not Met">
      <formula>NOT(ISERROR(SEARCH("Not Met",W220)))</formula>
    </cfRule>
    <cfRule type="containsText" dxfId="3265" priority="11227" operator="containsText" text="Met">
      <formula>NOT(ISERROR(SEARCH("Met",W220)))</formula>
    </cfRule>
  </conditionalFormatting>
  <conditionalFormatting sqref="W222">
    <cfRule type="containsText" dxfId="3264" priority="11282" operator="containsText" text="Met">
      <formula>NOT(ISERROR(SEARCH("Met",W222)))</formula>
    </cfRule>
    <cfRule type="containsText" dxfId="3263" priority="11281" operator="containsText" text="Not Met">
      <formula>NOT(ISERROR(SEARCH("Not Met",W222)))</formula>
    </cfRule>
    <cfRule type="containsText" dxfId="3262" priority="11279" operator="containsText" text="Met">
      <formula>NOT(ISERROR(SEARCH("Met",W222)))</formula>
    </cfRule>
    <cfRule type="containsText" dxfId="3261" priority="11271" operator="containsText" text="Not Met">
      <formula>NOT(ISERROR(SEARCH("Not Met",W222)))</formula>
    </cfRule>
  </conditionalFormatting>
  <conditionalFormatting sqref="W222:W226">
    <cfRule type="containsText" dxfId="3260" priority="11270" operator="containsText" text="Met">
      <formula>NOT(ISERROR(SEARCH("Met",W222)))</formula>
    </cfRule>
    <cfRule type="containsText" dxfId="3259" priority="11269" operator="containsText" text="Not Met">
      <formula>NOT(ISERROR(SEARCH("Not Met",W222)))</formula>
    </cfRule>
  </conditionalFormatting>
  <conditionalFormatting sqref="W223:W224">
    <cfRule type="containsText" dxfId="3258" priority="11265" operator="containsText" text="Met">
      <formula>NOT(ISERROR(SEARCH("Met",W223)))</formula>
    </cfRule>
    <cfRule type="containsText" dxfId="3257" priority="11264" operator="containsText" text="Not Met">
      <formula>NOT(ISERROR(SEARCH("Not Met",W223)))</formula>
    </cfRule>
  </conditionalFormatting>
  <conditionalFormatting sqref="W223:W225">
    <cfRule type="containsText" dxfId="3256" priority="11263" operator="containsText" text="Met">
      <formula>NOT(ISERROR(SEARCH("Met",W223)))</formula>
    </cfRule>
    <cfRule type="containsText" dxfId="3255" priority="11262" operator="containsText" text="Not Met">
      <formula>NOT(ISERROR(SEARCH("Not Met",W223)))</formula>
    </cfRule>
  </conditionalFormatting>
  <conditionalFormatting sqref="W224">
    <cfRule type="containsText" dxfId="3254" priority="11268" operator="containsText" text="Met">
      <formula>NOT(ISERROR(SEARCH("Met",W224)))</formula>
    </cfRule>
    <cfRule type="containsText" dxfId="3253" priority="11267" operator="containsText" text="Not Met">
      <formula>NOT(ISERROR(SEARCH("Not Met",W224)))</formula>
    </cfRule>
  </conditionalFormatting>
  <conditionalFormatting sqref="W225">
    <cfRule type="containsText" dxfId="3252" priority="11260" operator="containsText" text="Not Met">
      <formula>NOT(ISERROR(SEARCH("Not Met",W225)))</formula>
    </cfRule>
    <cfRule type="containsText" dxfId="3251" priority="11261" operator="containsText" text="Met">
      <formula>NOT(ISERROR(SEARCH("Met",W225)))</formula>
    </cfRule>
  </conditionalFormatting>
  <conditionalFormatting sqref="W226">
    <cfRule type="containsText" dxfId="3250" priority="11254" operator="containsText" text="Met">
      <formula>NOT(ISERROR(SEARCH("Met",W226)))</formula>
    </cfRule>
  </conditionalFormatting>
  <conditionalFormatting sqref="W226:W228">
    <cfRule type="containsText" dxfId="3249" priority="11277" operator="containsText" text="Not Met">
      <formula>NOT(ISERROR(SEARCH("Not Met",W226)))</formula>
    </cfRule>
    <cfRule type="containsText" dxfId="3248" priority="11278" operator="containsText" text="Met">
      <formula>NOT(ISERROR(SEARCH("Met",W226)))</formula>
    </cfRule>
  </conditionalFormatting>
  <conditionalFormatting sqref="W229">
    <cfRule type="containsText" dxfId="3247" priority="11440" operator="containsText" text="Not Met">
      <formula>NOT(ISERROR(SEARCH("Not Met",W229)))</formula>
    </cfRule>
  </conditionalFormatting>
  <conditionalFormatting sqref="W229:W235">
    <cfRule type="containsText" dxfId="3246" priority="11436" operator="containsText" text="Not Met">
      <formula>NOT(ISERROR(SEARCH("Not Met",W229)))</formula>
    </cfRule>
    <cfRule type="containsText" dxfId="3245" priority="11437" operator="containsText" text="Met">
      <formula>NOT(ISERROR(SEARCH("Met",W229)))</formula>
    </cfRule>
  </conditionalFormatting>
  <conditionalFormatting sqref="W231:W232">
    <cfRule type="containsText" dxfId="3244" priority="11434" operator="containsText" text="Not Met">
      <formula>NOT(ISERROR(SEARCH("Not Met",W231)))</formula>
    </cfRule>
    <cfRule type="containsText" dxfId="3243" priority="11435" operator="containsText" text="Met">
      <formula>NOT(ISERROR(SEARCH("Met",W231)))</formula>
    </cfRule>
  </conditionalFormatting>
  <conditionalFormatting sqref="W234">
    <cfRule type="containsText" dxfId="3242" priority="11442" operator="containsText" text="Met">
      <formula>NOT(ISERROR(SEARCH("Met",W234)))</formula>
    </cfRule>
    <cfRule type="containsText" dxfId="3241" priority="11441" operator="containsText" text="Not Met">
      <formula>NOT(ISERROR(SEARCH("Not Met",W234)))</formula>
    </cfRule>
  </conditionalFormatting>
  <conditionalFormatting sqref="W235">
    <cfRule type="containsText" dxfId="3240" priority="11433" operator="containsText" text="Met">
      <formula>NOT(ISERROR(SEARCH("Met",W235)))</formula>
    </cfRule>
    <cfRule type="containsText" dxfId="3239" priority="11432" operator="containsText" text="Not Met">
      <formula>NOT(ISERROR(SEARCH("Not Met",W235)))</formula>
    </cfRule>
  </conditionalFormatting>
  <conditionalFormatting sqref="W235:W256">
    <cfRule type="containsText" dxfId="3238" priority="11225" operator="containsText" text="Met">
      <formula>NOT(ISERROR(SEARCH("Met",W235)))</formula>
    </cfRule>
    <cfRule type="containsText" dxfId="3237" priority="11224" operator="containsText" text="Not Met">
      <formula>NOT(ISERROR(SEARCH("Not Met",W235)))</formula>
    </cfRule>
  </conditionalFormatting>
  <conditionalFormatting sqref="W236">
    <cfRule type="containsText" dxfId="3236" priority="11195" operator="containsText" text="Met">
      <formula>NOT(ISERROR(SEARCH("Met",W236)))</formula>
    </cfRule>
    <cfRule type="containsText" dxfId="3235" priority="11197" operator="containsText" text="Met">
      <formula>NOT(ISERROR(SEARCH("Met",W236)))</formula>
    </cfRule>
    <cfRule type="containsText" dxfId="3234" priority="11196" operator="containsText" text="Not Met">
      <formula>NOT(ISERROR(SEARCH("Not Met",W236)))</formula>
    </cfRule>
    <cfRule type="containsText" dxfId="3233" priority="11198" operator="containsText" text="Not Met">
      <formula>NOT(ISERROR(SEARCH("Not Met",W236)))</formula>
    </cfRule>
    <cfRule type="containsText" dxfId="3232" priority="11199" operator="containsText" text="Met">
      <formula>NOT(ISERROR(SEARCH("Met",W236)))</formula>
    </cfRule>
    <cfRule type="containsText" dxfId="3231" priority="11194" operator="containsText" text="Not Met">
      <formula>NOT(ISERROR(SEARCH("Not Met",W236)))</formula>
    </cfRule>
  </conditionalFormatting>
  <conditionalFormatting sqref="W236:W242">
    <cfRule type="containsText" dxfId="3230" priority="11223" operator="containsText" text="Met">
      <formula>NOT(ISERROR(SEARCH("Met",W236)))</formula>
    </cfRule>
    <cfRule type="containsText" dxfId="3229" priority="11222" operator="containsText" text="Not Met">
      <formula>NOT(ISERROR(SEARCH("Not Met",W236)))</formula>
    </cfRule>
    <cfRule type="containsText" dxfId="3228" priority="11221" operator="containsText" text="Met">
      <formula>NOT(ISERROR(SEARCH("Met",W236)))</formula>
    </cfRule>
    <cfRule type="containsText" dxfId="3227" priority="11220" operator="containsText" text="Not Met">
      <formula>NOT(ISERROR(SEARCH("Not Met",W236)))</formula>
    </cfRule>
  </conditionalFormatting>
  <conditionalFormatting sqref="W237">
    <cfRule type="containsText" dxfId="3226" priority="11219" operator="containsText" text="Met">
      <formula>NOT(ISERROR(SEARCH("Met",W237)))</formula>
    </cfRule>
    <cfRule type="containsText" dxfId="3225" priority="11218" operator="containsText" text="Not Met">
      <formula>NOT(ISERROR(SEARCH("Not Met",W237)))</formula>
    </cfRule>
    <cfRule type="containsText" dxfId="3224" priority="11217" operator="containsText" text="Met">
      <formula>NOT(ISERROR(SEARCH("Met",W237)))</formula>
    </cfRule>
    <cfRule type="containsText" dxfId="3223" priority="11216" operator="containsText" text="Not Met">
      <formula>NOT(ISERROR(SEARCH("Not Met",W237)))</formula>
    </cfRule>
  </conditionalFormatting>
  <conditionalFormatting sqref="W237:W239">
    <cfRule type="containsText" dxfId="3222" priority="11215" operator="containsText" text="Met">
      <formula>NOT(ISERROR(SEARCH("Met",W237)))</formula>
    </cfRule>
    <cfRule type="containsText" dxfId="3221" priority="11214" operator="containsText" text="Not Met">
      <formula>NOT(ISERROR(SEARCH("Not Met",W237)))</formula>
    </cfRule>
  </conditionalFormatting>
  <conditionalFormatting sqref="W238:W239">
    <cfRule type="containsText" dxfId="3220" priority="11213" operator="containsText" text="Met">
      <formula>NOT(ISERROR(SEARCH("Met",W238)))</formula>
    </cfRule>
    <cfRule type="containsText" dxfId="3219" priority="11212" operator="containsText" text="Not Met">
      <formula>NOT(ISERROR(SEARCH("Not Met",W238)))</formula>
    </cfRule>
  </conditionalFormatting>
  <conditionalFormatting sqref="W238:W242">
    <cfRule type="containsText" dxfId="3218" priority="11209" operator="containsText" text="Met">
      <formula>NOT(ISERROR(SEARCH("Met",W238)))</formula>
    </cfRule>
    <cfRule type="containsText" dxfId="3217" priority="11208" operator="containsText" text="Not Met">
      <formula>NOT(ISERROR(SEARCH("Not Met",W238)))</formula>
    </cfRule>
  </conditionalFormatting>
  <conditionalFormatting sqref="W240:W241">
    <cfRule type="containsText" dxfId="3216" priority="11206" operator="containsText" text="Not Met">
      <formula>NOT(ISERROR(SEARCH("Not Met",W240)))</formula>
    </cfRule>
    <cfRule type="containsText" dxfId="3215" priority="11207" operator="containsText" text="Met">
      <formula>NOT(ISERROR(SEARCH("Met",W240)))</formula>
    </cfRule>
  </conditionalFormatting>
  <conditionalFormatting sqref="W240:W242">
    <cfRule type="containsText" dxfId="3214" priority="11205" operator="containsText" text="Met">
      <formula>NOT(ISERROR(SEARCH("Met",W240)))</formula>
    </cfRule>
    <cfRule type="containsText" dxfId="3213" priority="11204" operator="containsText" text="Not Met">
      <formula>NOT(ISERROR(SEARCH("Not Met",W240)))</formula>
    </cfRule>
  </conditionalFormatting>
  <conditionalFormatting sqref="W242">
    <cfRule type="containsText" dxfId="3212" priority="11192" operator="containsText" text="Not Met">
      <formula>NOT(ISERROR(SEARCH("Not Met",W242)))</formula>
    </cfRule>
    <cfRule type="containsText" dxfId="3211" priority="11201" operator="containsText" text="Met">
      <formula>NOT(ISERROR(SEARCH("Met",W242)))</formula>
    </cfRule>
    <cfRule type="containsText" dxfId="3210" priority="11203" operator="containsText" text="Met">
      <formula>NOT(ISERROR(SEARCH("Met",W242)))</formula>
    </cfRule>
    <cfRule type="containsText" dxfId="3209" priority="11202" operator="containsText" text="Not Met">
      <formula>NOT(ISERROR(SEARCH("Not Met",W242)))</formula>
    </cfRule>
    <cfRule type="containsText" dxfId="3208" priority="11193" operator="containsText" text="Met">
      <formula>NOT(ISERROR(SEARCH("Met",W242)))</formula>
    </cfRule>
    <cfRule type="containsText" dxfId="3207" priority="11200" operator="containsText" text="Not Met">
      <formula>NOT(ISERROR(SEARCH("Not Met",W242)))</formula>
    </cfRule>
  </conditionalFormatting>
  <conditionalFormatting sqref="W243:W256">
    <cfRule type="containsText" dxfId="3206" priority="11549" operator="containsText" text="Met">
      <formula>NOT(ISERROR(SEARCH("Met",W243)))</formula>
    </cfRule>
    <cfRule type="containsText" dxfId="3205" priority="11548" operator="containsText" text="Not Met">
      <formula>NOT(ISERROR(SEARCH("Not Met",W243)))</formula>
    </cfRule>
  </conditionalFormatting>
  <conditionalFormatting sqref="W258">
    <cfRule type="containsText" dxfId="3204" priority="11512" operator="containsText" text="Not Met">
      <formula>NOT(ISERROR(SEARCH("Not Met",W258)))</formula>
    </cfRule>
    <cfRule type="containsText" dxfId="3203" priority="11514" operator="containsText" text="Not Met">
      <formula>NOT(ISERROR(SEARCH("Not Met",W258)))</formula>
    </cfRule>
    <cfRule type="containsText" dxfId="3202" priority="11603" operator="containsText" text="Met">
      <formula>NOT(ISERROR(SEARCH("Met",W258)))</formula>
    </cfRule>
    <cfRule type="containsText" dxfId="3201" priority="11602" operator="containsText" text="Not Met">
      <formula>NOT(ISERROR(SEARCH("Not Met",W258)))</formula>
    </cfRule>
    <cfRule type="containsText" dxfId="3200" priority="11516" operator="containsText" text="Not Met">
      <formula>NOT(ISERROR(SEARCH("Not Met",W258)))</formula>
    </cfRule>
    <cfRule type="containsText" dxfId="3199" priority="11515" operator="containsText" text="Met">
      <formula>NOT(ISERROR(SEARCH("Met",W258)))</formula>
    </cfRule>
    <cfRule type="containsText" dxfId="3198" priority="11513" operator="containsText" text="Met">
      <formula>NOT(ISERROR(SEARCH("Met",W258)))</formula>
    </cfRule>
  </conditionalFormatting>
  <conditionalFormatting sqref="W258:W260">
    <cfRule type="containsText" dxfId="3197" priority="11517" operator="containsText" text="Met">
      <formula>NOT(ISERROR(SEARCH("Met",W258)))</formula>
    </cfRule>
  </conditionalFormatting>
  <conditionalFormatting sqref="W259:W260">
    <cfRule type="containsText" dxfId="3196" priority="11576" operator="containsText" text="Not Met">
      <formula>NOT(ISERROR(SEARCH("Not Met",W259)))</formula>
    </cfRule>
    <cfRule type="containsText" dxfId="3195" priority="11577" operator="containsText" text="Met">
      <formula>NOT(ISERROR(SEARCH("Met",W259)))</formula>
    </cfRule>
    <cfRule type="containsText" dxfId="3194" priority="11578" operator="containsText" text="Not Met">
      <formula>NOT(ISERROR(SEARCH("Not Met",W259)))</formula>
    </cfRule>
    <cfRule type="containsText" dxfId="3193" priority="11579" operator="containsText" text="Met">
      <formula>NOT(ISERROR(SEARCH("Met",W259)))</formula>
    </cfRule>
  </conditionalFormatting>
  <conditionalFormatting sqref="W260:W263">
    <cfRule type="containsText" dxfId="3192" priority="11023" operator="containsText" text="Not Met">
      <formula>NOT(ISERROR(SEARCH("Not Met",W260)))</formula>
    </cfRule>
  </conditionalFormatting>
  <conditionalFormatting sqref="W261">
    <cfRule type="containsText" dxfId="3191" priority="11022" operator="containsText" text="Met">
      <formula>NOT(ISERROR(SEARCH("Met",W261)))</formula>
    </cfRule>
    <cfRule type="containsText" dxfId="3190" priority="11021" operator="containsText" text="Not Met">
      <formula>NOT(ISERROR(SEARCH("Not Met",W261)))</formula>
    </cfRule>
  </conditionalFormatting>
  <conditionalFormatting sqref="W261:W263">
    <cfRule type="containsText" dxfId="3189" priority="11024" operator="containsText" text="Met">
      <formula>NOT(ISERROR(SEARCH("Met",W261)))</formula>
    </cfRule>
  </conditionalFormatting>
  <conditionalFormatting sqref="W262:W263">
    <cfRule type="containsText" dxfId="3188" priority="11487" operator="containsText" text="Not Met">
      <formula>NOT(ISERROR(SEARCH("Not Met",W262)))</formula>
    </cfRule>
    <cfRule type="containsText" dxfId="3187" priority="11486" operator="containsText" text="Met">
      <formula>NOT(ISERROR(SEARCH("Met",W262)))</formula>
    </cfRule>
    <cfRule type="containsText" dxfId="3186" priority="11485" operator="containsText" text="Not Met">
      <formula>NOT(ISERROR(SEARCH("Not Met",W262)))</formula>
    </cfRule>
    <cfRule type="containsText" dxfId="3185" priority="11488" operator="containsText" text="Met">
      <formula>NOT(ISERROR(SEARCH("Met",W262)))</formula>
    </cfRule>
  </conditionalFormatting>
  <conditionalFormatting sqref="W264">
    <cfRule type="containsText" dxfId="3184" priority="10989" operator="containsText" text="Met">
      <formula>NOT(ISERROR(SEARCH("Met",W264)))</formula>
    </cfRule>
    <cfRule type="containsText" dxfId="3183" priority="10988" operator="containsText" text="Not Met">
      <formula>NOT(ISERROR(SEARCH("Not Met",W264)))</formula>
    </cfRule>
  </conditionalFormatting>
  <conditionalFormatting sqref="W264:W265">
    <cfRule type="containsText" dxfId="3182" priority="10991" operator="containsText" text="Met">
      <formula>NOT(ISERROR(SEARCH("Met",W264)))</formula>
    </cfRule>
    <cfRule type="containsText" dxfId="3181" priority="10990" operator="containsText" text="Not Met">
      <formula>NOT(ISERROR(SEARCH("Not Met",W264)))</formula>
    </cfRule>
  </conditionalFormatting>
  <conditionalFormatting sqref="W266">
    <cfRule type="containsText" dxfId="3180" priority="11459" operator="containsText" text="Not Met">
      <formula>NOT(ISERROR(SEARCH("Not Met",W266)))</formula>
    </cfRule>
    <cfRule type="containsText" dxfId="3179" priority="11460" operator="containsText" text="Met">
      <formula>NOT(ISERROR(SEARCH("Met",W266)))</formula>
    </cfRule>
  </conditionalFormatting>
  <conditionalFormatting sqref="W267:W268">
    <cfRule type="containsText" dxfId="3178" priority="11465" operator="containsText" text="Not Met">
      <formula>NOT(ISERROR(SEARCH("Not Met",W267)))</formula>
    </cfRule>
    <cfRule type="containsText" dxfId="3177" priority="11466" operator="containsText" text="Met">
      <formula>NOT(ISERROR(SEARCH("Met",W267)))</formula>
    </cfRule>
  </conditionalFormatting>
  <conditionalFormatting sqref="W267:W279">
    <cfRule type="containsText" dxfId="3176" priority="11463" operator="containsText" text="Not Met">
      <formula>NOT(ISERROR(SEARCH("Not Met",W267)))</formula>
    </cfRule>
    <cfRule type="containsText" dxfId="3175" priority="11464" operator="containsText" text="Met">
      <formula>NOT(ISERROR(SEARCH("Met",W267)))</formula>
    </cfRule>
  </conditionalFormatting>
  <conditionalFormatting sqref="W269">
    <cfRule type="containsText" dxfId="3174" priority="11461" operator="containsText" text="Not Met">
      <formula>NOT(ISERROR(SEARCH("Not Met",W269)))</formula>
    </cfRule>
    <cfRule type="containsText" dxfId="3173" priority="11462" operator="containsText" text="Met">
      <formula>NOT(ISERROR(SEARCH("Met",W269)))</formula>
    </cfRule>
  </conditionalFormatting>
  <conditionalFormatting sqref="W269:W271">
    <cfRule type="containsText" dxfId="3172" priority="11457" operator="containsText" text="Not Met">
      <formula>NOT(ISERROR(SEARCH("Not Met",W269)))</formula>
    </cfRule>
    <cfRule type="containsText" dxfId="3171" priority="11458" operator="containsText" text="Met">
      <formula>NOT(ISERROR(SEARCH("Met",W269)))</formula>
    </cfRule>
  </conditionalFormatting>
  <conditionalFormatting sqref="W270:W271">
    <cfRule type="containsText" dxfId="3170" priority="11456" operator="containsText" text="Met">
      <formula>NOT(ISERROR(SEARCH("Met",W270)))</formula>
    </cfRule>
    <cfRule type="containsText" dxfId="3169" priority="11455" operator="containsText" text="Not Met">
      <formula>NOT(ISERROR(SEARCH("Not Met",W270)))</formula>
    </cfRule>
  </conditionalFormatting>
  <conditionalFormatting sqref="W273:W279">
    <cfRule type="containsText" dxfId="3168" priority="11114" operator="containsText" text="Met">
      <formula>NOT(ISERROR(SEARCH("Met",W273)))</formula>
    </cfRule>
  </conditionalFormatting>
  <conditionalFormatting sqref="W281">
    <cfRule type="containsText" dxfId="3167" priority="11521" operator="containsText" text="Met">
      <formula>NOT(ISERROR(SEARCH("Met",W281)))</formula>
    </cfRule>
    <cfRule type="containsText" dxfId="3166" priority="11520" operator="containsText" text="Not Met">
      <formula>NOT(ISERROR(SEARCH("Not Met",W281)))</formula>
    </cfRule>
  </conditionalFormatting>
  <conditionalFormatting sqref="W288:W294">
    <cfRule type="containsText" dxfId="3165" priority="11284" operator="containsText" text="Met">
      <formula>NOT(ISERROR(SEARCH("Met",W288)))</formula>
    </cfRule>
    <cfRule type="containsText" dxfId="3164" priority="11283" operator="containsText" text="Not Met">
      <formula>NOT(ISERROR(SEARCH("Not Met",W288)))</formula>
    </cfRule>
  </conditionalFormatting>
  <conditionalFormatting sqref="W444:W453">
    <cfRule type="containsText" dxfId="3163" priority="844" operator="containsText" text="Met">
      <formula>NOT(ISERROR(SEARCH("Met",W444)))</formula>
    </cfRule>
  </conditionalFormatting>
  <conditionalFormatting sqref="W444:W456">
    <cfRule type="containsText" dxfId="3162" priority="837" operator="containsText" text="Not Met">
      <formula>NOT(ISERROR(SEARCH("Not Met",W444)))</formula>
    </cfRule>
  </conditionalFormatting>
  <conditionalFormatting sqref="W453">
    <cfRule type="containsText" dxfId="3161" priority="843" operator="containsText" text="Not Met">
      <formula>NOT(ISERROR(SEARCH("Not Met",W453)))</formula>
    </cfRule>
  </conditionalFormatting>
  <conditionalFormatting sqref="W453:W455">
    <cfRule type="containsText" dxfId="3160" priority="842" operator="containsText" text="Met">
      <formula>NOT(ISERROR(SEARCH("Met",W453)))</formula>
    </cfRule>
  </conditionalFormatting>
  <conditionalFormatting sqref="W455">
    <cfRule type="containsText" dxfId="3159" priority="841" operator="containsText" text="Not Met">
      <formula>NOT(ISERROR(SEARCH("Not Met",W455)))</formula>
    </cfRule>
    <cfRule type="containsText" dxfId="3158" priority="840" operator="containsText" text="Met">
      <formula>NOT(ISERROR(SEARCH("Met",W455)))</formula>
    </cfRule>
    <cfRule type="containsText" dxfId="3157" priority="839" operator="containsText" text="Not Met">
      <formula>NOT(ISERROR(SEARCH("Not Met",W455)))</formula>
    </cfRule>
  </conditionalFormatting>
  <conditionalFormatting sqref="W455:W456">
    <cfRule type="containsText" dxfId="3156" priority="838" operator="containsText" text="Met">
      <formula>NOT(ISERROR(SEARCH("Met",W455)))</formula>
    </cfRule>
  </conditionalFormatting>
  <conditionalFormatting sqref="W456">
    <cfRule type="containsText" dxfId="3155" priority="836" operator="containsText" text="Met">
      <formula>NOT(ISERROR(SEARCH("Met",W456)))</formula>
    </cfRule>
    <cfRule type="containsText" dxfId="3154" priority="835" operator="containsText" text="Not Met">
      <formula>NOT(ISERROR(SEARCH("Not Met",W456)))</formula>
    </cfRule>
  </conditionalFormatting>
  <conditionalFormatting sqref="W456:W457">
    <cfRule type="containsText" dxfId="3153" priority="833" operator="containsText" text="Not Met">
      <formula>NOT(ISERROR(SEARCH("Not Met",W456)))</formula>
    </cfRule>
    <cfRule type="containsText" dxfId="3152" priority="834" operator="containsText" text="Met">
      <formula>NOT(ISERROR(SEARCH("Met",W456)))</formula>
    </cfRule>
  </conditionalFormatting>
  <conditionalFormatting sqref="W457">
    <cfRule type="containsText" dxfId="3151" priority="832" operator="containsText" text="Met">
      <formula>NOT(ISERROR(SEARCH("Met",W457)))</formula>
    </cfRule>
    <cfRule type="containsText" dxfId="3150" priority="831" operator="containsText" text="Not Met">
      <formula>NOT(ISERROR(SEARCH("Not Met",W457)))</formula>
    </cfRule>
    <cfRule type="containsText" dxfId="3149" priority="829" operator="containsText" text="Not Met">
      <formula>NOT(ISERROR(SEARCH("Not Met",W457)))</formula>
    </cfRule>
    <cfRule type="containsText" dxfId="3148" priority="830" operator="containsText" text="Met">
      <formula>NOT(ISERROR(SEARCH("Met",W457)))</formula>
    </cfRule>
  </conditionalFormatting>
  <conditionalFormatting sqref="W20:X21">
    <cfRule type="containsText" dxfId="3147" priority="11399" operator="containsText" text="Not Met">
      <formula>NOT(ISERROR(SEARCH("Not Met",W20)))</formula>
    </cfRule>
    <cfRule type="containsText" dxfId="3146" priority="11400" operator="containsText" text="Met">
      <formula>NOT(ISERROR(SEARCH("Met",W20)))</formula>
    </cfRule>
  </conditionalFormatting>
  <conditionalFormatting sqref="W28:X31">
    <cfRule type="containsText" dxfId="3145" priority="11395" operator="containsText" text="Not Met">
      <formula>NOT(ISERROR(SEARCH("Not Met",W28)))</formula>
    </cfRule>
  </conditionalFormatting>
  <conditionalFormatting sqref="W97:X104 X105:Y111 X112:X162 X163:Y165 X166:Z169">
    <cfRule type="containsText" dxfId="3144" priority="11076" operator="containsText" text="Met">
      <formula>NOT(ISERROR(SEARCH("Met",W97)))</formula>
    </cfRule>
    <cfRule type="containsText" dxfId="3143" priority="11075" operator="containsText" text="Not Met">
      <formula>NOT(ISERROR(SEARCH("Not Met",W97)))</formula>
    </cfRule>
  </conditionalFormatting>
  <conditionalFormatting sqref="W97:X104">
    <cfRule type="containsText" dxfId="3142" priority="11073" operator="containsText" text="Not Met">
      <formula>NOT(ISERROR(SEARCH("Not Met",W97)))</formula>
    </cfRule>
    <cfRule type="containsText" dxfId="3141" priority="11074" operator="containsText" text="Met">
      <formula>NOT(ISERROR(SEARCH("Met",W97)))</formula>
    </cfRule>
  </conditionalFormatting>
  <conditionalFormatting sqref="W261:X261">
    <cfRule type="containsText" dxfId="3140" priority="11019" operator="containsText" text="Met">
      <formula>NOT(ISERROR(SEARCH("Met",W261)))</formula>
    </cfRule>
    <cfRule type="containsText" dxfId="3139" priority="11025" operator="containsText" text="Not Met">
      <formula>NOT(ISERROR(SEARCH("Not Met",W261)))</formula>
    </cfRule>
  </conditionalFormatting>
  <conditionalFormatting sqref="W264:X264">
    <cfRule type="containsText" dxfId="3138" priority="10992" operator="containsText" text="Not Met">
      <formula>NOT(ISERROR(SEARCH("Not Met",W264)))</formula>
    </cfRule>
    <cfRule type="containsText" dxfId="3137" priority="10986" operator="containsText" text="Met">
      <formula>NOT(ISERROR(SEARCH("Met",W264)))</formula>
    </cfRule>
  </conditionalFormatting>
  <conditionalFormatting sqref="W11:Z19">
    <cfRule type="containsText" dxfId="3136" priority="10971" operator="containsText" text="Met">
      <formula>NOT(ISERROR(SEARCH("Met",W11)))</formula>
    </cfRule>
    <cfRule type="containsText" dxfId="3135" priority="10970" operator="containsText" text="Not Met">
      <formula>NOT(ISERROR(SEARCH("Not Met",W11)))</formula>
    </cfRule>
  </conditionalFormatting>
  <conditionalFormatting sqref="W33:Z33">
    <cfRule type="containsText" dxfId="3134" priority="11392" operator="containsText" text="Met">
      <formula>NOT(ISERROR(SEARCH("Met",W33)))</formula>
    </cfRule>
  </conditionalFormatting>
  <conditionalFormatting sqref="W90:Z96">
    <cfRule type="containsText" dxfId="3133" priority="11596" operator="containsText" text="Not Met">
      <formula>NOT(ISERROR(SEARCH("Not Met",W90)))</formula>
    </cfRule>
    <cfRule type="containsText" dxfId="3132" priority="11597" operator="containsText" text="Met">
      <formula>NOT(ISERROR(SEARCH("Met",W90)))</formula>
    </cfRule>
  </conditionalFormatting>
  <conditionalFormatting sqref="W259:Z259">
    <cfRule type="containsText" dxfId="3131" priority="11070" operator="containsText" text="Not Met">
      <formula>NOT(ISERROR(SEARCH("Not Met",W259)))</formula>
    </cfRule>
  </conditionalFormatting>
  <conditionalFormatting sqref="W273:Z279">
    <cfRule type="containsText" dxfId="3130" priority="11115" operator="containsText" text="Not Met">
      <formula>NOT(ISERROR(SEARCH("Not Met",W273)))</formula>
    </cfRule>
  </conditionalFormatting>
  <conditionalFormatting sqref="W22:AA22 AC22">
    <cfRule type="containsText" dxfId="3129" priority="9016" operator="containsText" text="Met">
      <formula>NOT(ISERROR(SEARCH("Met",W22)))</formula>
    </cfRule>
    <cfRule type="containsText" dxfId="3128" priority="9012" operator="containsText" text="Not Met">
      <formula>NOT(ISERROR(SEARCH("Not Met",W22)))</formula>
    </cfRule>
  </conditionalFormatting>
  <conditionalFormatting sqref="W323:AA362">
    <cfRule type="containsText" dxfId="3127" priority="8910" operator="containsText" text="Met">
      <formula>NOT(ISERROR(SEARCH("Met",W323)))</formula>
    </cfRule>
    <cfRule type="containsText" dxfId="3126" priority="8909" operator="containsText" text="Not Met">
      <formula>NOT(ISERROR(SEARCH("Not Met",W323)))</formula>
    </cfRule>
  </conditionalFormatting>
  <conditionalFormatting sqref="W6:AB10">
    <cfRule type="containsText" dxfId="3125" priority="9065" operator="containsText" text="Met">
      <formula>NOT(ISERROR(SEARCH("Met",W6)))</formula>
    </cfRule>
    <cfRule type="containsText" dxfId="3124" priority="9064" operator="containsText" text="Not Met">
      <formula>NOT(ISERROR(SEARCH("Not Met",W6)))</formula>
    </cfRule>
  </conditionalFormatting>
  <conditionalFormatting sqref="W363:AD419">
    <cfRule type="containsText" dxfId="3123" priority="7252" operator="containsText" text="Met">
      <formula>NOT(ISERROR(SEARCH("Met",W363)))</formula>
    </cfRule>
    <cfRule type="containsText" dxfId="3122" priority="7251" operator="containsText" text="Not Met">
      <formula>NOT(ISERROR(SEARCH("Not Met",W363)))</formula>
    </cfRule>
  </conditionalFormatting>
  <conditionalFormatting sqref="X23:X26 X262:X263 Z262:Z263 X280:Y281 X315:Y316 X317:X322 X273:Z279">
    <cfRule type="containsText" dxfId="3121" priority="11183" operator="containsText" text="Met">
      <formula>NOT(ISERROR(SEARCH("Met",X23)))</formula>
    </cfRule>
  </conditionalFormatting>
  <conditionalFormatting sqref="X23:X27 X262:X263 Z262:Z263 X280:Y281 X315:Y316 X317:X322">
    <cfRule type="containsText" dxfId="3120" priority="11182" operator="containsText" text="Not Met">
      <formula>NOT(ISERROR(SEARCH("Not Met",X23)))</formula>
    </cfRule>
  </conditionalFormatting>
  <conditionalFormatting sqref="X97:X104">
    <cfRule type="containsText" dxfId="3119" priority="11071" operator="containsText" text="Not Met">
      <formula>NOT(ISERROR(SEARCH("Not Met",X97)))</formula>
    </cfRule>
    <cfRule type="containsText" dxfId="3118" priority="11072" operator="containsText" text="Met">
      <formula>NOT(ISERROR(SEARCH("Met",X97)))</formula>
    </cfRule>
  </conditionalFormatting>
  <conditionalFormatting sqref="X170">
    <cfRule type="containsText" dxfId="3117" priority="10413" operator="containsText" text="Not Met">
      <formula>NOT(ISERROR(SEARCH("Not Met",X170)))</formula>
    </cfRule>
    <cfRule type="containsText" dxfId="3116" priority="10415" operator="containsText" text="Not Met">
      <formula>NOT(ISERROR(SEARCH("Not Met",X170)))</formula>
    </cfRule>
    <cfRule type="containsText" dxfId="3115" priority="10416" operator="containsText" text="Met">
      <formula>NOT(ISERROR(SEARCH("Met",X170)))</formula>
    </cfRule>
    <cfRule type="containsText" dxfId="3114" priority="10414" operator="containsText" text="Met">
      <formula>NOT(ISERROR(SEARCH("Met",X170)))</formula>
    </cfRule>
  </conditionalFormatting>
  <conditionalFormatting sqref="X261">
    <cfRule type="containsText" dxfId="3113" priority="11017" operator="containsText" text="Met">
      <formula>NOT(ISERROR(SEARCH("Met",X261)))</formula>
    </cfRule>
    <cfRule type="containsText" dxfId="3112" priority="11014" operator="containsText" text="Not Met">
      <formula>NOT(ISERROR(SEARCH("Not Met",X261)))</formula>
    </cfRule>
    <cfRule type="containsText" dxfId="3111" priority="11018" operator="containsText" text="Not Met">
      <formula>NOT(ISERROR(SEARCH("Not Met",X261)))</formula>
    </cfRule>
  </conditionalFormatting>
  <conditionalFormatting sqref="X264">
    <cfRule type="containsText" dxfId="3110" priority="10985" operator="containsText" text="Not Met">
      <formula>NOT(ISERROR(SEARCH("Not Met",X264)))</formula>
    </cfRule>
    <cfRule type="containsText" dxfId="3109" priority="10984" operator="containsText" text="Met">
      <formula>NOT(ISERROR(SEARCH("Met",X264)))</formula>
    </cfRule>
    <cfRule type="containsText" dxfId="3108" priority="10983" operator="containsText" text="Not Met">
      <formula>NOT(ISERROR(SEARCH("Not Met",X264)))</formula>
    </cfRule>
  </conditionalFormatting>
  <conditionalFormatting sqref="X444:X457">
    <cfRule type="containsText" dxfId="3107" priority="870" operator="containsText" text="Not Met">
      <formula>NOT(ISERROR(SEARCH("Not Met",X444)))</formula>
    </cfRule>
  </conditionalFormatting>
  <conditionalFormatting sqref="X32:Y32 X33:Z33">
    <cfRule type="containsText" dxfId="3106" priority="10762" operator="containsText" text="Not Met">
      <formula>NOT(ISERROR(SEARCH("Not Met",X32)))</formula>
    </cfRule>
  </conditionalFormatting>
  <conditionalFormatting sqref="X261:Y261">
    <cfRule type="containsText" dxfId="3105" priority="10454" operator="containsText" text="Met">
      <formula>NOT(ISERROR(SEARCH("Met",X261)))</formula>
    </cfRule>
  </conditionalFormatting>
  <conditionalFormatting sqref="X264:Y264">
    <cfRule type="containsText" dxfId="3104" priority="10443" operator="containsText" text="Met">
      <formula>NOT(ISERROR(SEARCH("Met",X264)))</formula>
    </cfRule>
  </conditionalFormatting>
  <conditionalFormatting sqref="X236:Z256">
    <cfRule type="containsText" dxfId="3103" priority="10496" operator="containsText" text="Not Met">
      <formula>NOT(ISERROR(SEARCH("Not Met",X236)))</formula>
    </cfRule>
  </conditionalFormatting>
  <conditionalFormatting sqref="X236:Z258">
    <cfRule type="containsText" dxfId="3102" priority="10497" operator="containsText" text="Met">
      <formula>NOT(ISERROR(SEARCH("Met",X236)))</formula>
    </cfRule>
  </conditionalFormatting>
  <conditionalFormatting sqref="X257:Z258">
    <cfRule type="containsText" dxfId="3101" priority="9780" operator="containsText" text="Not Met">
      <formula>NOT(ISERROR(SEARCH("Not Met",X257)))</formula>
    </cfRule>
  </conditionalFormatting>
  <conditionalFormatting sqref="X259:Z259">
    <cfRule type="containsText" dxfId="3100" priority="11037" operator="containsText" text="Not Met">
      <formula>NOT(ISERROR(SEARCH("Not Met",X259)))</formula>
    </cfRule>
    <cfRule type="containsText" dxfId="3099" priority="11039" operator="containsText" text="Not Met">
      <formula>NOT(ISERROR(SEARCH("Not Met",X259)))</formula>
    </cfRule>
    <cfRule type="containsText" dxfId="3098" priority="11040" operator="containsText" text="Met">
      <formula>NOT(ISERROR(SEARCH("Met",X259)))</formula>
    </cfRule>
    <cfRule type="containsText" dxfId="3097" priority="10459" operator="containsText" text="Met">
      <formula>NOT(ISERROR(SEARCH("Met",X259)))</formula>
    </cfRule>
    <cfRule type="containsText" dxfId="3096" priority="11038" operator="containsText" text="Met">
      <formula>NOT(ISERROR(SEARCH("Met",X259)))</formula>
    </cfRule>
  </conditionalFormatting>
  <conditionalFormatting sqref="Y14:Y15">
    <cfRule type="containsText" dxfId="3095" priority="10966" operator="containsText" text="Not Met">
      <formula>NOT(ISERROR(SEARCH("Not Met",Y14)))</formula>
    </cfRule>
    <cfRule type="containsText" dxfId="3094" priority="10968" operator="containsText" text="Not Met">
      <formula>NOT(ISERROR(SEARCH("Not Met",Y14)))</formula>
    </cfRule>
    <cfRule type="containsText" dxfId="3093" priority="10967" operator="containsText" text="Met">
      <formula>NOT(ISERROR(SEARCH("Met",Y14)))</formula>
    </cfRule>
    <cfRule type="containsText" dxfId="3092" priority="10969" operator="containsText" text="Met">
      <formula>NOT(ISERROR(SEARCH("Met",Y14)))</formula>
    </cfRule>
  </conditionalFormatting>
  <conditionalFormatting sqref="Y23">
    <cfRule type="containsText" dxfId="3091" priority="10746" operator="containsText" text="Met">
      <formula>NOT(ISERROR(SEARCH("Met",Y23)))</formula>
    </cfRule>
    <cfRule type="containsText" dxfId="3090" priority="10745" operator="containsText" text="Not Met">
      <formula>NOT(ISERROR(SEARCH("Not Met",Y23)))</formula>
    </cfRule>
  </conditionalFormatting>
  <conditionalFormatting sqref="Y25 Y26:Z32">
    <cfRule type="containsText" dxfId="3089" priority="10742" operator="containsText" text="Met">
      <formula>NOT(ISERROR(SEARCH("Met",Y25)))</formula>
    </cfRule>
  </conditionalFormatting>
  <conditionalFormatting sqref="Y25">
    <cfRule type="containsText" dxfId="3088" priority="10741" operator="containsText" text="Not Met">
      <formula>NOT(ISERROR(SEARCH("Not Met",Y25)))</formula>
    </cfRule>
  </conditionalFormatting>
  <conditionalFormatting sqref="Y32">
    <cfRule type="containsText" dxfId="3087" priority="10763" operator="containsText" text="Met">
      <formula>NOT(ISERROR(SEARCH("Met",Y32)))</formula>
    </cfRule>
  </conditionalFormatting>
  <conditionalFormatting sqref="Y33">
    <cfRule type="containsText" dxfId="3086" priority="10740" operator="containsText" text="Met">
      <formula>NOT(ISERROR(SEARCH("Met",Y33)))</formula>
    </cfRule>
    <cfRule type="containsText" dxfId="3085" priority="10739" operator="containsText" text="Not Met">
      <formula>NOT(ISERROR(SEARCH("Not Met",Y33)))</formula>
    </cfRule>
  </conditionalFormatting>
  <conditionalFormatting sqref="Y36:Y39">
    <cfRule type="containsText" dxfId="3084" priority="10737" operator="containsText" text="Not Met">
      <formula>NOT(ISERROR(SEARCH("Not Met",Y36)))</formula>
    </cfRule>
    <cfRule type="containsText" dxfId="3083" priority="10738" operator="containsText" text="Met">
      <formula>NOT(ISERROR(SEARCH("Met",Y36)))</formula>
    </cfRule>
  </conditionalFormatting>
  <conditionalFormatting sqref="Y112:Y113">
    <cfRule type="containsText" dxfId="3082" priority="10813" operator="containsText" text="Met">
      <formula>NOT(ISERROR(SEARCH("Met",Y112)))</formula>
    </cfRule>
    <cfRule type="containsText" dxfId="3081" priority="10812" operator="containsText" text="Not Met">
      <formula>NOT(ISERROR(SEARCH("Not Met",Y112)))</formula>
    </cfRule>
  </conditionalFormatting>
  <conditionalFormatting sqref="Y118:Y124">
    <cfRule type="containsText" dxfId="3080" priority="10808" operator="containsText" text="Not Met">
      <formula>NOT(ISERROR(SEARCH("Not Met",Y118)))</formula>
    </cfRule>
  </conditionalFormatting>
  <conditionalFormatting sqref="Y118:Y126">
    <cfRule type="containsText" dxfId="3079" priority="10809" operator="containsText" text="Met">
      <formula>NOT(ISERROR(SEARCH("Met",Y118)))</formula>
    </cfRule>
  </conditionalFormatting>
  <conditionalFormatting sqref="Y125:Y126">
    <cfRule type="containsText" dxfId="3078" priority="10839" operator="containsText" text="Not Met">
      <formula>NOT(ISERROR(SEARCH("Not Met",Y125)))</formula>
    </cfRule>
  </conditionalFormatting>
  <conditionalFormatting sqref="Y128:Y134">
    <cfRule type="containsText" dxfId="3077" priority="10833" operator="containsText" text="Met">
      <formula>NOT(ISERROR(SEARCH("Met",Y128)))</formula>
    </cfRule>
    <cfRule type="containsText" dxfId="3076" priority="10832" operator="containsText" text="Not Met">
      <formula>NOT(ISERROR(SEARCH("Not Met",Y128)))</formula>
    </cfRule>
  </conditionalFormatting>
  <conditionalFormatting sqref="Y142">
    <cfRule type="containsText" dxfId="3075" priority="10520" operator="containsText" text="Not Met">
      <formula>NOT(ISERROR(SEARCH("Not Met",Y142)))</formula>
    </cfRule>
    <cfRule type="containsText" dxfId="3074" priority="10521" operator="containsText" text="Met">
      <formula>NOT(ISERROR(SEARCH("Met",Y142)))</formula>
    </cfRule>
  </conditionalFormatting>
  <conditionalFormatting sqref="Y142:Y143">
    <cfRule type="containsText" dxfId="3073" priority="10516" operator="containsText" text="Not Met">
      <formula>NOT(ISERROR(SEARCH("Not Met",Y142)))</formula>
    </cfRule>
    <cfRule type="containsText" dxfId="3072" priority="10517" operator="containsText" text="Met">
      <formula>NOT(ISERROR(SEARCH("Met",Y142)))</formula>
    </cfRule>
  </conditionalFormatting>
  <conditionalFormatting sqref="Y143:Y144">
    <cfRule type="containsText" dxfId="3071" priority="10512" operator="containsText" text="Not Met">
      <formula>NOT(ISERROR(SEARCH("Not Met",Y143)))</formula>
    </cfRule>
    <cfRule type="containsText" dxfId="3070" priority="10513" operator="containsText" text="Met">
      <formula>NOT(ISERROR(SEARCH("Met",Y143)))</formula>
    </cfRule>
  </conditionalFormatting>
  <conditionalFormatting sqref="Y144:Y145">
    <cfRule type="containsText" dxfId="3069" priority="10509" operator="containsText" text="Met">
      <formula>NOT(ISERROR(SEARCH("Met",Y144)))</formula>
    </cfRule>
    <cfRule type="containsText" dxfId="3068" priority="10508" operator="containsText" text="Not Met">
      <formula>NOT(ISERROR(SEARCH("Not Met",Y144)))</formula>
    </cfRule>
  </conditionalFormatting>
  <conditionalFormatting sqref="Y145:Y146">
    <cfRule type="containsText" dxfId="3067" priority="10504" operator="containsText" text="Not Met">
      <formula>NOT(ISERROR(SEARCH("Not Met",Y145)))</formula>
    </cfRule>
    <cfRule type="containsText" dxfId="3066" priority="10505" operator="containsText" text="Met">
      <formula>NOT(ISERROR(SEARCH("Met",Y145)))</formula>
    </cfRule>
  </conditionalFormatting>
  <conditionalFormatting sqref="Y146">
    <cfRule type="containsText" dxfId="3065" priority="10503" operator="containsText" text="Met">
      <formula>NOT(ISERROR(SEARCH("Met",Y146)))</formula>
    </cfRule>
    <cfRule type="containsText" dxfId="3064" priority="10502" operator="containsText" text="Not Met">
      <formula>NOT(ISERROR(SEARCH("Not Met",Y146)))</formula>
    </cfRule>
  </conditionalFormatting>
  <conditionalFormatting sqref="Y147:Y159">
    <cfRule type="containsText" dxfId="3063" priority="10618" operator="containsText" text="Not Met">
      <formula>NOT(ISERROR(SEARCH("Not Met",Y147)))</formula>
    </cfRule>
    <cfRule type="containsText" dxfId="3062" priority="10619" operator="containsText" text="Met">
      <formula>NOT(ISERROR(SEARCH("Met",Y147)))</formula>
    </cfRule>
  </conditionalFormatting>
  <conditionalFormatting sqref="Y155:Y159">
    <cfRule type="containsText" dxfId="3061" priority="10617" operator="containsText" text="Met">
      <formula>NOT(ISERROR(SEARCH("Met",Y155)))</formula>
    </cfRule>
    <cfRule type="containsText" dxfId="3060" priority="10614" operator="containsText" text="Not Met">
      <formula>NOT(ISERROR(SEARCH("Not Met",Y155)))</formula>
    </cfRule>
    <cfRule type="containsText" dxfId="3059" priority="10615" operator="containsText" text="Met">
      <formula>NOT(ISERROR(SEARCH("Met",Y155)))</formula>
    </cfRule>
    <cfRule type="containsText" dxfId="3058" priority="10616" operator="containsText" text="Not Met">
      <formula>NOT(ISERROR(SEARCH("Not Met",Y155)))</formula>
    </cfRule>
  </conditionalFormatting>
  <conditionalFormatting sqref="Y160">
    <cfRule type="containsText" dxfId="3057" priority="10630" operator="containsText" text="Not Met">
      <formula>NOT(ISERROR(SEARCH("Not Met",Y160)))</formula>
    </cfRule>
    <cfRule type="containsText" dxfId="3056" priority="10631" operator="containsText" text="Met">
      <formula>NOT(ISERROR(SEARCH("Met",Y160)))</formula>
    </cfRule>
    <cfRule type="containsText" dxfId="3055" priority="10632" operator="containsText" text="Not Met">
      <formula>NOT(ISERROR(SEARCH("Not Met",Y160)))</formula>
    </cfRule>
    <cfRule type="containsText" dxfId="3054" priority="10633" operator="containsText" text="Met">
      <formula>NOT(ISERROR(SEARCH("Met",Y160)))</formula>
    </cfRule>
    <cfRule type="containsText" dxfId="3053" priority="10634" operator="containsText" text="Not Met">
      <formula>NOT(ISERROR(SEARCH("Not Met",Y160)))</formula>
    </cfRule>
    <cfRule type="containsText" dxfId="3052" priority="10635" operator="containsText" text="Met">
      <formula>NOT(ISERROR(SEARCH("Met",Y160)))</formula>
    </cfRule>
  </conditionalFormatting>
  <conditionalFormatting sqref="Y161:Y162">
    <cfRule type="containsText" dxfId="3051" priority="10580" operator="containsText" text="Not Met">
      <formula>NOT(ISERROR(SEARCH("Not Met",Y161)))</formula>
    </cfRule>
    <cfRule type="containsText" dxfId="3050" priority="10581" operator="containsText" text="Met">
      <formula>NOT(ISERROR(SEARCH("Met",Y161)))</formula>
    </cfRule>
    <cfRule type="containsText" dxfId="3049" priority="10582" operator="containsText" text="Not Met">
      <formula>NOT(ISERROR(SEARCH("Not Met",Y161)))</formula>
    </cfRule>
    <cfRule type="containsText" dxfId="3048" priority="10583" operator="containsText" text="Met">
      <formula>NOT(ISERROR(SEARCH("Met",Y161)))</formula>
    </cfRule>
    <cfRule type="containsText" dxfId="3047" priority="10584" operator="containsText" text="Not Met">
      <formula>NOT(ISERROR(SEARCH("Not Met",Y161)))</formula>
    </cfRule>
    <cfRule type="containsText" dxfId="3046" priority="10585" operator="containsText" text="Met">
      <formula>NOT(ISERROR(SEARCH("Met",Y161)))</formula>
    </cfRule>
  </conditionalFormatting>
  <conditionalFormatting sqref="Y173">
    <cfRule type="containsText" dxfId="3045" priority="10826" operator="containsText" text="Not Met">
      <formula>NOT(ISERROR(SEARCH("Not Met",Y173)))</formula>
    </cfRule>
    <cfRule type="containsText" dxfId="3044" priority="10827" operator="containsText" text="Met">
      <formula>NOT(ISERROR(SEARCH("Met",Y173)))</formula>
    </cfRule>
  </conditionalFormatting>
  <conditionalFormatting sqref="Y176:Y181">
    <cfRule type="containsText" dxfId="3043" priority="10823" operator="containsText" text="Met">
      <formula>NOT(ISERROR(SEARCH("Met",Y176)))</formula>
    </cfRule>
    <cfRule type="containsText" dxfId="3042" priority="10822" operator="containsText" text="Not Met">
      <formula>NOT(ISERROR(SEARCH("Not Met",Y176)))</formula>
    </cfRule>
  </conditionalFormatting>
  <conditionalFormatting sqref="Y194:Y211">
    <cfRule type="containsText" dxfId="3041" priority="10946" operator="containsText" text="Not Met">
      <formula>NOT(ISERROR(SEARCH("Not Met",Y194)))</formula>
    </cfRule>
    <cfRule type="containsText" dxfId="3040" priority="10951" operator="containsText" text="Met">
      <formula>NOT(ISERROR(SEARCH("Met",Y194)))</formula>
    </cfRule>
    <cfRule type="containsText" dxfId="3039" priority="10947" operator="containsText" text="Met">
      <formula>NOT(ISERROR(SEARCH("Met",Y194)))</formula>
    </cfRule>
    <cfRule type="containsText" dxfId="3038" priority="10948" operator="containsText" text="Not Met">
      <formula>NOT(ISERROR(SEARCH("Not Met",Y194)))</formula>
    </cfRule>
    <cfRule type="containsText" dxfId="3037" priority="10950" operator="containsText" text="Not Met">
      <formula>NOT(ISERROR(SEARCH("Not Met",Y194)))</formula>
    </cfRule>
    <cfRule type="containsText" dxfId="3036" priority="10949" operator="containsText" text="Met">
      <formula>NOT(ISERROR(SEARCH("Met",Y194)))</formula>
    </cfRule>
  </conditionalFormatting>
  <conditionalFormatting sqref="Y202:Y211">
    <cfRule type="containsText" dxfId="3035" priority="10942" operator="containsText" text="Not Met">
      <formula>NOT(ISERROR(SEARCH("Not Met",Y202)))</formula>
    </cfRule>
    <cfRule type="containsText" dxfId="3034" priority="10944" operator="containsText" text="Not Met">
      <formula>NOT(ISERROR(SEARCH("Not Met",Y202)))</formula>
    </cfRule>
    <cfRule type="containsText" dxfId="3033" priority="10945" operator="containsText" text="Met">
      <formula>NOT(ISERROR(SEARCH("Met",Y202)))</formula>
    </cfRule>
    <cfRule type="containsText" dxfId="3032" priority="10943" operator="containsText" text="Met">
      <formula>NOT(ISERROR(SEARCH("Met",Y202)))</formula>
    </cfRule>
  </conditionalFormatting>
  <conditionalFormatting sqref="Y229:Y243 AA212:AA243 AE36:AE112 AG90:AG113 B118:B123 X171:X235 V212:V215 I212:J227 AQ212:AQ235 AI288:AI302 AM288:AM302 AQ288:AQ302 X295:Z302 X304:Z314 AQ304:AQ314">
    <cfRule type="containsText" dxfId="3031" priority="16102" operator="containsText" text="Not Met">
      <formula>NOT(ISERROR(SEARCH("Not Met",B36)))</formula>
    </cfRule>
  </conditionalFormatting>
  <conditionalFormatting sqref="Y244:Y256">
    <cfRule type="containsText" dxfId="3030" priority="10494" operator="containsText" text="Not Met">
      <formula>NOT(ISERROR(SEARCH("Not Met",Y244)))</formula>
    </cfRule>
    <cfRule type="containsText" dxfId="3029" priority="10495" operator="containsText" text="Met">
      <formula>NOT(ISERROR(SEARCH("Met",Y244)))</formula>
    </cfRule>
  </conditionalFormatting>
  <conditionalFormatting sqref="Y259">
    <cfRule type="containsText" dxfId="3028" priority="10457" operator="containsText" text="Met">
      <formula>NOT(ISERROR(SEARCH("Met",Y259)))</formula>
    </cfRule>
    <cfRule type="containsText" dxfId="3027" priority="10456" operator="containsText" text="Not Met">
      <formula>NOT(ISERROR(SEARCH("Not Met",Y259)))</formula>
    </cfRule>
    <cfRule type="containsText" dxfId="3026" priority="10455" operator="containsText" text="Met">
      <formula>NOT(ISERROR(SEARCH("Met",Y259)))</formula>
    </cfRule>
    <cfRule type="containsText" dxfId="3025" priority="10458" operator="containsText" text="Not Met">
      <formula>NOT(ISERROR(SEARCH("Not Met",Y259)))</formula>
    </cfRule>
  </conditionalFormatting>
  <conditionalFormatting sqref="Y261">
    <cfRule type="containsText" dxfId="3024" priority="10453" operator="containsText" text="Not Met">
      <formula>NOT(ISERROR(SEARCH("Not Met",Y261)))</formula>
    </cfRule>
    <cfRule type="containsText" dxfId="3023" priority="10451" operator="containsText" text="Not Met">
      <formula>NOT(ISERROR(SEARCH("Not Met",Y261)))</formula>
    </cfRule>
    <cfRule type="containsText" dxfId="3022" priority="10450" operator="containsText" text="Met">
      <formula>NOT(ISERROR(SEARCH("Met",Y261)))</formula>
    </cfRule>
    <cfRule type="containsText" dxfId="3021" priority="10452" operator="containsText" text="Met">
      <formula>NOT(ISERROR(SEARCH("Met",Y261)))</formula>
    </cfRule>
  </conditionalFormatting>
  <conditionalFormatting sqref="Y262:Y263">
    <cfRule type="containsText" dxfId="3020" priority="10427" operator="containsText" text="Not Met">
      <formula>NOT(ISERROR(SEARCH("Not Met",Y262)))</formula>
    </cfRule>
    <cfRule type="containsText" dxfId="3019" priority="10428" operator="containsText" text="Met">
      <formula>NOT(ISERROR(SEARCH("Met",Y262)))</formula>
    </cfRule>
    <cfRule type="containsText" dxfId="3018" priority="10429" operator="containsText" text="Not Met">
      <formula>NOT(ISERROR(SEARCH("Not Met",Y262)))</formula>
    </cfRule>
    <cfRule type="containsText" dxfId="3017" priority="10430" operator="containsText" text="Met">
      <formula>NOT(ISERROR(SEARCH("Met",Y262)))</formula>
    </cfRule>
    <cfRule type="containsText" dxfId="3016" priority="10431" operator="containsText" text="Not Met">
      <formula>NOT(ISERROR(SEARCH("Not Met",Y262)))</formula>
    </cfRule>
    <cfRule type="containsText" dxfId="3015" priority="10432" operator="containsText" text="Met">
      <formula>NOT(ISERROR(SEARCH("Met",Y262)))</formula>
    </cfRule>
  </conditionalFormatting>
  <conditionalFormatting sqref="Y264">
    <cfRule type="containsText" dxfId="3014" priority="10442" operator="containsText" text="Not Met">
      <formula>NOT(ISERROR(SEARCH("Not Met",Y264)))</formula>
    </cfRule>
    <cfRule type="containsText" dxfId="3013" priority="10441" operator="containsText" text="Met">
      <formula>NOT(ISERROR(SEARCH("Met",Y264)))</formula>
    </cfRule>
    <cfRule type="containsText" dxfId="3012" priority="10439" operator="containsText" text="Met">
      <formula>NOT(ISERROR(SEARCH("Met",Y264)))</formula>
    </cfRule>
    <cfRule type="containsText" dxfId="3011" priority="10440" operator="containsText" text="Not Met">
      <formula>NOT(ISERROR(SEARCH("Not Met",Y264)))</formula>
    </cfRule>
  </conditionalFormatting>
  <conditionalFormatting sqref="Y444:Y452 Y454:Y457">
    <cfRule type="containsText" dxfId="3010" priority="826" operator="containsText" text="Met">
      <formula>NOT(ISERROR(SEARCH("Met",Y444)))</formula>
    </cfRule>
    <cfRule type="containsText" dxfId="3009" priority="825" operator="containsText" text="Not Met">
      <formula>NOT(ISERROR(SEARCH("Not Met",Y444)))</formula>
    </cfRule>
  </conditionalFormatting>
  <conditionalFormatting sqref="Y20:Z21 Z22:Z25 Z107:Z134 Z141:Z165 X265:Z272 Z280:Z287 Z315:Z322">
    <cfRule type="containsText" dxfId="3008" priority="10754" operator="containsText" text="Met">
      <formula>NOT(ISERROR(SEARCH("Met",X20)))</formula>
    </cfRule>
  </conditionalFormatting>
  <conditionalFormatting sqref="Y26:Z32">
    <cfRule type="containsText" dxfId="3007" priority="9678" operator="containsText" text="Not Met">
      <formula>NOT(ISERROR(SEARCH("Not Met",Y26)))</formula>
    </cfRule>
  </conditionalFormatting>
  <conditionalFormatting sqref="Y54:Z89">
    <cfRule type="containsText" dxfId="3006" priority="10717" operator="containsText" text="Not Met">
      <formula>NOT(ISERROR(SEARCH("Not Met",Y54)))</formula>
    </cfRule>
    <cfRule type="containsText" dxfId="3005" priority="10718" operator="containsText" text="Met">
      <formula>NOT(ISERROR(SEARCH("Met",Y54)))</formula>
    </cfRule>
  </conditionalFormatting>
  <conditionalFormatting sqref="Y97:Z97">
    <cfRule type="containsText" dxfId="3004" priority="10929" operator="containsText" text="Met">
      <formula>NOT(ISERROR(SEARCH("Met",Y97)))</formula>
    </cfRule>
    <cfRule type="containsText" dxfId="3003" priority="10930" operator="containsText" text="Not Met">
      <formula>NOT(ISERROR(SEARCH("Not Met",Y97)))</formula>
    </cfRule>
    <cfRule type="containsText" dxfId="3002" priority="10931" operator="containsText" text="Met">
      <formula>NOT(ISERROR(SEARCH("Met",Y97)))</formula>
    </cfRule>
    <cfRule type="containsText" dxfId="3001" priority="10932" operator="containsText" text="Not Met">
      <formula>NOT(ISERROR(SEARCH("Not Met",Y97)))</formula>
    </cfRule>
    <cfRule type="containsText" dxfId="3000" priority="10933" operator="containsText" text="Met">
      <formula>NOT(ISERROR(SEARCH("Met",Y97)))</formula>
    </cfRule>
    <cfRule type="containsText" dxfId="2999" priority="10928" operator="containsText" text="Not Met">
      <formula>NOT(ISERROR(SEARCH("Not Met",Y97)))</formula>
    </cfRule>
  </conditionalFormatting>
  <conditionalFormatting sqref="Y98:Z98">
    <cfRule type="containsText" dxfId="2998" priority="10920" operator="containsText" text="Not Met">
      <formula>NOT(ISERROR(SEARCH("Not Met",Y98)))</formula>
    </cfRule>
    <cfRule type="containsText" dxfId="2997" priority="10919" operator="containsText" text="Met">
      <formula>NOT(ISERROR(SEARCH("Met",Y98)))</formula>
    </cfRule>
    <cfRule type="containsText" dxfId="2996" priority="10923" operator="containsText" text="Met">
      <formula>NOT(ISERROR(SEARCH("Met",Y98)))</formula>
    </cfRule>
    <cfRule type="containsText" dxfId="2995" priority="10921" operator="containsText" text="Met">
      <formula>NOT(ISERROR(SEARCH("Met",Y98)))</formula>
    </cfRule>
    <cfRule type="containsText" dxfId="2994" priority="10918" operator="containsText" text="Not Met">
      <formula>NOT(ISERROR(SEARCH("Not Met",Y98)))</formula>
    </cfRule>
    <cfRule type="containsText" dxfId="2993" priority="10922" operator="containsText" text="Not Met">
      <formula>NOT(ISERROR(SEARCH("Not Met",Y98)))</formula>
    </cfRule>
  </conditionalFormatting>
  <conditionalFormatting sqref="Y99:Z99">
    <cfRule type="containsText" dxfId="2992" priority="10912" operator="containsText" text="Not Met">
      <formula>NOT(ISERROR(SEARCH("Not Met",Y99)))</formula>
    </cfRule>
    <cfRule type="containsText" dxfId="2991" priority="10908" operator="containsText" text="Not Met">
      <formula>NOT(ISERROR(SEARCH("Not Met",Y99)))</formula>
    </cfRule>
    <cfRule type="containsText" dxfId="2990" priority="10909" operator="containsText" text="Met">
      <formula>NOT(ISERROR(SEARCH("Met",Y99)))</formula>
    </cfRule>
    <cfRule type="containsText" dxfId="2989" priority="10911" operator="containsText" text="Met">
      <formula>NOT(ISERROR(SEARCH("Met",Y99)))</formula>
    </cfRule>
    <cfRule type="containsText" dxfId="2988" priority="10913" operator="containsText" text="Met">
      <formula>NOT(ISERROR(SEARCH("Met",Y99)))</formula>
    </cfRule>
    <cfRule type="containsText" dxfId="2987" priority="10910" operator="containsText" text="Not Met">
      <formula>NOT(ISERROR(SEARCH("Not Met",Y99)))</formula>
    </cfRule>
  </conditionalFormatting>
  <conditionalFormatting sqref="Y100:Z100">
    <cfRule type="containsText" dxfId="2986" priority="10898" operator="containsText" text="Not Met">
      <formula>NOT(ISERROR(SEARCH("Not Met",Y100)))</formula>
    </cfRule>
    <cfRule type="containsText" dxfId="2985" priority="10899" operator="containsText" text="Met">
      <formula>NOT(ISERROR(SEARCH("Met",Y100)))</formula>
    </cfRule>
    <cfRule type="containsText" dxfId="2984" priority="10900" operator="containsText" text="Not Met">
      <formula>NOT(ISERROR(SEARCH("Not Met",Y100)))</formula>
    </cfRule>
    <cfRule type="containsText" dxfId="2983" priority="10901" operator="containsText" text="Met">
      <formula>NOT(ISERROR(SEARCH("Met",Y100)))</formula>
    </cfRule>
    <cfRule type="containsText" dxfId="2982" priority="10903" operator="containsText" text="Met">
      <formula>NOT(ISERROR(SEARCH("Met",Y100)))</formula>
    </cfRule>
    <cfRule type="containsText" dxfId="2981" priority="10902" operator="containsText" text="Not Met">
      <formula>NOT(ISERROR(SEARCH("Not Met",Y100)))</formula>
    </cfRule>
  </conditionalFormatting>
  <conditionalFormatting sqref="Y101:Z101">
    <cfRule type="containsText" dxfId="2980" priority="10889" operator="containsText" text="Met">
      <formula>NOT(ISERROR(SEARCH("Met",Y101)))</formula>
    </cfRule>
    <cfRule type="containsText" dxfId="2979" priority="10888" operator="containsText" text="Not Met">
      <formula>NOT(ISERROR(SEARCH("Not Met",Y101)))</formula>
    </cfRule>
    <cfRule type="containsText" dxfId="2978" priority="10891" operator="containsText" text="Met">
      <formula>NOT(ISERROR(SEARCH("Met",Y101)))</formula>
    </cfRule>
    <cfRule type="containsText" dxfId="2977" priority="10890" operator="containsText" text="Not Met">
      <formula>NOT(ISERROR(SEARCH("Not Met",Y101)))</formula>
    </cfRule>
    <cfRule type="containsText" dxfId="2976" priority="10892" operator="containsText" text="Not Met">
      <formula>NOT(ISERROR(SEARCH("Not Met",Y101)))</formula>
    </cfRule>
    <cfRule type="containsText" dxfId="2975" priority="10893" operator="containsText" text="Met">
      <formula>NOT(ISERROR(SEARCH("Met",Y101)))</formula>
    </cfRule>
  </conditionalFormatting>
  <conditionalFormatting sqref="Y102:Z102">
    <cfRule type="containsText" dxfId="2974" priority="10882" operator="containsText" text="Not Met">
      <formula>NOT(ISERROR(SEARCH("Not Met",Y102)))</formula>
    </cfRule>
    <cfRule type="containsText" dxfId="2973" priority="10879" operator="containsText" text="Met">
      <formula>NOT(ISERROR(SEARCH("Met",Y102)))</formula>
    </cfRule>
    <cfRule type="containsText" dxfId="2972" priority="10878" operator="containsText" text="Not Met">
      <formula>NOT(ISERROR(SEARCH("Not Met",Y102)))</formula>
    </cfRule>
    <cfRule type="containsText" dxfId="2971" priority="10881" operator="containsText" text="Met">
      <formula>NOT(ISERROR(SEARCH("Met",Y102)))</formula>
    </cfRule>
    <cfRule type="containsText" dxfId="2970" priority="10880" operator="containsText" text="Not Met">
      <formula>NOT(ISERROR(SEARCH("Not Met",Y102)))</formula>
    </cfRule>
    <cfRule type="containsText" dxfId="2969" priority="10883" operator="containsText" text="Met">
      <formula>NOT(ISERROR(SEARCH("Met",Y102)))</formula>
    </cfRule>
  </conditionalFormatting>
  <conditionalFormatting sqref="Y103:Z103">
    <cfRule type="containsText" dxfId="2968" priority="10872" operator="containsText" text="Not Met">
      <formula>NOT(ISERROR(SEARCH("Not Met",Y103)))</formula>
    </cfRule>
    <cfRule type="containsText" dxfId="2967" priority="10873" operator="containsText" text="Met">
      <formula>NOT(ISERROR(SEARCH("Met",Y103)))</formula>
    </cfRule>
    <cfRule type="containsText" dxfId="2966" priority="10868" operator="containsText" text="Not Met">
      <formula>NOT(ISERROR(SEARCH("Not Met",Y103)))</formula>
    </cfRule>
    <cfRule type="containsText" dxfId="2965" priority="10869" operator="containsText" text="Met">
      <formula>NOT(ISERROR(SEARCH("Met",Y103)))</formula>
    </cfRule>
    <cfRule type="containsText" dxfId="2964" priority="10870" operator="containsText" text="Not Met">
      <formula>NOT(ISERROR(SEARCH("Not Met",Y103)))</formula>
    </cfRule>
    <cfRule type="containsText" dxfId="2963" priority="10871" operator="containsText" text="Met">
      <formula>NOT(ISERROR(SEARCH("Met",Y103)))</formula>
    </cfRule>
  </conditionalFormatting>
  <conditionalFormatting sqref="Y104:Z104">
    <cfRule type="containsText" dxfId="2962" priority="10859" operator="containsText" text="Met">
      <formula>NOT(ISERROR(SEARCH("Met",Y104)))</formula>
    </cfRule>
    <cfRule type="containsText" dxfId="2961" priority="10863" operator="containsText" text="Met">
      <formula>NOT(ISERROR(SEARCH("Met",Y104)))</formula>
    </cfRule>
    <cfRule type="containsText" dxfId="2960" priority="10862" operator="containsText" text="Not Met">
      <formula>NOT(ISERROR(SEARCH("Not Met",Y104)))</formula>
    </cfRule>
    <cfRule type="containsText" dxfId="2959" priority="10858" operator="containsText" text="Not Met">
      <formula>NOT(ISERROR(SEARCH("Not Met",Y104)))</formula>
    </cfRule>
    <cfRule type="containsText" dxfId="2958" priority="10861" operator="containsText" text="Met">
      <formula>NOT(ISERROR(SEARCH("Met",Y104)))</formula>
    </cfRule>
    <cfRule type="containsText" dxfId="2957" priority="10860" operator="containsText" text="Not Met">
      <formula>NOT(ISERROR(SEARCH("Not Met",Y104)))</formula>
    </cfRule>
  </conditionalFormatting>
  <conditionalFormatting sqref="Y135:Z135">
    <cfRule type="containsText" dxfId="2956" priority="10851" operator="containsText" text="Met">
      <formula>NOT(ISERROR(SEARCH("Met",Y135)))</formula>
    </cfRule>
    <cfRule type="containsText" dxfId="2955" priority="10850" operator="containsText" text="Not Met">
      <formula>NOT(ISERROR(SEARCH("Not Met",Y135)))</formula>
    </cfRule>
  </conditionalFormatting>
  <conditionalFormatting sqref="Y170:Z170">
    <cfRule type="containsText" dxfId="2954" priority="10370" operator="containsText" text="Met">
      <formula>NOT(ISERROR(SEARCH("Met",Y170)))</formula>
    </cfRule>
    <cfRule type="containsText" dxfId="2953" priority="10369" operator="containsText" text="Not Met">
      <formula>NOT(ISERROR(SEARCH("Not Met",Y170)))</formula>
    </cfRule>
  </conditionalFormatting>
  <conditionalFormatting sqref="Y212:Z228">
    <cfRule type="containsText" dxfId="2952" priority="10672" operator="containsText" text="Met">
      <formula>NOT(ISERROR(SEARCH("Met",Y212)))</formula>
    </cfRule>
    <cfRule type="containsText" dxfId="2951" priority="9793" operator="containsText" text="Not Met">
      <formula>NOT(ISERROR(SEARCH("Not Met",Y212)))</formula>
    </cfRule>
  </conditionalFormatting>
  <conditionalFormatting sqref="Y261:Z261">
    <cfRule type="containsText" dxfId="2950" priority="10449" operator="containsText" text="Not Met">
      <formula>NOT(ISERROR(SEARCH("Not Met",Y261)))</formula>
    </cfRule>
  </conditionalFormatting>
  <conditionalFormatting sqref="Y264:Z264">
    <cfRule type="containsText" dxfId="2949" priority="10438" operator="containsText" text="Not Met">
      <formula>NOT(ISERROR(SEARCH("Not Met",Y264)))</formula>
    </cfRule>
  </conditionalFormatting>
  <conditionalFormatting sqref="Y236:AA242 AC236:AC242">
    <cfRule type="containsText" dxfId="2948" priority="9359" operator="containsText" text="Met">
      <formula>NOT(ISERROR(SEARCH("Met",Y236)))</formula>
    </cfRule>
  </conditionalFormatting>
  <conditionalFormatting sqref="Y288:AA294 AC288:AE294">
    <cfRule type="containsText" dxfId="2947" priority="9079" operator="containsText" text="Met">
      <formula>NOT(ISERROR(SEARCH("Met",Y288)))</formula>
    </cfRule>
    <cfRule type="containsText" dxfId="2946" priority="9078" operator="containsText" text="Not Met">
      <formula>NOT(ISERROR(SEARCH("Not Met",Y288)))</formula>
    </cfRule>
  </conditionalFormatting>
  <conditionalFormatting sqref="Y34:AC35">
    <cfRule type="containsText" dxfId="2945" priority="9133" operator="containsText" text="Met">
      <formula>NOT(ISERROR(SEARCH("Met",Y34)))</formula>
    </cfRule>
    <cfRule type="containsText" dxfId="2944" priority="9132" operator="containsText" text="Not Met">
      <formula>NOT(ISERROR(SEARCH("Not Met",Y34)))</formula>
    </cfRule>
  </conditionalFormatting>
  <conditionalFormatting sqref="Z20:Z25 Y20:Y21 Z107:Z134 Z141:Z165 X265:Z272 Z280:Z287 Z315:Z322">
    <cfRule type="containsText" dxfId="2943" priority="10753" operator="containsText" text="Not Met">
      <formula>NOT(ISERROR(SEARCH("Not Met",X20)))</formula>
    </cfRule>
  </conditionalFormatting>
  <conditionalFormatting sqref="Z97">
    <cfRule type="containsText" dxfId="2942" priority="10935" operator="containsText" text="Met">
      <formula>NOT(ISERROR(SEARCH("Met",Z97)))</formula>
    </cfRule>
    <cfRule type="containsText" dxfId="2941" priority="10934" operator="containsText" text="Not Met">
      <formula>NOT(ISERROR(SEARCH("Not Met",Z97)))</formula>
    </cfRule>
  </conditionalFormatting>
  <conditionalFormatting sqref="Z97:Z98">
    <cfRule type="containsText" dxfId="2940" priority="10925" operator="containsText" text="Met">
      <formula>NOT(ISERROR(SEARCH("Met",Z97)))</formula>
    </cfRule>
    <cfRule type="containsText" dxfId="2939" priority="10924" operator="containsText" text="Not Met">
      <formula>NOT(ISERROR(SEARCH("Not Met",Z97)))</formula>
    </cfRule>
  </conditionalFormatting>
  <conditionalFormatting sqref="Z98:Z99">
    <cfRule type="containsText" dxfId="2938" priority="10915" operator="containsText" text="Met">
      <formula>NOT(ISERROR(SEARCH("Met",Z98)))</formula>
    </cfRule>
    <cfRule type="containsText" dxfId="2937" priority="10914" operator="containsText" text="Not Met">
      <formula>NOT(ISERROR(SEARCH("Not Met",Z98)))</formula>
    </cfRule>
  </conditionalFormatting>
  <conditionalFormatting sqref="Z99:Z100">
    <cfRule type="containsText" dxfId="2936" priority="10904" operator="containsText" text="Not Met">
      <formula>NOT(ISERROR(SEARCH("Not Met",Z99)))</formula>
    </cfRule>
    <cfRule type="containsText" dxfId="2935" priority="10905" operator="containsText" text="Met">
      <formula>NOT(ISERROR(SEARCH("Met",Z99)))</formula>
    </cfRule>
  </conditionalFormatting>
  <conditionalFormatting sqref="Z100:Z101">
    <cfRule type="containsText" dxfId="2934" priority="10894" operator="containsText" text="Not Met">
      <formula>NOT(ISERROR(SEARCH("Not Met",Z100)))</formula>
    </cfRule>
    <cfRule type="containsText" dxfId="2933" priority="10895" operator="containsText" text="Met">
      <formula>NOT(ISERROR(SEARCH("Met",Z100)))</formula>
    </cfRule>
  </conditionalFormatting>
  <conditionalFormatting sqref="Z101:Z102">
    <cfRule type="containsText" dxfId="2932" priority="10885" operator="containsText" text="Met">
      <formula>NOT(ISERROR(SEARCH("Met",Z101)))</formula>
    </cfRule>
    <cfRule type="containsText" dxfId="2931" priority="10884" operator="containsText" text="Not Met">
      <formula>NOT(ISERROR(SEARCH("Not Met",Z101)))</formula>
    </cfRule>
  </conditionalFormatting>
  <conditionalFormatting sqref="Z102:Z103">
    <cfRule type="containsText" dxfId="2930" priority="10875" operator="containsText" text="Met">
      <formula>NOT(ISERROR(SEARCH("Met",Z102)))</formula>
    </cfRule>
    <cfRule type="containsText" dxfId="2929" priority="10874" operator="containsText" text="Not Met">
      <formula>NOT(ISERROR(SEARCH("Not Met",Z102)))</formula>
    </cfRule>
  </conditionalFormatting>
  <conditionalFormatting sqref="Z103:Z106">
    <cfRule type="containsText" dxfId="2928" priority="10865" operator="containsText" text="Met">
      <formula>NOT(ISERROR(SEARCH("Met",Z103)))</formula>
    </cfRule>
    <cfRule type="containsText" dxfId="2927" priority="10864" operator="containsText" text="Not Met">
      <formula>NOT(ISERROR(SEARCH("Not Met",Z103)))</formula>
    </cfRule>
  </conditionalFormatting>
  <conditionalFormatting sqref="Z104">
    <cfRule type="containsText" dxfId="2926" priority="10857" operator="containsText" text="Met">
      <formula>NOT(ISERROR(SEARCH("Met",Z104)))</formula>
    </cfRule>
    <cfRule type="containsText" dxfId="2925" priority="10856" operator="containsText" text="Not Met">
      <formula>NOT(ISERROR(SEARCH("Not Met",Z104)))</formula>
    </cfRule>
  </conditionalFormatting>
  <conditionalFormatting sqref="Z202:Z206">
    <cfRule type="containsText" dxfId="2924" priority="10364" operator="containsText" text="Met">
      <formula>NOT(ISERROR(SEARCH("Met",Z202)))</formula>
    </cfRule>
    <cfRule type="containsText" dxfId="2923" priority="10368" operator="containsText" text="Met">
      <formula>NOT(ISERROR(SEARCH("Met",Z202)))</formula>
    </cfRule>
    <cfRule type="containsText" dxfId="2922" priority="10363" operator="containsText" text="Not Met">
      <formula>NOT(ISERROR(SEARCH("Not Met",Z202)))</formula>
    </cfRule>
    <cfRule type="containsText" dxfId="2921" priority="10365" operator="containsText" text="Not Met">
      <formula>NOT(ISERROR(SEARCH("Not Met",Z202)))</formula>
    </cfRule>
    <cfRule type="containsText" dxfId="2920" priority="10366" operator="containsText" text="Met">
      <formula>NOT(ISERROR(SEARCH("Met",Z202)))</formula>
    </cfRule>
    <cfRule type="containsText" dxfId="2919" priority="10367" operator="containsText" text="Not Met">
      <formula>NOT(ISERROR(SEARCH("Not Met",Z202)))</formula>
    </cfRule>
  </conditionalFormatting>
  <conditionalFormatting sqref="Z202:Z208">
    <cfRule type="containsText" dxfId="2918" priority="10320" operator="containsText" text="Met">
      <formula>NOT(ISERROR(SEARCH("Met",Z202)))</formula>
    </cfRule>
    <cfRule type="containsText" dxfId="2917" priority="10319" operator="containsText" text="Not Met">
      <formula>NOT(ISERROR(SEARCH("Not Met",Z202)))</formula>
    </cfRule>
  </conditionalFormatting>
  <conditionalFormatting sqref="Z207">
    <cfRule type="containsText" dxfId="2916" priority="10245" operator="containsText" text="Not Met">
      <formula>NOT(ISERROR(SEARCH("Not Met",Z207)))</formula>
    </cfRule>
    <cfRule type="containsText" dxfId="2915" priority="10246" operator="containsText" text="Met">
      <formula>NOT(ISERROR(SEARCH("Met",Z207)))</formula>
    </cfRule>
    <cfRule type="containsText" dxfId="2914" priority="10313" operator="containsText" text="Not Met">
      <formula>NOT(ISERROR(SEARCH("Not Met",Z207)))</formula>
    </cfRule>
    <cfRule type="containsText" dxfId="2913" priority="10314" operator="containsText" text="Met">
      <formula>NOT(ISERROR(SEARCH("Met",Z207)))</formula>
    </cfRule>
    <cfRule type="containsText" dxfId="2912" priority="10315" operator="containsText" text="Not Met">
      <formula>NOT(ISERROR(SEARCH("Not Met",Z207)))</formula>
    </cfRule>
    <cfRule type="containsText" dxfId="2911" priority="10316" operator="containsText" text="Met">
      <formula>NOT(ISERROR(SEARCH("Met",Z207)))</formula>
    </cfRule>
    <cfRule type="containsText" dxfId="2910" priority="10317" operator="containsText" text="Not Met">
      <formula>NOT(ISERROR(SEARCH("Not Met",Z207)))</formula>
    </cfRule>
    <cfRule type="containsText" dxfId="2909" priority="10318" operator="containsText" text="Met">
      <formula>NOT(ISERROR(SEARCH("Met",Z207)))</formula>
    </cfRule>
  </conditionalFormatting>
  <conditionalFormatting sqref="Z208">
    <cfRule type="containsText" dxfId="2908" priority="10328" operator="containsText" text="Met">
      <formula>NOT(ISERROR(SEARCH("Met",Z208)))</formula>
    </cfRule>
    <cfRule type="containsText" dxfId="2907" priority="10323" operator="containsText" text="Not Met">
      <formula>NOT(ISERROR(SEARCH("Not Met",Z208)))</formula>
    </cfRule>
    <cfRule type="containsText" dxfId="2906" priority="10324" operator="containsText" text="Met">
      <formula>NOT(ISERROR(SEARCH("Met",Z208)))</formula>
    </cfRule>
    <cfRule type="containsText" dxfId="2905" priority="10325" operator="containsText" text="Not Met">
      <formula>NOT(ISERROR(SEARCH("Not Met",Z208)))</formula>
    </cfRule>
    <cfRule type="containsText" dxfId="2904" priority="10326" operator="containsText" text="Met">
      <formula>NOT(ISERROR(SEARCH("Met",Z208)))</formula>
    </cfRule>
    <cfRule type="containsText" dxfId="2903" priority="10327" operator="containsText" text="Not Met">
      <formula>NOT(ISERROR(SEARCH("Not Met",Z208)))</formula>
    </cfRule>
  </conditionalFormatting>
  <conditionalFormatting sqref="Z208:Z209">
    <cfRule type="containsText" dxfId="2902" priority="10330" operator="containsText" text="Met">
      <formula>NOT(ISERROR(SEARCH("Met",Z208)))</formula>
    </cfRule>
    <cfRule type="containsText" dxfId="2901" priority="10329" operator="containsText" text="Not Met">
      <formula>NOT(ISERROR(SEARCH("Not Met",Z208)))</formula>
    </cfRule>
  </conditionalFormatting>
  <conditionalFormatting sqref="Z209">
    <cfRule type="containsText" dxfId="2900" priority="10335" operator="containsText" text="Not Met">
      <formula>NOT(ISERROR(SEARCH("Not Met",Z209)))</formula>
    </cfRule>
    <cfRule type="containsText" dxfId="2899" priority="10333" operator="containsText" text="Not Met">
      <formula>NOT(ISERROR(SEARCH("Not Met",Z209)))</formula>
    </cfRule>
    <cfRule type="containsText" dxfId="2898" priority="10336" operator="containsText" text="Met">
      <formula>NOT(ISERROR(SEARCH("Met",Z209)))</formula>
    </cfRule>
    <cfRule type="containsText" dxfId="2897" priority="10334" operator="containsText" text="Met">
      <formula>NOT(ISERROR(SEARCH("Met",Z209)))</formula>
    </cfRule>
    <cfRule type="containsText" dxfId="2896" priority="10338" operator="containsText" text="Met">
      <formula>NOT(ISERROR(SEARCH("Met",Z209)))</formula>
    </cfRule>
    <cfRule type="containsText" dxfId="2895" priority="10337" operator="containsText" text="Not Met">
      <formula>NOT(ISERROR(SEARCH("Not Met",Z209)))</formula>
    </cfRule>
  </conditionalFormatting>
  <conditionalFormatting sqref="Z209:Z210">
    <cfRule type="containsText" dxfId="2894" priority="10340" operator="containsText" text="Met">
      <formula>NOT(ISERROR(SEARCH("Met",Z209)))</formula>
    </cfRule>
    <cfRule type="containsText" dxfId="2893" priority="10339" operator="containsText" text="Not Met">
      <formula>NOT(ISERROR(SEARCH("Not Met",Z209)))</formula>
    </cfRule>
  </conditionalFormatting>
  <conditionalFormatting sqref="Z210">
    <cfRule type="containsText" dxfId="2892" priority="10347" operator="containsText" text="Not Met">
      <formula>NOT(ISERROR(SEARCH("Not Met",Z210)))</formula>
    </cfRule>
    <cfRule type="containsText" dxfId="2891" priority="10348" operator="containsText" text="Met">
      <formula>NOT(ISERROR(SEARCH("Met",Z210)))</formula>
    </cfRule>
    <cfRule type="containsText" dxfId="2890" priority="10345" operator="containsText" text="Not Met">
      <formula>NOT(ISERROR(SEARCH("Not Met",Z210)))</formula>
    </cfRule>
    <cfRule type="containsText" dxfId="2889" priority="10344" operator="containsText" text="Met">
      <formula>NOT(ISERROR(SEARCH("Met",Z210)))</formula>
    </cfRule>
    <cfRule type="containsText" dxfId="2888" priority="10343" operator="containsText" text="Not Met">
      <formula>NOT(ISERROR(SEARCH("Not Met",Z210)))</formula>
    </cfRule>
    <cfRule type="containsText" dxfId="2887" priority="10346" operator="containsText" text="Met">
      <formula>NOT(ISERROR(SEARCH("Met",Z210)))</formula>
    </cfRule>
  </conditionalFormatting>
  <conditionalFormatting sqref="Z210:Z211">
    <cfRule type="containsText" dxfId="2886" priority="10349" operator="containsText" text="Not Met">
      <formula>NOT(ISERROR(SEARCH("Not Met",Z210)))</formula>
    </cfRule>
    <cfRule type="containsText" dxfId="2885" priority="10350" operator="containsText" text="Met">
      <formula>NOT(ISERROR(SEARCH("Met",Z210)))</formula>
    </cfRule>
  </conditionalFormatting>
  <conditionalFormatting sqref="Z211">
    <cfRule type="containsText" dxfId="2884" priority="10356" operator="containsText" text="Met">
      <formula>NOT(ISERROR(SEARCH("Met",Z211)))</formula>
    </cfRule>
    <cfRule type="containsText" dxfId="2883" priority="10357" operator="containsText" text="Not Met">
      <formula>NOT(ISERROR(SEARCH("Not Met",Z211)))</formula>
    </cfRule>
    <cfRule type="containsText" dxfId="2882" priority="10358" operator="containsText" text="Met">
      <formula>NOT(ISERROR(SEARCH("Met",Z211)))</formula>
    </cfRule>
    <cfRule type="containsText" dxfId="2881" priority="10359" operator="containsText" text="Not Met">
      <formula>NOT(ISERROR(SEARCH("Not Met",Z211)))</formula>
    </cfRule>
    <cfRule type="containsText" dxfId="2880" priority="10360" operator="containsText" text="Met">
      <formula>NOT(ISERROR(SEARCH("Met",Z211)))</formula>
    </cfRule>
    <cfRule type="containsText" dxfId="2879" priority="10353" operator="containsText" text="Not Met">
      <formula>NOT(ISERROR(SEARCH("Not Met",Z211)))</formula>
    </cfRule>
    <cfRule type="containsText" dxfId="2878" priority="10354" operator="containsText" text="Met">
      <formula>NOT(ISERROR(SEARCH("Met",Z211)))</formula>
    </cfRule>
    <cfRule type="containsText" dxfId="2877" priority="10355" operator="containsText" text="Not Met">
      <formula>NOT(ISERROR(SEARCH("Not Met",Z211)))</formula>
    </cfRule>
  </conditionalFormatting>
  <conditionalFormatting sqref="Z229:Z242">
    <cfRule type="containsText" dxfId="2876" priority="10981" operator="containsText" text="Met">
      <formula>NOT(ISERROR(SEARCH("Met",Z229)))</formula>
    </cfRule>
    <cfRule type="containsText" dxfId="2875" priority="10980" operator="containsText" text="Not Met">
      <formula>NOT(ISERROR(SEARCH("Not Met",Z229)))</formula>
    </cfRule>
  </conditionalFormatting>
  <conditionalFormatting sqref="Z261">
    <cfRule type="containsText" dxfId="2874" priority="10446" operator="containsText" text="Met">
      <formula>NOT(ISERROR(SEARCH("Met",Z261)))</formula>
    </cfRule>
    <cfRule type="containsText" dxfId="2873" priority="10447" operator="containsText" text="Not Met">
      <formula>NOT(ISERROR(SEARCH("Not Met",Z261)))</formula>
    </cfRule>
    <cfRule type="containsText" dxfId="2872" priority="10448" operator="containsText" text="Met">
      <formula>NOT(ISERROR(SEARCH("Met",Z261)))</formula>
    </cfRule>
  </conditionalFormatting>
  <conditionalFormatting sqref="Z264">
    <cfRule type="containsText" dxfId="2871" priority="10435" operator="containsText" text="Met">
      <formula>NOT(ISERROR(SEARCH("Met",Z264)))</formula>
    </cfRule>
    <cfRule type="containsText" dxfId="2870" priority="10436" operator="containsText" text="Not Met">
      <formula>NOT(ISERROR(SEARCH("Not Met",Z264)))</formula>
    </cfRule>
    <cfRule type="containsText" dxfId="2869" priority="10437" operator="containsText" text="Met">
      <formula>NOT(ISERROR(SEARCH("Met",Z264)))</formula>
    </cfRule>
  </conditionalFormatting>
  <conditionalFormatting sqref="Z444:Z457">
    <cfRule type="containsText" dxfId="2868" priority="827" operator="containsText" text="Not Met">
      <formula>NOT(ISERROR(SEARCH("Not Met",Z444)))</formula>
    </cfRule>
    <cfRule type="containsText" dxfId="2867" priority="828" operator="containsText" text="Met">
      <formula>NOT(ISERROR(SEARCH("Met",Z444)))</formula>
    </cfRule>
  </conditionalFormatting>
  <conditionalFormatting sqref="Z136:AA139 AC136:AE139">
    <cfRule type="containsText" dxfId="2866" priority="9417" operator="containsText" text="Met">
      <formula>NOT(ISERROR(SEARCH("Met",Z136)))</formula>
    </cfRule>
    <cfRule type="containsText" dxfId="2865" priority="9416" operator="containsText" text="Not Met">
      <formula>NOT(ISERROR(SEARCH("Not Met",Z136)))</formula>
    </cfRule>
  </conditionalFormatting>
  <conditionalFormatting sqref="Z261:AA261">
    <cfRule type="containsText" dxfId="2864" priority="8946" operator="containsText" text="Met">
      <formula>NOT(ISERROR(SEARCH("Met",Z261)))</formula>
    </cfRule>
    <cfRule type="containsText" dxfId="2863" priority="9374" operator="containsText" text="Not Met">
      <formula>NOT(ISERROR(SEARCH("Not Met",Z261)))</formula>
    </cfRule>
  </conditionalFormatting>
  <conditionalFormatting sqref="Z264:AA264">
    <cfRule type="containsText" dxfId="2862" priority="8941" operator="containsText" text="Met">
      <formula>NOT(ISERROR(SEARCH("Met",Z264)))</formula>
    </cfRule>
    <cfRule type="containsText" dxfId="2861" priority="9372" operator="containsText" text="Not Met">
      <formula>NOT(ISERROR(SEARCH("Not Met",Z264)))</formula>
    </cfRule>
  </conditionalFormatting>
  <conditionalFormatting sqref="AA5">
    <cfRule type="containsText" dxfId="2860" priority="9070" operator="containsText" text="Not Met">
      <formula>NOT(ISERROR(SEARCH("Not Met",AA5)))</formula>
    </cfRule>
    <cfRule type="containsText" dxfId="2859" priority="9071" operator="containsText" text="Met">
      <formula>NOT(ISERROR(SEARCH("Met",AA5)))</formula>
    </cfRule>
  </conditionalFormatting>
  <conditionalFormatting sqref="AA11:AA19 AC11:AD11">
    <cfRule type="containsText" dxfId="2858" priority="9350" operator="containsText" text="Not Met">
      <formula>NOT(ISERROR(SEARCH("Not Met",AA11)))</formula>
    </cfRule>
  </conditionalFormatting>
  <conditionalFormatting sqref="AA14">
    <cfRule type="containsText" dxfId="2857" priority="9346" operator="containsText" text="Not Met">
      <formula>NOT(ISERROR(SEARCH("Not Met",AA14)))</formula>
    </cfRule>
    <cfRule type="containsText" dxfId="2856" priority="9347" operator="containsText" text="Met">
      <formula>NOT(ISERROR(SEARCH("Met",AA14)))</formula>
    </cfRule>
    <cfRule type="containsText" dxfId="2855" priority="9348" operator="containsText" text="Not Met">
      <formula>NOT(ISERROR(SEARCH("Not Met",AA14)))</formula>
    </cfRule>
    <cfRule type="containsText" dxfId="2854" priority="9349" operator="containsText" text="Met">
      <formula>NOT(ISERROR(SEARCH("Met",AA14)))</formula>
    </cfRule>
  </conditionalFormatting>
  <conditionalFormatting sqref="AA21:AA23 AC21:AC25">
    <cfRule type="containsText" dxfId="2853" priority="9017" operator="containsText" text="Not Met">
      <formula>NOT(ISERROR(SEARCH("Not Met",AA21)))</formula>
    </cfRule>
    <cfRule type="containsText" dxfId="2852" priority="9018" operator="containsText" text="Met">
      <formula>NOT(ISERROR(SEARCH("Met",AA21)))</formula>
    </cfRule>
  </conditionalFormatting>
  <conditionalFormatting sqref="AA25:AA33 AB27:AC32">
    <cfRule type="containsText" dxfId="2851" priority="9002" operator="containsText" text="Not Met">
      <formula>NOT(ISERROR(SEARCH("Not Met",AA25)))</formula>
    </cfRule>
  </conditionalFormatting>
  <conditionalFormatting sqref="AA25:AA33">
    <cfRule type="containsText" dxfId="2850" priority="9004" operator="containsText" text="Met">
      <formula>NOT(ISERROR(SEARCH("Met",AA25)))</formula>
    </cfRule>
  </conditionalFormatting>
  <conditionalFormatting sqref="AA51 AC51:AE51">
    <cfRule type="containsText" dxfId="2849" priority="9055" operator="containsText" text="Met">
      <formula>NOT(ISERROR(SEARCH("Met",AA51)))</formula>
    </cfRule>
  </conditionalFormatting>
  <conditionalFormatting sqref="AA54:AA60">
    <cfRule type="containsText" dxfId="2848" priority="9128" operator="containsText" text="Met">
      <formula>NOT(ISERROR(SEARCH("Met",AA54)))</formula>
    </cfRule>
    <cfRule type="containsText" dxfId="2847" priority="9127" operator="containsText" text="Not Met">
      <formula>NOT(ISERROR(SEARCH("Not Met",AA54)))</formula>
    </cfRule>
  </conditionalFormatting>
  <conditionalFormatting sqref="AA60:AA61 AC60:AC61">
    <cfRule type="containsText" dxfId="2846" priority="9125" operator="containsText" text="Not Met">
      <formula>NOT(ISERROR(SEARCH("Not Met",AA60)))</formula>
    </cfRule>
  </conditionalFormatting>
  <conditionalFormatting sqref="AA62:AA76">
    <cfRule type="containsText" dxfId="2845" priority="9111" operator="containsText" text="Not Met">
      <formula>NOT(ISERROR(SEARCH("Not Met",AA62)))</formula>
    </cfRule>
    <cfRule type="containsText" dxfId="2844" priority="9112" operator="containsText" text="Met">
      <formula>NOT(ISERROR(SEARCH("Met",AA62)))</formula>
    </cfRule>
  </conditionalFormatting>
  <conditionalFormatting sqref="AA75">
    <cfRule type="containsText" dxfId="2843" priority="9108" operator="containsText" text="Met">
      <formula>NOT(ISERROR(SEARCH("Met",AA75)))</formula>
    </cfRule>
    <cfRule type="containsText" dxfId="2842" priority="9107" operator="containsText" text="Not Met">
      <formula>NOT(ISERROR(SEARCH("Not Met",AA75)))</formula>
    </cfRule>
  </conditionalFormatting>
  <conditionalFormatting sqref="AA77">
    <cfRule type="containsText" dxfId="2841" priority="9103" operator="containsText" text="Not Met">
      <formula>NOT(ISERROR(SEARCH("Not Met",AA77)))</formula>
    </cfRule>
    <cfRule type="containsText" dxfId="2840" priority="9104" operator="containsText" text="Met">
      <formula>NOT(ISERROR(SEARCH("Met",AA77)))</formula>
    </cfRule>
  </conditionalFormatting>
  <conditionalFormatting sqref="AA77:AA89 AC62:AC89">
    <cfRule type="containsText" dxfId="2839" priority="9087" operator="containsText" text="Met">
      <formula>NOT(ISERROR(SEARCH("Met",AA62)))</formula>
    </cfRule>
  </conditionalFormatting>
  <conditionalFormatting sqref="AA77:AA89">
    <cfRule type="containsText" dxfId="2838" priority="9086" operator="containsText" text="Not Met">
      <formula>NOT(ISERROR(SEARCH("Not Met",AA77)))</formula>
    </cfRule>
  </conditionalFormatting>
  <conditionalFormatting sqref="AA90:AA113 AC97:AC104">
    <cfRule type="containsText" dxfId="2837" priority="9433" operator="containsText" text="Met">
      <formula>NOT(ISERROR(SEARCH("Met",AA90)))</formula>
    </cfRule>
  </conditionalFormatting>
  <conditionalFormatting sqref="AA97:AA104 AC97:AC104">
    <cfRule type="containsText" dxfId="2836" priority="9428" operator="containsText" text="Not Met">
      <formula>NOT(ISERROR(SEARCH("Not Met",AA97)))</formula>
    </cfRule>
    <cfRule type="containsText" dxfId="2835" priority="9429" operator="containsText" text="Met">
      <formula>NOT(ISERROR(SEARCH("Met",AA97)))</formula>
    </cfRule>
    <cfRule type="containsText" dxfId="2834" priority="9430" operator="containsText" text="Not Met">
      <formula>NOT(ISERROR(SEARCH("Not Met",AA97)))</formula>
    </cfRule>
    <cfRule type="containsText" dxfId="2833" priority="9431" operator="containsText" text="Met">
      <formula>NOT(ISERROR(SEARCH("Met",AA97)))</formula>
    </cfRule>
    <cfRule type="containsText" dxfId="2832" priority="9432" operator="containsText" text="Not Met">
      <formula>NOT(ISERROR(SEARCH("Not Met",AA97)))</formula>
    </cfRule>
    <cfRule type="containsText" dxfId="2831" priority="9427" operator="containsText" text="Met">
      <formula>NOT(ISERROR(SEARCH("Met",AA97)))</formula>
    </cfRule>
  </conditionalFormatting>
  <conditionalFormatting sqref="AA118:AA124">
    <cfRule type="containsText" dxfId="2830" priority="9156" operator="containsText" text="Not Met">
      <formula>NOT(ISERROR(SEARCH("Not Met",AA118)))</formula>
    </cfRule>
  </conditionalFormatting>
  <conditionalFormatting sqref="AA118:AA126">
    <cfRule type="containsText" dxfId="2829" priority="9157" operator="containsText" text="Met">
      <formula>NOT(ISERROR(SEARCH("Met",AA118)))</formula>
    </cfRule>
  </conditionalFormatting>
  <conditionalFormatting sqref="AA125:AA126">
    <cfRule type="containsText" dxfId="2828" priority="9181" operator="containsText" text="Not Met">
      <formula>NOT(ISERROR(SEARCH("Not Met",AA125)))</formula>
    </cfRule>
  </conditionalFormatting>
  <conditionalFormatting sqref="AA128:AA134">
    <cfRule type="containsText" dxfId="2827" priority="9178" operator="containsText" text="Not Met">
      <formula>NOT(ISERROR(SEARCH("Not Met",AA128)))</formula>
    </cfRule>
    <cfRule type="containsText" dxfId="2826" priority="9179" operator="containsText" text="Met">
      <formula>NOT(ISERROR(SEARCH("Met",AA128)))</formula>
    </cfRule>
  </conditionalFormatting>
  <conditionalFormatting sqref="AA135:AA141 AC135:AE141">
    <cfRule type="containsText" dxfId="2825" priority="9418" operator="containsText" text="Not Met">
      <formula>NOT(ISERROR(SEARCH("Not Met",AA135)))</formula>
    </cfRule>
    <cfRule type="containsText" dxfId="2824" priority="9419" operator="containsText" text="Met">
      <formula>NOT(ISERROR(SEARCH("Met",AA135)))</formula>
    </cfRule>
  </conditionalFormatting>
  <conditionalFormatting sqref="AA141:AA146 AC141:AE146">
    <cfRule type="containsText" dxfId="2823" priority="8984" operator="containsText" text="Not Met">
      <formula>NOT(ISERROR(SEARCH("Not Met",AA141)))</formula>
    </cfRule>
    <cfRule type="containsText" dxfId="2822" priority="8985" operator="containsText" text="Met">
      <formula>NOT(ISERROR(SEARCH("Met",AA141)))</formula>
    </cfRule>
  </conditionalFormatting>
  <conditionalFormatting sqref="AA142:AA146 AC142:AC146">
    <cfRule type="containsText" dxfId="2821" priority="8983" operator="containsText" text="Met">
      <formula>NOT(ISERROR(SEARCH("Met",AA142)))</formula>
    </cfRule>
    <cfRule type="containsText" dxfId="2820" priority="8982" operator="containsText" text="Not Met">
      <formula>NOT(ISERROR(SEARCH("Not Met",AA142)))</formula>
    </cfRule>
  </conditionalFormatting>
  <conditionalFormatting sqref="AA149:AA155 AC149:AC155">
    <cfRule type="containsText" dxfId="2819" priority="8958" operator="containsText" text="Not Met">
      <formula>NOT(ISERROR(SEARCH("Not Met",AA149)))</formula>
    </cfRule>
    <cfRule type="containsText" dxfId="2818" priority="8959" operator="containsText" text="Met">
      <formula>NOT(ISERROR(SEARCH("Met",AA149)))</formula>
    </cfRule>
  </conditionalFormatting>
  <conditionalFormatting sqref="AA173">
    <cfRule type="containsText" dxfId="2817" priority="9171" operator="containsText" text="Met">
      <formula>NOT(ISERROR(SEARCH("Met",AA173)))</formula>
    </cfRule>
    <cfRule type="containsText" dxfId="2816" priority="9170" operator="containsText" text="Not Met">
      <formula>NOT(ISERROR(SEARCH("Not Met",AA173)))</formula>
    </cfRule>
  </conditionalFormatting>
  <conditionalFormatting sqref="AA176:AA189">
    <cfRule type="containsText" dxfId="2815" priority="9167" operator="containsText" text="Met">
      <formula>NOT(ISERROR(SEARCH("Met",AA176)))</formula>
    </cfRule>
    <cfRule type="containsText" dxfId="2814" priority="9166" operator="containsText" text="Not Met">
      <formula>NOT(ISERROR(SEARCH("Not Met",AA176)))</formula>
    </cfRule>
  </conditionalFormatting>
  <conditionalFormatting sqref="AA194:AA211 AC194:AC211">
    <cfRule type="containsText" dxfId="2813" priority="9195" operator="containsText" text="Not Met">
      <formula>NOT(ISERROR(SEARCH("Not Met",AA194)))</formula>
    </cfRule>
    <cfRule type="containsText" dxfId="2812" priority="9196" operator="containsText" text="Met">
      <formula>NOT(ISERROR(SEARCH("Met",AA194)))</formula>
    </cfRule>
  </conditionalFormatting>
  <conditionalFormatting sqref="AA202:AA211 AC202:AC211">
    <cfRule type="containsText" dxfId="2811" priority="9190" operator="containsText" text="Met">
      <formula>NOT(ISERROR(SEARCH("Met",AA202)))</formula>
    </cfRule>
    <cfRule type="containsText" dxfId="2810" priority="9194" operator="containsText" text="Met">
      <formula>NOT(ISERROR(SEARCH("Met",AA202)))</formula>
    </cfRule>
    <cfRule type="containsText" dxfId="2809" priority="9193" operator="containsText" text="Not Met">
      <formula>NOT(ISERROR(SEARCH("Not Met",AA202)))</formula>
    </cfRule>
    <cfRule type="containsText" dxfId="2808" priority="9192" operator="containsText" text="Met">
      <formula>NOT(ISERROR(SEARCH("Met",AA202)))</formula>
    </cfRule>
    <cfRule type="containsText" dxfId="2807" priority="9191" operator="containsText" text="Not Met">
      <formula>NOT(ISERROR(SEARCH("Not Met",AA202)))</formula>
    </cfRule>
    <cfRule type="containsText" dxfId="2806" priority="9189" operator="containsText" text="Not Met">
      <formula>NOT(ISERROR(SEARCH("Not Met",AA202)))</formula>
    </cfRule>
  </conditionalFormatting>
  <conditionalFormatting sqref="AA202:AA211">
    <cfRule type="containsText" dxfId="2805" priority="8977" operator="containsText" text="Met">
      <formula>NOT(ISERROR(SEARCH("Met",AA202)))</formula>
    </cfRule>
    <cfRule type="containsText" dxfId="2804" priority="8976" operator="containsText" text="Not Met">
      <formula>NOT(ISERROR(SEARCH("Not Met",AA202)))</formula>
    </cfRule>
  </conditionalFormatting>
  <conditionalFormatting sqref="AA243:AA256 AC243:AC272">
    <cfRule type="containsText" dxfId="2803" priority="8953" operator="containsText" text="Met">
      <formula>NOT(ISERROR(SEARCH("Met",AA243)))</formula>
    </cfRule>
    <cfRule type="containsText" dxfId="2802" priority="8952" operator="containsText" text="Not Met">
      <formula>NOT(ISERROR(SEARCH("Not Met",AA243)))</formula>
    </cfRule>
  </conditionalFormatting>
  <conditionalFormatting sqref="AA259">
    <cfRule type="containsText" dxfId="2801" priority="9447" operator="containsText" text="Not Met">
      <formula>NOT(ISERROR(SEARCH("Not Met",AA259)))</formula>
    </cfRule>
    <cfRule type="containsText" dxfId="2800" priority="9448" operator="containsText" text="Met">
      <formula>NOT(ISERROR(SEARCH("Met",AA259)))</formula>
    </cfRule>
    <cfRule type="containsText" dxfId="2799" priority="9449" operator="containsText" text="Not Met">
      <formula>NOT(ISERROR(SEARCH("Not Met",AA259)))</formula>
    </cfRule>
    <cfRule type="containsText" dxfId="2798" priority="8948" operator="containsText" text="Not Met">
      <formula>NOT(ISERROR(SEARCH("Not Met",AA259)))</formula>
    </cfRule>
    <cfRule type="containsText" dxfId="2797" priority="8950" operator="containsText" text="Not Met">
      <formula>NOT(ISERROR(SEARCH("Not Met",AA259)))</formula>
    </cfRule>
    <cfRule type="containsText" dxfId="2796" priority="8951" operator="containsText" text="Met">
      <formula>NOT(ISERROR(SEARCH("Met",AA259)))</formula>
    </cfRule>
    <cfRule type="containsText" dxfId="2795" priority="9450" operator="containsText" text="Met">
      <formula>NOT(ISERROR(SEARCH("Met",AA259)))</formula>
    </cfRule>
    <cfRule type="containsText" dxfId="2794" priority="8947" operator="containsText" text="Met">
      <formula>NOT(ISERROR(SEARCH("Met",AA259)))</formula>
    </cfRule>
    <cfRule type="containsText" dxfId="2793" priority="9451" operator="containsText" text="Not Met">
      <formula>NOT(ISERROR(SEARCH("Not Met",AA259)))</formula>
    </cfRule>
    <cfRule type="containsText" dxfId="2792" priority="8949" operator="containsText" text="Met">
      <formula>NOT(ISERROR(SEARCH("Met",AA259)))</formula>
    </cfRule>
  </conditionalFormatting>
  <conditionalFormatting sqref="AA261">
    <cfRule type="containsText" dxfId="2791" priority="8943" operator="containsText" text="Not Met">
      <formula>NOT(ISERROR(SEARCH("Not Met",AA261)))</formula>
    </cfRule>
    <cfRule type="containsText" dxfId="2790" priority="8944" operator="containsText" text="Met">
      <formula>NOT(ISERROR(SEARCH("Met",AA261)))</formula>
    </cfRule>
    <cfRule type="containsText" dxfId="2789" priority="8945" operator="containsText" text="Not Met">
      <formula>NOT(ISERROR(SEARCH("Not Met",AA261)))</formula>
    </cfRule>
  </conditionalFormatting>
  <conditionalFormatting sqref="AA261:AA264">
    <cfRule type="containsText" dxfId="2788" priority="8936" operator="containsText" text="Met">
      <formula>NOT(ISERROR(SEARCH("Met",AA261)))</formula>
    </cfRule>
  </conditionalFormatting>
  <conditionalFormatting sqref="AA262:AA263">
    <cfRule type="containsText" dxfId="2787" priority="8932" operator="containsText" text="Met">
      <formula>NOT(ISERROR(SEARCH("Met",AA262)))</formula>
    </cfRule>
    <cfRule type="containsText" dxfId="2786" priority="8931" operator="containsText" text="Not Met">
      <formula>NOT(ISERROR(SEARCH("Not Met",AA262)))</formula>
    </cfRule>
    <cfRule type="containsText" dxfId="2785" priority="8935" operator="containsText" text="Not Met">
      <formula>NOT(ISERROR(SEARCH("Not Met",AA262)))</formula>
    </cfRule>
    <cfRule type="containsText" dxfId="2784" priority="8933" operator="containsText" text="Not Met">
      <formula>NOT(ISERROR(SEARCH("Not Met",AA262)))</formula>
    </cfRule>
    <cfRule type="containsText" dxfId="2783" priority="8934" operator="containsText" text="Met">
      <formula>NOT(ISERROR(SEARCH("Met",AA262)))</formula>
    </cfRule>
  </conditionalFormatting>
  <conditionalFormatting sqref="AA264">
    <cfRule type="containsText" dxfId="2782" priority="8938" operator="containsText" text="Not Met">
      <formula>NOT(ISERROR(SEARCH("Not Met",AA264)))</formula>
    </cfRule>
    <cfRule type="containsText" dxfId="2781" priority="8939" operator="containsText" text="Met">
      <formula>NOT(ISERROR(SEARCH("Met",AA264)))</formula>
    </cfRule>
    <cfRule type="containsText" dxfId="2780" priority="8940" operator="containsText" text="Not Met">
      <formula>NOT(ISERROR(SEARCH("Not Met",AA264)))</formula>
    </cfRule>
  </conditionalFormatting>
  <conditionalFormatting sqref="AA265:AA281">
    <cfRule type="containsText" dxfId="2779" priority="8930" operator="containsText" text="Met">
      <formula>NOT(ISERROR(SEARCH("Met",AA265)))</formula>
    </cfRule>
    <cfRule type="containsText" dxfId="2778" priority="8929" operator="containsText" text="Not Met">
      <formula>NOT(ISERROR(SEARCH("Not Met",AA265)))</formula>
    </cfRule>
  </conditionalFormatting>
  <conditionalFormatting sqref="AA304:AA312">
    <cfRule type="containsText" dxfId="2777" priority="8906" operator="containsText" text="Met">
      <formula>NOT(ISERROR(SEARCH("Met",AA304)))</formula>
    </cfRule>
    <cfRule type="containsText" dxfId="2776" priority="8905" operator="containsText" text="Not Met">
      <formula>NOT(ISERROR(SEARCH("Not Met",AA304)))</formula>
    </cfRule>
  </conditionalFormatting>
  <conditionalFormatting sqref="AA315:AA316">
    <cfRule type="containsText" dxfId="2775" priority="8902" operator="containsText" text="Met">
      <formula>NOT(ISERROR(SEARCH("Met",AA315)))</formula>
    </cfRule>
    <cfRule type="containsText" dxfId="2774" priority="8901" operator="containsText" text="Not Met">
      <formula>NOT(ISERROR(SEARCH("Not Met",AA315)))</formula>
    </cfRule>
  </conditionalFormatting>
  <conditionalFormatting sqref="AA444:AA452 AC444:AC452">
    <cfRule type="containsText" dxfId="2773" priority="822" operator="containsText" text="Met">
      <formula>NOT(ISERROR(SEARCH("Met",AA444)))</formula>
    </cfRule>
  </conditionalFormatting>
  <conditionalFormatting sqref="AA444:AA452">
    <cfRule type="containsText" dxfId="2772" priority="821" operator="containsText" text="Not Met">
      <formula>NOT(ISERROR(SEARCH("Not Met",AA444)))</formula>
    </cfRule>
  </conditionalFormatting>
  <conditionalFormatting sqref="AA20:AB20 AC20:AC25 AC27:AC33">
    <cfRule type="containsText" dxfId="2771" priority="9020" operator="containsText" text="Met">
      <formula>NOT(ISERROR(SEARCH("Met",AA20)))</formula>
    </cfRule>
  </conditionalFormatting>
  <conditionalFormatting sqref="AA61:AB61">
    <cfRule type="containsText" dxfId="2770" priority="9121" operator="containsText" text="Not Met">
      <formula>NOT(ISERROR(SEARCH("Not Met",AA61)))</formula>
    </cfRule>
    <cfRule type="containsText" dxfId="2769" priority="9122" operator="containsText" text="Met">
      <formula>NOT(ISERROR(SEARCH("Met",AA61)))</formula>
    </cfRule>
  </conditionalFormatting>
  <conditionalFormatting sqref="AA75:AB75">
    <cfRule type="containsText" dxfId="2768" priority="9110" operator="containsText" text="Met">
      <formula>NOT(ISERROR(SEARCH("Met",AA75)))</formula>
    </cfRule>
    <cfRule type="containsText" dxfId="2767" priority="9109" operator="containsText" text="Not Met">
      <formula>NOT(ISERROR(SEARCH("Not Met",AA75)))</formula>
    </cfRule>
  </conditionalFormatting>
  <conditionalFormatting sqref="AA77:AB77">
    <cfRule type="containsText" dxfId="2766" priority="9106" operator="containsText" text="Met">
      <formula>NOT(ISERROR(SEARCH("Met",AA77)))</formula>
    </cfRule>
    <cfRule type="containsText" dxfId="2765" priority="9105" operator="containsText" text="Not Met">
      <formula>NOT(ISERROR(SEARCH("Not Met",AA77)))</formula>
    </cfRule>
  </conditionalFormatting>
  <conditionalFormatting sqref="AB2:AB4 AB12:AB15 AB76 AB81 AB257:AB258 X260:AB260 AA313:AC314">
    <cfRule type="containsText" dxfId="2764" priority="9066" operator="containsText" text="Not Met">
      <formula>NOT(ISERROR(SEARCH("Not Met",X2)))</formula>
    </cfRule>
    <cfRule type="containsText" dxfId="2763" priority="9067" operator="containsText" text="Met">
      <formula>NOT(ISERROR(SEARCH("Met",X2)))</formula>
    </cfRule>
  </conditionalFormatting>
  <conditionalFormatting sqref="AB21:AB25 AB52:AB60 AB62:AB74 AB78:AB79 AB84:AB89 AB147:AB159 AB161:AB165 AB171:AB201 AB229:AB235 AB237:AB242 AB265:AB272 AB280:AB287 AB297:AB299 AB301:AB302 AB304:AB311 AB315:AB322">
    <cfRule type="containsText" dxfId="2762" priority="9008" operator="containsText" text="Met">
      <formula>NOT(ISERROR(SEARCH("Met",AB21)))</formula>
    </cfRule>
    <cfRule type="containsText" dxfId="2761" priority="9007" operator="containsText" text="Not Met">
      <formula>NOT(ISERROR(SEARCH("Not Met",AB21)))</formula>
    </cfRule>
  </conditionalFormatting>
  <conditionalFormatting sqref="AB444:AB457">
    <cfRule type="containsText" dxfId="2760" priority="818" operator="containsText" text="Not Met">
      <formula>NOT(ISERROR(SEARCH("Not Met",AB444)))</formula>
    </cfRule>
    <cfRule type="containsText" dxfId="2759" priority="819" operator="containsText" text="Met">
      <formula>NOT(ISERROR(SEARCH("Met",AB444)))</formula>
    </cfRule>
  </conditionalFormatting>
  <conditionalFormatting sqref="AB27:AC32">
    <cfRule type="containsText" dxfId="2758" priority="9006" operator="containsText" text="Met">
      <formula>NOT(ISERROR(SEARCH("Met",AB27)))</formula>
    </cfRule>
  </conditionalFormatting>
  <conditionalFormatting sqref="AB33:AC33">
    <cfRule type="containsText" dxfId="2757" priority="9024" operator="containsText" text="Not Met">
      <formula>NOT(ISERROR(SEARCH("Not Met",AB33)))</formula>
    </cfRule>
    <cfRule type="containsText" dxfId="2756" priority="9025" operator="containsText" text="Met">
      <formula>NOT(ISERROR(SEARCH("Met",AB33)))</formula>
    </cfRule>
  </conditionalFormatting>
  <conditionalFormatting sqref="AB167:AJ170">
    <cfRule type="containsText" dxfId="2755" priority="7725" operator="containsText" text="Not Met">
      <formula>NOT(ISERROR(SEARCH("Not Met",AB167)))</formula>
    </cfRule>
    <cfRule type="containsText" dxfId="2754" priority="7726" operator="containsText" text="Met">
      <formula>NOT(ISERROR(SEARCH("Met",AB167)))</formula>
    </cfRule>
  </conditionalFormatting>
  <conditionalFormatting sqref="AC2:AC10">
    <cfRule type="containsText" dxfId="2753" priority="9062" operator="containsText" text="Not Met">
      <formula>NOT(ISERROR(SEARCH("Not Met",AC2)))</formula>
    </cfRule>
    <cfRule type="containsText" dxfId="2752" priority="9063" operator="containsText" text="Met">
      <formula>NOT(ISERROR(SEARCH("Met",AC2)))</formula>
    </cfRule>
  </conditionalFormatting>
  <conditionalFormatting sqref="AC5">
    <cfRule type="containsText" dxfId="2751" priority="9060" operator="containsText" text="Not Met">
      <formula>NOT(ISERROR(SEARCH("Not Met",AC5)))</formula>
    </cfRule>
    <cfRule type="containsText" dxfId="2750" priority="9061" operator="containsText" text="Met">
      <formula>NOT(ISERROR(SEARCH("Met",AC5)))</formula>
    </cfRule>
  </conditionalFormatting>
  <conditionalFormatting sqref="AC12:AC14">
    <cfRule type="containsText" dxfId="2749" priority="9355" operator="containsText" text="Met">
      <formula>NOT(ISERROR(SEARCH("Met",AC12)))</formula>
    </cfRule>
    <cfRule type="containsText" dxfId="2748" priority="9354" operator="containsText" text="Not Met">
      <formula>NOT(ISERROR(SEARCH("Not Met",AC12)))</formula>
    </cfRule>
  </conditionalFormatting>
  <conditionalFormatting sqref="AC14">
    <cfRule type="containsText" dxfId="2747" priority="9344" operator="containsText" text="Not Met">
      <formula>NOT(ISERROR(SEARCH("Not Met",AC14)))</formula>
    </cfRule>
    <cfRule type="containsText" dxfId="2746" priority="9345" operator="containsText" text="Met">
      <formula>NOT(ISERROR(SEARCH("Met",AC14)))</formula>
    </cfRule>
  </conditionalFormatting>
  <conditionalFormatting sqref="AC14:AC15">
    <cfRule type="containsText" dxfId="2745" priority="9342" operator="containsText" text="Not Met">
      <formula>NOT(ISERROR(SEARCH("Not Met",AC14)))</formula>
    </cfRule>
    <cfRule type="containsText" dxfId="2744" priority="9343" operator="containsText" text="Met">
      <formula>NOT(ISERROR(SEARCH("Met",AC14)))</formula>
    </cfRule>
  </conditionalFormatting>
  <conditionalFormatting sqref="AC15">
    <cfRule type="containsText" dxfId="2743" priority="9338" operator="containsText" text="Not Met">
      <formula>NOT(ISERROR(SEARCH("Not Met",AC15)))</formula>
    </cfRule>
    <cfRule type="containsText" dxfId="2742" priority="9341" operator="containsText" text="Met">
      <formula>NOT(ISERROR(SEARCH("Met",AC15)))</formula>
    </cfRule>
    <cfRule type="containsText" dxfId="2741" priority="9340" operator="containsText" text="Not Met">
      <formula>NOT(ISERROR(SEARCH("Not Met",AC15)))</formula>
    </cfRule>
    <cfRule type="containsText" dxfId="2740" priority="9339" operator="containsText" text="Met">
      <formula>NOT(ISERROR(SEARCH("Met",AC15)))</formula>
    </cfRule>
  </conditionalFormatting>
  <conditionalFormatting sqref="AC20:AC25 AA20:AB20">
    <cfRule type="containsText" dxfId="2739" priority="9019" operator="containsText" text="Not Met">
      <formula>NOT(ISERROR(SEARCH("Not Met",AA20)))</formula>
    </cfRule>
  </conditionalFormatting>
  <conditionalFormatting sqref="AC27:AC33">
    <cfRule type="containsText" dxfId="2738" priority="9014" operator="containsText" text="Not Met">
      <formula>NOT(ISERROR(SEARCH("Not Met",AC27)))</formula>
    </cfRule>
  </conditionalFormatting>
  <conditionalFormatting sqref="AC36:AC48">
    <cfRule type="containsText" dxfId="2737" priority="9134" operator="containsText" text="Not Met">
      <formula>NOT(ISERROR(SEARCH("Not Met",AC36)))</formula>
    </cfRule>
    <cfRule type="containsText" dxfId="2736" priority="9135" operator="containsText" text="Met">
      <formula>NOT(ISERROR(SEARCH("Met",AC36)))</formula>
    </cfRule>
  </conditionalFormatting>
  <conditionalFormatting sqref="AC54:AC59">
    <cfRule type="containsText" dxfId="2735" priority="9131" operator="containsText" text="Met">
      <formula>NOT(ISERROR(SEARCH("Met",AC54)))</formula>
    </cfRule>
    <cfRule type="containsText" dxfId="2734" priority="9130" operator="containsText" text="Not Met">
      <formula>NOT(ISERROR(SEARCH("Not Met",AC54)))</formula>
    </cfRule>
  </conditionalFormatting>
  <conditionalFormatting sqref="AC54:AC61 AA60:AA61">
    <cfRule type="containsText" dxfId="2733" priority="9126" operator="containsText" text="Met">
      <formula>NOT(ISERROR(SEARCH("Met",AA54)))</formula>
    </cfRule>
  </conditionalFormatting>
  <conditionalFormatting sqref="AC60:AC76">
    <cfRule type="containsText" dxfId="2732" priority="9117" operator="containsText" text="Met">
      <formula>NOT(ISERROR(SEARCH("Met",AC60)))</formula>
    </cfRule>
  </conditionalFormatting>
  <conditionalFormatting sqref="AC62:AC76">
    <cfRule type="containsText" dxfId="2731" priority="9113" operator="containsText" text="Not Met">
      <formula>NOT(ISERROR(SEARCH("Not Met",AC62)))</formula>
    </cfRule>
  </conditionalFormatting>
  <conditionalFormatting sqref="AC97:AC104 AA97:AA104">
    <cfRule type="containsText" dxfId="2730" priority="9426" operator="containsText" text="Not Met">
      <formula>NOT(ISERROR(SEARCH("Not Met",AA97)))</formula>
    </cfRule>
  </conditionalFormatting>
  <conditionalFormatting sqref="AC159 AA159:AA160 AC160:AD160">
    <cfRule type="containsText" dxfId="2729" priority="8966" operator="containsText" text="Not Met">
      <formula>NOT(ISERROR(SEARCH("Not Met",AA159)))</formula>
    </cfRule>
    <cfRule type="containsText" dxfId="2728" priority="8967" operator="containsText" text="Met">
      <formula>NOT(ISERROR(SEARCH("Met",AA159)))</formula>
    </cfRule>
  </conditionalFormatting>
  <conditionalFormatting sqref="AC163:AC165 AA163:AA170">
    <cfRule type="containsText" dxfId="2727" priority="8911" operator="containsText" text="Not Met">
      <formula>NOT(ISERROR(SEARCH("Not Met",AA163)))</formula>
    </cfRule>
    <cfRule type="containsText" dxfId="2726" priority="8912" operator="containsText" text="Met">
      <formula>NOT(ISERROR(SEARCH("Met",AA163)))</formula>
    </cfRule>
  </conditionalFormatting>
  <conditionalFormatting sqref="AC171:AC193">
    <cfRule type="containsText" dxfId="2725" priority="9172" operator="containsText" text="Not Met">
      <formula>NOT(ISERROR(SEARCH("Not Met",AC171)))</formula>
    </cfRule>
    <cfRule type="containsText" dxfId="2724" priority="9173" operator="containsText" text="Met">
      <formula>NOT(ISERROR(SEARCH("Met",AC171)))</formula>
    </cfRule>
  </conditionalFormatting>
  <conditionalFormatting sqref="AC182:AC193">
    <cfRule type="containsText" dxfId="2723" priority="9185" operator="containsText" text="Not Met">
      <formula>NOT(ISERROR(SEARCH("Not Met",AC182)))</formula>
    </cfRule>
    <cfRule type="containsText" dxfId="2722" priority="9186" operator="containsText" text="Met">
      <formula>NOT(ISERROR(SEARCH("Met",AC182)))</formula>
    </cfRule>
  </conditionalFormatting>
  <conditionalFormatting sqref="AC202:AC211">
    <cfRule type="containsText" dxfId="2721" priority="8971" operator="containsText" text="Met">
      <formula>NOT(ISERROR(SEARCH("Met",AC202)))</formula>
    </cfRule>
    <cfRule type="containsText" dxfId="2720" priority="8970" operator="containsText" text="Not Met">
      <formula>NOT(ISERROR(SEARCH("Not Met",AC202)))</formula>
    </cfRule>
  </conditionalFormatting>
  <conditionalFormatting sqref="AC229:AC243">
    <cfRule type="containsText" dxfId="2719" priority="8954" operator="containsText" text="Not Met">
      <formula>NOT(ISERROR(SEARCH("Not Met",AC229)))</formula>
    </cfRule>
    <cfRule type="containsText" dxfId="2718" priority="8955" operator="containsText" text="Met">
      <formula>NOT(ISERROR(SEARCH("Met",AC229)))</formula>
    </cfRule>
  </conditionalFormatting>
  <conditionalFormatting sqref="AC236:AC242 Y236:AA242">
    <cfRule type="containsText" dxfId="2717" priority="9358" operator="containsText" text="Not Met">
      <formula>NOT(ISERROR(SEARCH("Not Met",Y236)))</formula>
    </cfRule>
  </conditionalFormatting>
  <conditionalFormatting sqref="AC236:AC242 AA236:AA258">
    <cfRule type="containsText" dxfId="2716" priority="9361" operator="containsText" text="Met">
      <formula>NOT(ISERROR(SEARCH("Met",AA236)))</formula>
    </cfRule>
    <cfRule type="containsText" dxfId="2715" priority="9360" operator="containsText" text="Not Met">
      <formula>NOT(ISERROR(SEARCH("Not Met",AA236)))</formula>
    </cfRule>
  </conditionalFormatting>
  <conditionalFormatting sqref="AC280:AC281">
    <cfRule type="containsText" dxfId="2714" priority="8928" operator="containsText" text="Met">
      <formula>NOT(ISERROR(SEARCH("Met",AC280)))</formula>
    </cfRule>
    <cfRule type="containsText" dxfId="2713" priority="8927" operator="containsText" text="Not Met">
      <formula>NOT(ISERROR(SEARCH("Not Met",AC280)))</formula>
    </cfRule>
  </conditionalFormatting>
  <conditionalFormatting sqref="AC315:AC316">
    <cfRule type="containsText" dxfId="2712" priority="8899" operator="containsText" text="Not Met">
      <formula>NOT(ISERROR(SEARCH("Not Met",AC315)))</formula>
    </cfRule>
    <cfRule type="containsText" dxfId="2711" priority="8900" operator="containsText" text="Met">
      <formula>NOT(ISERROR(SEARCH("Met",AC315)))</formula>
    </cfRule>
  </conditionalFormatting>
  <conditionalFormatting sqref="AC444:AC452">
    <cfRule type="containsText" dxfId="2710" priority="820" operator="containsText" text="Not Met">
      <formula>NOT(ISERROR(SEARCH("Not Met",AC444)))</formula>
    </cfRule>
  </conditionalFormatting>
  <conditionalFormatting sqref="AC456:AC457">
    <cfRule type="containsText" dxfId="2709" priority="823" operator="containsText" text="Not Met">
      <formula>NOT(ISERROR(SEARCH("Not Met",AC456)))</formula>
    </cfRule>
    <cfRule type="containsText" dxfId="2708" priority="824" operator="containsText" text="Met">
      <formula>NOT(ISERROR(SEARCH("Met",AC456)))</formula>
    </cfRule>
  </conditionalFormatting>
  <conditionalFormatting sqref="AC11:AD11 AA11:AA19">
    <cfRule type="containsText" dxfId="2707" priority="9351" operator="containsText" text="Met">
      <formula>NOT(ISERROR(SEARCH("Met",AA11)))</formula>
    </cfRule>
  </conditionalFormatting>
  <conditionalFormatting sqref="AC16:AD19">
    <cfRule type="containsText" dxfId="2706" priority="9352" operator="containsText" text="Not Met">
      <formula>NOT(ISERROR(SEARCH("Not Met",AC16)))</formula>
    </cfRule>
    <cfRule type="containsText" dxfId="2705" priority="9353" operator="containsText" text="Met">
      <formula>NOT(ISERROR(SEARCH("Met",AC16)))</formula>
    </cfRule>
  </conditionalFormatting>
  <conditionalFormatting sqref="AC51:AD53">
    <cfRule type="containsText" dxfId="2704" priority="9053" operator="containsText" text="Met">
      <formula>NOT(ISERROR(SEARCH("Met",AC51)))</formula>
    </cfRule>
  </conditionalFormatting>
  <conditionalFormatting sqref="AC243:AD256">
    <cfRule type="containsText" dxfId="2703" priority="9377" operator="containsText" text="Met">
      <formula>NOT(ISERROR(SEARCH("Met",AC243)))</formula>
    </cfRule>
    <cfRule type="containsText" dxfId="2702" priority="9362" operator="containsText" text="Not Met">
      <formula>NOT(ISERROR(SEARCH("Not Met",AC243)))</formula>
    </cfRule>
  </conditionalFormatting>
  <conditionalFormatting sqref="AC273:AD279">
    <cfRule type="containsText" dxfId="2701" priority="9146" operator="containsText" text="Not Met">
      <formula>NOT(ISERROR(SEARCH("Not Met",AC273)))</formula>
    </cfRule>
    <cfRule type="containsText" dxfId="2700" priority="9364" operator="containsText" text="Met">
      <formula>NOT(ISERROR(SEARCH("Met",AC273)))</formula>
    </cfRule>
  </conditionalFormatting>
  <conditionalFormatting sqref="AC323:AD329">
    <cfRule type="containsText" dxfId="2699" priority="9369" operator="containsText" text="Not Met">
      <formula>NOT(ISERROR(SEARCH("Not Met",AC323)))</formula>
    </cfRule>
    <cfRule type="containsText" dxfId="2698" priority="9370" operator="containsText" text="Met">
      <formula>NOT(ISERROR(SEARCH("Met",AC323)))</formula>
    </cfRule>
  </conditionalFormatting>
  <conditionalFormatting sqref="AC26:AE26">
    <cfRule type="containsText" dxfId="2697" priority="8534" operator="containsText" text="Met">
      <formula>NOT(ISERROR(SEARCH("Met",AC26)))</formula>
    </cfRule>
    <cfRule type="containsText" dxfId="2696" priority="8533" operator="containsText" text="Not Met">
      <formula>NOT(ISERROR(SEARCH("Not Met",AC26)))</formula>
    </cfRule>
  </conditionalFormatting>
  <conditionalFormatting sqref="AC51:AE51 AA51">
    <cfRule type="containsText" dxfId="2695" priority="9054" operator="containsText" text="Not Met">
      <formula>NOT(ISERROR(SEARCH("Not Met",AA51)))</formula>
    </cfRule>
  </conditionalFormatting>
  <conditionalFormatting sqref="AC166:AE166">
    <cfRule type="containsText" dxfId="2694" priority="8687" operator="containsText" text="Not Met">
      <formula>NOT(ISERROR(SEARCH("Not Met",AC166)))</formula>
    </cfRule>
    <cfRule type="containsText" dxfId="2693" priority="8688" operator="containsText" text="Met">
      <formula>NOT(ISERROR(SEARCH("Met",AC166)))</formula>
    </cfRule>
  </conditionalFormatting>
  <conditionalFormatting sqref="AC212:AE228 AE243">
    <cfRule type="containsText" dxfId="2692" priority="8809" operator="containsText" text="Met">
      <formula>NOT(ISERROR(SEARCH("Met",AC212)))</formula>
    </cfRule>
  </conditionalFormatting>
  <conditionalFormatting sqref="AC454:AE454">
    <cfRule type="containsText" dxfId="2691" priority="814" operator="containsText" text="Not Met">
      <formula>NOT(ISERROR(SEARCH("Not Met",AC454)))</formula>
    </cfRule>
    <cfRule type="containsText" dxfId="2690" priority="815" operator="containsText" text="Met">
      <formula>NOT(ISERROR(SEARCH("Met",AC454)))</formula>
    </cfRule>
  </conditionalFormatting>
  <conditionalFormatting sqref="AC346:AG349 AC350:AH350 AC351:AG352">
    <cfRule type="containsText" dxfId="2689" priority="8431" operator="containsText" text="Met">
      <formula>NOT(ISERROR(SEARCH("Met",AC346)))</formula>
    </cfRule>
    <cfRule type="containsText" dxfId="2688" priority="8430" operator="containsText" text="Not Met">
      <formula>NOT(ISERROR(SEARCH("Not Met",AC346)))</formula>
    </cfRule>
  </conditionalFormatting>
  <conditionalFormatting sqref="AD2:AD4 AD147:AD159 AD161:AD165 AD280:AD287 AD313:AD322">
    <cfRule type="containsText" dxfId="2687" priority="9059" operator="containsText" text="Met">
      <formula>NOT(ISERROR(SEARCH("Met",AD2)))</formula>
    </cfRule>
    <cfRule type="containsText" dxfId="2686" priority="9058" operator="containsText" text="Not Met">
      <formula>NOT(ISERROR(SEARCH("Not Met",AD2)))</formula>
    </cfRule>
  </conditionalFormatting>
  <conditionalFormatting sqref="AD12:AD15 AD229:AD242 AB330:AD345">
    <cfRule type="containsText" dxfId="2685" priority="8894" operator="containsText" text="Met">
      <formula>NOT(ISERROR(SEARCH("Met",AB12)))</formula>
    </cfRule>
    <cfRule type="containsText" dxfId="2684" priority="8893" operator="containsText" text="Not Met">
      <formula>NOT(ISERROR(SEARCH("Not Met",AB12)))</formula>
    </cfRule>
  </conditionalFormatting>
  <conditionalFormatting sqref="AD20:AD25 AC51:AD96 AB97:AD134 AD171:AD201 AD257:AD272 AC295:AD302 AC304:AD312 AB353:AD362">
    <cfRule type="containsText" dxfId="2683" priority="8897" operator="containsText" text="Not Met">
      <formula>NOT(ISERROR(SEARCH("Not Met",AB20)))</formula>
    </cfRule>
  </conditionalFormatting>
  <conditionalFormatting sqref="AD20:AD25 AD54:AD89 AB97:AD134 AD171:AD201 AD257:AD272 AC295:AD302 AC304:AD312 AB353:AD362">
    <cfRule type="containsText" dxfId="2682" priority="8898" operator="containsText" text="Met">
      <formula>NOT(ISERROR(SEARCH("Met",AB20)))</formula>
    </cfRule>
  </conditionalFormatting>
  <conditionalFormatting sqref="AD202:AD206">
    <cfRule type="containsText" dxfId="2681" priority="9325" operator="containsText" text="Met">
      <formula>NOT(ISERROR(SEARCH("Met",AD202)))</formula>
    </cfRule>
    <cfRule type="containsText" dxfId="2680" priority="9326" operator="containsText" text="Not Met">
      <formula>NOT(ISERROR(SEARCH("Not Met",AD202)))</formula>
    </cfRule>
    <cfRule type="containsText" dxfId="2679" priority="9322" operator="containsText" text="Not Met">
      <formula>NOT(ISERROR(SEARCH("Not Met",AD202)))</formula>
    </cfRule>
    <cfRule type="containsText" dxfId="2678" priority="9320" operator="containsText" text="Not Met">
      <formula>NOT(ISERROR(SEARCH("Not Met",AD202)))</formula>
    </cfRule>
    <cfRule type="containsText" dxfId="2677" priority="9321" operator="containsText" text="Met">
      <formula>NOT(ISERROR(SEARCH("Met",AD202)))</formula>
    </cfRule>
    <cfRule type="containsText" dxfId="2676" priority="9327" operator="containsText" text="Met">
      <formula>NOT(ISERROR(SEARCH("Met",AD202)))</formula>
    </cfRule>
    <cfRule type="containsText" dxfId="2675" priority="9323" operator="containsText" text="Met">
      <formula>NOT(ISERROR(SEARCH("Met",AD202)))</formula>
    </cfRule>
    <cfRule type="containsText" dxfId="2674" priority="9324" operator="containsText" text="Not Met">
      <formula>NOT(ISERROR(SEARCH("Not Met",AD202)))</formula>
    </cfRule>
  </conditionalFormatting>
  <conditionalFormatting sqref="AD202:AD208">
    <cfRule type="containsText" dxfId="2673" priority="9287" operator="containsText" text="Met">
      <formula>NOT(ISERROR(SEARCH("Met",AD202)))</formula>
    </cfRule>
    <cfRule type="containsText" dxfId="2672" priority="9286" operator="containsText" text="Not Met">
      <formula>NOT(ISERROR(SEARCH("Not Met",AD202)))</formula>
    </cfRule>
  </conditionalFormatting>
  <conditionalFormatting sqref="AD207">
    <cfRule type="containsText" dxfId="2671" priority="9280" operator="containsText" text="Not Met">
      <formula>NOT(ISERROR(SEARCH("Not Met",AD207)))</formula>
    </cfRule>
    <cfRule type="containsText" dxfId="2670" priority="9237" operator="containsText" text="Met">
      <formula>NOT(ISERROR(SEARCH("Met",AD207)))</formula>
    </cfRule>
    <cfRule type="containsText" dxfId="2669" priority="9236" operator="containsText" text="Not Met">
      <formula>NOT(ISERROR(SEARCH("Not Met",AD207)))</formula>
    </cfRule>
    <cfRule type="containsText" dxfId="2668" priority="9283" operator="containsText" text="Met">
      <formula>NOT(ISERROR(SEARCH("Met",AD207)))</formula>
    </cfRule>
    <cfRule type="containsText" dxfId="2667" priority="9285" operator="containsText" text="Met">
      <formula>NOT(ISERROR(SEARCH("Met",AD207)))</formula>
    </cfRule>
    <cfRule type="containsText" dxfId="2666" priority="9284" operator="containsText" text="Not Met">
      <formula>NOT(ISERROR(SEARCH("Not Met",AD207)))</formula>
    </cfRule>
    <cfRule type="containsText" dxfId="2665" priority="9282" operator="containsText" text="Not Met">
      <formula>NOT(ISERROR(SEARCH("Not Met",AD207)))</formula>
    </cfRule>
    <cfRule type="containsText" dxfId="2664" priority="9281" operator="containsText" text="Met">
      <formula>NOT(ISERROR(SEARCH("Met",AD207)))</formula>
    </cfRule>
  </conditionalFormatting>
  <conditionalFormatting sqref="AD208">
    <cfRule type="containsText" dxfId="2663" priority="9288" operator="containsText" text="Not Met">
      <formula>NOT(ISERROR(SEARCH("Not Met",AD208)))</formula>
    </cfRule>
    <cfRule type="containsText" dxfId="2662" priority="9289" operator="containsText" text="Met">
      <formula>NOT(ISERROR(SEARCH("Met",AD208)))</formula>
    </cfRule>
    <cfRule type="containsText" dxfId="2661" priority="9290" operator="containsText" text="Not Met">
      <formula>NOT(ISERROR(SEARCH("Not Met",AD208)))</formula>
    </cfRule>
    <cfRule type="containsText" dxfId="2660" priority="9291" operator="containsText" text="Met">
      <formula>NOT(ISERROR(SEARCH("Met",AD208)))</formula>
    </cfRule>
    <cfRule type="containsText" dxfId="2659" priority="9292" operator="containsText" text="Not Met">
      <formula>NOT(ISERROR(SEARCH("Not Met",AD208)))</formula>
    </cfRule>
    <cfRule type="containsText" dxfId="2658" priority="9293" operator="containsText" text="Met">
      <formula>NOT(ISERROR(SEARCH("Met",AD208)))</formula>
    </cfRule>
  </conditionalFormatting>
  <conditionalFormatting sqref="AD208:AD209">
    <cfRule type="containsText" dxfId="2657" priority="9295" operator="containsText" text="Met">
      <formula>NOT(ISERROR(SEARCH("Met",AD208)))</formula>
    </cfRule>
    <cfRule type="containsText" dxfId="2656" priority="9294" operator="containsText" text="Not Met">
      <formula>NOT(ISERROR(SEARCH("Not Met",AD208)))</formula>
    </cfRule>
  </conditionalFormatting>
  <conditionalFormatting sqref="AD209">
    <cfRule type="containsText" dxfId="2655" priority="9297" operator="containsText" text="Met">
      <formula>NOT(ISERROR(SEARCH("Met",AD209)))</formula>
    </cfRule>
    <cfRule type="containsText" dxfId="2654" priority="9300" operator="containsText" text="Not Met">
      <formula>NOT(ISERROR(SEARCH("Not Met",AD209)))</formula>
    </cfRule>
    <cfRule type="containsText" dxfId="2653" priority="9301" operator="containsText" text="Met">
      <formula>NOT(ISERROR(SEARCH("Met",AD209)))</formula>
    </cfRule>
    <cfRule type="containsText" dxfId="2652" priority="9299" operator="containsText" text="Met">
      <formula>NOT(ISERROR(SEARCH("Met",AD209)))</formula>
    </cfRule>
    <cfRule type="containsText" dxfId="2651" priority="9296" operator="containsText" text="Not Met">
      <formula>NOT(ISERROR(SEARCH("Not Met",AD209)))</formula>
    </cfRule>
    <cfRule type="containsText" dxfId="2650" priority="9298" operator="containsText" text="Not Met">
      <formula>NOT(ISERROR(SEARCH("Not Met",AD209)))</formula>
    </cfRule>
  </conditionalFormatting>
  <conditionalFormatting sqref="AD209:AD210">
    <cfRule type="containsText" dxfId="2649" priority="9302" operator="containsText" text="Not Met">
      <formula>NOT(ISERROR(SEARCH("Not Met",AD209)))</formula>
    </cfRule>
    <cfRule type="containsText" dxfId="2648" priority="9303" operator="containsText" text="Met">
      <formula>NOT(ISERROR(SEARCH("Met",AD209)))</formula>
    </cfRule>
  </conditionalFormatting>
  <conditionalFormatting sqref="AD210">
    <cfRule type="containsText" dxfId="2647" priority="9307" operator="containsText" text="Met">
      <formula>NOT(ISERROR(SEARCH("Met",AD210)))</formula>
    </cfRule>
    <cfRule type="containsText" dxfId="2646" priority="9304" operator="containsText" text="Not Met">
      <formula>NOT(ISERROR(SEARCH("Not Met",AD210)))</formula>
    </cfRule>
    <cfRule type="containsText" dxfId="2645" priority="9308" operator="containsText" text="Not Met">
      <formula>NOT(ISERROR(SEARCH("Not Met",AD210)))</formula>
    </cfRule>
    <cfRule type="containsText" dxfId="2644" priority="9309" operator="containsText" text="Met">
      <formula>NOT(ISERROR(SEARCH("Met",AD210)))</formula>
    </cfRule>
    <cfRule type="containsText" dxfId="2643" priority="9306" operator="containsText" text="Not Met">
      <formula>NOT(ISERROR(SEARCH("Not Met",AD210)))</formula>
    </cfRule>
    <cfRule type="containsText" dxfId="2642" priority="9305" operator="containsText" text="Met">
      <formula>NOT(ISERROR(SEARCH("Met",AD210)))</formula>
    </cfRule>
  </conditionalFormatting>
  <conditionalFormatting sqref="AD210:AD211">
    <cfRule type="containsText" dxfId="2641" priority="9310" operator="containsText" text="Not Met">
      <formula>NOT(ISERROR(SEARCH("Not Met",AD210)))</formula>
    </cfRule>
    <cfRule type="containsText" dxfId="2640" priority="9311" operator="containsText" text="Met">
      <formula>NOT(ISERROR(SEARCH("Met",AD210)))</formula>
    </cfRule>
  </conditionalFormatting>
  <conditionalFormatting sqref="AD211">
    <cfRule type="containsText" dxfId="2639" priority="9318" operator="containsText" text="Not Met">
      <formula>NOT(ISERROR(SEARCH("Not Met",AD211)))</formula>
    </cfRule>
    <cfRule type="containsText" dxfId="2638" priority="9319" operator="containsText" text="Met">
      <formula>NOT(ISERROR(SEARCH("Met",AD211)))</formula>
    </cfRule>
    <cfRule type="containsText" dxfId="2637" priority="9315" operator="containsText" text="Met">
      <formula>NOT(ISERROR(SEARCH("Met",AD211)))</formula>
    </cfRule>
    <cfRule type="containsText" dxfId="2636" priority="9312" operator="containsText" text="Not Met">
      <formula>NOT(ISERROR(SEARCH("Not Met",AD211)))</formula>
    </cfRule>
    <cfRule type="containsText" dxfId="2635" priority="9314" operator="containsText" text="Not Met">
      <formula>NOT(ISERROR(SEARCH("Not Met",AD211)))</formula>
    </cfRule>
    <cfRule type="containsText" dxfId="2634" priority="9316" operator="containsText" text="Not Met">
      <formula>NOT(ISERROR(SEARCH("Not Met",AD211)))</formula>
    </cfRule>
    <cfRule type="containsText" dxfId="2633" priority="9313" operator="containsText" text="Met">
      <formula>NOT(ISERROR(SEARCH("Met",AD211)))</formula>
    </cfRule>
    <cfRule type="containsText" dxfId="2632" priority="9317" operator="containsText" text="Met">
      <formula>NOT(ISERROR(SEARCH("Met",AD211)))</formula>
    </cfRule>
  </conditionalFormatting>
  <conditionalFormatting sqref="AD444:AD453">
    <cfRule type="containsText" dxfId="2631" priority="817" operator="containsText" text="Met">
      <formula>NOT(ISERROR(SEARCH("Met",AD444)))</formula>
    </cfRule>
    <cfRule type="containsText" dxfId="2630" priority="816" operator="containsText" text="Not Met">
      <formula>NOT(ISERROR(SEARCH("Not Met",AD444)))</formula>
    </cfRule>
  </conditionalFormatting>
  <conditionalFormatting sqref="AD455:AE457">
    <cfRule type="containsText" dxfId="2629" priority="813" operator="containsText" text="Met">
      <formula>NOT(ISERROR(SEARCH("Met",AD455)))</formula>
    </cfRule>
    <cfRule type="containsText" dxfId="2628" priority="812" operator="containsText" text="Not Met">
      <formula>NOT(ISERROR(SEARCH("Not Met",AD455)))</formula>
    </cfRule>
  </conditionalFormatting>
  <conditionalFormatting sqref="AD6:AI6 AD7:AH10 AG11:AH19">
    <cfRule type="containsText" dxfId="2627" priority="8413" operator="containsText" text="Met">
      <formula>NOT(ISERROR(SEARCH("Met",AD6)))</formula>
    </cfRule>
  </conditionalFormatting>
  <conditionalFormatting sqref="AE2:AE5">
    <cfRule type="containsText" dxfId="2626" priority="8830" operator="containsText" text="Met">
      <formula>NOT(ISERROR(SEARCH("Met",AE2)))</formula>
    </cfRule>
    <cfRule type="containsText" dxfId="2625" priority="8829" operator="containsText" text="Not Met">
      <formula>NOT(ISERROR(SEARCH("Not Met",AE2)))</formula>
    </cfRule>
  </conditionalFormatting>
  <conditionalFormatting sqref="AE5">
    <cfRule type="containsText" dxfId="2624" priority="8831" operator="containsText" text="Not Met">
      <formula>NOT(ISERROR(SEARCH("Not Met",AE5)))</formula>
    </cfRule>
    <cfRule type="containsText" dxfId="2623" priority="8832" operator="containsText" text="Met">
      <formula>NOT(ISERROR(SEARCH("Met",AE5)))</formula>
    </cfRule>
  </conditionalFormatting>
  <conditionalFormatting sqref="AE11:AE23 AE25 AE27:AE33">
    <cfRule type="containsText" dxfId="2622" priority="8530" operator="containsText" text="Met">
      <formula>NOT(ISERROR(SEARCH("Met",AE11)))</formula>
    </cfRule>
  </conditionalFormatting>
  <conditionalFormatting sqref="AE11:AE23 AE25">
    <cfRule type="containsText" dxfId="2621" priority="8529" operator="containsText" text="Not Met">
      <formula>NOT(ISERROR(SEARCH("Not Met",AE11)))</formula>
    </cfRule>
  </conditionalFormatting>
  <conditionalFormatting sqref="AE14">
    <cfRule type="containsText" dxfId="2620" priority="8500" operator="containsText" text="Not Met">
      <formula>NOT(ISERROR(SEARCH("Not Met",AE14)))</formula>
    </cfRule>
    <cfRule type="containsText" dxfId="2619" priority="8498" operator="containsText" text="Not Met">
      <formula>NOT(ISERROR(SEARCH("Not Met",AE14)))</formula>
    </cfRule>
    <cfRule type="containsText" dxfId="2618" priority="8499" operator="containsText" text="Met">
      <formula>NOT(ISERROR(SEARCH("Met",AE14)))</formula>
    </cfRule>
    <cfRule type="containsText" dxfId="2617" priority="8501" operator="containsText" text="Met">
      <formula>NOT(ISERROR(SEARCH("Met",AE14)))</formula>
    </cfRule>
  </conditionalFormatting>
  <conditionalFormatting sqref="AE27:AE33">
    <cfRule type="containsText" dxfId="2616" priority="8522" operator="containsText" text="Not Met">
      <formula>NOT(ISERROR(SEARCH("Not Met",AE27)))</formula>
    </cfRule>
  </conditionalFormatting>
  <conditionalFormatting sqref="AE36:AE112 AG90:AG113 B118:B123 X171:X235 V212:V215 I212:J227 AQ212:AQ235 AA212:AA243 Y229:Y243 AI288:AI302 AM288:AM302 AQ288:AQ302 X295:Z302 X304:Z314 AQ304:AQ314 AC90:AD96">
    <cfRule type="containsText" dxfId="2615" priority="16103" operator="containsText" text="Met">
      <formula>NOT(ISERROR(SEARCH("Met",B36)))</formula>
    </cfRule>
  </conditionalFormatting>
  <conditionalFormatting sqref="AE97:AE104">
    <cfRule type="containsText" dxfId="2614" priority="8884" operator="containsText" text="Not Met">
      <formula>NOT(ISERROR(SEARCH("Not Met",AE97)))</formula>
    </cfRule>
    <cfRule type="containsText" dxfId="2613" priority="8885" operator="containsText" text="Met">
      <formula>NOT(ISERROR(SEARCH("Met",AE97)))</formula>
    </cfRule>
    <cfRule type="containsText" dxfId="2612" priority="8886" operator="containsText" text="Not Met">
      <formula>NOT(ISERROR(SEARCH("Not Met",AE97)))</formula>
    </cfRule>
    <cfRule type="containsText" dxfId="2611" priority="8887" operator="containsText" text="Met">
      <formula>NOT(ISERROR(SEARCH("Met",AE97)))</formula>
    </cfRule>
    <cfRule type="containsText" dxfId="2610" priority="8882" operator="containsText" text="Not Met">
      <formula>NOT(ISERROR(SEARCH("Not Met",AE97)))</formula>
    </cfRule>
    <cfRule type="containsText" dxfId="2609" priority="8883" operator="containsText" text="Met">
      <formula>NOT(ISERROR(SEARCH("Met",AE97)))</formula>
    </cfRule>
  </conditionalFormatting>
  <conditionalFormatting sqref="AE113">
    <cfRule type="containsText" dxfId="2608" priority="8570" operator="containsText" text="Not Met">
      <formula>NOT(ISERROR(SEARCH("Not Met",AE113)))</formula>
    </cfRule>
    <cfRule type="containsText" dxfId="2607" priority="8571" operator="containsText" text="Met">
      <formula>NOT(ISERROR(SEARCH("Met",AE113)))</formula>
    </cfRule>
  </conditionalFormatting>
  <conditionalFormatting sqref="AE118:AE124">
    <cfRule type="containsText" dxfId="2606" priority="8566" operator="containsText" text="Not Met">
      <formula>NOT(ISERROR(SEARCH("Not Met",AE118)))</formula>
    </cfRule>
  </conditionalFormatting>
  <conditionalFormatting sqref="AE118:AE126">
    <cfRule type="containsText" dxfId="2605" priority="8567" operator="containsText" text="Met">
      <formula>NOT(ISERROR(SEARCH("Met",AE118)))</formula>
    </cfRule>
  </conditionalFormatting>
  <conditionalFormatting sqref="AE125:AE126">
    <cfRule type="containsText" dxfId="2604" priority="8601" operator="containsText" text="Not Met">
      <formula>NOT(ISERROR(SEARCH("Not Met",AE125)))</formula>
    </cfRule>
  </conditionalFormatting>
  <conditionalFormatting sqref="AE128:AE134">
    <cfRule type="containsText" dxfId="2603" priority="8591" operator="containsText" text="Not Met">
      <formula>NOT(ISERROR(SEARCH("Not Met",AE128)))</formula>
    </cfRule>
    <cfRule type="containsText" dxfId="2602" priority="8592" operator="containsText" text="Met">
      <formula>NOT(ISERROR(SEARCH("Met",AE128)))</formula>
    </cfRule>
  </conditionalFormatting>
  <conditionalFormatting sqref="AE142:AE155">
    <cfRule type="containsText" dxfId="2601" priority="8516" operator="containsText" text="Not Met">
      <formula>NOT(ISERROR(SEARCH("Not Met",AE142)))</formula>
    </cfRule>
    <cfRule type="containsText" dxfId="2600" priority="8517" operator="containsText" text="Met">
      <formula>NOT(ISERROR(SEARCH("Met",AE142)))</formula>
    </cfRule>
  </conditionalFormatting>
  <conditionalFormatting sqref="AE158:AE165">
    <cfRule type="containsText" dxfId="2599" priority="8502" operator="containsText" text="Not Met">
      <formula>NOT(ISERROR(SEARCH("Not Met",AE158)))</formula>
    </cfRule>
    <cfRule type="containsText" dxfId="2598" priority="8513" operator="containsText" text="Met">
      <formula>NOT(ISERROR(SEARCH("Met",AE158)))</formula>
    </cfRule>
  </conditionalFormatting>
  <conditionalFormatting sqref="AE173">
    <cfRule type="containsText" dxfId="2597" priority="8582" operator="containsText" text="Not Met">
      <formula>NOT(ISERROR(SEARCH("Not Met",AE173)))</formula>
    </cfRule>
    <cfRule type="containsText" dxfId="2596" priority="8583" operator="containsText" text="Met">
      <formula>NOT(ISERROR(SEARCH("Met",AE173)))</formula>
    </cfRule>
  </conditionalFormatting>
  <conditionalFormatting sqref="AE176:AE189">
    <cfRule type="containsText" dxfId="2595" priority="8457" operator="containsText" text="Met">
      <formula>NOT(ISERROR(SEARCH("Met",AE176)))</formula>
    </cfRule>
    <cfRule type="containsText" dxfId="2594" priority="8456" operator="containsText" text="Not Met">
      <formula>NOT(ISERROR(SEARCH("Not Met",AE176)))</formula>
    </cfRule>
  </conditionalFormatting>
  <conditionalFormatting sqref="AE194:AE211">
    <cfRule type="containsText" dxfId="2593" priority="8464" operator="containsText" text="Not Met">
      <formula>NOT(ISERROR(SEARCH("Not Met",AE194)))</formula>
    </cfRule>
    <cfRule type="containsText" dxfId="2592" priority="8465" operator="containsText" text="Met">
      <formula>NOT(ISERROR(SEARCH("Met",AE194)))</formula>
    </cfRule>
  </conditionalFormatting>
  <conditionalFormatting sqref="AE202:AE211">
    <cfRule type="containsText" dxfId="2591" priority="8462" operator="containsText" text="Not Met">
      <formula>NOT(ISERROR(SEARCH("Not Met",AE202)))</formula>
    </cfRule>
    <cfRule type="containsText" dxfId="2590" priority="8461" operator="containsText" text="Met">
      <formula>NOT(ISERROR(SEARCH("Met",AE202)))</formula>
    </cfRule>
    <cfRule type="containsText" dxfId="2589" priority="8459" operator="containsText" text="Met">
      <formula>NOT(ISERROR(SEARCH("Met",AE202)))</formula>
    </cfRule>
    <cfRule type="containsText" dxfId="2588" priority="8458" operator="containsText" text="Not Met">
      <formula>NOT(ISERROR(SEARCH("Not Met",AE202)))</formula>
    </cfRule>
    <cfRule type="containsText" dxfId="2587" priority="8463" operator="containsText" text="Met">
      <formula>NOT(ISERROR(SEARCH("Met",AE202)))</formula>
    </cfRule>
    <cfRule type="containsText" dxfId="2586" priority="8453" operator="containsText" text="Met">
      <formula>NOT(ISERROR(SEARCH("Met",AE202)))</formula>
    </cfRule>
    <cfRule type="containsText" dxfId="2585" priority="8460" operator="containsText" text="Not Met">
      <formula>NOT(ISERROR(SEARCH("Not Met",AE202)))</formula>
    </cfRule>
    <cfRule type="containsText" dxfId="2584" priority="8452" operator="containsText" text="Not Met">
      <formula>NOT(ISERROR(SEARCH("Not Met",AE202)))</formula>
    </cfRule>
  </conditionalFormatting>
  <conditionalFormatting sqref="AE229:AE256">
    <cfRule type="containsText" dxfId="2583" priority="8747" operator="containsText" text="Not Met">
      <formula>NOT(ISERROR(SEARCH("Not Met",AE229)))</formula>
    </cfRule>
    <cfRule type="containsText" dxfId="2582" priority="8748" operator="containsText" text="Met">
      <formula>NOT(ISERROR(SEARCH("Met",AE229)))</formula>
    </cfRule>
  </conditionalFormatting>
  <conditionalFormatting sqref="AE243 AC212:AE228">
    <cfRule type="containsText" dxfId="2581" priority="8808" operator="containsText" text="Not Met">
      <formula>NOT(ISERROR(SEARCH("Not Met",AC212)))</formula>
    </cfRule>
  </conditionalFormatting>
  <conditionalFormatting sqref="AE243:AE258">
    <cfRule type="containsText" dxfId="2580" priority="8877" operator="containsText" text="Met">
      <formula>NOT(ISERROR(SEARCH("Met",AE243)))</formula>
    </cfRule>
    <cfRule type="containsText" dxfId="2579" priority="8876" operator="containsText" text="Not Met">
      <formula>NOT(ISERROR(SEARCH("Not Met",AE243)))</formula>
    </cfRule>
  </conditionalFormatting>
  <conditionalFormatting sqref="AE259">
    <cfRule type="containsText" dxfId="2578" priority="8803" operator="containsText" text="Met">
      <formula>NOT(ISERROR(SEARCH("Met",AE259)))</formula>
    </cfRule>
    <cfRule type="containsText" dxfId="2577" priority="8891" operator="containsText" text="Met">
      <formula>NOT(ISERROR(SEARCH("Met",AE259)))</formula>
    </cfRule>
    <cfRule type="containsText" dxfId="2576" priority="8801" operator="containsText" text="Met">
      <formula>NOT(ISERROR(SEARCH("Met",AE259)))</formula>
    </cfRule>
    <cfRule type="containsText" dxfId="2575" priority="8802" operator="containsText" text="Not Met">
      <formula>NOT(ISERROR(SEARCH("Not Met",AE259)))</formula>
    </cfRule>
    <cfRule type="containsText" dxfId="2574" priority="8890" operator="containsText" text="Not Met">
      <formula>NOT(ISERROR(SEARCH("Not Met",AE259)))</formula>
    </cfRule>
    <cfRule type="containsText" dxfId="2573" priority="8805" operator="containsText" text="Met">
      <formula>NOT(ISERROR(SEARCH("Met",AE259)))</formula>
    </cfRule>
    <cfRule type="containsText" dxfId="2572" priority="8804" operator="containsText" text="Not Met">
      <formula>NOT(ISERROR(SEARCH("Not Met",AE259)))</formula>
    </cfRule>
    <cfRule type="containsText" dxfId="2571" priority="8889" operator="containsText" text="Met">
      <formula>NOT(ISERROR(SEARCH("Met",AE259)))</formula>
    </cfRule>
    <cfRule type="containsText" dxfId="2570" priority="8888" operator="containsText" text="Not Met">
      <formula>NOT(ISERROR(SEARCH("Not Met",AE259)))</formula>
    </cfRule>
    <cfRule type="containsText" dxfId="2569" priority="8892" operator="containsText" text="Not Met">
      <formula>NOT(ISERROR(SEARCH("Not Met",AE259)))</formula>
    </cfRule>
  </conditionalFormatting>
  <conditionalFormatting sqref="AE261">
    <cfRule type="containsText" dxfId="2568" priority="8879" operator="containsText" text="Not Met">
      <formula>NOT(ISERROR(SEARCH("Not Met",AE261)))</formula>
    </cfRule>
    <cfRule type="containsText" dxfId="2567" priority="8797" operator="containsText" text="Not Met">
      <formula>NOT(ISERROR(SEARCH("Not Met",AE261)))</formula>
    </cfRule>
    <cfRule type="containsText" dxfId="2566" priority="8799" operator="containsText" text="Not Met">
      <formula>NOT(ISERROR(SEARCH("Not Met",AE261)))</formula>
    </cfRule>
    <cfRule type="containsText" dxfId="2565" priority="8800" operator="containsText" text="Met">
      <formula>NOT(ISERROR(SEARCH("Met",AE261)))</formula>
    </cfRule>
    <cfRule type="containsText" dxfId="2564" priority="8798" operator="containsText" text="Met">
      <formula>NOT(ISERROR(SEARCH("Met",AE261)))</formula>
    </cfRule>
  </conditionalFormatting>
  <conditionalFormatting sqref="AE261:AE264">
    <cfRule type="containsText" dxfId="2563" priority="8792" operator="containsText" text="Met">
      <formula>NOT(ISERROR(SEARCH("Met",AE261)))</formula>
    </cfRule>
  </conditionalFormatting>
  <conditionalFormatting sqref="AE262:AE263">
    <cfRule type="containsText" dxfId="2562" priority="8790" operator="containsText" text="Met">
      <formula>NOT(ISERROR(SEARCH("Met",AE262)))</formula>
    </cfRule>
    <cfRule type="containsText" dxfId="2561" priority="8791" operator="containsText" text="Not Met">
      <formula>NOT(ISERROR(SEARCH("Not Met",AE262)))</formula>
    </cfRule>
    <cfRule type="containsText" dxfId="2560" priority="8788" operator="containsText" text="Met">
      <formula>NOT(ISERROR(SEARCH("Met",AE262)))</formula>
    </cfRule>
    <cfRule type="containsText" dxfId="2559" priority="8789" operator="containsText" text="Not Met">
      <formula>NOT(ISERROR(SEARCH("Not Met",AE262)))</formula>
    </cfRule>
    <cfRule type="containsText" dxfId="2558" priority="8787" operator="containsText" text="Not Met">
      <formula>NOT(ISERROR(SEARCH("Not Met",AE262)))</formula>
    </cfRule>
  </conditionalFormatting>
  <conditionalFormatting sqref="AE264">
    <cfRule type="containsText" dxfId="2557" priority="8878" operator="containsText" text="Not Met">
      <formula>NOT(ISERROR(SEARCH("Not Met",AE264)))</formula>
    </cfRule>
    <cfRule type="containsText" dxfId="2556" priority="8794" operator="containsText" text="Met">
      <formula>NOT(ISERROR(SEARCH("Met",AE264)))</formula>
    </cfRule>
    <cfRule type="containsText" dxfId="2555" priority="8796" operator="containsText" text="Met">
      <formula>NOT(ISERROR(SEARCH("Met",AE264)))</formula>
    </cfRule>
    <cfRule type="containsText" dxfId="2554" priority="8795" operator="containsText" text="Not Met">
      <formula>NOT(ISERROR(SEARCH("Not Met",AE264)))</formula>
    </cfRule>
    <cfRule type="containsText" dxfId="2553" priority="8793" operator="containsText" text="Not Met">
      <formula>NOT(ISERROR(SEARCH("Not Met",AE264)))</formula>
    </cfRule>
  </conditionalFormatting>
  <conditionalFormatting sqref="AE265:AE281">
    <cfRule type="containsText" dxfId="2552" priority="8772" operator="containsText" text="Met">
      <formula>NOT(ISERROR(SEARCH("Met",AE265)))</formula>
    </cfRule>
    <cfRule type="containsText" dxfId="2551" priority="8771" operator="containsText" text="Not Met">
      <formula>NOT(ISERROR(SEARCH("Not Met",AE265)))</formula>
    </cfRule>
  </conditionalFormatting>
  <conditionalFormatting sqref="AE304:AE316">
    <cfRule type="containsText" dxfId="2550" priority="8444" operator="containsText" text="Not Met">
      <formula>NOT(ISERROR(SEARCH("Not Met",AE304)))</formula>
    </cfRule>
    <cfRule type="containsText" dxfId="2549" priority="8445" operator="containsText" text="Met">
      <formula>NOT(ISERROR(SEARCH("Met",AE304)))</formula>
    </cfRule>
  </conditionalFormatting>
  <conditionalFormatting sqref="AE323:AE345">
    <cfRule type="containsText" dxfId="2548" priority="8602" operator="containsText" text="Not Met">
      <formula>NOT(ISERROR(SEARCH("Not Met",AE323)))</formula>
    </cfRule>
    <cfRule type="containsText" dxfId="2547" priority="8603" operator="containsText" text="Met">
      <formula>NOT(ISERROR(SEARCH("Met",AE323)))</formula>
    </cfRule>
  </conditionalFormatting>
  <conditionalFormatting sqref="AE347:AE352">
    <cfRule type="containsText" dxfId="2546" priority="8418" operator="containsText" text="Not Met">
      <formula>NOT(ISERROR(SEARCH("Not Met",AE347)))</formula>
    </cfRule>
    <cfRule type="containsText" dxfId="2545" priority="8419" operator="containsText" text="Met">
      <formula>NOT(ISERROR(SEARCH("Met",AE347)))</formula>
    </cfRule>
  </conditionalFormatting>
  <conditionalFormatting sqref="AE444:AE453">
    <cfRule type="containsText" dxfId="2544" priority="869" operator="containsText" text="Met">
      <formula>NOT(ISERROR(SEARCH("Met",AE444)))</formula>
    </cfRule>
    <cfRule type="containsText" dxfId="2543" priority="868" operator="containsText" text="Not Met">
      <formula>NOT(ISERROR(SEARCH("Not Met",AE444)))</formula>
    </cfRule>
  </conditionalFormatting>
  <conditionalFormatting sqref="AE34:AF35 AF60:AF81 AF105:AF134 AF171:AF201 AF280:AF287">
    <cfRule type="containsText" dxfId="2542" priority="8443" operator="containsText" text="Met">
      <formula>NOT(ISERROR(SEARCH("Met",AE34)))</formula>
    </cfRule>
    <cfRule type="containsText" dxfId="2541" priority="8442" operator="containsText" text="Not Met">
      <formula>NOT(ISERROR(SEARCH("Not Met",AE34)))</formula>
    </cfRule>
  </conditionalFormatting>
  <conditionalFormatting sqref="AE353:AG419">
    <cfRule type="containsText" dxfId="2540" priority="7246" operator="containsText" text="Met">
      <formula>NOT(ISERROR(SEARCH("Met",AE353)))</formula>
    </cfRule>
    <cfRule type="containsText" dxfId="2539" priority="7245" operator="containsText" text="Not Met">
      <formula>NOT(ISERROR(SEARCH("Not Met",AE353)))</formula>
    </cfRule>
  </conditionalFormatting>
  <conditionalFormatting sqref="AE97:AI104">
    <cfRule type="containsText" dxfId="2538" priority="8224" operator="containsText" text="Not Met">
      <formula>NOT(ISERROR(SEARCH("Not Met",AE97)))</formula>
    </cfRule>
    <cfRule type="containsText" dxfId="2537" priority="8225" operator="containsText" text="Met">
      <formula>NOT(ISERROR(SEARCH("Met",AE97)))</formula>
    </cfRule>
  </conditionalFormatting>
  <conditionalFormatting sqref="AF2:AF4 AH2:AH4 AJ2:AJ4 AL2:AL4 AN2:AN4 AJ6:AJ10 AL6:AL10 AN6:AN10 AJ12:AJ15 AJ24:AJ25 AF52:AF53 AH52:AH53 AJ52:AJ53 AN52:AN53 AJ81:AJ82 AH153:AH159 AN161:AN165 AL167:AL170 AF257:AF258 AH257:AH258 AJ257:AJ258 AJ368 AL368 AN383 AN404:AN412">
    <cfRule type="containsText" dxfId="2536" priority="8827" operator="containsText" text="Not Met">
      <formula>NOT(ISERROR(SEARCH("Not Met",AF2)))</formula>
    </cfRule>
    <cfRule type="containsText" dxfId="2535" priority="8828" operator="containsText" text="Met">
      <formula>NOT(ISERROR(SEARCH("Met",AF2)))</formula>
    </cfRule>
  </conditionalFormatting>
  <conditionalFormatting sqref="AF12:AF14">
    <cfRule type="containsText" dxfId="2534" priority="8475" operator="containsText" text="Met">
      <formula>NOT(ISERROR(SEARCH("Met",AF12)))</formula>
    </cfRule>
    <cfRule type="containsText" dxfId="2533" priority="8474" operator="containsText" text="Not Met">
      <formula>NOT(ISERROR(SEARCH("Not Met",AF12)))</formula>
    </cfRule>
  </conditionalFormatting>
  <conditionalFormatting sqref="AF20:AF25 AF27:AF32 AF147:AF159 AF315:AF322">
    <cfRule type="containsText" dxfId="2532" priority="8528" operator="containsText" text="Not Met">
      <formula>NOT(ISERROR(SEARCH("Not Met",AF20)))</formula>
    </cfRule>
  </conditionalFormatting>
  <conditionalFormatting sqref="AF20:AF25 AF147:AF159 AF315:AF322">
    <cfRule type="containsText" dxfId="2531" priority="8538" operator="containsText" text="Met">
      <formula>NOT(ISERROR(SEARCH("Met",AF20)))</formula>
    </cfRule>
  </conditionalFormatting>
  <conditionalFormatting sqref="AF27:AF32">
    <cfRule type="containsText" dxfId="2530" priority="8537" operator="containsText" text="Met">
      <formula>NOT(ISERROR(SEARCH("Met",AF27)))</formula>
    </cfRule>
  </conditionalFormatting>
  <conditionalFormatting sqref="AF330:AF337 AF338:AI345">
    <cfRule type="containsText" dxfId="2529" priority="7990" operator="containsText" text="Not Met">
      <formula>NOT(ISERROR(SEARCH("Not Met",AF330)))</formula>
    </cfRule>
    <cfRule type="containsText" dxfId="2528" priority="7991" operator="containsText" text="Met">
      <formula>NOT(ISERROR(SEARCH("Met",AF330)))</formula>
    </cfRule>
  </conditionalFormatting>
  <conditionalFormatting sqref="AF444:AF457">
    <cfRule type="containsText" dxfId="2527" priority="811" operator="containsText" text="Met">
      <formula>NOT(ISERROR(SEARCH("Met",AF444)))</formula>
    </cfRule>
    <cfRule type="containsText" dxfId="2526" priority="810" operator="containsText" text="Not Met">
      <formula>NOT(ISERROR(SEARCH("Not Met",AF444)))</formula>
    </cfRule>
  </conditionalFormatting>
  <conditionalFormatting sqref="AF84:AG89">
    <cfRule type="containsText" dxfId="2525" priority="8158" operator="containsText" text="Met">
      <formula>NOT(ISERROR(SEARCH("Met",AF84)))</formula>
    </cfRule>
    <cfRule type="containsText" dxfId="2524" priority="8157" operator="containsText" text="Not Met">
      <formula>NOT(ISERROR(SEARCH("Not Met",AF84)))</formula>
    </cfRule>
  </conditionalFormatting>
  <conditionalFormatting sqref="AF236:AG242">
    <cfRule type="containsText" dxfId="2523" priority="8416" operator="containsText" text="Not Met">
      <formula>NOT(ISERROR(SEARCH("Not Met",AF236)))</formula>
    </cfRule>
    <cfRule type="containsText" dxfId="2522" priority="8417" operator="containsText" text="Met">
      <formula>NOT(ISERROR(SEARCH("Met",AF236)))</formula>
    </cfRule>
  </conditionalFormatting>
  <conditionalFormatting sqref="AF297:AG299">
    <cfRule type="containsText" dxfId="2521" priority="7938" operator="containsText" text="Met">
      <formula>NOT(ISERROR(SEARCH("Met",AF297)))</formula>
    </cfRule>
    <cfRule type="containsText" dxfId="2520" priority="7937" operator="containsText" text="Not Met">
      <formula>NOT(ISERROR(SEARCH("Not Met",AF297)))</formula>
    </cfRule>
  </conditionalFormatting>
  <conditionalFormatting sqref="AF301:AG302 AF304:AI311">
    <cfRule type="containsText" dxfId="2519" priority="7931" operator="containsText" text="Met">
      <formula>NOT(ISERROR(SEARCH("Met",AF301)))</formula>
    </cfRule>
    <cfRule type="containsText" dxfId="2518" priority="7930" operator="containsText" text="Not Met">
      <formula>NOT(ISERROR(SEARCH("Not Met",AF301)))</formula>
    </cfRule>
  </conditionalFormatting>
  <conditionalFormatting sqref="AF229:AH235">
    <cfRule type="containsText" dxfId="2517" priority="8202" operator="containsText" text="Met">
      <formula>NOT(ISERROR(SEARCH("Met",AF229)))</formula>
    </cfRule>
    <cfRule type="containsText" dxfId="2516" priority="8201" operator="containsText" text="Not Met">
      <formula>NOT(ISERROR(SEARCH("Not Met",AF229)))</formula>
    </cfRule>
  </conditionalFormatting>
  <conditionalFormatting sqref="AF273:AI279">
    <cfRule type="containsText" dxfId="2515" priority="7877" operator="containsText" text="Not Met">
      <formula>NOT(ISERROR(SEARCH("Not Met",AF273)))</formula>
    </cfRule>
    <cfRule type="containsText" dxfId="2514" priority="7878" operator="containsText" text="Met">
      <formula>NOT(ISERROR(SEARCH("Met",AF273)))</formula>
    </cfRule>
  </conditionalFormatting>
  <conditionalFormatting sqref="AF313:AI313">
    <cfRule type="containsText" dxfId="2513" priority="7804" operator="containsText" text="Not Met">
      <formula>NOT(ISERROR(SEARCH("Not Met",AF313)))</formula>
    </cfRule>
    <cfRule type="containsText" dxfId="2512" priority="7805" operator="containsText" text="Met">
      <formula>NOT(ISERROR(SEARCH("Met",AF313)))</formula>
    </cfRule>
  </conditionalFormatting>
  <conditionalFormatting sqref="AF161:AJ165">
    <cfRule type="containsText" dxfId="2511" priority="7724" operator="containsText" text="Met">
      <formula>NOT(ISERROR(SEARCH("Met",AF161)))</formula>
    </cfRule>
    <cfRule type="containsText" dxfId="2510" priority="7723" operator="containsText" text="Not Met">
      <formula>NOT(ISERROR(SEARCH("Not Met",AF161)))</formula>
    </cfRule>
  </conditionalFormatting>
  <conditionalFormatting sqref="AF265:AJ272 AK266">
    <cfRule type="containsText" dxfId="2509" priority="7630" operator="containsText" text="Met">
      <formula>NOT(ISERROR(SEARCH("Met",AF265)))</formula>
    </cfRule>
    <cfRule type="containsText" dxfId="2508" priority="7629" operator="containsText" text="Not Met">
      <formula>NOT(ISERROR(SEARCH("Not Met",AF265)))</formula>
    </cfRule>
  </conditionalFormatting>
  <conditionalFormatting sqref="AG2:AG5">
    <cfRule type="containsText" dxfId="2507" priority="8129" operator="containsText" text="Not Met">
      <formula>NOT(ISERROR(SEARCH("Not Met",AG2)))</formula>
    </cfRule>
    <cfRule type="containsText" dxfId="2506" priority="8130" operator="containsText" text="Met">
      <formula>NOT(ISERROR(SEARCH("Met",AG2)))</formula>
    </cfRule>
  </conditionalFormatting>
  <conditionalFormatting sqref="AG5">
    <cfRule type="containsText" dxfId="2505" priority="8131" operator="containsText" text="Not Met">
      <formula>NOT(ISERROR(SEARCH("Not Met",AG5)))</formula>
    </cfRule>
    <cfRule type="containsText" dxfId="2504" priority="8132" operator="containsText" text="Met">
      <formula>NOT(ISERROR(SEARCH("Met",AG5)))</formula>
    </cfRule>
  </conditionalFormatting>
  <conditionalFormatting sqref="AG14">
    <cfRule type="containsText" dxfId="2503" priority="8404" operator="containsText" text="Met">
      <formula>NOT(ISERROR(SEARCH("Met",AG14)))</formula>
    </cfRule>
    <cfRule type="containsText" dxfId="2502" priority="8403" operator="containsText" text="Not Met">
      <formula>NOT(ISERROR(SEARCH("Not Met",AG14)))</formula>
    </cfRule>
    <cfRule type="containsText" dxfId="2501" priority="8402" operator="containsText" text="Met">
      <formula>NOT(ISERROR(SEARCH("Met",AG14)))</formula>
    </cfRule>
    <cfRule type="containsText" dxfId="2500" priority="8401" operator="containsText" text="Not Met">
      <formula>NOT(ISERROR(SEARCH("Not Met",AG14)))</formula>
    </cfRule>
  </conditionalFormatting>
  <conditionalFormatting sqref="AG24">
    <cfRule type="containsText" dxfId="2499" priority="8098" operator="containsText" text="Met">
      <formula>NOT(ISERROR(SEARCH("Met",AG24)))</formula>
    </cfRule>
    <cfRule type="containsText" dxfId="2498" priority="8100" operator="containsText" text="Met">
      <formula>NOT(ISERROR(SEARCH("Met",AG24)))</formula>
    </cfRule>
    <cfRule type="containsText" dxfId="2497" priority="8099" operator="containsText" text="Not Met">
      <formula>NOT(ISERROR(SEARCH("Not Met",AG24)))</formula>
    </cfRule>
  </conditionalFormatting>
  <conditionalFormatting sqref="AG31:AG32">
    <cfRule type="containsText" dxfId="2496" priority="8093" operator="containsText" text="Not Met">
      <formula>NOT(ISERROR(SEARCH("Not Met",AG31)))</formula>
    </cfRule>
    <cfRule type="containsText" dxfId="2495" priority="8110" operator="containsText" text="Met">
      <formula>NOT(ISERROR(SEARCH("Met",AG31)))</formula>
    </cfRule>
  </conditionalFormatting>
  <conditionalFormatting sqref="AG51">
    <cfRule type="containsText" dxfId="2494" priority="8089" operator="containsText" text="Not Met">
      <formula>NOT(ISERROR(SEARCH("Not Met",AG51)))</formula>
    </cfRule>
    <cfRule type="containsText" dxfId="2493" priority="8090" operator="containsText" text="Met">
      <formula>NOT(ISERROR(SEARCH("Met",AG51)))</formula>
    </cfRule>
  </conditionalFormatting>
  <conditionalFormatting sqref="AG76">
    <cfRule type="containsText" dxfId="2492" priority="8170" operator="containsText" text="Met">
      <formula>NOT(ISERROR(SEARCH("Met",AG76)))</formula>
    </cfRule>
    <cfRule type="containsText" dxfId="2491" priority="8169" operator="containsText" text="Not Met">
      <formula>NOT(ISERROR(SEARCH("Not Met",AG76)))</formula>
    </cfRule>
  </conditionalFormatting>
  <conditionalFormatting sqref="AG78">
    <cfRule type="containsText" dxfId="2490" priority="8164" operator="containsText" text="Met">
      <formula>NOT(ISERROR(SEARCH("Met",AG78)))</formula>
    </cfRule>
    <cfRule type="containsText" dxfId="2489" priority="8163" operator="containsText" text="Not Met">
      <formula>NOT(ISERROR(SEARCH("Not Met",AG78)))</formula>
    </cfRule>
  </conditionalFormatting>
  <conditionalFormatting sqref="AG88">
    <cfRule type="containsText" dxfId="2488" priority="8155" operator="containsText" text="Not Met">
      <formula>NOT(ISERROR(SEARCH("Not Met",AG88)))</formula>
    </cfRule>
    <cfRule type="containsText" dxfId="2487" priority="8156" operator="containsText" text="Met">
      <formula>NOT(ISERROR(SEARCH("Met",AG88)))</formula>
    </cfRule>
  </conditionalFormatting>
  <conditionalFormatting sqref="AG97:AG104">
    <cfRule type="containsText" dxfId="2486" priority="8223" operator="containsText" text="Met">
      <formula>NOT(ISERROR(SEARCH("Met",AG97)))</formula>
    </cfRule>
    <cfRule type="containsText" dxfId="2485" priority="8221" operator="containsText" text="Met">
      <formula>NOT(ISERROR(SEARCH("Met",AG97)))</formula>
    </cfRule>
    <cfRule type="containsText" dxfId="2484" priority="8218" operator="containsText" text="Not Met">
      <formula>NOT(ISERROR(SEARCH("Not Met",AG97)))</formula>
    </cfRule>
    <cfRule type="containsText" dxfId="2483" priority="8219" operator="containsText" text="Met">
      <formula>NOT(ISERROR(SEARCH("Met",AG97)))</formula>
    </cfRule>
    <cfRule type="containsText" dxfId="2482" priority="8220" operator="containsText" text="Not Met">
      <formula>NOT(ISERROR(SEARCH("Not Met",AG97)))</formula>
    </cfRule>
    <cfRule type="containsText" dxfId="2481" priority="8222" operator="containsText" text="Not Met">
      <formula>NOT(ISERROR(SEARCH("Not Met",AG97)))</formula>
    </cfRule>
  </conditionalFormatting>
  <conditionalFormatting sqref="AG118:AG134">
    <cfRule type="containsText" dxfId="2480" priority="7952" operator="containsText" text="Met">
      <formula>NOT(ISERROR(SEARCH("Met",AG118)))</formula>
    </cfRule>
    <cfRule type="containsText" dxfId="2479" priority="7951" operator="containsText" text="Not Met">
      <formula>NOT(ISERROR(SEARCH("Not Met",AG118)))</formula>
    </cfRule>
  </conditionalFormatting>
  <conditionalFormatting sqref="AG135:AG146">
    <cfRule type="containsText" dxfId="2478" priority="7999" operator="containsText" text="Met">
      <formula>NOT(ISERROR(SEARCH("Met",AG135)))</formula>
    </cfRule>
    <cfRule type="containsText" dxfId="2477" priority="7998" operator="containsText" text="Not Met">
      <formula>NOT(ISERROR(SEARCH("Not Met",AG135)))</formula>
    </cfRule>
  </conditionalFormatting>
  <conditionalFormatting sqref="AG142:AG146">
    <cfRule type="containsText" dxfId="2476" priority="7997" operator="containsText" text="Met">
      <formula>NOT(ISERROR(SEARCH("Met",AG142)))</formula>
    </cfRule>
    <cfRule type="containsText" dxfId="2475" priority="7996" operator="containsText" text="Not Met">
      <formula>NOT(ISERROR(SEARCH("Not Met",AG142)))</formula>
    </cfRule>
  </conditionalFormatting>
  <conditionalFormatting sqref="AG153:AG155 AG158:AG159">
    <cfRule type="containsText" dxfId="2474" priority="8126" operator="containsText" text="Met">
      <formula>NOT(ISERROR(SEARCH("Met",AG153)))</formula>
    </cfRule>
    <cfRule type="containsText" dxfId="2473" priority="8124" operator="containsText" text="Not Met">
      <formula>NOT(ISERROR(SEARCH("Not Met",AG153)))</formula>
    </cfRule>
  </conditionalFormatting>
  <conditionalFormatting sqref="AG173">
    <cfRule type="containsText" dxfId="2472" priority="7964" operator="containsText" text="Met">
      <formula>NOT(ISERROR(SEARCH("Met",AG173)))</formula>
    </cfRule>
    <cfRule type="containsText" dxfId="2471" priority="7963" operator="containsText" text="Not Met">
      <formula>NOT(ISERROR(SEARCH("Not Met",AG173)))</formula>
    </cfRule>
  </conditionalFormatting>
  <conditionalFormatting sqref="AG176:AG189">
    <cfRule type="containsText" dxfId="2470" priority="7962" operator="containsText" text="Met">
      <formula>NOT(ISERROR(SEARCH("Met",AG176)))</formula>
    </cfRule>
    <cfRule type="containsText" dxfId="2469" priority="7961" operator="containsText" text="Not Met">
      <formula>NOT(ISERROR(SEARCH("Not Met",AG176)))</formula>
    </cfRule>
  </conditionalFormatting>
  <conditionalFormatting sqref="AG202:AG211">
    <cfRule type="containsText" dxfId="2468" priority="8058" operator="containsText" text="Not Met">
      <formula>NOT(ISERROR(SEARCH("Not Met",AG202)))</formula>
    </cfRule>
    <cfRule type="containsText" dxfId="2467" priority="8060" operator="containsText" text="Met">
      <formula>NOT(ISERROR(SEARCH("Met",AG202)))</formula>
    </cfRule>
    <cfRule type="containsText" dxfId="2466" priority="8239" operator="containsText" text="Met">
      <formula>NOT(ISERROR(SEARCH("Met",AG202)))</formula>
    </cfRule>
    <cfRule type="containsText" dxfId="2465" priority="8234" operator="containsText" text="Not Met">
      <formula>NOT(ISERROR(SEARCH("Not Met",AG202)))</formula>
    </cfRule>
    <cfRule type="containsText" dxfId="2464" priority="8235" operator="containsText" text="Met">
      <formula>NOT(ISERROR(SEARCH("Met",AG202)))</formula>
    </cfRule>
    <cfRule type="containsText" dxfId="2463" priority="8236" operator="containsText" text="Not Met">
      <formula>NOT(ISERROR(SEARCH("Not Met",AG202)))</formula>
    </cfRule>
    <cfRule type="containsText" dxfId="2462" priority="8237" operator="containsText" text="Met">
      <formula>NOT(ISERROR(SEARCH("Met",AG202)))</formula>
    </cfRule>
    <cfRule type="containsText" dxfId="2461" priority="8238" operator="containsText" text="Not Met">
      <formula>NOT(ISERROR(SEARCH("Not Met",AG202)))</formula>
    </cfRule>
  </conditionalFormatting>
  <conditionalFormatting sqref="AG202:AG228">
    <cfRule type="containsText" dxfId="2460" priority="8241" operator="containsText" text="Met">
      <formula>NOT(ISERROR(SEARCH("Met",AG202)))</formula>
    </cfRule>
    <cfRule type="containsText" dxfId="2459" priority="8240" operator="containsText" text="Not Met">
      <formula>NOT(ISERROR(SEARCH("Not Met",AG202)))</formula>
    </cfRule>
  </conditionalFormatting>
  <conditionalFormatting sqref="AG243:AG256">
    <cfRule type="containsText" dxfId="2458" priority="7986" operator="containsText" text="Not Met">
      <formula>NOT(ISERROR(SEARCH("Not Met",AG243)))</formula>
    </cfRule>
    <cfRule type="containsText" dxfId="2457" priority="7989" operator="containsText" text="Met">
      <formula>NOT(ISERROR(SEARCH("Met",AG243)))</formula>
    </cfRule>
    <cfRule type="containsText" dxfId="2456" priority="7988" operator="containsText" text="Not Met">
      <formula>NOT(ISERROR(SEARCH("Not Met",AG243)))</formula>
    </cfRule>
    <cfRule type="containsText" dxfId="2455" priority="7987" operator="containsText" text="Met">
      <formula>NOT(ISERROR(SEARCH("Met",AG243)))</formula>
    </cfRule>
  </conditionalFormatting>
  <conditionalFormatting sqref="AG243:AG258">
    <cfRule type="containsText" dxfId="2454" priority="7899" operator="containsText" text="Met">
      <formula>NOT(ISERROR(SEARCH("Met",AG243)))</formula>
    </cfRule>
    <cfRule type="containsText" dxfId="2453" priority="7898" operator="containsText" text="Not Met">
      <formula>NOT(ISERROR(SEARCH("Not Met",AG243)))</formula>
    </cfRule>
  </conditionalFormatting>
  <conditionalFormatting sqref="AG259">
    <cfRule type="containsText" dxfId="2452" priority="7895" operator="containsText" text="Met">
      <formula>NOT(ISERROR(SEARCH("Met",AG259)))</formula>
    </cfRule>
    <cfRule type="containsText" dxfId="2451" priority="7894" operator="containsText" text="Not Met">
      <formula>NOT(ISERROR(SEARCH("Not Met",AG259)))</formula>
    </cfRule>
    <cfRule type="containsText" dxfId="2450" priority="7893" operator="containsText" text="Met">
      <formula>NOT(ISERROR(SEARCH("Met",AG259)))</formula>
    </cfRule>
    <cfRule type="containsText" dxfId="2449" priority="7897" operator="containsText" text="Met">
      <formula>NOT(ISERROR(SEARCH("Met",AG259)))</formula>
    </cfRule>
    <cfRule type="containsText" dxfId="2448" priority="7906" operator="containsText" text="Not Met">
      <formula>NOT(ISERROR(SEARCH("Not Met",AG259)))</formula>
    </cfRule>
    <cfRule type="containsText" dxfId="2447" priority="7905" operator="containsText" text="Met">
      <formula>NOT(ISERROR(SEARCH("Met",AG259)))</formula>
    </cfRule>
    <cfRule type="containsText" dxfId="2446" priority="7904" operator="containsText" text="Not Met">
      <formula>NOT(ISERROR(SEARCH("Not Met",AG259)))</formula>
    </cfRule>
    <cfRule type="containsText" dxfId="2445" priority="7903" operator="containsText" text="Met">
      <formula>NOT(ISERROR(SEARCH("Met",AG259)))</formula>
    </cfRule>
    <cfRule type="containsText" dxfId="2444" priority="7902" operator="containsText" text="Not Met">
      <formula>NOT(ISERROR(SEARCH("Not Met",AG259)))</formula>
    </cfRule>
    <cfRule type="containsText" dxfId="2443" priority="7896" operator="containsText" text="Not Met">
      <formula>NOT(ISERROR(SEARCH("Not Met",AG259)))</formula>
    </cfRule>
  </conditionalFormatting>
  <conditionalFormatting sqref="AG261">
    <cfRule type="containsText" dxfId="2442" priority="7892" operator="containsText" text="Met">
      <formula>NOT(ISERROR(SEARCH("Met",AG261)))</formula>
    </cfRule>
    <cfRule type="containsText" dxfId="2441" priority="7891" operator="containsText" text="Not Met">
      <formula>NOT(ISERROR(SEARCH("Not Met",AG261)))</formula>
    </cfRule>
    <cfRule type="containsText" dxfId="2440" priority="7901" operator="containsText" text="Not Met">
      <formula>NOT(ISERROR(SEARCH("Not Met",AG261)))</formula>
    </cfRule>
    <cfRule type="containsText" dxfId="2439" priority="7889" operator="containsText" text="Not Met">
      <formula>NOT(ISERROR(SEARCH("Not Met",AG261)))</formula>
    </cfRule>
    <cfRule type="containsText" dxfId="2438" priority="7890" operator="containsText" text="Met">
      <formula>NOT(ISERROR(SEARCH("Met",AG261)))</formula>
    </cfRule>
  </conditionalFormatting>
  <conditionalFormatting sqref="AG261:AG264">
    <cfRule type="containsText" dxfId="2437" priority="7884" operator="containsText" text="Met">
      <formula>NOT(ISERROR(SEARCH("Met",AG261)))</formula>
    </cfRule>
  </conditionalFormatting>
  <conditionalFormatting sqref="AG262:AG263">
    <cfRule type="containsText" dxfId="2436" priority="7880" operator="containsText" text="Met">
      <formula>NOT(ISERROR(SEARCH("Met",AG262)))</formula>
    </cfRule>
    <cfRule type="containsText" dxfId="2435" priority="7882" operator="containsText" text="Met">
      <formula>NOT(ISERROR(SEARCH("Met",AG262)))</formula>
    </cfRule>
    <cfRule type="containsText" dxfId="2434" priority="7883" operator="containsText" text="Not Met">
      <formula>NOT(ISERROR(SEARCH("Not Met",AG262)))</formula>
    </cfRule>
    <cfRule type="containsText" dxfId="2433" priority="7881" operator="containsText" text="Not Met">
      <formula>NOT(ISERROR(SEARCH("Not Met",AG262)))</formula>
    </cfRule>
    <cfRule type="containsText" dxfId="2432" priority="7879" operator="containsText" text="Not Met">
      <formula>NOT(ISERROR(SEARCH("Not Met",AG262)))</formula>
    </cfRule>
  </conditionalFormatting>
  <conditionalFormatting sqref="AG264">
    <cfRule type="containsText" dxfId="2431" priority="7888" operator="containsText" text="Met">
      <formula>NOT(ISERROR(SEARCH("Met",AG264)))</formula>
    </cfRule>
    <cfRule type="containsText" dxfId="2430" priority="7887" operator="containsText" text="Not Met">
      <formula>NOT(ISERROR(SEARCH("Not Met",AG264)))</formula>
    </cfRule>
    <cfRule type="containsText" dxfId="2429" priority="7886" operator="containsText" text="Met">
      <formula>NOT(ISERROR(SEARCH("Met",AG264)))</formula>
    </cfRule>
    <cfRule type="containsText" dxfId="2428" priority="7885" operator="containsText" text="Not Met">
      <formula>NOT(ISERROR(SEARCH("Not Met",AG264)))</formula>
    </cfRule>
    <cfRule type="containsText" dxfId="2427" priority="7900" operator="containsText" text="Not Met">
      <formula>NOT(ISERROR(SEARCH("Not Met",AG264)))</formula>
    </cfRule>
  </conditionalFormatting>
  <conditionalFormatting sqref="AG280:AG281">
    <cfRule type="containsText" dxfId="2426" priority="7922" operator="containsText" text="Met">
      <formula>NOT(ISERROR(SEARCH("Met",AG280)))</formula>
    </cfRule>
    <cfRule type="containsText" dxfId="2425" priority="7921" operator="containsText" text="Not Met">
      <formula>NOT(ISERROR(SEARCH("Not Met",AG280)))</formula>
    </cfRule>
  </conditionalFormatting>
  <conditionalFormatting sqref="AG288:AG294">
    <cfRule type="containsText" dxfId="2424" priority="7993" operator="containsText" text="Met">
      <formula>NOT(ISERROR(SEARCH("Met",AG288)))</formula>
    </cfRule>
    <cfRule type="containsText" dxfId="2423" priority="7992" operator="containsText" text="Not Met">
      <formula>NOT(ISERROR(SEARCH("Not Met",AG288)))</formula>
    </cfRule>
  </conditionalFormatting>
  <conditionalFormatting sqref="AG315:AG316">
    <cfRule type="containsText" dxfId="2422" priority="7862" operator="containsText" text="Met">
      <formula>NOT(ISERROR(SEARCH("Met",AG315)))</formula>
    </cfRule>
    <cfRule type="containsText" dxfId="2421" priority="7861" operator="containsText" text="Not Met">
      <formula>NOT(ISERROR(SEARCH("Not Met",AG315)))</formula>
    </cfRule>
  </conditionalFormatting>
  <conditionalFormatting sqref="AG330:AG331 AG332:AH337">
    <cfRule type="containsText" dxfId="2420" priority="7941" operator="containsText" text="Met">
      <formula>NOT(ISERROR(SEARCH("Met",AG330)))</formula>
    </cfRule>
    <cfRule type="containsText" dxfId="2419" priority="7940" operator="containsText" text="Not Met">
      <formula>NOT(ISERROR(SEARCH("Not Met",AG330)))</formula>
    </cfRule>
  </conditionalFormatting>
  <conditionalFormatting sqref="AG361:AG362">
    <cfRule type="containsText" dxfId="2418" priority="7927" operator="containsText" text="Met">
      <formula>NOT(ISERROR(SEARCH("Met",AG361)))</formula>
    </cfRule>
    <cfRule type="containsText" dxfId="2417" priority="7926" operator="containsText" text="Not Met">
      <formula>NOT(ISERROR(SEARCH("Not Met",AG361)))</formula>
    </cfRule>
  </conditionalFormatting>
  <conditionalFormatting sqref="AG364:AG419">
    <cfRule type="containsText" dxfId="2416" priority="7248" operator="containsText" text="Met">
      <formula>NOT(ISERROR(SEARCH("Met",AG364)))</formula>
    </cfRule>
    <cfRule type="containsText" dxfId="2415" priority="7247" operator="containsText" text="Not Met">
      <formula>NOT(ISERROR(SEARCH("Not Met",AG364)))</formula>
    </cfRule>
  </conditionalFormatting>
  <conditionalFormatting sqref="AG444:AG452">
    <cfRule type="containsText" dxfId="2414" priority="806" operator="containsText" text="Not Met">
      <formula>NOT(ISERROR(SEARCH("Not Met",AG444)))</formula>
    </cfRule>
    <cfRule type="containsText" dxfId="2413" priority="807" operator="containsText" text="Met">
      <formula>NOT(ISERROR(SEARCH("Met",AG444)))</formula>
    </cfRule>
  </conditionalFormatting>
  <conditionalFormatting sqref="AG454:AG457">
    <cfRule type="containsText" dxfId="2412" priority="809" operator="containsText" text="Met">
      <formula>NOT(ISERROR(SEARCH("Met",AG454)))</formula>
    </cfRule>
    <cfRule type="containsText" dxfId="2411" priority="808" operator="containsText" text="Not Met">
      <formula>NOT(ISERROR(SEARCH("Not Met",AG454)))</formula>
    </cfRule>
  </conditionalFormatting>
  <conditionalFormatting sqref="AG11:AH19 AD6:AI6 AD7:AH10">
    <cfRule type="containsText" dxfId="2410" priority="8412" operator="containsText" text="Not Met">
      <formula>NOT(ISERROR(SEARCH("Not Met",AD6)))</formula>
    </cfRule>
  </conditionalFormatting>
  <conditionalFormatting sqref="AG194:AH201">
    <cfRule type="containsText" dxfId="2409" priority="8380" operator="containsText" text="Not Met">
      <formula>NOT(ISERROR(SEARCH("Not Met",AG194)))</formula>
    </cfRule>
    <cfRule type="containsText" dxfId="2408" priority="8381" operator="containsText" text="Met">
      <formula>NOT(ISERROR(SEARCH("Met",AG194)))</formula>
    </cfRule>
  </conditionalFormatting>
  <conditionalFormatting sqref="AG60:AI61 AK60:AK61">
    <cfRule type="containsText" dxfId="2407" priority="7573" operator="containsText" text="Not Met">
      <formula>NOT(ISERROR(SEARCH("Not Met",AG60)))</formula>
    </cfRule>
    <cfRule type="containsText" dxfId="2406" priority="7574" operator="containsText" text="Met">
      <formula>NOT(ISERROR(SEARCH("Met",AG60)))</formula>
    </cfRule>
  </conditionalFormatting>
  <conditionalFormatting sqref="AG70:AI71">
    <cfRule type="containsText" dxfId="2405" priority="7535" operator="containsText" text="Not Met">
      <formula>NOT(ISERROR(SEARCH("Not Met",AG70)))</formula>
    </cfRule>
    <cfRule type="containsText" dxfId="2404" priority="7536" operator="containsText" text="Met">
      <formula>NOT(ISERROR(SEARCH("Met",AG70)))</formula>
    </cfRule>
  </conditionalFormatting>
  <conditionalFormatting sqref="AG160:AI160">
    <cfRule type="containsText" dxfId="2403" priority="7847" operator="containsText" text="Met">
      <formula>NOT(ISERROR(SEARCH("Met",AG160)))</formula>
    </cfRule>
    <cfRule type="containsText" dxfId="2402" priority="7846" operator="containsText" text="Not Met">
      <formula>NOT(ISERROR(SEARCH("Not Met",AG160)))</formula>
    </cfRule>
  </conditionalFormatting>
  <conditionalFormatting sqref="AG166:AI166">
    <cfRule type="containsText" dxfId="2401" priority="7734" operator="containsText" text="Met">
      <formula>NOT(ISERROR(SEARCH("Met",AG166)))</formula>
    </cfRule>
    <cfRule type="containsText" dxfId="2400" priority="7733" operator="containsText" text="Not Met">
      <formula>NOT(ISERROR(SEARCH("Not Met",AG166)))</formula>
    </cfRule>
  </conditionalFormatting>
  <conditionalFormatting sqref="AG314:AI314">
    <cfRule type="containsText" dxfId="2399" priority="7803" operator="containsText" text="Met">
      <formula>NOT(ISERROR(SEARCH("Met",AG314)))</formula>
    </cfRule>
    <cfRule type="containsText" dxfId="2398" priority="7802" operator="containsText" text="Not Met">
      <formula>NOT(ISERROR(SEARCH("Not Met",AG314)))</formula>
    </cfRule>
  </conditionalFormatting>
  <conditionalFormatting sqref="AG33:AK33 AG236:AL242">
    <cfRule type="containsText" dxfId="2397" priority="7822" operator="containsText" text="Met">
      <formula>NOT(ISERROR(SEARCH("Met",AG33)))</formula>
    </cfRule>
  </conditionalFormatting>
  <conditionalFormatting sqref="AG75:AK75">
    <cfRule type="containsText" dxfId="2396" priority="7549" operator="containsText" text="Not Met">
      <formula>NOT(ISERROR(SEARCH("Not Met",AG75)))</formula>
    </cfRule>
    <cfRule type="containsText" dxfId="2395" priority="7550" operator="containsText" text="Met">
      <formula>NOT(ISERROR(SEARCH("Met",AG75)))</formula>
    </cfRule>
  </conditionalFormatting>
  <conditionalFormatting sqref="AG236:AL242 AG33:AK33">
    <cfRule type="containsText" dxfId="2394" priority="7821" operator="containsText" text="Not Met">
      <formula>NOT(ISERROR(SEARCH("Not Met",AG33)))</formula>
    </cfRule>
  </conditionalFormatting>
  <conditionalFormatting sqref="AH20:AH25 AG27:AG28 AH76:AH78 AG79:AH81 AH105:AH134 AG147:AH152 AH171:AH193 AH280:AH287 AH295:AH302 AH315:AI322 AH323:AH331 AH346:AI349">
    <cfRule type="containsText" dxfId="2393" priority="8112" operator="containsText" text="Met">
      <formula>NOT(ISERROR(SEARCH("Met",AG20)))</formula>
    </cfRule>
    <cfRule type="containsText" dxfId="2392" priority="8111" operator="containsText" text="Not Met">
      <formula>NOT(ISERROR(SEARCH("Not Met",AG20)))</formula>
    </cfRule>
  </conditionalFormatting>
  <conditionalFormatting sqref="AH34:AH50 AG34:AG53 AM34:AM53 AO34:AO53 I34:J76 AB36:AC50 Q39:Q49 S39:S49 Y41:Y53">
    <cfRule type="containsText" dxfId="2391" priority="16113" operator="containsText" text="Met">
      <formula>NOT(ISERROR(SEARCH("Met",I34)))</formula>
    </cfRule>
  </conditionalFormatting>
  <conditionalFormatting sqref="AH202:AH206">
    <cfRule type="containsText" dxfId="2390" priority="8366" operator="containsText" text="Not Met">
      <formula>NOT(ISERROR(SEARCH("Not Met",AH202)))</formula>
    </cfRule>
    <cfRule type="containsText" dxfId="2389" priority="8367" operator="containsText" text="Met">
      <formula>NOT(ISERROR(SEARCH("Met",AH202)))</formula>
    </cfRule>
    <cfRule type="containsText" dxfId="2388" priority="8368" operator="containsText" text="Not Met">
      <formula>NOT(ISERROR(SEARCH("Not Met",AH202)))</formula>
    </cfRule>
    <cfRule type="containsText" dxfId="2387" priority="8370" operator="containsText" text="Not Met">
      <formula>NOT(ISERROR(SEARCH("Not Met",AH202)))</formula>
    </cfRule>
    <cfRule type="containsText" dxfId="2386" priority="8371" operator="containsText" text="Met">
      <formula>NOT(ISERROR(SEARCH("Met",AH202)))</formula>
    </cfRule>
    <cfRule type="containsText" dxfId="2385" priority="8372" operator="containsText" text="Not Met">
      <formula>NOT(ISERROR(SEARCH("Not Met",AH202)))</formula>
    </cfRule>
    <cfRule type="containsText" dxfId="2384" priority="8373" operator="containsText" text="Met">
      <formula>NOT(ISERROR(SEARCH("Met",AH202)))</formula>
    </cfRule>
    <cfRule type="containsText" dxfId="2383" priority="8369" operator="containsText" text="Met">
      <formula>NOT(ISERROR(SEARCH("Met",AH202)))</formula>
    </cfRule>
  </conditionalFormatting>
  <conditionalFormatting sqref="AH202:AH208">
    <cfRule type="containsText" dxfId="2382" priority="8332" operator="containsText" text="Not Met">
      <formula>NOT(ISERROR(SEARCH("Not Met",AH202)))</formula>
    </cfRule>
    <cfRule type="containsText" dxfId="2381" priority="8333" operator="containsText" text="Met">
      <formula>NOT(ISERROR(SEARCH("Met",AH202)))</formula>
    </cfRule>
  </conditionalFormatting>
  <conditionalFormatting sqref="AH207">
    <cfRule type="containsText" dxfId="2380" priority="8329" operator="containsText" text="Met">
      <formula>NOT(ISERROR(SEARCH("Met",AH207)))</formula>
    </cfRule>
    <cfRule type="containsText" dxfId="2379" priority="8328" operator="containsText" text="Not Met">
      <formula>NOT(ISERROR(SEARCH("Not Met",AH207)))</formula>
    </cfRule>
    <cfRule type="containsText" dxfId="2378" priority="8327" operator="containsText" text="Met">
      <formula>NOT(ISERROR(SEARCH("Met",AH207)))</formula>
    </cfRule>
    <cfRule type="containsText" dxfId="2377" priority="8326" operator="containsText" text="Not Met">
      <formula>NOT(ISERROR(SEARCH("Not Met",AH207)))</formula>
    </cfRule>
    <cfRule type="containsText" dxfId="2376" priority="8283" operator="containsText" text="Met">
      <formula>NOT(ISERROR(SEARCH("Met",AH207)))</formula>
    </cfRule>
    <cfRule type="containsText" dxfId="2375" priority="8282" operator="containsText" text="Not Met">
      <formula>NOT(ISERROR(SEARCH("Not Met",AH207)))</formula>
    </cfRule>
    <cfRule type="containsText" dxfId="2374" priority="8331" operator="containsText" text="Met">
      <formula>NOT(ISERROR(SEARCH("Met",AH207)))</formula>
    </cfRule>
    <cfRule type="containsText" dxfId="2373" priority="8330" operator="containsText" text="Not Met">
      <formula>NOT(ISERROR(SEARCH("Not Met",AH207)))</formula>
    </cfRule>
  </conditionalFormatting>
  <conditionalFormatting sqref="AH208">
    <cfRule type="containsText" dxfId="2372" priority="8338" operator="containsText" text="Not Met">
      <formula>NOT(ISERROR(SEARCH("Not Met",AH208)))</formula>
    </cfRule>
    <cfRule type="containsText" dxfId="2371" priority="8337" operator="containsText" text="Met">
      <formula>NOT(ISERROR(SEARCH("Met",AH208)))</formula>
    </cfRule>
    <cfRule type="containsText" dxfId="2370" priority="8336" operator="containsText" text="Not Met">
      <formula>NOT(ISERROR(SEARCH("Not Met",AH208)))</formula>
    </cfRule>
    <cfRule type="containsText" dxfId="2369" priority="8335" operator="containsText" text="Met">
      <formula>NOT(ISERROR(SEARCH("Met",AH208)))</formula>
    </cfRule>
    <cfRule type="containsText" dxfId="2368" priority="8334" operator="containsText" text="Not Met">
      <formula>NOT(ISERROR(SEARCH("Not Met",AH208)))</formula>
    </cfRule>
    <cfRule type="containsText" dxfId="2367" priority="8339" operator="containsText" text="Met">
      <formula>NOT(ISERROR(SEARCH("Met",AH208)))</formula>
    </cfRule>
  </conditionalFormatting>
  <conditionalFormatting sqref="AH208:AH209">
    <cfRule type="containsText" dxfId="2366" priority="8341" operator="containsText" text="Met">
      <formula>NOT(ISERROR(SEARCH("Met",AH208)))</formula>
    </cfRule>
    <cfRule type="containsText" dxfId="2365" priority="8340" operator="containsText" text="Not Met">
      <formula>NOT(ISERROR(SEARCH("Not Met",AH208)))</formula>
    </cfRule>
  </conditionalFormatting>
  <conditionalFormatting sqref="AH209">
    <cfRule type="containsText" dxfId="2364" priority="8346" operator="containsText" text="Not Met">
      <formula>NOT(ISERROR(SEARCH("Not Met",AH209)))</formula>
    </cfRule>
    <cfRule type="containsText" dxfId="2363" priority="8345" operator="containsText" text="Met">
      <formula>NOT(ISERROR(SEARCH("Met",AH209)))</formula>
    </cfRule>
    <cfRule type="containsText" dxfId="2362" priority="8344" operator="containsText" text="Not Met">
      <formula>NOT(ISERROR(SEARCH("Not Met",AH209)))</formula>
    </cfRule>
    <cfRule type="containsText" dxfId="2361" priority="8343" operator="containsText" text="Met">
      <formula>NOT(ISERROR(SEARCH("Met",AH209)))</formula>
    </cfRule>
    <cfRule type="containsText" dxfId="2360" priority="8342" operator="containsText" text="Not Met">
      <formula>NOT(ISERROR(SEARCH("Not Met",AH209)))</formula>
    </cfRule>
    <cfRule type="containsText" dxfId="2359" priority="8347" operator="containsText" text="Met">
      <formula>NOT(ISERROR(SEARCH("Met",AH209)))</formula>
    </cfRule>
  </conditionalFormatting>
  <conditionalFormatting sqref="AH209:AH210">
    <cfRule type="containsText" dxfId="2358" priority="8348" operator="containsText" text="Not Met">
      <formula>NOT(ISERROR(SEARCH("Not Met",AH209)))</formula>
    </cfRule>
    <cfRule type="containsText" dxfId="2357" priority="8349" operator="containsText" text="Met">
      <formula>NOT(ISERROR(SEARCH("Met",AH209)))</formula>
    </cfRule>
  </conditionalFormatting>
  <conditionalFormatting sqref="AH210">
    <cfRule type="containsText" dxfId="2356" priority="8355" operator="containsText" text="Met">
      <formula>NOT(ISERROR(SEARCH("Met",AH210)))</formula>
    </cfRule>
    <cfRule type="containsText" dxfId="2355" priority="8354" operator="containsText" text="Not Met">
      <formula>NOT(ISERROR(SEARCH("Not Met",AH210)))</formula>
    </cfRule>
    <cfRule type="containsText" dxfId="2354" priority="8353" operator="containsText" text="Met">
      <formula>NOT(ISERROR(SEARCH("Met",AH210)))</formula>
    </cfRule>
    <cfRule type="containsText" dxfId="2353" priority="8352" operator="containsText" text="Not Met">
      <formula>NOT(ISERROR(SEARCH("Not Met",AH210)))</formula>
    </cfRule>
    <cfRule type="containsText" dxfId="2352" priority="8351" operator="containsText" text="Met">
      <formula>NOT(ISERROR(SEARCH("Met",AH210)))</formula>
    </cfRule>
    <cfRule type="containsText" dxfId="2351" priority="8350" operator="containsText" text="Not Met">
      <formula>NOT(ISERROR(SEARCH("Not Met",AH210)))</formula>
    </cfRule>
  </conditionalFormatting>
  <conditionalFormatting sqref="AH210:AH211">
    <cfRule type="containsText" dxfId="2350" priority="8356" operator="containsText" text="Not Met">
      <formula>NOT(ISERROR(SEARCH("Not Met",AH210)))</formula>
    </cfRule>
    <cfRule type="containsText" dxfId="2349" priority="8357" operator="containsText" text="Met">
      <formula>NOT(ISERROR(SEARCH("Met",AH210)))</formula>
    </cfRule>
  </conditionalFormatting>
  <conditionalFormatting sqref="AH211">
    <cfRule type="containsText" dxfId="2348" priority="8364" operator="containsText" text="Not Met">
      <formula>NOT(ISERROR(SEARCH("Not Met",AH211)))</formula>
    </cfRule>
    <cfRule type="containsText" dxfId="2347" priority="8363" operator="containsText" text="Met">
      <formula>NOT(ISERROR(SEARCH("Met",AH211)))</formula>
    </cfRule>
    <cfRule type="containsText" dxfId="2346" priority="8362" operator="containsText" text="Not Met">
      <formula>NOT(ISERROR(SEARCH("Not Met",AH211)))</formula>
    </cfRule>
    <cfRule type="containsText" dxfId="2345" priority="8361" operator="containsText" text="Met">
      <formula>NOT(ISERROR(SEARCH("Met",AH211)))</formula>
    </cfRule>
    <cfRule type="containsText" dxfId="2344" priority="8360" operator="containsText" text="Not Met">
      <formula>NOT(ISERROR(SEARCH("Not Met",AH211)))</formula>
    </cfRule>
    <cfRule type="containsText" dxfId="2343" priority="8359" operator="containsText" text="Met">
      <formula>NOT(ISERROR(SEARCH("Met",AH211)))</formula>
    </cfRule>
    <cfRule type="containsText" dxfId="2342" priority="8358" operator="containsText" text="Not Met">
      <formula>NOT(ISERROR(SEARCH("Not Met",AH211)))</formula>
    </cfRule>
    <cfRule type="containsText" dxfId="2341" priority="8365" operator="containsText" text="Met">
      <formula>NOT(ISERROR(SEARCH("Met",AH211)))</formula>
    </cfRule>
  </conditionalFormatting>
  <conditionalFormatting sqref="AH351:AH419">
    <cfRule type="containsText" dxfId="2340" priority="7242" operator="containsText" text="Met">
      <formula>NOT(ISERROR(SEARCH("Met",AH351)))</formula>
    </cfRule>
    <cfRule type="containsText" dxfId="2339" priority="7241" operator="containsText" text="Not Met">
      <formula>NOT(ISERROR(SEARCH("Not Met",AH351)))</formula>
    </cfRule>
  </conditionalFormatting>
  <conditionalFormatting sqref="AH364:AH419">
    <cfRule type="containsText" dxfId="2338" priority="7240" operator="containsText" text="Met">
      <formula>NOT(ISERROR(SEARCH("Met",AH364)))</formula>
    </cfRule>
    <cfRule type="containsText" dxfId="2337" priority="7239" operator="containsText" text="Not Met">
      <formula>NOT(ISERROR(SEARCH("Not Met",AH364)))</formula>
    </cfRule>
  </conditionalFormatting>
  <conditionalFormatting sqref="AH444:AI457 AK444:AK452 AL444:AL454 AL456:AL457">
    <cfRule type="containsText" dxfId="2336" priority="802" operator="containsText" text="Not Met">
      <formula>NOT(ISERROR(SEARCH("Not Met",AH444)))</formula>
    </cfRule>
  </conditionalFormatting>
  <conditionalFormatting sqref="AH27:AJ32">
    <cfRule type="containsText" dxfId="2335" priority="7811" operator="containsText" text="Met">
      <formula>NOT(ISERROR(SEARCH("Met",AH27)))</formula>
    </cfRule>
    <cfRule type="containsText" dxfId="2334" priority="7810" operator="containsText" text="Not Met">
      <formula>NOT(ISERROR(SEARCH("Not Met",AH27)))</formula>
    </cfRule>
  </conditionalFormatting>
  <conditionalFormatting sqref="AI2:AI5">
    <cfRule type="containsText" dxfId="2333" priority="7854" operator="containsText" text="Met">
      <formula>NOT(ISERROR(SEARCH("Met",AI2)))</formula>
    </cfRule>
    <cfRule type="containsText" dxfId="2332" priority="7853" operator="containsText" text="Not Met">
      <formula>NOT(ISERROR(SEARCH("Not Met",AI2)))</formula>
    </cfRule>
  </conditionalFormatting>
  <conditionalFormatting sqref="AI5">
    <cfRule type="containsText" dxfId="2331" priority="7856" operator="containsText" text="Met">
      <formula>NOT(ISERROR(SEARCH("Met",AI5)))</formula>
    </cfRule>
    <cfRule type="containsText" dxfId="2330" priority="7855" operator="containsText" text="Not Met">
      <formula>NOT(ISERROR(SEARCH("Not Met",AI5)))</formula>
    </cfRule>
  </conditionalFormatting>
  <conditionalFormatting sqref="AI7:AI11">
    <cfRule type="containsText" dxfId="2329" priority="7494" operator="containsText" text="Not Met">
      <formula>NOT(ISERROR(SEARCH("Not Met",AI7)))</formula>
    </cfRule>
    <cfRule type="containsText" dxfId="2328" priority="7495" operator="containsText" text="Met">
      <formula>NOT(ISERROR(SEARCH("Met",AI7)))</formula>
    </cfRule>
  </conditionalFormatting>
  <conditionalFormatting sqref="AI12:AI19 AK16:AK19">
    <cfRule type="containsText" dxfId="2327" priority="7520" operator="containsText" text="Met">
      <formula>NOT(ISERROR(SEARCH("Met",AI12)))</formula>
    </cfRule>
  </conditionalFormatting>
  <conditionalFormatting sqref="AI12:AI19">
    <cfRule type="containsText" dxfId="2326" priority="7519" operator="containsText" text="Not Met">
      <formula>NOT(ISERROR(SEARCH("Not Met",AI12)))</formula>
    </cfRule>
  </conditionalFormatting>
  <conditionalFormatting sqref="AI14">
    <cfRule type="containsText" dxfId="2325" priority="7513" operator="containsText" text="Met">
      <formula>NOT(ISERROR(SEARCH("Met",AI14)))</formula>
    </cfRule>
    <cfRule type="containsText" dxfId="2324" priority="7512" operator="containsText" text="Not Met">
      <formula>NOT(ISERROR(SEARCH("Not Met",AI14)))</formula>
    </cfRule>
    <cfRule type="containsText" dxfId="2323" priority="7511" operator="containsText" text="Met">
      <formula>NOT(ISERROR(SEARCH("Met",AI14)))</formula>
    </cfRule>
  </conditionalFormatting>
  <conditionalFormatting sqref="AI49:AI53">
    <cfRule type="containsText" dxfId="2322" priority="7526" operator="containsText" text="Met">
      <formula>NOT(ISERROR(SEARCH("Met",AI49)))</formula>
    </cfRule>
    <cfRule type="containsText" dxfId="2321" priority="7525" operator="containsText" text="Not Met">
      <formula>NOT(ISERROR(SEARCH("Not Met",AI49)))</formula>
    </cfRule>
  </conditionalFormatting>
  <conditionalFormatting sqref="AI51">
    <cfRule type="containsText" dxfId="2320" priority="7528" operator="containsText" text="Met">
      <formula>NOT(ISERROR(SEARCH("Met",AI51)))</formula>
    </cfRule>
    <cfRule type="containsText" dxfId="2319" priority="7527" operator="containsText" text="Not Met">
      <formula>NOT(ISERROR(SEARCH("Not Met",AI51)))</formula>
    </cfRule>
  </conditionalFormatting>
  <conditionalFormatting sqref="AI90:AI104">
    <cfRule type="containsText" dxfId="2318" priority="7277" operator="containsText" text="Not Met">
      <formula>NOT(ISERROR(SEARCH("Not Met",AI90)))</formula>
    </cfRule>
    <cfRule type="containsText" dxfId="2317" priority="7278" operator="containsText" text="Met">
      <formula>NOT(ISERROR(SEARCH("Met",AI90)))</formula>
    </cfRule>
  </conditionalFormatting>
  <conditionalFormatting sqref="AI97:AI104">
    <cfRule type="containsText" dxfId="2316" priority="7273" operator="containsText" text="Not Met">
      <formula>NOT(ISERROR(SEARCH("Not Met",AI97)))</formula>
    </cfRule>
    <cfRule type="containsText" dxfId="2315" priority="7274" operator="containsText" text="Met">
      <formula>NOT(ISERROR(SEARCH("Met",AI97)))</formula>
    </cfRule>
  </conditionalFormatting>
  <conditionalFormatting sqref="AI97:AI113">
    <cfRule type="containsText" dxfId="2314" priority="7160" operator="containsText" text="Met">
      <formula>NOT(ISERROR(SEARCH("Met",AI97)))</formula>
    </cfRule>
    <cfRule type="containsText" dxfId="2313" priority="7159" operator="containsText" text="Not Met">
      <formula>NOT(ISERROR(SEARCH("Not Met",AI97)))</formula>
    </cfRule>
  </conditionalFormatting>
  <conditionalFormatting sqref="AI118:AI123">
    <cfRule type="containsText" dxfId="2312" priority="7642" operator="containsText" text="Met">
      <formula>NOT(ISERROR(SEARCH("Met",AI118)))</formula>
    </cfRule>
    <cfRule type="containsText" dxfId="2311" priority="7641" operator="containsText" text="Not Met">
      <formula>NOT(ISERROR(SEARCH("Not Met",AI118)))</formula>
    </cfRule>
  </conditionalFormatting>
  <conditionalFormatting sqref="AI129:AI131">
    <cfRule type="containsText" dxfId="2310" priority="7669" operator="containsText" text="Not Met">
      <formula>NOT(ISERROR(SEARCH("Not Met",AI129)))</formula>
    </cfRule>
    <cfRule type="containsText" dxfId="2309" priority="7670" operator="containsText" text="Met">
      <formula>NOT(ISERROR(SEARCH("Met",AI129)))</formula>
    </cfRule>
  </conditionalFormatting>
  <conditionalFormatting sqref="AI133">
    <cfRule type="containsText" dxfId="2308" priority="7667" operator="containsText" text="Not Met">
      <formula>NOT(ISERROR(SEARCH("Not Met",AI133)))</formula>
    </cfRule>
    <cfRule type="containsText" dxfId="2307" priority="7668" operator="containsText" text="Met">
      <formula>NOT(ISERROR(SEARCH("Met",AI133)))</formula>
    </cfRule>
  </conditionalFormatting>
  <conditionalFormatting sqref="AI142:AI146 AK142:AK146">
    <cfRule type="containsText" dxfId="2306" priority="7196" operator="containsText" text="Met">
      <formula>NOT(ISERROR(SEARCH("Met",AI142)))</formula>
    </cfRule>
    <cfRule type="containsText" dxfId="2305" priority="7195" operator="containsText" text="Not Met">
      <formula>NOT(ISERROR(SEARCH("Not Met",AI142)))</formula>
    </cfRule>
  </conditionalFormatting>
  <conditionalFormatting sqref="AI154">
    <cfRule type="containsText" dxfId="2304" priority="7718" operator="containsText" text="Not Met">
      <formula>NOT(ISERROR(SEARCH("Not Met",AI154)))</formula>
    </cfRule>
    <cfRule type="containsText" dxfId="2303" priority="7719" operator="containsText" text="Met">
      <formula>NOT(ISERROR(SEARCH("Met",AI154)))</formula>
    </cfRule>
  </conditionalFormatting>
  <conditionalFormatting sqref="AI173">
    <cfRule type="containsText" dxfId="2302" priority="7657" operator="containsText" text="Not Met">
      <formula>NOT(ISERROR(SEARCH("Not Met",AI173)))</formula>
    </cfRule>
    <cfRule type="containsText" dxfId="2301" priority="7658" operator="containsText" text="Met">
      <formula>NOT(ISERROR(SEARCH("Met",AI173)))</formula>
    </cfRule>
  </conditionalFormatting>
  <conditionalFormatting sqref="AI176:AI191">
    <cfRule type="containsText" dxfId="2300" priority="7486" operator="containsText" text="Met">
      <formula>NOT(ISERROR(SEARCH("Met",AI176)))</formula>
    </cfRule>
    <cfRule type="containsText" dxfId="2299" priority="7485" operator="containsText" text="Not Met">
      <formula>NOT(ISERROR(SEARCH("Not Met",AI176)))</formula>
    </cfRule>
  </conditionalFormatting>
  <conditionalFormatting sqref="AI194:AI199 AK194:AK199">
    <cfRule type="containsText" dxfId="2298" priority="7325" operator="containsText" text="Not Met">
      <formula>NOT(ISERROR(SEARCH("Not Met",AI194)))</formula>
    </cfRule>
    <cfRule type="containsText" dxfId="2297" priority="7326" operator="containsText" text="Met">
      <formula>NOT(ISERROR(SEARCH("Met",AI194)))</formula>
    </cfRule>
    <cfRule type="containsText" dxfId="2296" priority="7320" operator="containsText" text="Met">
      <formula>NOT(ISERROR(SEARCH("Met",AI194)))</formula>
    </cfRule>
    <cfRule type="containsText" dxfId="2295" priority="7324" operator="containsText" text="Met">
      <formula>NOT(ISERROR(SEARCH("Met",AI194)))</formula>
    </cfRule>
    <cfRule type="containsText" dxfId="2294" priority="7322" operator="containsText" text="Met">
      <formula>NOT(ISERROR(SEARCH("Met",AI194)))</formula>
    </cfRule>
    <cfRule type="containsText" dxfId="2293" priority="7321" operator="containsText" text="Not Met">
      <formula>NOT(ISERROR(SEARCH("Not Met",AI194)))</formula>
    </cfRule>
    <cfRule type="containsText" dxfId="2292" priority="7323" operator="containsText" text="Not Met">
      <formula>NOT(ISERROR(SEARCH("Not Met",AI194)))</formula>
    </cfRule>
  </conditionalFormatting>
  <conditionalFormatting sqref="AI194:AI211 AK194:AK211">
    <cfRule type="containsText" dxfId="2291" priority="7288" operator="containsText" text="Met">
      <formula>NOT(ISERROR(SEARCH("Met",AI194)))</formula>
    </cfRule>
    <cfRule type="containsText" dxfId="2290" priority="7287" operator="containsText" text="Not Met">
      <formula>NOT(ISERROR(SEARCH("Not Met",AI194)))</formula>
    </cfRule>
  </conditionalFormatting>
  <conditionalFormatting sqref="AI200:AI201 AK200:AK201">
    <cfRule type="containsText" dxfId="2289" priority="7285" operator="containsText" text="Not Met">
      <formula>NOT(ISERROR(SEARCH("Not Met",AI200)))</formula>
    </cfRule>
    <cfRule type="containsText" dxfId="2288" priority="7286" operator="containsText" text="Met">
      <formula>NOT(ISERROR(SEARCH("Met",AI200)))</formula>
    </cfRule>
    <cfRule type="containsText" dxfId="2287" priority="7281" operator="containsText" text="Not Met">
      <formula>NOT(ISERROR(SEARCH("Not Met",AI200)))</formula>
    </cfRule>
    <cfRule type="containsText" dxfId="2286" priority="7280" operator="containsText" text="Met">
      <formula>NOT(ISERROR(SEARCH("Met",AI200)))</formula>
    </cfRule>
    <cfRule type="containsText" dxfId="2285" priority="7279" operator="containsText" text="Not Met">
      <formula>NOT(ISERROR(SEARCH("Not Met",AI200)))</formula>
    </cfRule>
    <cfRule type="containsText" dxfId="2284" priority="7283" operator="containsText" text="Not Met">
      <formula>NOT(ISERROR(SEARCH("Not Met",AI200)))</formula>
    </cfRule>
    <cfRule type="containsText" dxfId="2283" priority="7282" operator="containsText" text="Met">
      <formula>NOT(ISERROR(SEARCH("Met",AI200)))</formula>
    </cfRule>
    <cfRule type="containsText" dxfId="2282" priority="7284" operator="containsText" text="Met">
      <formula>NOT(ISERROR(SEARCH("Met",AI200)))</formula>
    </cfRule>
  </conditionalFormatting>
  <conditionalFormatting sqref="AI202:AI211">
    <cfRule type="containsText" dxfId="2281" priority="7341" operator="containsText" text="Not Met">
      <formula>NOT(ISERROR(SEARCH("Not Met",AI202)))</formula>
    </cfRule>
    <cfRule type="containsText" dxfId="2280" priority="7342" operator="containsText" text="Met">
      <formula>NOT(ISERROR(SEARCH("Met",AI202)))</formula>
    </cfRule>
    <cfRule type="containsText" dxfId="2279" priority="7343" operator="containsText" text="Not Met">
      <formula>NOT(ISERROR(SEARCH("Not Met",AI202)))</formula>
    </cfRule>
    <cfRule type="containsText" dxfId="2278" priority="7344" operator="containsText" text="Met">
      <formula>NOT(ISERROR(SEARCH("Met",AI202)))</formula>
    </cfRule>
    <cfRule type="containsText" dxfId="2277" priority="7345" operator="containsText" text="Not Met">
      <formula>NOT(ISERROR(SEARCH("Not Met",AI202)))</formula>
    </cfRule>
    <cfRule type="containsText" dxfId="2276" priority="7346" operator="containsText" text="Met">
      <formula>NOT(ISERROR(SEARCH("Met",AI202)))</formula>
    </cfRule>
  </conditionalFormatting>
  <conditionalFormatting sqref="AI202:AI229">
    <cfRule type="containsText" dxfId="2275" priority="7347" operator="containsText" text="Not Met">
      <formula>NOT(ISERROR(SEARCH("Not Met",AI202)))</formula>
    </cfRule>
    <cfRule type="containsText" dxfId="2274" priority="7348" operator="containsText" text="Met">
      <formula>NOT(ISERROR(SEARCH("Met",AI202)))</formula>
    </cfRule>
  </conditionalFormatting>
  <conditionalFormatting sqref="AI231:AI235 AK231:AK235">
    <cfRule type="containsText" dxfId="2273" priority="7621" operator="containsText" text="Not Met">
      <formula>NOT(ISERROR(SEARCH("Not Met",AI231)))</formula>
    </cfRule>
    <cfRule type="containsText" dxfId="2272" priority="7622" operator="containsText" text="Met">
      <formula>NOT(ISERROR(SEARCH("Met",AI231)))</formula>
    </cfRule>
  </conditionalFormatting>
  <conditionalFormatting sqref="AI243:AI256 AK243:AK256">
    <cfRule type="containsText" dxfId="2271" priority="7176" operator="containsText" text="Met">
      <formula>NOT(ISERROR(SEARCH("Met",AI243)))</formula>
    </cfRule>
    <cfRule type="containsText" dxfId="2270" priority="7175" operator="containsText" text="Not Met">
      <formula>NOT(ISERROR(SEARCH("Not Met",AI243)))</formula>
    </cfRule>
    <cfRule type="containsText" dxfId="2269" priority="7174" operator="containsText" text="Met">
      <formula>NOT(ISERROR(SEARCH("Met",AI243)))</formula>
    </cfRule>
  </conditionalFormatting>
  <conditionalFormatting sqref="AI243:AI258">
    <cfRule type="containsText" dxfId="2268" priority="7142" operator="containsText" text="Not Met">
      <formula>NOT(ISERROR(SEARCH("Not Met",AI243)))</formula>
    </cfRule>
    <cfRule type="containsText" dxfId="2267" priority="7143" operator="containsText" text="Met">
      <formula>NOT(ISERROR(SEARCH("Met",AI243)))</formula>
    </cfRule>
  </conditionalFormatting>
  <conditionalFormatting sqref="AI259">
    <cfRule type="containsText" dxfId="2266" priority="7146" operator="containsText" text="Not Met">
      <formula>NOT(ISERROR(SEARCH("Not Met",AI259)))</formula>
    </cfRule>
    <cfRule type="containsText" dxfId="2265" priority="7138" operator="containsText" text="Not Met">
      <formula>NOT(ISERROR(SEARCH("Not Met",AI259)))</formula>
    </cfRule>
    <cfRule type="containsText" dxfId="2264" priority="7139" operator="containsText" text="Met">
      <formula>NOT(ISERROR(SEARCH("Met",AI259)))</formula>
    </cfRule>
    <cfRule type="containsText" dxfId="2263" priority="7140" operator="containsText" text="Not Met">
      <formula>NOT(ISERROR(SEARCH("Not Met",AI259)))</formula>
    </cfRule>
    <cfRule type="containsText" dxfId="2262" priority="7141" operator="containsText" text="Met">
      <formula>NOT(ISERROR(SEARCH("Met",AI259)))</formula>
    </cfRule>
    <cfRule type="containsText" dxfId="2261" priority="7137" operator="containsText" text="Met">
      <formula>NOT(ISERROR(SEARCH("Met",AI259)))</formula>
    </cfRule>
    <cfRule type="containsText" dxfId="2260" priority="7147" operator="containsText" text="Met">
      <formula>NOT(ISERROR(SEARCH("Met",AI259)))</formula>
    </cfRule>
    <cfRule type="containsText" dxfId="2259" priority="7148" operator="containsText" text="Not Met">
      <formula>NOT(ISERROR(SEARCH("Not Met",AI259)))</formula>
    </cfRule>
    <cfRule type="containsText" dxfId="2258" priority="7149" operator="containsText" text="Met">
      <formula>NOT(ISERROR(SEARCH("Met",AI259)))</formula>
    </cfRule>
    <cfRule type="containsText" dxfId="2257" priority="7150" operator="containsText" text="Not Met">
      <formula>NOT(ISERROR(SEARCH("Not Met",AI259)))</formula>
    </cfRule>
  </conditionalFormatting>
  <conditionalFormatting sqref="AI261">
    <cfRule type="containsText" dxfId="2256" priority="7135" operator="containsText" text="Not Met">
      <formula>NOT(ISERROR(SEARCH("Not Met",AI261)))</formula>
    </cfRule>
    <cfRule type="containsText" dxfId="2255" priority="7133" operator="containsText" text="Not Met">
      <formula>NOT(ISERROR(SEARCH("Not Met",AI261)))</formula>
    </cfRule>
    <cfRule type="containsText" dxfId="2254" priority="7134" operator="containsText" text="Met">
      <formula>NOT(ISERROR(SEARCH("Met",AI261)))</formula>
    </cfRule>
    <cfRule type="containsText" dxfId="2253" priority="7145" operator="containsText" text="Not Met">
      <formula>NOT(ISERROR(SEARCH("Not Met",AI261)))</formula>
    </cfRule>
    <cfRule type="containsText" dxfId="2252" priority="7136" operator="containsText" text="Met">
      <formula>NOT(ISERROR(SEARCH("Met",AI261)))</formula>
    </cfRule>
  </conditionalFormatting>
  <conditionalFormatting sqref="AI261:AI264">
    <cfRule type="containsText" dxfId="2251" priority="7128" operator="containsText" text="Met">
      <formula>NOT(ISERROR(SEARCH("Met",AI261)))</formula>
    </cfRule>
  </conditionalFormatting>
  <conditionalFormatting sqref="AI262:AI263">
    <cfRule type="containsText" dxfId="2250" priority="7125" operator="containsText" text="Not Met">
      <formula>NOT(ISERROR(SEARCH("Not Met",AI262)))</formula>
    </cfRule>
    <cfRule type="containsText" dxfId="2249" priority="7127" operator="containsText" text="Not Met">
      <formula>NOT(ISERROR(SEARCH("Not Met",AI262)))</formula>
    </cfRule>
    <cfRule type="containsText" dxfId="2248" priority="7126" operator="containsText" text="Met">
      <formula>NOT(ISERROR(SEARCH("Met",AI262)))</formula>
    </cfRule>
    <cfRule type="containsText" dxfId="2247" priority="7124" operator="containsText" text="Met">
      <formula>NOT(ISERROR(SEARCH("Met",AI262)))</formula>
    </cfRule>
    <cfRule type="containsText" dxfId="2246" priority="7123" operator="containsText" text="Not Met">
      <formula>NOT(ISERROR(SEARCH("Not Met",AI262)))</formula>
    </cfRule>
  </conditionalFormatting>
  <conditionalFormatting sqref="AI264">
    <cfRule type="containsText" dxfId="2245" priority="7129" operator="containsText" text="Not Met">
      <formula>NOT(ISERROR(SEARCH("Not Met",AI264)))</formula>
    </cfRule>
    <cfRule type="containsText" dxfId="2244" priority="7131" operator="containsText" text="Not Met">
      <formula>NOT(ISERROR(SEARCH("Not Met",AI264)))</formula>
    </cfRule>
    <cfRule type="containsText" dxfId="2243" priority="7130" operator="containsText" text="Met">
      <formula>NOT(ISERROR(SEARCH("Met",AI264)))</formula>
    </cfRule>
    <cfRule type="containsText" dxfId="2242" priority="7132" operator="containsText" text="Met">
      <formula>NOT(ISERROR(SEARCH("Met",AI264)))</formula>
    </cfRule>
    <cfRule type="containsText" dxfId="2241" priority="7144" operator="containsText" text="Not Met">
      <formula>NOT(ISERROR(SEARCH("Not Met",AI264)))</formula>
    </cfRule>
  </conditionalFormatting>
  <conditionalFormatting sqref="AI280:AI281">
    <cfRule type="containsText" dxfId="2240" priority="7169" operator="containsText" text="Not Met">
      <formula>NOT(ISERROR(SEARCH("Not Met",AI280)))</formula>
    </cfRule>
    <cfRule type="containsText" dxfId="2239" priority="7170" operator="containsText" text="Met">
      <formula>NOT(ISERROR(SEARCH("Met",AI280)))</formula>
    </cfRule>
  </conditionalFormatting>
  <conditionalFormatting sqref="AI330:AI331">
    <cfRule type="containsText" dxfId="2238" priority="7702" operator="containsText" text="Not Met">
      <formula>NOT(ISERROR(SEARCH("Not Met",AI330)))</formula>
    </cfRule>
    <cfRule type="containsText" dxfId="2237" priority="7703" operator="containsText" text="Met">
      <formula>NOT(ISERROR(SEARCH("Met",AI330)))</formula>
    </cfRule>
  </conditionalFormatting>
  <conditionalFormatting sqref="AI333:AI337">
    <cfRule type="containsText" dxfId="2236" priority="7690" operator="containsText" text="Not Met">
      <formula>NOT(ISERROR(SEARCH("Not Met",AI333)))</formula>
    </cfRule>
    <cfRule type="containsText" dxfId="2235" priority="7691" operator="containsText" text="Met">
      <formula>NOT(ISERROR(SEARCH("Met",AI333)))</formula>
    </cfRule>
  </conditionalFormatting>
  <conditionalFormatting sqref="AI350:AI377">
    <cfRule type="containsText" dxfId="2234" priority="7115" operator="containsText" text="Not Met">
      <formula>NOT(ISERROR(SEARCH("Not Met",AI350)))</formula>
    </cfRule>
    <cfRule type="containsText" dxfId="2233" priority="7116" operator="containsText" text="Met">
      <formula>NOT(ISERROR(SEARCH("Met",AI350)))</formula>
    </cfRule>
  </conditionalFormatting>
  <conditionalFormatting sqref="AI20:AJ23 AJ60:AJ79 AJ97:AJ134 AJ147:AJ154 AJ171:AJ193 AE260:AJ260 AJ280:AJ287 AJ296:AJ302 AJ304:AJ308 AJ310:AJ311 AJ313:AJ347 AJ371:AJ373 AJ375 AJ378:AJ388 AJ390:AJ395 AJ398:AJ419">
    <cfRule type="containsText" dxfId="2232" priority="7817" operator="containsText" text="Met">
      <formula>NOT(ISERROR(SEARCH("Met",AE20)))</formula>
    </cfRule>
  </conditionalFormatting>
  <conditionalFormatting sqref="AI33:AJ48">
    <cfRule type="containsText" dxfId="2231" priority="7607" operator="containsText" text="Not Met">
      <formula>NOT(ISERROR(SEARCH("Not Met",AI33)))</formula>
    </cfRule>
    <cfRule type="containsText" dxfId="2230" priority="7608" operator="containsText" text="Met">
      <formula>NOT(ISERROR(SEARCH("Met",AI33)))</formula>
    </cfRule>
  </conditionalFormatting>
  <conditionalFormatting sqref="AI155:AJ159">
    <cfRule type="containsText" dxfId="2229" priority="7837" operator="containsText" text="Not Met">
      <formula>NOT(ISERROR(SEARCH("Not Met",AI155)))</formula>
    </cfRule>
    <cfRule type="containsText" dxfId="2228" priority="7838" operator="containsText" text="Met">
      <formula>NOT(ISERROR(SEARCH("Met",AI155)))</formula>
    </cfRule>
  </conditionalFormatting>
  <conditionalFormatting sqref="AI97:AK104">
    <cfRule type="containsText" dxfId="2227" priority="7275" operator="containsText" text="Not Met">
      <formula>NOT(ISERROR(SEARCH("Not Met",AI97)))</formula>
    </cfRule>
    <cfRule type="containsText" dxfId="2226" priority="7276" operator="containsText" text="Met">
      <formula>NOT(ISERROR(SEARCH("Met",AI97)))</formula>
    </cfRule>
  </conditionalFormatting>
  <conditionalFormatting sqref="AI332:AK332">
    <cfRule type="containsText" dxfId="2225" priority="7704" operator="containsText" text="Not Met">
      <formula>NOT(ISERROR(SEARCH("Not Met",AI332)))</formula>
    </cfRule>
    <cfRule type="containsText" dxfId="2224" priority="7705" operator="containsText" text="Met">
      <formula>NOT(ISERROR(SEARCH("Met",AI332)))</formula>
    </cfRule>
  </conditionalFormatting>
  <conditionalFormatting sqref="AI413:AK419">
    <cfRule type="containsText" dxfId="2223" priority="7226" operator="containsText" text="Met">
      <formula>NOT(ISERROR(SEARCH("Met",AI413)))</formula>
    </cfRule>
    <cfRule type="containsText" dxfId="2222" priority="7225" operator="containsText" text="Not Met">
      <formula>NOT(ISERROR(SEARCH("Not Met",AI413)))</formula>
    </cfRule>
  </conditionalFormatting>
  <conditionalFormatting sqref="AJ229:AJ242 AJ311 AJ314:AJ322 AJ336">
    <cfRule type="containsText" dxfId="2221" priority="7812" operator="containsText" text="Not Met">
      <formula>NOT(ISERROR(SEARCH("Not Met",AJ229)))</formula>
    </cfRule>
    <cfRule type="containsText" dxfId="2220" priority="7813" operator="containsText" text="Met">
      <formula>NOT(ISERROR(SEARCH("Met",AJ229)))</formula>
    </cfRule>
  </conditionalFormatting>
  <conditionalFormatting sqref="AJ310:AJ311 AJ313:AJ347 AJ60:AJ79 AJ97:AJ134 AJ398:AJ419 AI20:AJ23 AJ147:AJ154 AJ171:AJ193 AE260:AJ260 AJ280:AJ287 AJ296:AJ302 AJ304:AJ308 AJ371:AJ373 AJ375 AJ378:AJ388 AJ390:AJ395">
    <cfRule type="containsText" dxfId="2219" priority="7816" operator="containsText" text="Not Met">
      <formula>NOT(ISERROR(SEARCH("Not Met",AE20)))</formula>
    </cfRule>
  </conditionalFormatting>
  <conditionalFormatting sqref="AJ338:AJ349">
    <cfRule type="containsText" dxfId="2218" priority="7110" operator="containsText" text="Met">
      <formula>NOT(ISERROR(SEARCH("Met",AJ338)))</formula>
    </cfRule>
    <cfRule type="containsText" dxfId="2217" priority="7109" operator="containsText" text="Not Met">
      <formula>NOT(ISERROR(SEARCH("Not Met",AJ338)))</formula>
    </cfRule>
  </conditionalFormatting>
  <conditionalFormatting sqref="AJ351:AJ366">
    <cfRule type="containsText" dxfId="2216" priority="7113" operator="containsText" text="Not Met">
      <formula>NOT(ISERROR(SEARCH("Not Met",AJ351)))</formula>
    </cfRule>
    <cfRule type="containsText" dxfId="2215" priority="7114" operator="containsText" text="Met">
      <formula>NOT(ISERROR(SEARCH("Met",AJ351)))</formula>
    </cfRule>
  </conditionalFormatting>
  <conditionalFormatting sqref="AJ444:AJ454 AJ456:AJ457">
    <cfRule type="containsText" dxfId="2214" priority="805" operator="containsText" text="Met">
      <formula>NOT(ISERROR(SEARCH("Met",AJ444)))</formula>
    </cfRule>
    <cfRule type="containsText" dxfId="2213" priority="804" operator="containsText" text="Not Met">
      <formula>NOT(ISERROR(SEARCH("Not Met",AJ444)))</formula>
    </cfRule>
  </conditionalFormatting>
  <conditionalFormatting sqref="AK2:AK5">
    <cfRule type="containsText" dxfId="2212" priority="7849" operator="containsText" text="Not Met">
      <formula>NOT(ISERROR(SEARCH("Not Met",AK2)))</formula>
    </cfRule>
    <cfRule type="containsText" dxfId="2211" priority="7850" operator="containsText" text="Met">
      <formula>NOT(ISERROR(SEARCH("Met",AK2)))</formula>
    </cfRule>
  </conditionalFormatting>
  <conditionalFormatting sqref="AK5:AK6">
    <cfRule type="containsText" dxfId="2210" priority="7851" operator="containsText" text="Not Met">
      <formula>NOT(ISERROR(SEARCH("Not Met",AK5)))</formula>
    </cfRule>
    <cfRule type="containsText" dxfId="2209" priority="7852" operator="containsText" text="Met">
      <formula>NOT(ISERROR(SEARCH("Met",AK5)))</formula>
    </cfRule>
  </conditionalFormatting>
  <conditionalFormatting sqref="AK7:AK9">
    <cfRule type="containsText" dxfId="2208" priority="7492" operator="containsText" text="Not Met">
      <formula>NOT(ISERROR(SEARCH("Not Met",AK7)))</formula>
    </cfRule>
    <cfRule type="containsText" dxfId="2207" priority="7493" operator="containsText" text="Met">
      <formula>NOT(ISERROR(SEARCH("Met",AK7)))</formula>
    </cfRule>
  </conditionalFormatting>
  <conditionalFormatting sqref="AK10">
    <cfRule type="containsText" dxfId="2206" priority="7489" operator="containsText" text="Met">
      <formula>NOT(ISERROR(SEARCH("Met",AK10)))</formula>
    </cfRule>
  </conditionalFormatting>
  <conditionalFormatting sqref="AK10:AK12">
    <cfRule type="containsText" dxfId="2205" priority="7504" operator="containsText" text="Not Met">
      <formula>NOT(ISERROR(SEARCH("Not Met",AK10)))</formula>
    </cfRule>
  </conditionalFormatting>
  <conditionalFormatting sqref="AK11">
    <cfRule type="containsText" dxfId="2204" priority="7505" operator="containsText" text="Met">
      <formula>NOT(ISERROR(SEARCH("Met",AK11)))</formula>
    </cfRule>
  </conditionalFormatting>
  <conditionalFormatting sqref="AK13">
    <cfRule type="containsText" dxfId="2203" priority="7498" operator="containsText" text="Not Met">
      <formula>NOT(ISERROR(SEARCH("Not Met",AK13)))</formula>
    </cfRule>
  </conditionalFormatting>
  <conditionalFormatting sqref="AK14:AK19 AI14">
    <cfRule type="containsText" dxfId="2202" priority="7508" operator="containsText" text="Not Met">
      <formula>NOT(ISERROR(SEARCH("Not Met",AI14)))</formula>
    </cfRule>
  </conditionalFormatting>
  <conditionalFormatting sqref="AK26:AK53 AK20:AL25 AI25 AL52:AL77 AK257:AL265">
    <cfRule type="containsText" dxfId="2201" priority="7829" operator="containsText" text="Not Met">
      <formula>NOT(ISERROR(SEARCH("Not Met",AI20)))</formula>
    </cfRule>
  </conditionalFormatting>
  <conditionalFormatting sqref="AK51">
    <cfRule type="containsText" dxfId="2200" priority="7524" operator="containsText" text="Met">
      <formula>NOT(ISERROR(SEARCH("Met",AK51)))</formula>
    </cfRule>
    <cfRule type="containsText" dxfId="2199" priority="7523" operator="containsText" text="Not Met">
      <formula>NOT(ISERROR(SEARCH("Not Met",AK51)))</formula>
    </cfRule>
  </conditionalFormatting>
  <conditionalFormatting sqref="AK70:AK71">
    <cfRule type="containsText" dxfId="2198" priority="7567" operator="containsText" text="Not Met">
      <formula>NOT(ISERROR(SEARCH("Not Met",AK70)))</formula>
    </cfRule>
    <cfRule type="containsText" dxfId="2197" priority="7568" operator="containsText" text="Met">
      <formula>NOT(ISERROR(SEARCH("Met",AK70)))</formula>
    </cfRule>
  </conditionalFormatting>
  <conditionalFormatting sqref="AK76:AK77 AI76:AI81">
    <cfRule type="containsText" dxfId="2196" priority="7548" operator="containsText" text="Met">
      <formula>NOT(ISERROR(SEARCH("Met",AI76)))</formula>
    </cfRule>
    <cfRule type="containsText" dxfId="2195" priority="7547" operator="containsText" text="Not Met">
      <formula>NOT(ISERROR(SEARCH("Not Met",AI76)))</formula>
    </cfRule>
  </conditionalFormatting>
  <conditionalFormatting sqref="AK97:AK104">
    <cfRule type="containsText" dxfId="2194" priority="7265" operator="containsText" text="Not Met">
      <formula>NOT(ISERROR(SEARCH("Not Met",AK97)))</formula>
    </cfRule>
    <cfRule type="containsText" dxfId="2193" priority="7266" operator="containsText" text="Met">
      <formula>NOT(ISERROR(SEARCH("Met",AK97)))</formula>
    </cfRule>
    <cfRule type="containsText" dxfId="2192" priority="7268" operator="containsText" text="Met">
      <formula>NOT(ISERROR(SEARCH("Met",AK97)))</formula>
    </cfRule>
    <cfRule type="containsText" dxfId="2191" priority="7267" operator="containsText" text="Not Met">
      <formula>NOT(ISERROR(SEARCH("Not Met",AK97)))</formula>
    </cfRule>
  </conditionalFormatting>
  <conditionalFormatting sqref="AK135:AK146 AI135:AI147">
    <cfRule type="containsText" dxfId="2190" priority="7197" operator="containsText" text="Not Met">
      <formula>NOT(ISERROR(SEARCH("Not Met",AI135)))</formula>
    </cfRule>
    <cfRule type="containsText" dxfId="2189" priority="7198" operator="containsText" text="Met">
      <formula>NOT(ISERROR(SEARCH("Met",AI135)))</formula>
    </cfRule>
  </conditionalFormatting>
  <conditionalFormatting sqref="AK154:AK170">
    <cfRule type="containsText" dxfId="2188" priority="7190" operator="containsText" text="Met">
      <formula>NOT(ISERROR(SEARCH("Met",AK154)))</formula>
    </cfRule>
    <cfRule type="containsText" dxfId="2187" priority="7189" operator="containsText" text="Not Met">
      <formula>NOT(ISERROR(SEARCH("Not Met",AK154)))</formula>
    </cfRule>
  </conditionalFormatting>
  <conditionalFormatting sqref="AK194:AK199 AI194:AI199">
    <cfRule type="containsText" dxfId="2186" priority="7319" operator="containsText" text="Not Met">
      <formula>NOT(ISERROR(SEARCH("Not Met",AI194)))</formula>
    </cfRule>
  </conditionalFormatting>
  <conditionalFormatting sqref="AK194:AK199">
    <cfRule type="containsText" dxfId="2185" priority="7305" operator="containsText" text="Not Met">
      <formula>NOT(ISERROR(SEARCH("Not Met",AK194)))</formula>
    </cfRule>
    <cfRule type="containsText" dxfId="2184" priority="7318" operator="containsText" text="Met">
      <formula>NOT(ISERROR(SEARCH("Met",AK194)))</formula>
    </cfRule>
    <cfRule type="containsText" dxfId="2183" priority="7317" operator="containsText" text="Not Met">
      <formula>NOT(ISERROR(SEARCH("Not Met",AK194)))</formula>
    </cfRule>
    <cfRule type="containsText" dxfId="2182" priority="7308" operator="containsText" text="Met">
      <formula>NOT(ISERROR(SEARCH("Met",AK194)))</formula>
    </cfRule>
    <cfRule type="containsText" dxfId="2181" priority="7307" operator="containsText" text="Not Met">
      <formula>NOT(ISERROR(SEARCH("Not Met",AK194)))</formula>
    </cfRule>
    <cfRule type="containsText" dxfId="2180" priority="7306" operator="containsText" text="Met">
      <formula>NOT(ISERROR(SEARCH("Met",AK194)))</formula>
    </cfRule>
    <cfRule type="containsText" dxfId="2179" priority="7304" operator="containsText" text="Met">
      <formula>NOT(ISERROR(SEARCH("Met",AK194)))</formula>
    </cfRule>
    <cfRule type="containsText" dxfId="2178" priority="7303" operator="containsText" text="Not Met">
      <formula>NOT(ISERROR(SEARCH("Not Met",AK194)))</formula>
    </cfRule>
    <cfRule type="containsText" dxfId="2177" priority="7302" operator="containsText" text="Met">
      <formula>NOT(ISERROR(SEARCH("Met",AK194)))</formula>
    </cfRule>
    <cfRule type="containsText" dxfId="2176" priority="7301" operator="containsText" text="Not Met">
      <formula>NOT(ISERROR(SEARCH("Not Met",AK194)))</formula>
    </cfRule>
  </conditionalFormatting>
  <conditionalFormatting sqref="AK202:AK211">
    <cfRule type="containsText" dxfId="2175" priority="7476" operator="containsText" text="Met">
      <formula>NOT(ISERROR(SEARCH("Met",AK202)))</formula>
    </cfRule>
    <cfRule type="containsText" dxfId="2174" priority="7475" operator="containsText" text="Not Met">
      <formula>NOT(ISERROR(SEARCH("Not Met",AK202)))</formula>
    </cfRule>
    <cfRule type="containsText" dxfId="2173" priority="7474" operator="containsText" text="Met">
      <formula>NOT(ISERROR(SEARCH("Met",AK202)))</formula>
    </cfRule>
    <cfRule type="containsText" dxfId="2172" priority="7471" operator="containsText" text="Not Met">
      <formula>NOT(ISERROR(SEARCH("Not Met",AK202)))</formula>
    </cfRule>
    <cfRule type="containsText" dxfId="2171" priority="7472" operator="containsText" text="Met">
      <formula>NOT(ISERROR(SEARCH("Met",AK202)))</formula>
    </cfRule>
    <cfRule type="containsText" dxfId="2170" priority="7473" operator="containsText" text="Not Met">
      <formula>NOT(ISERROR(SEARCH("Not Met",AK202)))</formula>
    </cfRule>
  </conditionalFormatting>
  <conditionalFormatting sqref="AK202:AK229">
    <cfRule type="containsText" dxfId="2169" priority="7478" operator="containsText" text="Met">
      <formula>NOT(ISERROR(SEARCH("Met",AK202)))</formula>
    </cfRule>
    <cfRule type="containsText" dxfId="2168" priority="7477" operator="containsText" text="Not Met">
      <formula>NOT(ISERROR(SEARCH("Not Met",AK202)))</formula>
    </cfRule>
  </conditionalFormatting>
  <conditionalFormatting sqref="AK243:AK256 AI243:AI256">
    <cfRule type="containsText" dxfId="2167" priority="7173" operator="containsText" text="Not Met">
      <formula>NOT(ISERROR(SEARCH("Not Met",AI243)))</formula>
    </cfRule>
  </conditionalFormatting>
  <conditionalFormatting sqref="AK243:AK256">
    <cfRule type="containsText" dxfId="2166" priority="7171" operator="containsText" text="Not Met">
      <formula>NOT(ISERROR(SEARCH("Not Met",AK243)))</formula>
    </cfRule>
    <cfRule type="containsText" dxfId="2165" priority="7172" operator="containsText" text="Met">
      <formula>NOT(ISERROR(SEARCH("Met",AK243)))</formula>
    </cfRule>
  </conditionalFormatting>
  <conditionalFormatting sqref="AK268:AK281">
    <cfRule type="containsText" dxfId="2164" priority="7162" operator="containsText" text="Met">
      <formula>NOT(ISERROR(SEARCH("Met",AK268)))</formula>
    </cfRule>
    <cfRule type="containsText" dxfId="2163" priority="7161" operator="containsText" text="Not Met">
      <formula>NOT(ISERROR(SEARCH("Not Met",AK268)))</formula>
    </cfRule>
  </conditionalFormatting>
  <conditionalFormatting sqref="AK288:AK294">
    <cfRule type="containsText" dxfId="2162" priority="7208" operator="containsText" text="Met">
      <formula>NOT(ISERROR(SEARCH("Met",AK288)))</formula>
    </cfRule>
    <cfRule type="containsText" dxfId="2161" priority="7207" operator="containsText" text="Not Met">
      <formula>NOT(ISERROR(SEARCH("Not Met",AK288)))</formula>
    </cfRule>
  </conditionalFormatting>
  <conditionalFormatting sqref="AK313:AK322">
    <cfRule type="containsText" dxfId="2160" priority="7800" operator="containsText" text="Not Met">
      <formula>NOT(ISERROR(SEARCH("Not Met",AK313)))</formula>
    </cfRule>
    <cfRule type="containsText" dxfId="2159" priority="7801" operator="containsText" text="Met">
      <formula>NOT(ISERROR(SEARCH("Met",AK313)))</formula>
    </cfRule>
  </conditionalFormatting>
  <conditionalFormatting sqref="AK330:AK331">
    <cfRule type="containsText" dxfId="2158" priority="7701" operator="containsText" text="Met">
      <formula>NOT(ISERROR(SEARCH("Met",AK330)))</formula>
    </cfRule>
    <cfRule type="containsText" dxfId="2157" priority="7700" operator="containsText" text="Not Met">
      <formula>NOT(ISERROR(SEARCH("Not Met",AK330)))</formula>
    </cfRule>
  </conditionalFormatting>
  <conditionalFormatting sqref="AK333:AK377">
    <cfRule type="containsText" dxfId="2156" priority="7244" operator="containsText" text="Met">
      <formula>NOT(ISERROR(SEARCH("Met",AK333)))</formula>
    </cfRule>
    <cfRule type="containsText" dxfId="2155" priority="7243" operator="containsText" text="Not Met">
      <formula>NOT(ISERROR(SEARCH("Not Met",AK333)))</formula>
    </cfRule>
  </conditionalFormatting>
  <conditionalFormatting sqref="AK413:AK419">
    <cfRule type="containsText" dxfId="2154" priority="7223" operator="containsText" text="Not Met">
      <formula>NOT(ISERROR(SEARCH("Not Met",AK413)))</formula>
    </cfRule>
    <cfRule type="containsText" dxfId="2153" priority="7224" operator="containsText" text="Met">
      <formula>NOT(ISERROR(SEARCH("Met",AK413)))</formula>
    </cfRule>
  </conditionalFormatting>
  <conditionalFormatting sqref="AK444:AK452 AL444:AL454 AH444:AI457 AL456:AL457">
    <cfRule type="containsText" dxfId="2152" priority="803" operator="containsText" text="Met">
      <formula>NOT(ISERROR(SEARCH("Met",AH444)))</formula>
    </cfRule>
  </conditionalFormatting>
  <conditionalFormatting sqref="AK454:AK457">
    <cfRule type="containsText" dxfId="2151" priority="801" operator="containsText" text="Met">
      <formula>NOT(ISERROR(SEARCH("Met",AK454)))</formula>
    </cfRule>
    <cfRule type="containsText" dxfId="2150" priority="800" operator="containsText" text="Not Met">
      <formula>NOT(ISERROR(SEARCH("Not Met",AK454)))</formula>
    </cfRule>
  </conditionalFormatting>
  <conditionalFormatting sqref="AK12:AL15">
    <cfRule type="containsText" dxfId="2149" priority="7499" operator="containsText" text="Met">
      <formula>NOT(ISERROR(SEARCH("Met",AK12)))</formula>
    </cfRule>
  </conditionalFormatting>
  <conditionalFormatting sqref="AK20:AL25 AI25 AK26:AK53 AL52:AL77 AK257:AL265">
    <cfRule type="containsText" dxfId="2148" priority="7830" operator="containsText" text="Met">
      <formula>NOT(ISERROR(SEARCH("Met",AI20)))</formula>
    </cfRule>
  </conditionalFormatting>
  <conditionalFormatting sqref="AK78:AL78 AK79:AK81 AL79:AL82 AH84:AL89 AL147:AL159 AL161:AL165 AL229:AL235 AL266:AL272 AL280:AL287 AK295:AL302 AK304:AM311 AL313:AL366 AL371:AL373 AL375 AL378:AL388 AL390:AL395 AL398:AL412">
    <cfRule type="containsText" dxfId="2147" priority="7586" operator="containsText" text="Met">
      <formula>NOT(ISERROR(SEARCH("Met",AH78)))</formula>
    </cfRule>
    <cfRule type="containsText" dxfId="2146" priority="7585" operator="containsText" text="Not Met">
      <formula>NOT(ISERROR(SEARCH("Not Met",AH78)))</formula>
    </cfRule>
  </conditionalFormatting>
  <conditionalFormatting sqref="AK97:AL134">
    <cfRule type="containsText" dxfId="2145" priority="7158" operator="containsText" text="Met">
      <formula>NOT(ISERROR(SEARCH("Met",AK97)))</formula>
    </cfRule>
    <cfRule type="containsText" dxfId="2144" priority="7157" operator="containsText" text="Not Met">
      <formula>NOT(ISERROR(SEARCH("Not Met",AK97)))</formula>
    </cfRule>
  </conditionalFormatting>
  <conditionalFormatting sqref="AK171:AL181">
    <cfRule type="containsText" dxfId="2143" priority="7662" operator="containsText" text="Met">
      <formula>NOT(ISERROR(SEARCH("Met",AK171)))</formula>
    </cfRule>
    <cfRule type="containsText" dxfId="2142" priority="7661" operator="containsText" text="Not Met">
      <formula>NOT(ISERROR(SEARCH("Not Met",AK171)))</formula>
    </cfRule>
  </conditionalFormatting>
  <conditionalFormatting sqref="AL12:AN15">
    <cfRule type="containsText" dxfId="2141" priority="6887" operator="containsText" text="Not Met">
      <formula>NOT(ISERROR(SEARCH("Not Met",AL12)))</formula>
    </cfRule>
  </conditionalFormatting>
  <conditionalFormatting sqref="AM2:AM5">
    <cfRule type="containsText" dxfId="2140" priority="6725" operator="containsText" text="Met">
      <formula>NOT(ISERROR(SEARCH("Met",AM2)))</formula>
    </cfRule>
    <cfRule type="containsText" dxfId="2139" priority="6724" operator="containsText" text="Not Met">
      <formula>NOT(ISERROR(SEARCH("Not Met",AM2)))</formula>
    </cfRule>
  </conditionalFormatting>
  <conditionalFormatting sqref="AM5:AM11">
    <cfRule type="containsText" dxfId="2138" priority="6727" operator="containsText" text="Met">
      <formula>NOT(ISERROR(SEARCH("Met",AM5)))</formula>
    </cfRule>
    <cfRule type="containsText" dxfId="2137" priority="6726" operator="containsText" text="Not Met">
      <formula>NOT(ISERROR(SEARCH("Not Met",AM5)))</formula>
    </cfRule>
  </conditionalFormatting>
  <conditionalFormatting sqref="AM14">
    <cfRule type="containsText" dxfId="2136" priority="6886" operator="containsText" text="Met">
      <formula>NOT(ISERROR(SEARCH("Met",AM14)))</formula>
    </cfRule>
    <cfRule type="containsText" dxfId="2135" priority="6885" operator="containsText" text="Not Met">
      <formula>NOT(ISERROR(SEARCH("Not Met",AM14)))</formula>
    </cfRule>
    <cfRule type="containsText" dxfId="2134" priority="6884" operator="containsText" text="Met">
      <formula>NOT(ISERROR(SEARCH("Met",AM14)))</formula>
    </cfRule>
    <cfRule type="containsText" dxfId="2133" priority="6883" operator="containsText" text="Not Met">
      <formula>NOT(ISERROR(SEARCH("Not Met",AM14)))</formula>
    </cfRule>
  </conditionalFormatting>
  <conditionalFormatting sqref="AM16:AM19">
    <cfRule type="containsText" dxfId="2132" priority="6880" operator="containsText" text="Met">
      <formula>NOT(ISERROR(SEARCH("Met",AM16)))</formula>
    </cfRule>
    <cfRule type="containsText" dxfId="2131" priority="6879" operator="containsText" text="Not Met">
      <formula>NOT(ISERROR(SEARCH("Not Met",AM16)))</formula>
    </cfRule>
  </conditionalFormatting>
  <conditionalFormatting sqref="AM25">
    <cfRule type="containsText" dxfId="2130" priority="6403" operator="containsText" text="Met">
      <formula>NOT(ISERROR(SEARCH("Met",AM25)))</formula>
    </cfRule>
    <cfRule type="containsText" dxfId="2129" priority="6402" operator="containsText" text="Not Met">
      <formula>NOT(ISERROR(SEARCH("Not Met",AM25)))</formula>
    </cfRule>
  </conditionalFormatting>
  <conditionalFormatting sqref="AM27:AM32 AM33:AN33 AN60:AN89 AN97:AN134 AN229:AN242 AN282:AN287 AN310:AN311 AN313:AN364 AM417:AN419">
    <cfRule type="containsText" dxfId="2128" priority="6394" operator="containsText" text="Met">
      <formula>NOT(ISERROR(SEARCH("Met",AM27)))</formula>
    </cfRule>
  </conditionalFormatting>
  <conditionalFormatting sqref="AM51">
    <cfRule type="containsText" dxfId="2127" priority="6696" operator="containsText" text="Met">
      <formula>NOT(ISERROR(SEARCH("Met",AM51)))</formula>
    </cfRule>
    <cfRule type="containsText" dxfId="2126" priority="6695" operator="containsText" text="Not Met">
      <formula>NOT(ISERROR(SEARCH("Not Met",AM51)))</formula>
    </cfRule>
  </conditionalFormatting>
  <conditionalFormatting sqref="AM60:AM73">
    <cfRule type="containsText" dxfId="2125" priority="6341" operator="containsText" text="Not Met">
      <formula>NOT(ISERROR(SEARCH("Not Met",AM60)))</formula>
    </cfRule>
    <cfRule type="containsText" dxfId="2124" priority="6342" operator="containsText" text="Met">
      <formula>NOT(ISERROR(SEARCH("Met",AM60)))</formula>
    </cfRule>
  </conditionalFormatting>
  <conditionalFormatting sqref="AM75:AM113">
    <cfRule type="containsText" dxfId="2123" priority="6343" operator="containsText" text="Not Met">
      <formula>NOT(ISERROR(SEARCH("Not Met",AM75)))</formula>
    </cfRule>
    <cfRule type="containsText" dxfId="2122" priority="6344" operator="containsText" text="Met">
      <formula>NOT(ISERROR(SEARCH("Met",AM75)))</formula>
    </cfRule>
  </conditionalFormatting>
  <conditionalFormatting sqref="AM119:AM123">
    <cfRule type="containsText" dxfId="2121" priority="6742" operator="containsText" text="Not Met">
      <formula>NOT(ISERROR(SEARCH("Not Met",AM119)))</formula>
    </cfRule>
    <cfRule type="containsText" dxfId="2120" priority="6743" operator="containsText" text="Met">
      <formula>NOT(ISERROR(SEARCH("Met",AM119)))</formula>
    </cfRule>
  </conditionalFormatting>
  <conditionalFormatting sqref="AM129:AM131">
    <cfRule type="containsText" dxfId="2119" priority="6783" operator="containsText" text="Met">
      <formula>NOT(ISERROR(SEARCH("Met",AM129)))</formula>
    </cfRule>
    <cfRule type="containsText" dxfId="2118" priority="6782" operator="containsText" text="Not Met">
      <formula>NOT(ISERROR(SEARCH("Not Met",AM129)))</formula>
    </cfRule>
  </conditionalFormatting>
  <conditionalFormatting sqref="AM135:AM142">
    <cfRule type="containsText" dxfId="2117" priority="6655" operator="containsText" text="Not Met">
      <formula>NOT(ISERROR(SEARCH("Not Met",AM135)))</formula>
    </cfRule>
    <cfRule type="containsText" dxfId="2116" priority="6656" operator="containsText" text="Met">
      <formula>NOT(ISERROR(SEARCH("Met",AM135)))</formula>
    </cfRule>
  </conditionalFormatting>
  <conditionalFormatting sqref="AM142:AM146">
    <cfRule type="containsText" dxfId="2115" priority="6651" operator="containsText" text="Not Met">
      <formula>NOT(ISERROR(SEARCH("Not Met",AM142)))</formula>
    </cfRule>
    <cfRule type="containsText" dxfId="2114" priority="6652" operator="containsText" text="Met">
      <formula>NOT(ISERROR(SEARCH("Met",AM142)))</formula>
    </cfRule>
  </conditionalFormatting>
  <conditionalFormatting sqref="AM143:AM146">
    <cfRule type="containsText" dxfId="2113" priority="6650" operator="containsText" text="Met">
      <formula>NOT(ISERROR(SEARCH("Met",AM143)))</formula>
    </cfRule>
    <cfRule type="containsText" dxfId="2112" priority="6649" operator="containsText" text="Not Met">
      <formula>NOT(ISERROR(SEARCH("Not Met",AM143)))</formula>
    </cfRule>
  </conditionalFormatting>
  <conditionalFormatting sqref="AM154:AM170">
    <cfRule type="containsText" dxfId="2111" priority="6292" operator="containsText" text="Met">
      <formula>NOT(ISERROR(SEARCH("Met",AM154)))</formula>
    </cfRule>
    <cfRule type="containsText" dxfId="2110" priority="6291" operator="containsText" text="Not Met">
      <formula>NOT(ISERROR(SEARCH("Not Met",AM154)))</formula>
    </cfRule>
  </conditionalFormatting>
  <conditionalFormatting sqref="AM176:AM191">
    <cfRule type="containsText" dxfId="2109" priority="6771" operator="containsText" text="Met">
      <formula>NOT(ISERROR(SEARCH("Met",AM176)))</formula>
    </cfRule>
    <cfRule type="containsText" dxfId="2108" priority="6770" operator="containsText" text="Not Met">
      <formula>NOT(ISERROR(SEARCH("Not Met",AM176)))</formula>
    </cfRule>
  </conditionalFormatting>
  <conditionalFormatting sqref="AM194:AM211">
    <cfRule type="containsText" dxfId="2107" priority="6809" operator="containsText" text="Not Met">
      <formula>NOT(ISERROR(SEARCH("Not Met",AM194)))</formula>
    </cfRule>
    <cfRule type="containsText" dxfId="2106" priority="6808" operator="containsText" text="Met">
      <formula>NOT(ISERROR(SEARCH("Met",AM194)))</formula>
    </cfRule>
    <cfRule type="containsText" dxfId="2105" priority="6807" operator="containsText" text="Not Met">
      <formula>NOT(ISERROR(SEARCH("Not Met",AM194)))</formula>
    </cfRule>
    <cfRule type="containsText" dxfId="2104" priority="6824" operator="containsText" text="Met">
      <formula>NOT(ISERROR(SEARCH("Met",AM194)))</formula>
    </cfRule>
    <cfRule type="containsText" dxfId="2103" priority="6823" operator="containsText" text="Not Met">
      <formula>NOT(ISERROR(SEARCH("Not Met",AM194)))</formula>
    </cfRule>
    <cfRule type="containsText" dxfId="2102" priority="6822" operator="containsText" text="Met">
      <formula>NOT(ISERROR(SEARCH("Met",AM194)))</formula>
    </cfRule>
    <cfRule type="containsText" dxfId="2101" priority="6821" operator="containsText" text="Not Met">
      <formula>NOT(ISERROR(SEARCH("Not Met",AM194)))</formula>
    </cfRule>
    <cfRule type="containsText" dxfId="2100" priority="6820" operator="containsText" text="Met">
      <formula>NOT(ISERROR(SEARCH("Met",AM194)))</formula>
    </cfRule>
    <cfRule type="containsText" dxfId="2099" priority="6819" operator="containsText" text="Not Met">
      <formula>NOT(ISERROR(SEARCH("Not Met",AM194)))</formula>
    </cfRule>
    <cfRule type="containsText" dxfId="2098" priority="6818" operator="containsText" text="Met">
      <formula>NOT(ISERROR(SEARCH("Met",AM194)))</formula>
    </cfRule>
    <cfRule type="containsText" dxfId="2097" priority="6817" operator="containsText" text="Not Met">
      <formula>NOT(ISERROR(SEARCH("Not Met",AM194)))</formula>
    </cfRule>
    <cfRule type="containsText" dxfId="2096" priority="6816" operator="containsText" text="Met">
      <formula>NOT(ISERROR(SEARCH("Met",AM194)))</formula>
    </cfRule>
    <cfRule type="containsText" dxfId="2095" priority="6815" operator="containsText" text="Not Met">
      <formula>NOT(ISERROR(SEARCH("Not Met",AM194)))</formula>
    </cfRule>
    <cfRule type="containsText" dxfId="2094" priority="6814" operator="containsText" text="Met">
      <formula>NOT(ISERROR(SEARCH("Met",AM194)))</formula>
    </cfRule>
    <cfRule type="containsText" dxfId="2093" priority="6813" operator="containsText" text="Not Met">
      <formula>NOT(ISERROR(SEARCH("Not Met",AM194)))</formula>
    </cfRule>
    <cfRule type="containsText" dxfId="2092" priority="6812" operator="containsText" text="Met">
      <formula>NOT(ISERROR(SEARCH("Met",AM194)))</formula>
    </cfRule>
    <cfRule type="containsText" dxfId="2091" priority="6811" operator="containsText" text="Not Met">
      <formula>NOT(ISERROR(SEARCH("Not Met",AM194)))</formula>
    </cfRule>
    <cfRule type="containsText" dxfId="2090" priority="6810" operator="containsText" text="Met">
      <formula>NOT(ISERROR(SEARCH("Met",AM194)))</formula>
    </cfRule>
  </conditionalFormatting>
  <conditionalFormatting sqref="AM194:AM229">
    <cfRule type="containsText" dxfId="2089" priority="6825" operator="containsText" text="Not Met">
      <formula>NOT(ISERROR(SEARCH("Not Met",AM194)))</formula>
    </cfRule>
    <cfRule type="containsText" dxfId="2088" priority="6826" operator="containsText" text="Met">
      <formula>NOT(ISERROR(SEARCH("Met",AM194)))</formula>
    </cfRule>
  </conditionalFormatting>
  <conditionalFormatting sqref="AM231:AM256">
    <cfRule type="containsText" dxfId="2087" priority="6331" operator="containsText" text="Not Met">
      <formula>NOT(ISERROR(SEARCH("Not Met",AM231)))</formula>
    </cfRule>
    <cfRule type="containsText" dxfId="2086" priority="6332" operator="containsText" text="Met">
      <formula>NOT(ISERROR(SEARCH("Met",AM231)))</formula>
    </cfRule>
  </conditionalFormatting>
  <conditionalFormatting sqref="AM259">
    <cfRule type="containsText" dxfId="2085" priority="6612" operator="containsText" text="Not Met">
      <formula>NOT(ISERROR(SEARCH("Not Met",AM259)))</formula>
    </cfRule>
    <cfRule type="containsText" dxfId="2084" priority="6613" operator="containsText" text="Met">
      <formula>NOT(ISERROR(SEARCH("Met",AM259)))</formula>
    </cfRule>
    <cfRule type="containsText" dxfId="2083" priority="6614" operator="containsText" text="Not Met">
      <formula>NOT(ISERROR(SEARCH("Not Met",AM259)))</formula>
    </cfRule>
    <cfRule type="containsText" dxfId="2082" priority="6615" operator="containsText" text="Met">
      <formula>NOT(ISERROR(SEARCH("Met",AM259)))</formula>
    </cfRule>
    <cfRule type="containsText" dxfId="2081" priority="6620" operator="containsText" text="Not Met">
      <formula>NOT(ISERROR(SEARCH("Not Met",AM259)))</formula>
    </cfRule>
    <cfRule type="containsText" dxfId="2080" priority="6616" operator="containsText" text="Not Met">
      <formula>NOT(ISERROR(SEARCH("Not Met",AM259)))</formula>
    </cfRule>
    <cfRule type="containsText" dxfId="2079" priority="6617" operator="containsText" text="Met">
      <formula>NOT(ISERROR(SEARCH("Met",AM259)))</formula>
    </cfRule>
    <cfRule type="containsText" dxfId="2078" priority="6618" operator="containsText" text="Not Met">
      <formula>NOT(ISERROR(SEARCH("Not Met",AM259)))</formula>
    </cfRule>
    <cfRule type="containsText" dxfId="2077" priority="6619" operator="containsText" text="Met">
      <formula>NOT(ISERROR(SEARCH("Met",AM259)))</formula>
    </cfRule>
    <cfRule type="containsText" dxfId="2076" priority="6611" operator="containsText" text="Met">
      <formula>NOT(ISERROR(SEARCH("Met",AM259)))</formula>
    </cfRule>
  </conditionalFormatting>
  <conditionalFormatting sqref="AM261">
    <cfRule type="containsText" dxfId="2075" priority="6607" operator="containsText" text="Met">
      <formula>NOT(ISERROR(SEARCH("Met",AM261)))</formula>
    </cfRule>
    <cfRule type="containsText" dxfId="2074" priority="6606" operator="containsText" text="Not Met">
      <formula>NOT(ISERROR(SEARCH("Not Met",AM261)))</formula>
    </cfRule>
    <cfRule type="containsText" dxfId="2073" priority="6605" operator="containsText" text="Met">
      <formula>NOT(ISERROR(SEARCH("Met",AM261)))</formula>
    </cfRule>
    <cfRule type="containsText" dxfId="2072" priority="6604" operator="containsText" text="Not Met">
      <formula>NOT(ISERROR(SEARCH("Not Met",AM261)))</formula>
    </cfRule>
    <cfRule type="containsText" dxfId="2071" priority="6603" operator="containsText" text="Met">
      <formula>NOT(ISERROR(SEARCH("Met",AM261)))</formula>
    </cfRule>
    <cfRule type="containsText" dxfId="2070" priority="6608" operator="containsText" text="Not Met">
      <formula>NOT(ISERROR(SEARCH("Not Met",AM261)))</formula>
    </cfRule>
    <cfRule type="containsText" dxfId="2069" priority="6610" operator="containsText" text="Not Met">
      <formula>NOT(ISERROR(SEARCH("Not Met",AM261)))</formula>
    </cfRule>
    <cfRule type="containsText" dxfId="2068" priority="6609" operator="containsText" text="Met">
      <formula>NOT(ISERROR(SEARCH("Met",AM261)))</formula>
    </cfRule>
  </conditionalFormatting>
  <conditionalFormatting sqref="AM261:AM262">
    <cfRule type="containsText" dxfId="2067" priority="6600" operator="containsText" text="Not Met">
      <formula>NOT(ISERROR(SEARCH("Not Met",AM261)))</formula>
    </cfRule>
    <cfRule type="containsText" dxfId="2066" priority="6599" operator="containsText" text="Met">
      <formula>NOT(ISERROR(SEARCH("Met",AM261)))</formula>
    </cfRule>
  </conditionalFormatting>
  <conditionalFormatting sqref="AM262">
    <cfRule type="containsText" dxfId="2065" priority="6594" operator="containsText" text="Not Met">
      <formula>NOT(ISERROR(SEARCH("Not Met",AM262)))</formula>
    </cfRule>
    <cfRule type="containsText" dxfId="2064" priority="6598" operator="containsText" text="Not Met">
      <formula>NOT(ISERROR(SEARCH("Not Met",AM262)))</formula>
    </cfRule>
    <cfRule type="containsText" dxfId="2063" priority="6597" operator="containsText" text="Met">
      <formula>NOT(ISERROR(SEARCH("Met",AM262)))</formula>
    </cfRule>
    <cfRule type="containsText" dxfId="2062" priority="6596" operator="containsText" text="Not Met">
      <formula>NOT(ISERROR(SEARCH("Not Met",AM262)))</formula>
    </cfRule>
    <cfRule type="containsText" dxfId="2061" priority="6593" operator="containsText" text="Met">
      <formula>NOT(ISERROR(SEARCH("Met",AM262)))</formula>
    </cfRule>
    <cfRule type="containsText" dxfId="2060" priority="6595" operator="containsText" text="Met">
      <formula>NOT(ISERROR(SEARCH("Met",AM262)))</formula>
    </cfRule>
  </conditionalFormatting>
  <conditionalFormatting sqref="AM262:AM263">
    <cfRule type="containsText" dxfId="2059" priority="6589" operator="containsText" text="Met">
      <formula>NOT(ISERROR(SEARCH("Met",AM262)))</formula>
    </cfRule>
    <cfRule type="containsText" dxfId="2058" priority="6590" operator="containsText" text="Not Met">
      <formula>NOT(ISERROR(SEARCH("Not Met",AM262)))</formula>
    </cfRule>
  </conditionalFormatting>
  <conditionalFormatting sqref="AM263">
    <cfRule type="containsText" dxfId="2057" priority="6588" operator="containsText" text="Not Met">
      <formula>NOT(ISERROR(SEARCH("Not Met",AM263)))</formula>
    </cfRule>
    <cfRule type="containsText" dxfId="2056" priority="6587" operator="containsText" text="Met">
      <formula>NOT(ISERROR(SEARCH("Met",AM263)))</formula>
    </cfRule>
    <cfRule type="containsText" dxfId="2055" priority="6586" operator="containsText" text="Not Met">
      <formula>NOT(ISERROR(SEARCH("Not Met",AM263)))</formula>
    </cfRule>
    <cfRule type="containsText" dxfId="2054" priority="6585" operator="containsText" text="Met">
      <formula>NOT(ISERROR(SEARCH("Met",AM263)))</formula>
    </cfRule>
    <cfRule type="containsText" dxfId="2053" priority="6584" operator="containsText" text="Not Met">
      <formula>NOT(ISERROR(SEARCH("Not Met",AM263)))</formula>
    </cfRule>
    <cfRule type="containsText" dxfId="2052" priority="6583" operator="containsText" text="Met">
      <formula>NOT(ISERROR(SEARCH("Met",AM263)))</formula>
    </cfRule>
  </conditionalFormatting>
  <conditionalFormatting sqref="AM263:AM264">
    <cfRule type="containsText" dxfId="2051" priority="6580" operator="containsText" text="Not Met">
      <formula>NOT(ISERROR(SEARCH("Not Met",AM263)))</formula>
    </cfRule>
    <cfRule type="containsText" dxfId="2050" priority="6579" operator="containsText" text="Met">
      <formula>NOT(ISERROR(SEARCH("Met",AM263)))</formula>
    </cfRule>
  </conditionalFormatting>
  <conditionalFormatting sqref="AM264">
    <cfRule type="containsText" dxfId="2049" priority="6571" operator="containsText" text="Met">
      <formula>NOT(ISERROR(SEARCH("Met",AM264)))</formula>
    </cfRule>
    <cfRule type="containsText" dxfId="2048" priority="6573" operator="containsText" text="Met">
      <formula>NOT(ISERROR(SEARCH("Met",AM264)))</formula>
    </cfRule>
    <cfRule type="containsText" dxfId="2047" priority="6574" operator="containsText" text="Not Met">
      <formula>NOT(ISERROR(SEARCH("Not Met",AM264)))</formula>
    </cfRule>
    <cfRule type="containsText" dxfId="2046" priority="6578" operator="containsText" text="Not Met">
      <formula>NOT(ISERROR(SEARCH("Not Met",AM264)))</formula>
    </cfRule>
    <cfRule type="containsText" dxfId="2045" priority="6577" operator="containsText" text="Met">
      <formula>NOT(ISERROR(SEARCH("Met",AM264)))</formula>
    </cfRule>
    <cfRule type="containsText" dxfId="2044" priority="6576" operator="containsText" text="Not Met">
      <formula>NOT(ISERROR(SEARCH("Not Met",AM264)))</formula>
    </cfRule>
    <cfRule type="containsText" dxfId="2043" priority="6575" operator="containsText" text="Met">
      <formula>NOT(ISERROR(SEARCH("Met",AM264)))</formula>
    </cfRule>
    <cfRule type="containsText" dxfId="2042" priority="6572" operator="containsText" text="Not Met">
      <formula>NOT(ISERROR(SEARCH("Not Met",AM264)))</formula>
    </cfRule>
  </conditionalFormatting>
  <conditionalFormatting sqref="AM313:AM316">
    <cfRule type="containsText" dxfId="2041" priority="6326" operator="containsText" text="Met">
      <formula>NOT(ISERROR(SEARCH("Met",AM313)))</formula>
    </cfRule>
    <cfRule type="containsText" dxfId="2040" priority="6325" operator="containsText" text="Not Met">
      <formula>NOT(ISERROR(SEARCH("Not Met",AM313)))</formula>
    </cfRule>
  </conditionalFormatting>
  <conditionalFormatting sqref="AM330:AM331">
    <cfRule type="containsText" dxfId="2039" priority="6305" operator="containsText" text="Not Met">
      <formula>NOT(ISERROR(SEARCH("Not Met",AM330)))</formula>
    </cfRule>
  </conditionalFormatting>
  <conditionalFormatting sqref="AM330:AM332">
    <cfRule type="containsText" dxfId="2038" priority="6306" operator="containsText" text="Met">
      <formula>NOT(ISERROR(SEARCH("Met",AM330)))</formula>
    </cfRule>
  </conditionalFormatting>
  <conditionalFormatting sqref="AM333:AM377">
    <cfRule type="containsText" dxfId="2037" priority="6288" operator="containsText" text="Met">
      <formula>NOT(ISERROR(SEARCH("Met",AM333)))</formula>
    </cfRule>
    <cfRule type="containsText" dxfId="2036" priority="6287" operator="containsText" text="Not Met">
      <formula>NOT(ISERROR(SEARCH("Not Met",AM333)))</formula>
    </cfRule>
  </conditionalFormatting>
  <conditionalFormatting sqref="AM413:AM419">
    <cfRule type="containsText" dxfId="2035" priority="6437" operator="containsText" text="Not Met">
      <formula>NOT(ISERROR(SEARCH("Not Met",AM413)))</formula>
    </cfRule>
    <cfRule type="containsText" dxfId="2034" priority="6438" operator="containsText" text="Met">
      <formula>NOT(ISERROR(SEARCH("Met",AM413)))</formula>
    </cfRule>
  </conditionalFormatting>
  <conditionalFormatting sqref="AM444:AM452">
    <cfRule type="containsText" dxfId="2033" priority="796" operator="containsText" text="Not Met">
      <formula>NOT(ISERROR(SEARCH("Not Met",AM444)))</formula>
    </cfRule>
    <cfRule type="containsText" dxfId="2032" priority="797" operator="containsText" text="Met">
      <formula>NOT(ISERROR(SEARCH("Met",AM444)))</formula>
    </cfRule>
  </conditionalFormatting>
  <conditionalFormatting sqref="AM454:AM457">
    <cfRule type="containsText" dxfId="2031" priority="795" operator="containsText" text="Met">
      <formula>NOT(ISERROR(SEARCH("Met",AM454)))</formula>
    </cfRule>
    <cfRule type="containsText" dxfId="2030" priority="794" operator="containsText" text="Not Met">
      <formula>NOT(ISERROR(SEARCH("Not Met",AM454)))</formula>
    </cfRule>
  </conditionalFormatting>
  <conditionalFormatting sqref="AM12:AN15">
    <cfRule type="containsText" dxfId="2029" priority="6888" operator="containsText" text="Met">
      <formula>NOT(ISERROR(SEARCH("Met",AM12)))</formula>
    </cfRule>
  </conditionalFormatting>
  <conditionalFormatting sqref="AM20:AO23 AP20:AP43 AT34:AT41 AP81:AP89 AR97:AW104 AP97:AP134 AP147:AP154 AP167:AP193 AR182:AT193 AP229:AP242 AR229:AR242 AS236:AT242 AR257:AR259 AP282:AP286 AP295:AP302 AO304:AP312 AP316:AP322 AP324:AP331 AP337 AO338:AV345 AO346:AW352 AP371:AP374 AP378:AP381 AP383:AP395 AP397:AP402 AP414:AP416 AR160 AR287">
    <cfRule type="containsText" dxfId="2028" priority="6080" operator="containsText" text="Met">
      <formula>NOT(ISERROR(SEARCH("Met",AM20)))</formula>
    </cfRule>
  </conditionalFormatting>
  <conditionalFormatting sqref="AM332:AO332">
    <cfRule type="containsText" dxfId="2027" priority="6110" operator="containsText" text="Not Met">
      <formula>NOT(ISERROR(SEARCH("Not Met",AM332)))</formula>
    </cfRule>
  </conditionalFormatting>
  <conditionalFormatting sqref="AM257:AP258">
    <cfRule type="containsText" dxfId="2026" priority="6138" operator="containsText" text="Not Met">
      <formula>NOT(ISERROR(SEARCH("Not Met",AM257)))</formula>
    </cfRule>
    <cfRule type="containsText" dxfId="2025" priority="6139" operator="containsText" text="Met">
      <formula>NOT(ISERROR(SEARCH("Met",AM257)))</formula>
    </cfRule>
  </conditionalFormatting>
  <conditionalFormatting sqref="AM265:AQ272 AS265:AT272">
    <cfRule type="containsText" dxfId="2024" priority="5178" operator="containsText" text="Not Met">
      <formula>NOT(ISERROR(SEARCH("Not Met",AM265)))</formula>
    </cfRule>
    <cfRule type="containsText" dxfId="2023" priority="5179" operator="containsText" text="Met">
      <formula>NOT(ISERROR(SEARCH("Met",AM265)))</formula>
    </cfRule>
  </conditionalFormatting>
  <conditionalFormatting sqref="AM280:AQ281">
    <cfRule type="containsText" dxfId="2022" priority="5400" operator="containsText" text="Not Met">
      <formula>NOT(ISERROR(SEARCH("Not Met",AM280)))</formula>
    </cfRule>
    <cfRule type="containsText" dxfId="2021" priority="5401" operator="containsText" text="Met">
      <formula>NOT(ISERROR(SEARCH("Met",AM280)))</formula>
    </cfRule>
  </conditionalFormatting>
  <conditionalFormatting sqref="AN24:AN32 AN147:AN159 AN167:AN193 AN295 AN297:AN302 AN304:AN307 AN366:AN374 AN376:AN381 AN385:AN395 AN397:AN402 AN414:AN416">
    <cfRule type="containsText" dxfId="2020" priority="6396" operator="containsText" text="Met">
      <formula>NOT(ISERROR(SEARCH("Met",AN24)))</formula>
    </cfRule>
  </conditionalFormatting>
  <conditionalFormatting sqref="AN24:AN32 AN147:AN159 AN167:AN193 AN295 AN297:AN302 AN304:AN307 AN366:AN374 AN376:AN381 AN385:AN395 AN397:AN402">
    <cfRule type="containsText" dxfId="2019" priority="6395" operator="containsText" text="Not Met">
      <formula>NOT(ISERROR(SEARCH("Not Met",AN24)))</formula>
    </cfRule>
  </conditionalFormatting>
  <conditionalFormatting sqref="AN34:AN48 AN78:AN89 AN287 AN311 AN314 AN323:AN329 AN338:AN352">
    <cfRule type="containsText" dxfId="2018" priority="6391" operator="containsText" text="Not Met">
      <formula>NOT(ISERROR(SEARCH("Not Met",AN34)))</formula>
    </cfRule>
    <cfRule type="containsText" dxfId="2017" priority="6392" operator="containsText" text="Met">
      <formula>NOT(ISERROR(SEARCH("Met",AN34)))</formula>
    </cfRule>
  </conditionalFormatting>
  <conditionalFormatting sqref="AN60:AN89 AN282:AN287 AN310:AN311 AN313:AN364 AM33:AN33 AN414:AN419 AN229:AN242 AN97:AN134 AM27:AM32">
    <cfRule type="containsText" dxfId="2016" priority="6393" operator="containsText" text="Not Met">
      <formula>NOT(ISERROR(SEARCH("Not Met",AM27)))</formula>
    </cfRule>
  </conditionalFormatting>
  <conditionalFormatting sqref="AN444:AN457">
    <cfRule type="containsText" dxfId="2015" priority="798" operator="containsText" text="Not Met">
      <formula>NOT(ISERROR(SEARCH("Not Met",AN444)))</formula>
    </cfRule>
    <cfRule type="containsText" dxfId="2014" priority="799" operator="containsText" text="Met">
      <formula>NOT(ISERROR(SEARCH("Met",AN444)))</formula>
    </cfRule>
  </conditionalFormatting>
  <conditionalFormatting sqref="AN336:AO336">
    <cfRule type="containsText" dxfId="2013" priority="6108" operator="containsText" text="Not Met">
      <formula>NOT(ISERROR(SEARCH("Not Met",AN336)))</formula>
    </cfRule>
  </conditionalFormatting>
  <conditionalFormatting sqref="AN332:AP332">
    <cfRule type="containsText" dxfId="2012" priority="6111" operator="containsText" text="Met">
      <formula>NOT(ISERROR(SEARCH("Met",AN332)))</formula>
    </cfRule>
  </conditionalFormatting>
  <conditionalFormatting sqref="AN336:AP336">
    <cfRule type="containsText" dxfId="2011" priority="6109" operator="containsText" text="Met">
      <formula>NOT(ISERROR(SEARCH("Met",AN336)))</formula>
    </cfRule>
  </conditionalFormatting>
  <conditionalFormatting sqref="AN417:AP419">
    <cfRule type="containsText" dxfId="2010" priority="6054" operator="containsText" text="Not Met">
      <formula>NOT(ISERROR(SEARCH("Not Met",AN417)))</formula>
    </cfRule>
    <cfRule type="containsText" dxfId="2009" priority="6057" operator="containsText" text="Met">
      <formula>NOT(ISERROR(SEARCH("Met",AN417)))</formula>
    </cfRule>
  </conditionalFormatting>
  <conditionalFormatting sqref="AN236:AQ242">
    <cfRule type="containsText" dxfId="2008" priority="5997" operator="containsText" text="Met">
      <formula>NOT(ISERROR(SEARCH("Met",AN236)))</formula>
    </cfRule>
    <cfRule type="containsText" dxfId="2007" priority="5996" operator="containsText" text="Not Met">
      <formula>NOT(ISERROR(SEARCH("Not Met",AN236)))</formula>
    </cfRule>
  </conditionalFormatting>
  <conditionalFormatting sqref="AN97:AW104">
    <cfRule type="containsText" dxfId="2006" priority="5966" operator="containsText" text="Not Met">
      <formula>NOT(ISERROR(SEARCH("Not Met",AN97)))</formula>
    </cfRule>
    <cfRule type="containsText" dxfId="2005" priority="5967" operator="containsText" text="Met">
      <formula>NOT(ISERROR(SEARCH("Met",AN97)))</formula>
    </cfRule>
  </conditionalFormatting>
  <conditionalFormatting sqref="AO2:AO5">
    <cfRule type="containsText" dxfId="2004" priority="6166" operator="containsText" text="Not Met">
      <formula>NOT(ISERROR(SEARCH("Not Met",AO2)))</formula>
    </cfRule>
    <cfRule type="containsText" dxfId="2003" priority="6167" operator="containsText" text="Met">
      <formula>NOT(ISERROR(SEARCH("Met",AO2)))</formula>
    </cfRule>
  </conditionalFormatting>
  <conditionalFormatting sqref="AO5:AO10">
    <cfRule type="containsText" dxfId="2002" priority="6169" operator="containsText" text="Met">
      <formula>NOT(ISERROR(SEARCH("Met",AO5)))</formula>
    </cfRule>
    <cfRule type="containsText" dxfId="2001" priority="6168" operator="containsText" text="Not Met">
      <formula>NOT(ISERROR(SEARCH("Not Met",AO5)))</formula>
    </cfRule>
  </conditionalFormatting>
  <conditionalFormatting sqref="AO14">
    <cfRule type="containsText" dxfId="2000" priority="6198" operator="containsText" text="Not Met">
      <formula>NOT(ISERROR(SEARCH("Not Met",AO14)))</formula>
    </cfRule>
    <cfRule type="containsText" dxfId="1999" priority="6199" operator="containsText" text="Met">
      <formula>NOT(ISERROR(SEARCH("Met",AO14)))</formula>
    </cfRule>
    <cfRule type="containsText" dxfId="1998" priority="6200" operator="containsText" text="Not Met">
      <formula>NOT(ISERROR(SEARCH("Not Met",AO14)))</formula>
    </cfRule>
    <cfRule type="containsText" dxfId="1997" priority="6201" operator="containsText" text="Met">
      <formula>NOT(ISERROR(SEARCH("Met",AO14)))</formula>
    </cfRule>
  </conditionalFormatting>
  <conditionalFormatting sqref="AO25">
    <cfRule type="containsText" dxfId="1996" priority="6074" operator="containsText" text="Met">
      <formula>NOT(ISERROR(SEARCH("Met",AO25)))</formula>
    </cfRule>
    <cfRule type="containsText" dxfId="1995" priority="6073" operator="containsText" text="Not Met">
      <formula>NOT(ISERROR(SEARCH("Not Met",AO25)))</formula>
    </cfRule>
  </conditionalFormatting>
  <conditionalFormatting sqref="AO27:AO32 AM33:AP33">
    <cfRule type="containsText" dxfId="1994" priority="6078" operator="containsText" text="Met">
      <formula>NOT(ISERROR(SEARCH("Met",AM27)))</formula>
    </cfRule>
    <cfRule type="containsText" dxfId="1993" priority="6077" operator="containsText" text="Not Met">
      <formula>NOT(ISERROR(SEARCH("Not Met",AM27)))</formula>
    </cfRule>
  </conditionalFormatting>
  <conditionalFormatting sqref="AO51">
    <cfRule type="containsText" dxfId="1992" priority="6160" operator="containsText" text="Met">
      <formula>NOT(ISERROR(SEARCH("Met",AO51)))</formula>
    </cfRule>
    <cfRule type="containsText" dxfId="1991" priority="6159" operator="containsText" text="Not Met">
      <formula>NOT(ISERROR(SEARCH("Not Met",AO51)))</formula>
    </cfRule>
  </conditionalFormatting>
  <conditionalFormatting sqref="AO60:AO73">
    <cfRule type="containsText" dxfId="1990" priority="5715" operator="containsText" text="Not Met">
      <formula>NOT(ISERROR(SEARCH("Not Met",AO60)))</formula>
    </cfRule>
    <cfRule type="containsText" dxfId="1989" priority="5716" operator="containsText" text="Met">
      <formula>NOT(ISERROR(SEARCH("Met",AO60)))</formula>
    </cfRule>
  </conditionalFormatting>
  <conditionalFormatting sqref="AO75:AO96">
    <cfRule type="containsText" dxfId="1988" priority="5741" operator="containsText" text="Not Met">
      <formula>NOT(ISERROR(SEARCH("Not Met",AO75)))</formula>
    </cfRule>
    <cfRule type="containsText" dxfId="1987" priority="5742" operator="containsText" text="Met">
      <formula>NOT(ISERROR(SEARCH("Met",AO75)))</formula>
    </cfRule>
  </conditionalFormatting>
  <conditionalFormatting sqref="AO105:AO113">
    <cfRule type="containsText" dxfId="1986" priority="6095" operator="containsText" text="Not Met">
      <formula>NOT(ISERROR(SEARCH("Not Met",AO105)))</formula>
    </cfRule>
    <cfRule type="containsText" dxfId="1985" priority="6096" operator="containsText" text="Met">
      <formula>NOT(ISERROR(SEARCH("Met",AO105)))</formula>
    </cfRule>
  </conditionalFormatting>
  <conditionalFormatting sqref="AO119:AO123">
    <cfRule type="containsText" dxfId="1984" priority="6170" operator="containsText" text="Not Met">
      <formula>NOT(ISERROR(SEARCH("Not Met",AO119)))</formula>
    </cfRule>
    <cfRule type="containsText" dxfId="1983" priority="6171" operator="containsText" text="Met">
      <formula>NOT(ISERROR(SEARCH("Met",AO119)))</formula>
    </cfRule>
  </conditionalFormatting>
  <conditionalFormatting sqref="AO129:AO131">
    <cfRule type="containsText" dxfId="1982" priority="6181" operator="containsText" text="Met">
      <formula>NOT(ISERROR(SEARCH("Met",AO129)))</formula>
    </cfRule>
    <cfRule type="containsText" dxfId="1981" priority="6180" operator="containsText" text="Not Met">
      <formula>NOT(ISERROR(SEARCH("Not Met",AO129)))</formula>
    </cfRule>
  </conditionalFormatting>
  <conditionalFormatting sqref="AO135:AO146">
    <cfRule type="containsText" dxfId="1980" priority="6153" operator="containsText" text="Met">
      <formula>NOT(ISERROR(SEARCH("Met",AO135)))</formula>
    </cfRule>
    <cfRule type="containsText" dxfId="1979" priority="6152" operator="containsText" text="Not Met">
      <formula>NOT(ISERROR(SEARCH("Not Met",AO135)))</formula>
    </cfRule>
  </conditionalFormatting>
  <conditionalFormatting sqref="AO142:AO146">
    <cfRule type="containsText" dxfId="1978" priority="6150" operator="containsText" text="Not Met">
      <formula>NOT(ISERROR(SEARCH("Not Met",AO142)))</formula>
    </cfRule>
    <cfRule type="containsText" dxfId="1977" priority="6151" operator="containsText" text="Met">
      <formula>NOT(ISERROR(SEARCH("Met",AO142)))</formula>
    </cfRule>
  </conditionalFormatting>
  <conditionalFormatting sqref="AO155:AO170 AO243:AO256">
    <cfRule type="containsText" dxfId="1976" priority="6097" operator="containsText" text="Not Met">
      <formula>NOT(ISERROR(SEARCH("Not Met",AO155)))</formula>
    </cfRule>
  </conditionalFormatting>
  <conditionalFormatting sqref="AO167:AO170 AO243:AO256">
    <cfRule type="containsText" dxfId="1975" priority="6098" operator="containsText" text="Met">
      <formula>NOT(ISERROR(SEARCH("Met",AO167)))</formula>
    </cfRule>
  </conditionalFormatting>
  <conditionalFormatting sqref="AO176:AO191">
    <cfRule type="containsText" dxfId="1974" priority="6178" operator="containsText" text="Not Met">
      <formula>NOT(ISERROR(SEARCH("Not Met",AO176)))</formula>
    </cfRule>
    <cfRule type="containsText" dxfId="1973" priority="6179" operator="containsText" text="Met">
      <formula>NOT(ISERROR(SEARCH("Met",AO176)))</formula>
    </cfRule>
  </conditionalFormatting>
  <conditionalFormatting sqref="AO182:AO189">
    <cfRule type="containsText" dxfId="1972" priority="6192" operator="containsText" text="Not Met">
      <formula>NOT(ISERROR(SEARCH("Not Met",AO182)))</formula>
    </cfRule>
    <cfRule type="containsText" dxfId="1971" priority="6193" operator="containsText" text="Met">
      <formula>NOT(ISERROR(SEARCH("Met",AO182)))</formula>
    </cfRule>
  </conditionalFormatting>
  <conditionalFormatting sqref="AO231:AO235">
    <cfRule type="containsText" dxfId="1970" priority="6086" operator="containsText" text="Met">
      <formula>NOT(ISERROR(SEARCH("Met",AO231)))</formula>
    </cfRule>
    <cfRule type="containsText" dxfId="1969" priority="6085" operator="containsText" text="Not Met">
      <formula>NOT(ISERROR(SEARCH("Not Met",AO231)))</formula>
    </cfRule>
  </conditionalFormatting>
  <conditionalFormatting sqref="AO322">
    <cfRule type="containsText" dxfId="1968" priority="6104" operator="containsText" text="Met">
      <formula>NOT(ISERROR(SEARCH("Met",AO322)))</formula>
    </cfRule>
    <cfRule type="containsText" dxfId="1967" priority="6102" operator="containsText" text="Not Met">
      <formula>NOT(ISERROR(SEARCH("Not Met",AO322)))</formula>
    </cfRule>
  </conditionalFormatting>
  <conditionalFormatting sqref="AO338:AO377">
    <cfRule type="containsText" dxfId="1966" priority="6059" operator="containsText" text="Not Met">
      <formula>NOT(ISERROR(SEARCH("Not Met",AO338)))</formula>
    </cfRule>
  </conditionalFormatting>
  <conditionalFormatting sqref="AO353:AO377">
    <cfRule type="containsText" dxfId="1965" priority="6060" operator="containsText" text="Met">
      <formula>NOT(ISERROR(SEARCH("Met",AO353)))</formula>
    </cfRule>
  </conditionalFormatting>
  <conditionalFormatting sqref="AO415">
    <cfRule type="containsText" dxfId="1964" priority="6053" operator="containsText" text="Met">
      <formula>NOT(ISERROR(SEARCH("Met",AO415)))</formula>
    </cfRule>
    <cfRule type="containsText" dxfId="1963" priority="6052" operator="containsText" text="Not Met">
      <formula>NOT(ISERROR(SEARCH("Not Met",AO415)))</formula>
    </cfRule>
  </conditionalFormatting>
  <conditionalFormatting sqref="AO444:AO452">
    <cfRule type="containsText" dxfId="1962" priority="785" operator="containsText" text="Met">
      <formula>NOT(ISERROR(SEARCH("Met",AO444)))</formula>
    </cfRule>
    <cfRule type="containsText" dxfId="1961" priority="784" operator="containsText" text="Not Met">
      <formula>NOT(ISERROR(SEARCH("Not Met",AO444)))</formula>
    </cfRule>
  </conditionalFormatting>
  <conditionalFormatting sqref="AO454:AO457">
    <cfRule type="containsText" dxfId="1960" priority="788" operator="containsText" text="Not Met">
      <formula>NOT(ISERROR(SEARCH("Not Met",AO454)))</formula>
    </cfRule>
    <cfRule type="containsText" dxfId="1959" priority="789" operator="containsText" text="Met">
      <formula>NOT(ISERROR(SEARCH("Met",AO454)))</formula>
    </cfRule>
  </conditionalFormatting>
  <conditionalFormatting sqref="AO12:AP15">
    <cfRule type="containsText" dxfId="1958" priority="6203" operator="containsText" text="Met">
      <formula>NOT(ISERROR(SEARCH("Met",AO12)))</formula>
    </cfRule>
    <cfRule type="containsText" dxfId="1957" priority="6202" operator="containsText" text="Not Met">
      <formula>NOT(ISERROR(SEARCH("Not Met",AO12)))</formula>
    </cfRule>
  </conditionalFormatting>
  <conditionalFormatting sqref="AO314:AP314 AO313">
    <cfRule type="containsText" dxfId="1956" priority="6121" operator="containsText" text="Met">
      <formula>NOT(ISERROR(SEARCH("Met",AO313)))</formula>
    </cfRule>
  </conditionalFormatting>
  <conditionalFormatting sqref="AO413:AP413">
    <cfRule type="containsText" dxfId="1955" priority="6049" operator="containsText" text="Met">
      <formula>NOT(ISERROR(SEARCH("Met",AO413)))</formula>
    </cfRule>
    <cfRule type="containsText" dxfId="1954" priority="5775" operator="containsText" text="Not Met">
      <formula>NOT(ISERROR(SEARCH("Not Met",AO413)))</formula>
    </cfRule>
  </conditionalFormatting>
  <conditionalFormatting sqref="AO417:AP419">
    <cfRule type="containsText" dxfId="1953" priority="6055" operator="containsText" text="Met">
      <formula>NOT(ISERROR(SEARCH("Met",AO417)))</formula>
    </cfRule>
  </conditionalFormatting>
  <conditionalFormatting sqref="AO155:AS155 AO156:AQ158 AO159:AT166">
    <cfRule type="containsText" dxfId="1952" priority="6143" operator="containsText" text="Met">
      <formula>NOT(ISERROR(SEARCH("Met",AO155)))</formula>
    </cfRule>
  </conditionalFormatting>
  <conditionalFormatting sqref="AO33:AV33 AV105:AV134 AV397:AV402 AV404:AV409 AV411">
    <cfRule type="containsText" dxfId="1951" priority="4880" operator="containsText" text="Met">
      <formula>NOT(ISERROR(SEARCH("Met",AO33)))</formula>
    </cfRule>
    <cfRule type="containsText" dxfId="1950" priority="4879" operator="containsText" text="Not Met">
      <formula>NOT(ISERROR(SEARCH("Not Met",AO33)))</formula>
    </cfRule>
  </conditionalFormatting>
  <conditionalFormatting sqref="AP2:AP4 AR2:AR4 AT2:AT4 AV2:AV4 AX2:AX4 AZ2:AZ4 BB2:BB4 BD2:BD4 BF2:BF4 BH2:BH4 BJ2:BJ4 AX6 AZ6 BB6 BD6 AV6:AV7 AP6:AP10 AR6:AR10 AT6:AT10 BF6:BF10 BH6:BH10 BJ6:BJ10 AV8:AW10 AR12:AR15 BF12:BF15 BH12:BH15 BJ12:BJ15 AT49:AT50 AV49:AV50 BD49:BD50 BF49:BF50 BH49:BH50 BJ49:BJ50 AP52:AP53 AR52:AR53 AT52:AT53 AV52:AV53 BD52:BD53 BF52:BF53 BH52:BH53 BJ52:BJ53 BF61:BF65 BF67:BF69 BF71 BH71 BF79 BH79 BJ79 BH81:BH84 BJ81:BJ84 BF82:BF83 BF87 BH87 BJ87 BD87:BD89 BF89 BH89 BJ89 BD105 BF105:BF106 BF108:BF109 BD108:BD110 BH108:BH110 BF111 BD113:BD114 BF113:BF116 BD116 BD118:BD119 BF118:BF119 BD121 BF121:BF125 BD123:BD125 BD127 BF127:BF129 BD129:BD130 BD132 BF132 BD155:BD157 BF155:BF159 BH155:BH159 BJ155:BJ159 BD159 BD161 BF161 BH161:BH168 BJ161:BJ168 BD163:BD169 BF163:BF169 BD171:BD172 BF171:BF175 BD174:BD175 BD177 BF179 BD179:BD180 BD182 BJ182:BJ184 BF182:BF191 BH182:BH191 BD184 BJ186:BJ187 BD186:BD191 BJ189:BJ191 BB231:BD232 BH280:BH281 BJ280:BJ281 BF280:BF284 BD280:BD285 BH283:BH286 BJ283:BJ286 BF286 BF295:BG295 BI295:BI302 BG296:BG302 BF299:BF300 BD301 BD305:BD307 BD310 BD313 BF315 BH315 BF320:BF321 BD321 BF330:BF331 BH330:BH331 BF333 BH333 BF341 BH341 BD341:BD343 BF343 BH343 BF353:BF356 BD353:BD358 BH353:BH359 AZ354 BB354 BF358 BD362 BF362 BH362 BD364 BF364:BF365 BH364:BH365 BI364:BI412 BD366 AP366:AP367 BH368:BH369 AP369 AZ369 BB369 BD371 BF371 BF373 BF375 AP376 BD376 BH376:BH379 BD378 BF378 BD380 BF380:BF382 BH381:BH385 BD383:BD387 BB383:BB388 BF384:BF387 BH387 BF389:BF390 BH389:BH392 BD390 BF397 BH397:BH401 BD401 BF401 BF403 BH403:BH405 AP404 AZ404 BD405 BD408 BH408 BH410:BH411 AX413 BF413 BD414 BD418 BF418 BF421:BF422 BH421:BH422 BJ422 BF424:BF426 BH424:BH426 BJ424:BJ426 BD436 BF436:BF440 BH437:BH440 BD438:BD441 AP333:AP335 BB229:BE229 BE230:BE235 BB315 BB230:BC230 BB234:BD234">
    <cfRule type="containsText" dxfId="1949" priority="6242" operator="containsText" text="Met">
      <formula>NOT(ISERROR(SEARCH("Met",AP2)))</formula>
    </cfRule>
  </conditionalFormatting>
  <conditionalFormatting sqref="AP2:AP4 AR2:AR4 AT2:AT4 AV2:AV4 AX2:AX4 AZ2:AZ4 BB2:BB4 BD2:BD4 BF2:BF4 BH2:BH4 BJ2:BJ4 AX6 AZ6 BB6 BD6 AV6:AV7 AP6:AP10 AR6:AR10 AT6:AT10 BF6:BF10 BH6:BH10 BJ6:BJ10 AV8:AW10 AR12:AR15 BF12:BF15 BH12:BH15 BJ12:BJ15 AT49:AT50 AV49:AV50 BD49:BD50 BF49:BF50 BH49:BH50 BJ49:BJ50 AP52:AP53 AR52:AR53 AT52:AT53 AV52:AV53 BD52:BD53 BF52:BF53 BH52:BH53 BJ52:BJ53 BF61:BF65 BF67:BF69 BF71 BH71 BF79 BH79 BJ79 BH81:BH84 BJ81:BJ84 BF82:BF83 BF87 BH87 BJ87 BD87:BD89 BF89 BH89 BJ89 BD105 BF105:BF106 BF108:BF109 BD108:BD110 BH108:BH110 BF111 BD113:BD114 BF113:BF116 BD116 BD118:BD119 BF118:BF119 BD121 BF121:BF125 BD123:BD125 BD127 BF127:BF129 BD129:BD130 BD132 BF132 BD155:BD157 BF155:BF159 BH155:BH159 BJ155:BJ159 BD159 BD161 BF161 BH161:BH168 BJ161:BJ168 BD163:BD169 BF163:BF169 BD171:BD172 BF171:BF175 BD174:BD175 BD177 BF179 BD179:BD180 BD182 BJ182:BJ184 BF182:BF191 BH182:BH191 BD184 BJ186:BJ187 BD186:BD191 BJ189:BJ191 BB231:BD232 BH280:BH281 BJ280:BJ281 BF280:BF284 BD280:BD285 BH283:BH286 BJ283:BJ286 BF286 BF295:BG295 BI295:BI302 BG296:BG302 BF299:BF300 BD301 BD305:BD307 BD310 BD313 BF315 BH315 BF320:BF321 BD321 BF330:BF331 BH330:BH331 BF333 BH333 BF341 BH341 BD341:BD343 BF343 BH343 BF353:BF356 BD353:BD358 BH353:BH359 AZ354 BB354 BF358 BD362 BF362 BH362 BD364 BF364:BF365 BH364:BH365 BI364:BI412 BD366 AP366:AP367 BH368:BH369 AP369 AZ369 BB369 BD371 BF371 BF373 BF375 AP376 BD376 BH376:BH379 BD378 BF378 BD380 BF380:BF382 BH381:BH385 BD383:BD387 BB383:BB388 BF384:BF387 BH387 BF389:BF390 BH389:BH392 BD390 BF397 BH397:BH401 BD401 BF401 BF403 BH403:BH405 AP404 AZ404 BD405 BD408 BH408 BH410:BH411 AX413 BF413 BD414 BD418 BF418 BF421:BF422 BH421:BH422 BJ422 BF424:BF426 BH424:BH426 BJ424:BJ426 BD436 BF436:BF440 BH437:BH440 BD438:BD441">
    <cfRule type="containsText" dxfId="1948" priority="6241" operator="containsText" text="Not Met">
      <formula>NOT(ISERROR(SEARCH("Not Met",AP2)))</formula>
    </cfRule>
  </conditionalFormatting>
  <conditionalFormatting sqref="AP20:AP43 AP324:AP352 AP81:AP89 AP229:AP242 AR97:AW104 AP97:AP134 AR346:AW352 AM20:AO23 AT34:AT41 AP147:AP193 AR182:AT193 AR229:AR242 AS236:AT242 AR257:AR259 AP282:AP286 AP295:AP302 AP304:AP312 AP316:AP322 AR338:AV345 AP371:AP374 AP378:AP381 AP383:AP395 AP397:AP402">
    <cfRule type="containsText" dxfId="1947" priority="6079" operator="containsText" text="Not Met">
      <formula>NOT(ISERROR(SEARCH("Not Met",AM20)))</formula>
    </cfRule>
  </conditionalFormatting>
  <conditionalFormatting sqref="AP44:AP50">
    <cfRule type="containsText" dxfId="1946" priority="5208" operator="containsText" text="Not Met">
      <formula>NOT(ISERROR(SEARCH("Not Met",AP44)))</formula>
    </cfRule>
    <cfRule type="containsText" dxfId="1945" priority="5209" operator="containsText" text="Met">
      <formula>NOT(ISERROR(SEARCH("Met",AP44)))</formula>
    </cfRule>
  </conditionalFormatting>
  <conditionalFormatting sqref="AP60:AP80 AT81:AT89 AP83 AT148:AT158 AT404:AT420 AT147:AW147 AU148:AW154">
    <cfRule type="containsText" dxfId="1944" priority="6047" operator="containsText" text="Met">
      <formula>NOT(ISERROR(SEARCH("Met",AP60)))</formula>
    </cfRule>
  </conditionalFormatting>
  <conditionalFormatting sqref="AP60:AP80 AT81:AT89 AP83">
    <cfRule type="containsText" dxfId="1943" priority="6046" operator="containsText" text="Not Met">
      <formula>NOT(ISERROR(SEARCH("Not Met",AP60)))</formula>
    </cfRule>
  </conditionalFormatting>
  <conditionalFormatting sqref="AP313:AP315">
    <cfRule type="containsText" dxfId="1942" priority="6125" operator="containsText" text="Met">
      <formula>NOT(ISERROR(SEARCH("Met",AP313)))</formula>
    </cfRule>
    <cfRule type="containsText" dxfId="1941" priority="6124" operator="containsText" text="Not Met">
      <formula>NOT(ISERROR(SEARCH("Not Met",AP313)))</formula>
    </cfRule>
  </conditionalFormatting>
  <conditionalFormatting sqref="AP314">
    <cfRule type="containsText" dxfId="1940" priority="6105" operator="containsText" text="Not Met">
      <formula>NOT(ISERROR(SEARCH("Not Met",AP314)))</formula>
    </cfRule>
  </conditionalFormatting>
  <conditionalFormatting sqref="AP346">
    <cfRule type="containsText" dxfId="1939" priority="6064" operator="containsText" text="Met">
      <formula>NOT(ISERROR(SEARCH("Met",AP346)))</formula>
    </cfRule>
    <cfRule type="containsText" dxfId="1938" priority="6063" operator="containsText" text="Not Met">
      <formula>NOT(ISERROR(SEARCH("Not Met",AP346)))</formula>
    </cfRule>
  </conditionalFormatting>
  <conditionalFormatting sqref="AP347:AP352 AR347:AW352">
    <cfRule type="containsText" dxfId="1937" priority="6235" operator="containsText" text="Not Met">
      <formula>NOT(ISERROR(SEARCH("Not Met",AP347)))</formula>
    </cfRule>
    <cfRule type="containsText" dxfId="1936" priority="6236" operator="containsText" text="Met">
      <formula>NOT(ISERROR(SEARCH("Met",AP347)))</formula>
    </cfRule>
  </conditionalFormatting>
  <conditionalFormatting sqref="AP357:AP364">
    <cfRule type="containsText" dxfId="1935" priority="5154" operator="containsText" text="Met">
      <formula>NOT(ISERROR(SEARCH("Met",AP357)))</formula>
    </cfRule>
    <cfRule type="containsText" dxfId="1934" priority="5153" operator="containsText" text="Not Met">
      <formula>NOT(ISERROR(SEARCH("Not Met",AP357)))</formula>
    </cfRule>
  </conditionalFormatting>
  <conditionalFormatting sqref="AP414:AP419">
    <cfRule type="containsText" dxfId="1933" priority="6056" operator="containsText" text="Not Met">
      <formula>NOT(ISERROR(SEARCH("Not Met",AP414)))</formula>
    </cfRule>
  </conditionalFormatting>
  <conditionalFormatting sqref="AP417:AP419">
    <cfRule type="containsText" dxfId="1932" priority="6051" operator="containsText" text="Met">
      <formula>NOT(ISERROR(SEARCH("Met",AP417)))</formula>
    </cfRule>
    <cfRule type="containsText" dxfId="1931" priority="6050" operator="containsText" text="Not Met">
      <formula>NOT(ISERROR(SEARCH("Not Met",AP417)))</formula>
    </cfRule>
  </conditionalFormatting>
  <conditionalFormatting sqref="AP444:AP457">
    <cfRule type="containsText" dxfId="1930" priority="790" operator="containsText" text="Not Met">
      <formula>NOT(ISERROR(SEARCH("Not Met",AP444)))</formula>
    </cfRule>
    <cfRule type="containsText" dxfId="1929" priority="791" operator="containsText" text="Met">
      <formula>NOT(ISERROR(SEARCH("Met",AP444)))</formula>
    </cfRule>
  </conditionalFormatting>
  <conditionalFormatting sqref="AQ2:AQ5">
    <cfRule type="containsText" dxfId="1928" priority="5265" operator="containsText" text="Met">
      <formula>NOT(ISERROR(SEARCH("Met",AQ2)))</formula>
    </cfRule>
    <cfRule type="containsText" dxfId="1927" priority="5264" operator="containsText" text="Not Met">
      <formula>NOT(ISERROR(SEARCH("Not Met",AQ2)))</formula>
    </cfRule>
  </conditionalFormatting>
  <conditionalFormatting sqref="AQ5:AQ10">
    <cfRule type="containsText" dxfId="1926" priority="5267" operator="containsText" text="Met">
      <formula>NOT(ISERROR(SEARCH("Met",AQ5)))</formula>
    </cfRule>
    <cfRule type="containsText" dxfId="1925" priority="5266" operator="containsText" text="Not Met">
      <formula>NOT(ISERROR(SEARCH("Not Met",AQ5)))</formula>
    </cfRule>
  </conditionalFormatting>
  <conditionalFormatting sqref="AQ12:AQ14">
    <cfRule type="containsText" dxfId="1924" priority="5488" operator="containsText" text="Not Met">
      <formula>NOT(ISERROR(SEARCH("Not Met",AQ12)))</formula>
    </cfRule>
    <cfRule type="containsText" dxfId="1923" priority="5489" operator="containsText" text="Met">
      <formula>NOT(ISERROR(SEARCH("Met",AQ12)))</formula>
    </cfRule>
  </conditionalFormatting>
  <conditionalFormatting sqref="AQ14">
    <cfRule type="containsText" dxfId="1922" priority="5487" operator="containsText" text="Met">
      <formula>NOT(ISERROR(SEARCH("Met",AQ14)))</formula>
    </cfRule>
    <cfRule type="containsText" dxfId="1921" priority="5486" operator="containsText" text="Not Met">
      <formula>NOT(ISERROR(SEARCH("Not Met",AQ14)))</formula>
    </cfRule>
  </conditionalFormatting>
  <conditionalFormatting sqref="AQ14:AQ15">
    <cfRule type="containsText" dxfId="1920" priority="5477" operator="containsText" text="Not Met">
      <formula>NOT(ISERROR(SEARCH("Not Met",AQ14)))</formula>
    </cfRule>
    <cfRule type="containsText" dxfId="1919" priority="5478" operator="containsText" text="Met">
      <formula>NOT(ISERROR(SEARCH("Met",AQ14)))</formula>
    </cfRule>
  </conditionalFormatting>
  <conditionalFormatting sqref="AQ20:AQ23 AR20:AT33 AR60:AR89 AR147:AR154 AR156:AS158 AR166:AR181 AR280:AR284 AR285:AS286 AR295:AR302 AR304:AR308 AR310:AR322 AR330:AR337 AR413:AR426">
    <cfRule type="containsText" dxfId="1918" priority="5390" operator="containsText" text="Met">
      <formula>NOT(ISERROR(SEARCH("Met",AQ20)))</formula>
    </cfRule>
  </conditionalFormatting>
  <conditionalFormatting sqref="AQ25">
    <cfRule type="containsText" dxfId="1917" priority="5376" operator="containsText" text="Not Met">
      <formula>NOT(ISERROR(SEARCH("Not Met",AQ25)))</formula>
    </cfRule>
    <cfRule type="containsText" dxfId="1916" priority="5377" operator="containsText" text="Met">
      <formula>NOT(ISERROR(SEARCH("Met",AQ25)))</formula>
    </cfRule>
  </conditionalFormatting>
  <conditionalFormatting sqref="AQ27:AQ32">
    <cfRule type="containsText" dxfId="1915" priority="5387" operator="containsText" text="Not Met">
      <formula>NOT(ISERROR(SEARCH("Not Met",AQ27)))</formula>
    </cfRule>
    <cfRule type="containsText" dxfId="1914" priority="5388" operator="containsText" text="Met">
      <formula>NOT(ISERROR(SEARCH("Met",AQ27)))</formula>
    </cfRule>
  </conditionalFormatting>
  <conditionalFormatting sqref="AQ34:AQ53">
    <cfRule type="containsText" dxfId="1913" priority="5186" operator="containsText" text="Not Met">
      <formula>NOT(ISERROR(SEARCH("Not Met",AQ34)))</formula>
    </cfRule>
    <cfRule type="containsText" dxfId="1912" priority="5187" operator="containsText" text="Met">
      <formula>NOT(ISERROR(SEARCH("Met",AQ34)))</formula>
    </cfRule>
  </conditionalFormatting>
  <conditionalFormatting sqref="AQ51">
    <cfRule type="containsText" dxfId="1911" priority="5258" operator="containsText" text="Not Met">
      <formula>NOT(ISERROR(SEARCH("Not Met",AQ51)))</formula>
    </cfRule>
    <cfRule type="containsText" dxfId="1910" priority="5259" operator="containsText" text="Met">
      <formula>NOT(ISERROR(SEARCH("Met",AQ51)))</formula>
    </cfRule>
  </conditionalFormatting>
  <conditionalFormatting sqref="AQ62:AQ68">
    <cfRule type="containsText" dxfId="1909" priority="5015" operator="containsText" text="Not Met">
      <formula>NOT(ISERROR(SEARCH("Not Met",AQ62)))</formula>
    </cfRule>
    <cfRule type="containsText" dxfId="1908" priority="5016" operator="containsText" text="Met">
      <formula>NOT(ISERROR(SEARCH("Met",AQ62)))</formula>
    </cfRule>
  </conditionalFormatting>
  <conditionalFormatting sqref="AQ70:AQ71">
    <cfRule type="containsText" dxfId="1907" priority="4992" operator="containsText" text="Met">
      <formula>NOT(ISERROR(SEARCH("Met",AQ70)))</formula>
    </cfRule>
    <cfRule type="containsText" dxfId="1906" priority="4991" operator="containsText" text="Not Met">
      <formula>NOT(ISERROR(SEARCH("Not Met",AQ70)))</formula>
    </cfRule>
  </conditionalFormatting>
  <conditionalFormatting sqref="AQ73">
    <cfRule type="containsText" dxfId="1905" priority="4998" operator="containsText" text="Met">
      <formula>NOT(ISERROR(SEARCH("Met",AQ73)))</formula>
    </cfRule>
    <cfRule type="containsText" dxfId="1904" priority="4997" operator="containsText" text="Not Met">
      <formula>NOT(ISERROR(SEARCH("Not Met",AQ73)))</formula>
    </cfRule>
  </conditionalFormatting>
  <conditionalFormatting sqref="AQ78:AQ96 AS78:AS96 AK90:AK104 AY90:AY106 B129:B134">
    <cfRule type="containsText" dxfId="1903" priority="16008" operator="containsText" text="Met">
      <formula>NOT(ISERROR(SEARCH("Met",B78)))</formula>
    </cfRule>
    <cfRule type="containsText" dxfId="1902" priority="16007" operator="containsText" text="Not Met">
      <formula>NOT(ISERROR(SEARCH("Not Met",B78)))</formula>
    </cfRule>
  </conditionalFormatting>
  <conditionalFormatting sqref="AQ105:AQ107">
    <cfRule type="containsText" dxfId="1901" priority="5527" operator="containsText" text="Met">
      <formula>NOT(ISERROR(SEARCH("Met",AQ105)))</formula>
    </cfRule>
    <cfRule type="containsText" dxfId="1900" priority="5526" operator="containsText" text="Not Met">
      <formula>NOT(ISERROR(SEARCH("Not Met",AQ105)))</formula>
    </cfRule>
  </conditionalFormatting>
  <conditionalFormatting sqref="AQ109:AQ146 AS113:AS146">
    <cfRule type="containsText" dxfId="1899" priority="5280" operator="containsText" text="Not Met">
      <formula>NOT(ISERROR(SEARCH("Not Met",AQ109)))</formula>
    </cfRule>
    <cfRule type="containsText" dxfId="1898" priority="5281" operator="containsText" text="Met">
      <formula>NOT(ISERROR(SEARCH("Met",AQ109)))</formula>
    </cfRule>
  </conditionalFormatting>
  <conditionalFormatting sqref="AQ182:AQ191">
    <cfRule type="containsText" dxfId="1897" priority="4984" operator="containsText" text="Met">
      <formula>NOT(ISERROR(SEARCH("Met",AQ182)))</formula>
    </cfRule>
    <cfRule type="containsText" dxfId="1896" priority="4983" operator="containsText" text="Not Met">
      <formula>NOT(ISERROR(SEARCH("Not Met",AQ182)))</formula>
    </cfRule>
  </conditionalFormatting>
  <conditionalFormatting sqref="AQ243:AQ258">
    <cfRule type="containsText" dxfId="1895" priority="5180" operator="containsText" text="Not Met">
      <formula>NOT(ISERROR(SEARCH("Not Met",AQ243)))</formula>
    </cfRule>
    <cfRule type="containsText" dxfId="1894" priority="5181" operator="containsText" text="Met">
      <formula>NOT(ISERROR(SEARCH("Met",AQ243)))</formula>
    </cfRule>
  </conditionalFormatting>
  <conditionalFormatting sqref="AQ322">
    <cfRule type="containsText" dxfId="1893" priority="5577" operator="containsText" text="Met">
      <formula>NOT(ISERROR(SEARCH("Met",AQ322)))</formula>
    </cfRule>
    <cfRule type="containsText" dxfId="1892" priority="5576" operator="containsText" text="Not Met">
      <formula>NOT(ISERROR(SEARCH("Not Met",AQ322)))</formula>
    </cfRule>
  </conditionalFormatting>
  <conditionalFormatting sqref="AQ337">
    <cfRule type="containsText" dxfId="1891" priority="5622" operator="containsText" text="Met">
      <formula>NOT(ISERROR(SEARCH("Met",AQ337)))</formula>
    </cfRule>
  </conditionalFormatting>
  <conditionalFormatting sqref="AQ337:AQ377">
    <cfRule type="containsText" dxfId="1890" priority="4982" operator="containsText" text="Not Met">
      <formula>NOT(ISERROR(SEARCH("Not Met",AQ337)))</formula>
    </cfRule>
  </conditionalFormatting>
  <conditionalFormatting sqref="AQ382 AQ389 AQ396 AQ403 AQ353:AQ377">
    <cfRule type="containsText" dxfId="1889" priority="5140" operator="containsText" text="Met">
      <formula>NOT(ISERROR(SEARCH("Met",AQ353)))</formula>
    </cfRule>
  </conditionalFormatting>
  <conditionalFormatting sqref="AQ382 AQ389 AQ396 AQ403">
    <cfRule type="containsText" dxfId="1888" priority="5139" operator="containsText" text="Not Met">
      <formula>NOT(ISERROR(SEARCH("Not Met",AQ382)))</formula>
    </cfRule>
  </conditionalFormatting>
  <conditionalFormatting sqref="AQ416">
    <cfRule type="containsText" dxfId="1887" priority="5307" operator="containsText" text="Met">
      <formula>NOT(ISERROR(SEARCH("Met",AQ416)))</formula>
    </cfRule>
    <cfRule type="containsText" dxfId="1886" priority="5306" operator="containsText" text="Not Met">
      <formula>NOT(ISERROR(SEARCH("Not Met",AQ416)))</formula>
    </cfRule>
  </conditionalFormatting>
  <conditionalFormatting sqref="AQ444:AQ457">
    <cfRule type="containsText" dxfId="1885" priority="780" operator="containsText" text="Not Met">
      <formula>NOT(ISERROR(SEARCH("Not Met",AQ444)))</formula>
    </cfRule>
    <cfRule type="containsText" dxfId="1884" priority="781" operator="containsText" text="Met">
      <formula>NOT(ISERROR(SEARCH("Met",AQ444)))</formula>
    </cfRule>
  </conditionalFormatting>
  <conditionalFormatting sqref="AQ406:AR412">
    <cfRule type="containsText" dxfId="1883" priority="4592" operator="containsText" text="Not Met">
      <formula>NOT(ISERROR(SEARCH("Not Met",AQ406)))</formula>
    </cfRule>
    <cfRule type="containsText" dxfId="1882" priority="4593" operator="containsText" text="Met">
      <formula>NOT(ISERROR(SEARCH("Met",AQ406)))</formula>
    </cfRule>
  </conditionalFormatting>
  <conditionalFormatting sqref="AQ33:AV33">
    <cfRule type="containsText" dxfId="1881" priority="4878" operator="containsText" text="Met">
      <formula>NOT(ISERROR(SEARCH("Met",AQ33)))</formula>
    </cfRule>
    <cfRule type="containsText" dxfId="1880" priority="4877" operator="containsText" text="Not Met">
      <formula>NOT(ISERROR(SEARCH("Not Met",AQ33)))</formula>
    </cfRule>
  </conditionalFormatting>
  <conditionalFormatting sqref="AQ332:AV332">
    <cfRule type="containsText" dxfId="1879" priority="4750" operator="containsText" text="Not Met">
      <formula>NOT(ISERROR(SEARCH("Not Met",AQ332)))</formula>
    </cfRule>
  </conditionalFormatting>
  <conditionalFormatting sqref="AQ60:AW61">
    <cfRule type="containsText" dxfId="1878" priority="5023" operator="containsText" text="Not Met">
      <formula>NOT(ISERROR(SEARCH("Not Met",AQ60)))</formula>
    </cfRule>
    <cfRule type="containsText" dxfId="1877" priority="5024" operator="containsText" text="Met">
      <formula>NOT(ISERROR(SEARCH("Met",AQ60)))</formula>
    </cfRule>
  </conditionalFormatting>
  <conditionalFormatting sqref="AQ346:AY352">
    <cfRule type="containsText" dxfId="1876" priority="5173" operator="containsText" text="Not Met">
      <formula>NOT(ISERROR(SEARCH("Not Met",AQ346)))</formula>
    </cfRule>
  </conditionalFormatting>
  <conditionalFormatting sqref="AR34:AR50">
    <cfRule type="containsText" dxfId="1875" priority="5198" operator="containsText" text="Not Met">
      <formula>NOT(ISERROR(SEARCH("Not Met",AR34)))</formula>
    </cfRule>
    <cfRule type="containsText" dxfId="1874" priority="5199" operator="containsText" text="Met">
      <formula>NOT(ISERROR(SEARCH("Met",AR34)))</formula>
    </cfRule>
  </conditionalFormatting>
  <conditionalFormatting sqref="AR60:AR89 AR155:AT160 AR161:AR181 AR280:AR287 AR304:AR308 AR330:AR337 AR413:AR426 AR310:AR322 AR20:AT33 AQ20:AQ23 AR147:AR154 AR295:AR302">
    <cfRule type="containsText" dxfId="1873" priority="5389" operator="containsText" text="Not Met">
      <formula>NOT(ISERROR(SEARCH("Not Met",AQ20)))</formula>
    </cfRule>
  </conditionalFormatting>
  <conditionalFormatting sqref="AR69 AR72 AR75:AR77 AR97:AR134 AR160 AR166 AR229:AR242 AO259:AT259 AR261:AR272 AR287 AR336 AR421:AR426 AR304">
    <cfRule type="containsText" dxfId="1872" priority="5189" operator="containsText" text="Met">
      <formula>NOT(ISERROR(SEARCH("Met",AO69)))</formula>
    </cfRule>
  </conditionalFormatting>
  <conditionalFormatting sqref="AR69 AR72 AR75:AR77 AR97:AR134 AR160 AR166 AR229:AR242 AO259:AT259 AR261:AR272 AR287 AR336 AR421:AR426">
    <cfRule type="containsText" dxfId="1871" priority="5188" operator="containsText" text="Not Met">
      <formula>NOT(ISERROR(SEARCH("Not Met",AO69)))</formula>
    </cfRule>
  </conditionalFormatting>
  <conditionalFormatting sqref="AR338:AR381">
    <cfRule type="containsText" dxfId="1870" priority="5132" operator="containsText" text="Met">
      <formula>NOT(ISERROR(SEARCH("Met",AR338)))</formula>
    </cfRule>
    <cfRule type="containsText" dxfId="1869" priority="4981" operator="containsText" text="Not Met">
      <formula>NOT(ISERROR(SEARCH("Not Met",AR338)))</formula>
    </cfRule>
  </conditionalFormatting>
  <conditionalFormatting sqref="AR404:AR406">
    <cfRule type="containsText" dxfId="1868" priority="4591" operator="containsText" text="Met">
      <formula>NOT(ISERROR(SEARCH("Met",AR404)))</formula>
    </cfRule>
    <cfRule type="containsText" dxfId="1867" priority="4590" operator="containsText" text="Not Met">
      <formula>NOT(ISERROR(SEARCH("Not Met",AR404)))</formula>
    </cfRule>
  </conditionalFormatting>
  <conditionalFormatting sqref="AR428:AR443">
    <cfRule type="containsText" dxfId="1866" priority="5318" operator="containsText" text="Not Met">
      <formula>NOT(ISERROR(SEARCH("Not Met",AR428)))</formula>
    </cfRule>
    <cfRule type="containsText" dxfId="1865" priority="5319" operator="containsText" text="Met">
      <formula>NOT(ISERROR(SEARCH("Met",AR428)))</formula>
    </cfRule>
    <cfRule type="containsText" dxfId="1864" priority="5292" operator="containsText" text="Not Met">
      <formula>NOT(ISERROR(SEARCH("Not Met",AR428)))</formula>
    </cfRule>
    <cfRule type="containsText" dxfId="1863" priority="5321" operator="containsText" text="Met">
      <formula>NOT(ISERROR(SEARCH("Met",AR428)))</formula>
    </cfRule>
    <cfRule type="containsText" dxfId="1862" priority="5320" operator="containsText" text="Not Met">
      <formula>NOT(ISERROR(SEARCH("Not Met",AR428)))</formula>
    </cfRule>
    <cfRule type="containsText" dxfId="1861" priority="5293" operator="containsText" text="Met">
      <formula>NOT(ISERROR(SEARCH("Met",AR428)))</formula>
    </cfRule>
    <cfRule type="containsText" dxfId="1860" priority="5294" operator="containsText" text="Not Met">
      <formula>NOT(ISERROR(SEARCH("Not Met",AR428)))</formula>
    </cfRule>
    <cfRule type="containsText" dxfId="1859" priority="5295" operator="containsText" text="Met">
      <formula>NOT(ISERROR(SEARCH("Met",AR428)))</formula>
    </cfRule>
    <cfRule type="containsText" dxfId="1858" priority="5317" operator="containsText" text="Met">
      <formula>NOT(ISERROR(SEARCH("Met",AR428)))</formula>
    </cfRule>
  </conditionalFormatting>
  <conditionalFormatting sqref="AR444:AR457">
    <cfRule type="containsText" dxfId="1857" priority="782" operator="containsText" text="Not Met">
      <formula>NOT(ISERROR(SEARCH("Not Met",AR444)))</formula>
    </cfRule>
    <cfRule type="containsText" dxfId="1856" priority="783" operator="containsText" text="Met">
      <formula>NOT(ISERROR(SEARCH("Met",AR444)))</formula>
    </cfRule>
  </conditionalFormatting>
  <conditionalFormatting sqref="AR309:AV309">
    <cfRule type="containsText" dxfId="1855" priority="5348" operator="containsText" text="Met">
      <formula>NOT(ISERROR(SEARCH("Met",AR309)))</formula>
    </cfRule>
    <cfRule type="containsText" dxfId="1854" priority="5347" operator="containsText" text="Not Met">
      <formula>NOT(ISERROR(SEARCH("Not Met",AR309)))</formula>
    </cfRule>
  </conditionalFormatting>
  <conditionalFormatting sqref="AR311:AV312">
    <cfRule type="containsText" dxfId="1853" priority="4970" operator="containsText" text="Met">
      <formula>NOT(ISERROR(SEARCH("Met",AR311)))</formula>
    </cfRule>
    <cfRule type="containsText" dxfId="1852" priority="4969" operator="containsText" text="Not Met">
      <formula>NOT(ISERROR(SEARCH("Not Met",AR311)))</formula>
    </cfRule>
  </conditionalFormatting>
  <conditionalFormatting sqref="AR314:AV314">
    <cfRule type="containsText" dxfId="1851" priority="4974" operator="containsText" text="Met">
      <formula>NOT(ISERROR(SEARCH("Met",AR314)))</formula>
    </cfRule>
  </conditionalFormatting>
  <conditionalFormatting sqref="AR314:AW314">
    <cfRule type="containsText" dxfId="1850" priority="4493" operator="containsText" text="Not Met">
      <formula>NOT(ISERROR(SEARCH("Not Met",AR314)))</formula>
    </cfRule>
  </conditionalFormatting>
  <conditionalFormatting sqref="AR346:AW346">
    <cfRule type="containsText" dxfId="1849" priority="5811" operator="containsText" text="Met">
      <formula>NOT(ISERROR(SEARCH("Met",AR346)))</formula>
    </cfRule>
  </conditionalFormatting>
  <conditionalFormatting sqref="AR347:AW352 AP347:AP356 AP324:AP329 AP338:AP345 AR338:AV345 AS42:AW48">
    <cfRule type="containsText" dxfId="1848" priority="6237" operator="containsText" text="Not Met">
      <formula>NOT(ISERROR(SEARCH("Not Met",AP42)))</formula>
    </cfRule>
  </conditionalFormatting>
  <conditionalFormatting sqref="AR304:AX304">
    <cfRule type="containsText" dxfId="1847" priority="4499" operator="containsText" text="Not Met">
      <formula>NOT(ISERROR(SEARCH("Not Met",AR304)))</formula>
    </cfRule>
  </conditionalFormatting>
  <conditionalFormatting sqref="AR34:AY41 AT97:AY104 BA97:BA104 AX147:AY154 AX317 AX346:AY352 AX442:AX443">
    <cfRule type="containsText" dxfId="1846" priority="4638" operator="containsText" text="Met">
      <formula>NOT(ISERROR(SEARCH("Met",AR34)))</formula>
    </cfRule>
  </conditionalFormatting>
  <conditionalFormatting sqref="AS2:AS5">
    <cfRule type="containsText" dxfId="1845" priority="5260" operator="containsText" text="Not Met">
      <formula>NOT(ISERROR(SEARCH("Not Met",AS2)))</formula>
    </cfRule>
    <cfRule type="containsText" dxfId="1844" priority="5261" operator="containsText" text="Met">
      <formula>NOT(ISERROR(SEARCH("Met",AS2)))</formula>
    </cfRule>
  </conditionalFormatting>
  <conditionalFormatting sqref="AS5:AS10">
    <cfRule type="containsText" dxfId="1843" priority="5262" operator="containsText" text="Not Met">
      <formula>NOT(ISERROR(SEARCH("Not Met",AS5)))</formula>
    </cfRule>
    <cfRule type="containsText" dxfId="1842" priority="5263" operator="containsText" text="Met">
      <formula>NOT(ISERROR(SEARCH("Met",AS5)))</formula>
    </cfRule>
  </conditionalFormatting>
  <conditionalFormatting sqref="AS8:AS10 AS12">
    <cfRule type="containsText" dxfId="1841" priority="5485" operator="containsText" text="Met">
      <formula>NOT(ISERROR(SEARCH("Met",AS8)))</formula>
    </cfRule>
    <cfRule type="containsText" dxfId="1840" priority="5484" operator="containsText" text="Not Met">
      <formula>NOT(ISERROR(SEARCH("Not Met",AS8)))</formula>
    </cfRule>
    <cfRule type="containsText" dxfId="1839" priority="5483" operator="containsText" text="Met">
      <formula>NOT(ISERROR(SEARCH("Met",AS8)))</formula>
    </cfRule>
  </conditionalFormatting>
  <conditionalFormatting sqref="AS12 AS8:AS10">
    <cfRule type="containsText" dxfId="1838" priority="5482" operator="containsText" text="Not Met">
      <formula>NOT(ISERROR(SEARCH("Not Met",AS8)))</formula>
    </cfRule>
  </conditionalFormatting>
  <conditionalFormatting sqref="AS12:AS14">
    <cfRule type="containsText" dxfId="1837" priority="5474" operator="containsText" text="Met">
      <formula>NOT(ISERROR(SEARCH("Met",AS12)))</formula>
    </cfRule>
    <cfRule type="containsText" dxfId="1836" priority="5473" operator="containsText" text="Not Met">
      <formula>NOT(ISERROR(SEARCH("Not Met",AS12)))</formula>
    </cfRule>
  </conditionalFormatting>
  <conditionalFormatting sqref="AS14">
    <cfRule type="containsText" dxfId="1835" priority="5472" operator="containsText" text="Met">
      <formula>NOT(ISERROR(SEARCH("Met",AS14)))</formula>
    </cfRule>
    <cfRule type="containsText" dxfId="1834" priority="5471" operator="containsText" text="Not Met">
      <formula>NOT(ISERROR(SEARCH("Not Met",AS14)))</formula>
    </cfRule>
  </conditionalFormatting>
  <conditionalFormatting sqref="AS14:AS15">
    <cfRule type="containsText" dxfId="1833" priority="5466" operator="containsText" text="Met">
      <formula>NOT(ISERROR(SEARCH("Met",AS14)))</formula>
    </cfRule>
    <cfRule type="containsText" dxfId="1832" priority="5465" operator="containsText" text="Not Met">
      <formula>NOT(ISERROR(SEARCH("Not Met",AS14)))</formula>
    </cfRule>
  </conditionalFormatting>
  <conditionalFormatting sqref="AS49:AS53">
    <cfRule type="containsText" dxfId="1831" priority="5253" operator="containsText" text="Met">
      <formula>NOT(ISERROR(SEARCH("Met",AS49)))</formula>
    </cfRule>
    <cfRule type="containsText" dxfId="1830" priority="5252" operator="containsText" text="Not Met">
      <formula>NOT(ISERROR(SEARCH("Not Met",AS49)))</formula>
    </cfRule>
  </conditionalFormatting>
  <conditionalFormatting sqref="AS51">
    <cfRule type="containsText" dxfId="1829" priority="5254" operator="containsText" text="Not Met">
      <formula>NOT(ISERROR(SEARCH("Not Met",AS51)))</formula>
    </cfRule>
    <cfRule type="containsText" dxfId="1828" priority="5255" operator="containsText" text="Met">
      <formula>NOT(ISERROR(SEARCH("Met",AS51)))</formula>
    </cfRule>
  </conditionalFormatting>
  <conditionalFormatting sqref="AS111">
    <cfRule type="containsText" dxfId="1827" priority="5519" operator="containsText" text="Met">
      <formula>NOT(ISERROR(SEARCH("Met",AS111)))</formula>
    </cfRule>
    <cfRule type="containsText" dxfId="1826" priority="5518" operator="containsText" text="Not Met">
      <formula>NOT(ISERROR(SEARCH("Not Met",AS111)))</formula>
    </cfRule>
  </conditionalFormatting>
  <conditionalFormatting sqref="AS212:AS228">
    <cfRule type="containsText" dxfId="1825" priority="5275" operator="containsText" text="Met">
      <formula>NOT(ISERROR(SEARCH("Met",AS212)))</formula>
    </cfRule>
    <cfRule type="containsText" dxfId="1824" priority="5274" operator="containsText" text="Not Met">
      <formula>NOT(ISERROR(SEARCH("Not Met",AS212)))</formula>
    </cfRule>
  </conditionalFormatting>
  <conditionalFormatting sqref="AS243:AS258">
    <cfRule type="containsText" dxfId="1823" priority="5177" operator="containsText" text="Met">
      <formula>NOT(ISERROR(SEARCH("Met",AS243)))</formula>
    </cfRule>
    <cfRule type="containsText" dxfId="1822" priority="5176" operator="containsText" text="Not Met">
      <formula>NOT(ISERROR(SEARCH("Not Met",AS243)))</formula>
    </cfRule>
  </conditionalFormatting>
  <conditionalFormatting sqref="AS280:AS282">
    <cfRule type="containsText" dxfId="1821" priority="5395" operator="containsText" text="Met">
      <formula>NOT(ISERROR(SEARCH("Met",AS280)))</formula>
    </cfRule>
  </conditionalFormatting>
  <conditionalFormatting sqref="AS280:AS283 AS285:AS286">
    <cfRule type="containsText" dxfId="1820" priority="5406" operator="containsText" text="Not Met">
      <formula>NOT(ISERROR(SEARCH("Not Met",AS280)))</formula>
    </cfRule>
  </conditionalFormatting>
  <conditionalFormatting sqref="AS282:AS283">
    <cfRule type="containsText" dxfId="1819" priority="5407" operator="containsText" text="Met">
      <formula>NOT(ISERROR(SEARCH("Met",AS282)))</formula>
    </cfRule>
  </conditionalFormatting>
  <conditionalFormatting sqref="AS338:AS352">
    <cfRule type="containsText" dxfId="1818" priority="4980" operator="containsText" text="Not Met">
      <formula>NOT(ISERROR(SEARCH("Not Met",AS338)))</formula>
    </cfRule>
  </conditionalFormatting>
  <conditionalFormatting sqref="AS353:AS364 AS374 AS380:AS381 AR383:AS395 AR397:AS402">
    <cfRule type="containsText" dxfId="1817" priority="5145" operator="containsText" text="Not Met">
      <formula>NOT(ISERROR(SEARCH("Not Met",AR353)))</formula>
    </cfRule>
  </conditionalFormatting>
  <conditionalFormatting sqref="AS364 AS374 AS380:AS381 AR383:AS395 AR397:AS402">
    <cfRule type="containsText" dxfId="1816" priority="5146" operator="containsText" text="Met">
      <formula>NOT(ISERROR(SEARCH("Met",AR364)))</formula>
    </cfRule>
  </conditionalFormatting>
  <conditionalFormatting sqref="AS364:AS377">
    <cfRule type="containsText" dxfId="1815" priority="5141" operator="containsText" text="Not Met">
      <formula>NOT(ISERROR(SEARCH("Not Met",AS364)))</formula>
    </cfRule>
    <cfRule type="containsText" dxfId="1814" priority="5142" operator="containsText" text="Met">
      <formula>NOT(ISERROR(SEARCH("Met",AS364)))</formula>
    </cfRule>
  </conditionalFormatting>
  <conditionalFormatting sqref="AS366:AS367 AS404">
    <cfRule type="containsText" dxfId="1813" priority="5147" operator="containsText" text="Not Met">
      <formula>NOT(ISERROR(SEARCH("Not Met",AS366)))</formula>
    </cfRule>
    <cfRule type="containsText" dxfId="1812" priority="5148" operator="containsText" text="Met">
      <formula>NOT(ISERROR(SEARCH("Met",AS366)))</formula>
    </cfRule>
  </conditionalFormatting>
  <conditionalFormatting sqref="AS416">
    <cfRule type="containsText" dxfId="1811" priority="5297" operator="containsText" text="Met">
      <formula>NOT(ISERROR(SEARCH("Met",AS416)))</formula>
    </cfRule>
    <cfRule type="containsText" dxfId="1810" priority="5296" operator="containsText" text="Not Met">
      <formula>NOT(ISERROR(SEARCH("Not Met",AS416)))</formula>
    </cfRule>
  </conditionalFormatting>
  <conditionalFormatting sqref="AS444:AS457">
    <cfRule type="containsText" dxfId="1809" priority="779" operator="containsText" text="Met">
      <formula>NOT(ISERROR(SEARCH("Met",AS444)))</formula>
    </cfRule>
    <cfRule type="containsText" dxfId="1808" priority="778" operator="containsText" text="Not Met">
      <formula>NOT(ISERROR(SEARCH("Not Met",AS444)))</formula>
    </cfRule>
  </conditionalFormatting>
  <conditionalFormatting sqref="AS353:AT363">
    <cfRule type="containsText" dxfId="1807" priority="5152" operator="containsText" text="Met">
      <formula>NOT(ISERROR(SEARCH("Met",AS353)))</formula>
    </cfRule>
  </conditionalFormatting>
  <conditionalFormatting sqref="AS229:AU235">
    <cfRule type="containsText" dxfId="1806" priority="4872" operator="containsText" text="Met">
      <formula>NOT(ISERROR(SEARCH("Met",AS229)))</formula>
    </cfRule>
    <cfRule type="containsText" dxfId="1805" priority="4871" operator="containsText" text="Not Met">
      <formula>NOT(ISERROR(SEARCH("Not Met",AS229)))</formula>
    </cfRule>
  </conditionalFormatting>
  <conditionalFormatting sqref="AS305:AV308">
    <cfRule type="containsText" dxfId="1804" priority="5357" operator="containsText" text="Not Met">
      <formula>NOT(ISERROR(SEARCH("Not Met",AS305)))</formula>
    </cfRule>
    <cfRule type="containsText" dxfId="1803" priority="5358" operator="containsText" text="Met">
      <formula>NOT(ISERROR(SEARCH("Met",AS305)))</formula>
    </cfRule>
  </conditionalFormatting>
  <conditionalFormatting sqref="AS310:AV310">
    <cfRule type="containsText" dxfId="1802" priority="5352" operator="containsText" text="Met">
      <formula>NOT(ISERROR(SEARCH("Met",AS310)))</formula>
    </cfRule>
  </conditionalFormatting>
  <conditionalFormatting sqref="AS313:AV313">
    <cfRule type="containsText" dxfId="1801" priority="5354" operator="containsText" text="Met">
      <formula>NOT(ISERROR(SEARCH("Met",AS313)))</formula>
    </cfRule>
  </conditionalFormatting>
  <conditionalFormatting sqref="AS42:AW48 AP324:AP329 AP338:AP345 AR338:AV345 AR347:AW352 AP347:AP356">
    <cfRule type="containsText" dxfId="1800" priority="6238" operator="containsText" text="Met">
      <formula>NOT(ISERROR(SEARCH("Met",AP42)))</formula>
    </cfRule>
  </conditionalFormatting>
  <conditionalFormatting sqref="AS42:AW48">
    <cfRule type="containsText" dxfId="1799" priority="5192" operator="containsText" text="Not Met">
      <formula>NOT(ISERROR(SEARCH("Not Met",AS42)))</formula>
    </cfRule>
    <cfRule type="containsText" dxfId="1798" priority="5193" operator="containsText" text="Met">
      <formula>NOT(ISERROR(SEARCH("Met",AS42)))</formula>
    </cfRule>
  </conditionalFormatting>
  <conditionalFormatting sqref="AS70:AW71">
    <cfRule type="containsText" dxfId="1797" priority="4437" operator="containsText" text="Not Met">
      <formula>NOT(ISERROR(SEARCH("Not Met",AS70)))</formula>
    </cfRule>
    <cfRule type="containsText" dxfId="1796" priority="4438" operator="containsText" text="Met">
      <formula>NOT(ISERROR(SEARCH("Met",AS70)))</formula>
    </cfRule>
  </conditionalFormatting>
  <conditionalFormatting sqref="AS304:AW304">
    <cfRule type="containsText" dxfId="1795" priority="4498" operator="containsText" text="Met">
      <formula>NOT(ISERROR(SEARCH("Met",AS304)))</formula>
    </cfRule>
  </conditionalFormatting>
  <conditionalFormatting sqref="AS310:AZ310">
    <cfRule type="containsText" dxfId="1794" priority="4067" operator="containsText" text="Not Met">
      <formula>NOT(ISERROR(SEARCH("Not Met",AS310)))</formula>
    </cfRule>
  </conditionalFormatting>
  <conditionalFormatting sqref="AS236:BB242 AX257:AX259 AT12:AW15 AU20:AV33 AU258:AW272">
    <cfRule type="containsText" dxfId="1793" priority="4813" operator="containsText" text="Not Met">
      <formula>NOT(ISERROR(SEARCH("Not Met",AS12)))</formula>
    </cfRule>
  </conditionalFormatting>
  <conditionalFormatting sqref="AS313:BB313">
    <cfRule type="containsText" dxfId="1792" priority="4069" operator="containsText" text="Not Met">
      <formula>NOT(ISERROR(SEARCH("Not Met",AS313)))</formula>
    </cfRule>
  </conditionalFormatting>
  <conditionalFormatting sqref="AT105:AT134">
    <cfRule type="containsText" dxfId="1791" priority="5517" operator="containsText" text="Met">
      <formula>NOT(ISERROR(SEARCH("Met",AT105)))</formula>
    </cfRule>
    <cfRule type="containsText" dxfId="1790" priority="5516" operator="containsText" text="Not Met">
      <formula>NOT(ISERROR(SEARCH("Not Met",AT105)))</formula>
    </cfRule>
  </conditionalFormatting>
  <conditionalFormatting sqref="AT258 AM260:AT260 AO261:AT264">
    <cfRule type="containsText" dxfId="1789" priority="5822" operator="containsText" text="Not Met">
      <formula>NOT(ISERROR(SEARCH("Not Met",AM258)))</formula>
    </cfRule>
    <cfRule type="containsText" dxfId="1788" priority="5823" operator="containsText" text="Met">
      <formula>NOT(ISERROR(SEARCH("Met",AM258)))</formula>
    </cfRule>
  </conditionalFormatting>
  <conditionalFormatting sqref="AT364:AT402">
    <cfRule type="containsText" dxfId="1787" priority="5144" operator="containsText" text="Met">
      <formula>NOT(ISERROR(SEARCH("Met",AT364)))</formula>
    </cfRule>
    <cfRule type="containsText" dxfId="1786" priority="4677" operator="containsText" text="Not Met">
      <formula>NOT(ISERROR(SEARCH("Not Met",AT364)))</formula>
    </cfRule>
  </conditionalFormatting>
  <conditionalFormatting sqref="AT404:AT426 AT428:AT443 AR428:AR443">
    <cfRule type="containsText" dxfId="1785" priority="5312" operator="containsText" text="Not Met">
      <formula>NOT(ISERROR(SEARCH("Not Met",AR404)))</formula>
    </cfRule>
  </conditionalFormatting>
  <conditionalFormatting sqref="AT421:AT426 AT428:AT443">
    <cfRule type="containsText" dxfId="1784" priority="5302" operator="containsText" text="Met">
      <formula>NOT(ISERROR(SEARCH("Met",AT421)))</formula>
    </cfRule>
    <cfRule type="containsText" dxfId="1783" priority="5299" operator="containsText" text="Not Met">
      <formula>NOT(ISERROR(SEARCH("Not Met",AT421)))</formula>
    </cfRule>
    <cfRule type="containsText" dxfId="1782" priority="5301" operator="containsText" text="Not Met">
      <formula>NOT(ISERROR(SEARCH("Not Met",AT421)))</formula>
    </cfRule>
    <cfRule type="containsText" dxfId="1781" priority="5300" operator="containsText" text="Met">
      <formula>NOT(ISERROR(SEARCH("Met",AT421)))</formula>
    </cfRule>
  </conditionalFormatting>
  <conditionalFormatting sqref="AT444:AT457">
    <cfRule type="containsText" dxfId="1780" priority="786" operator="containsText" text="Not Met">
      <formula>NOT(ISERROR(SEARCH("Not Met",AT444)))</formula>
    </cfRule>
    <cfRule type="containsText" dxfId="1779" priority="787" operator="containsText" text="Met">
      <formula>NOT(ISERROR(SEARCH("Met",AT444)))</formula>
    </cfRule>
  </conditionalFormatting>
  <conditionalFormatting sqref="AT78:AU80 AT83:AU83 AU85:AU96">
    <cfRule type="containsText" dxfId="1778" priority="4698" operator="containsText" text="Met">
      <formula>NOT(ISERROR(SEARCH("Met",AT78)))</formula>
    </cfRule>
    <cfRule type="containsText" dxfId="1777" priority="4697" operator="containsText" text="Not Met">
      <formula>NOT(ISERROR(SEARCH("Not Met",AT78)))</formula>
    </cfRule>
  </conditionalFormatting>
  <conditionalFormatting sqref="AT161:AV181">
    <cfRule type="containsText" dxfId="1776" priority="4612" operator="containsText" text="Not Met">
      <formula>NOT(ISERROR(SEARCH("Not Met",AT161)))</formula>
    </cfRule>
  </conditionalFormatting>
  <conditionalFormatting sqref="AT167:AV181">
    <cfRule type="containsText" dxfId="1775" priority="4626" operator="containsText" text="Met">
      <formula>NOT(ISERROR(SEARCH("Met",AT167)))</formula>
    </cfRule>
  </conditionalFormatting>
  <conditionalFormatting sqref="AT304:AV304">
    <cfRule type="containsText" dxfId="1774" priority="4966" operator="containsText" text="Met">
      <formula>NOT(ISERROR(SEARCH("Met",AT304)))</formula>
    </cfRule>
  </conditionalFormatting>
  <conditionalFormatting sqref="AT311:AV312">
    <cfRule type="containsText" dxfId="1773" priority="4968" operator="containsText" text="Met">
      <formula>NOT(ISERROR(SEARCH("Met",AT311)))</formula>
    </cfRule>
  </conditionalFormatting>
  <conditionalFormatting sqref="AT314:AV314">
    <cfRule type="containsText" dxfId="1772" priority="4972" operator="containsText" text="Met">
      <formula>NOT(ISERROR(SEARCH("Met",AT314)))</formula>
    </cfRule>
    <cfRule type="containsText" dxfId="1771" priority="4973" operator="containsText" text="Not Met">
      <formula>NOT(ISERROR(SEARCH("Not Met",AT314)))</formula>
    </cfRule>
  </conditionalFormatting>
  <conditionalFormatting sqref="AT315:AV322">
    <cfRule type="containsText" dxfId="1770" priority="4720" operator="containsText" text="Met">
      <formula>NOT(ISERROR(SEARCH("Met",AT315)))</formula>
    </cfRule>
    <cfRule type="containsText" dxfId="1769" priority="4719" operator="containsText" text="Not Met">
      <formula>NOT(ISERROR(SEARCH("Not Met",AT315)))</formula>
    </cfRule>
  </conditionalFormatting>
  <conditionalFormatting sqref="AT330:AV331 AT333:AV335 AQ332:AV332">
    <cfRule type="containsText" dxfId="1768" priority="4764" operator="containsText" text="Met">
      <formula>NOT(ISERROR(SEARCH("Met",AQ330)))</formula>
    </cfRule>
  </conditionalFormatting>
  <conditionalFormatting sqref="AT330:AV331 AT333:AV335">
    <cfRule type="containsText" dxfId="1767" priority="4754" operator="containsText" text="Not Met">
      <formula>NOT(ISERROR(SEARCH("Not Met",AT330)))</formula>
    </cfRule>
  </conditionalFormatting>
  <conditionalFormatting sqref="AT337:AV337 AU338:AV345">
    <cfRule type="containsText" dxfId="1766" priority="4747" operator="containsText" text="Not Met">
      <formula>NOT(ISERROR(SEARCH("Not Met",AT337)))</formula>
    </cfRule>
  </conditionalFormatting>
  <conditionalFormatting sqref="AT337:AV337">
    <cfRule type="containsText" dxfId="1765" priority="4749" operator="containsText" text="Met">
      <formula>NOT(ISERROR(SEARCH("Met",AT337)))</formula>
    </cfRule>
  </conditionalFormatting>
  <conditionalFormatting sqref="AT12:AW15 AU20:AV33 AS236:BB242 AX257:AX259 AU258:AW272">
    <cfRule type="containsText" dxfId="1764" priority="4814" operator="containsText" text="Met">
      <formula>NOT(ISERROR(SEARCH("Met",AS12)))</formula>
    </cfRule>
  </conditionalFormatting>
  <conditionalFormatting sqref="AT280:AW286">
    <cfRule type="containsText" dxfId="1763" priority="4576" operator="containsText" text="Met">
      <formula>NOT(ISERROR(SEARCH("Met",AT280)))</formula>
    </cfRule>
    <cfRule type="containsText" dxfId="1762" priority="4575" operator="containsText" text="Not Met">
      <formula>NOT(ISERROR(SEARCH("Not Met",AT280)))</formula>
    </cfRule>
  </conditionalFormatting>
  <conditionalFormatting sqref="AT304:AW304">
    <cfRule type="containsText" dxfId="1761" priority="4497" operator="containsText" text="Not Met">
      <formula>NOT(ISERROR(SEARCH("Not Met",AT304)))</formula>
    </cfRule>
  </conditionalFormatting>
  <conditionalFormatting sqref="AT311:AW312">
    <cfRule type="containsText" dxfId="1760" priority="4503" operator="containsText" text="Not Met">
      <formula>NOT(ISERROR(SEARCH("Not Met",AT311)))</formula>
    </cfRule>
  </conditionalFormatting>
  <conditionalFormatting sqref="AT353:AW363">
    <cfRule type="containsText" dxfId="1759" priority="4435" operator="containsText" text="Not Met">
      <formula>NOT(ISERROR(SEARCH("Not Met",AT353)))</formula>
    </cfRule>
  </conditionalFormatting>
  <conditionalFormatting sqref="AT295:AX302">
    <cfRule type="containsText" dxfId="1758" priority="3701" operator="containsText" text="Met">
      <formula>NOT(ISERROR(SEARCH("Met",AT295)))</formula>
    </cfRule>
    <cfRule type="containsText" dxfId="1757" priority="3700" operator="containsText" text="Not Met">
      <formula>NOT(ISERROR(SEARCH("Not Met",AT295)))</formula>
    </cfRule>
  </conditionalFormatting>
  <conditionalFormatting sqref="AU2:AU5">
    <cfRule type="containsText" dxfId="1756" priority="4816" operator="containsText" text="Met">
      <formula>NOT(ISERROR(SEARCH("Met",AU2)))</formula>
    </cfRule>
    <cfRule type="containsText" dxfId="1755" priority="4815" operator="containsText" text="Not Met">
      <formula>NOT(ISERROR(SEARCH("Not Met",AU2)))</formula>
    </cfRule>
  </conditionalFormatting>
  <conditionalFormatting sqref="AU5:AU10">
    <cfRule type="containsText" dxfId="1754" priority="4817" operator="containsText" text="Not Met">
      <formula>NOT(ISERROR(SEARCH("Not Met",AU5)))</formula>
    </cfRule>
    <cfRule type="containsText" dxfId="1753" priority="4818" operator="containsText" text="Met">
      <formula>NOT(ISERROR(SEARCH("Met",AU5)))</formula>
    </cfRule>
  </conditionalFormatting>
  <conditionalFormatting sqref="AU12">
    <cfRule type="containsText" dxfId="1752" priority="4954" operator="containsText" text="Met">
      <formula>NOT(ISERROR(SEARCH("Met",AU12)))</formula>
    </cfRule>
    <cfRule type="containsText" dxfId="1751" priority="4951" operator="containsText" text="Not Met">
      <formula>NOT(ISERROR(SEARCH("Not Met",AU12)))</formula>
    </cfRule>
    <cfRule type="containsText" dxfId="1750" priority="4952" operator="containsText" text="Met">
      <formula>NOT(ISERROR(SEARCH("Met",AU12)))</formula>
    </cfRule>
    <cfRule type="containsText" dxfId="1749" priority="4953" operator="containsText" text="Not Met">
      <formula>NOT(ISERROR(SEARCH("Not Met",AU12)))</formula>
    </cfRule>
  </conditionalFormatting>
  <conditionalFormatting sqref="AU49:AU53">
    <cfRule type="containsText" dxfId="1748" priority="4803" operator="containsText" text="Not Met">
      <formula>NOT(ISERROR(SEARCH("Not Met",AU49)))</formula>
    </cfRule>
    <cfRule type="containsText" dxfId="1747" priority="4805" operator="containsText" text="Met">
      <formula>NOT(ISERROR(SEARCH("Met",AU49)))</formula>
    </cfRule>
  </conditionalFormatting>
  <conditionalFormatting sqref="AU51">
    <cfRule type="containsText" dxfId="1746" priority="4807" operator="containsText" text="Met">
      <formula>NOT(ISERROR(SEARCH("Met",AU51)))</formula>
    </cfRule>
    <cfRule type="containsText" dxfId="1745" priority="4806" operator="containsText" text="Not Met">
      <formula>NOT(ISERROR(SEARCH("Not Met",AU51)))</formula>
    </cfRule>
  </conditionalFormatting>
  <conditionalFormatting sqref="AU81:AU84">
    <cfRule type="containsText" dxfId="1744" priority="4700" operator="containsText" text="Met">
      <formula>NOT(ISERROR(SEARCH("Met",AU81)))</formula>
    </cfRule>
    <cfRule type="containsText" dxfId="1743" priority="4699" operator="containsText" text="Not Met">
      <formula>NOT(ISERROR(SEARCH("Not Met",AU81)))</formula>
    </cfRule>
  </conditionalFormatting>
  <conditionalFormatting sqref="AU105:AU112">
    <cfRule type="containsText" dxfId="1742" priority="4735" operator="containsText" text="Not Met">
      <formula>NOT(ISERROR(SEARCH("Not Met",AU105)))</formula>
    </cfRule>
    <cfRule type="containsText" dxfId="1741" priority="4736" operator="containsText" text="Met">
      <formula>NOT(ISERROR(SEARCH("Met",AU105)))</formula>
    </cfRule>
  </conditionalFormatting>
  <conditionalFormatting sqref="AU116">
    <cfRule type="containsText" dxfId="1740" priority="4890" operator="containsText" text="Met">
      <formula>NOT(ISERROR(SEARCH("Met",AU116)))</formula>
    </cfRule>
    <cfRule type="containsText" dxfId="1739" priority="4889" operator="containsText" text="Not Met">
      <formula>NOT(ISERROR(SEARCH("Not Met",AU116)))</formula>
    </cfRule>
  </conditionalFormatting>
  <conditionalFormatting sqref="AU124:AU146">
    <cfRule type="containsText" dxfId="1738" priority="4708" operator="containsText" text="Met">
      <formula>NOT(ISERROR(SEARCH("Met",AU124)))</formula>
    </cfRule>
    <cfRule type="containsText" dxfId="1737" priority="4707" operator="containsText" text="Not Met">
      <formula>NOT(ISERROR(SEARCH("Not Met",AU124)))</formula>
    </cfRule>
  </conditionalFormatting>
  <conditionalFormatting sqref="AU212:AU228">
    <cfRule type="containsText" dxfId="1736" priority="4701" operator="containsText" text="Not Met">
      <formula>NOT(ISERROR(SEARCH("Not Met",AU212)))</formula>
    </cfRule>
    <cfRule type="containsText" dxfId="1735" priority="4702" operator="containsText" text="Met">
      <formula>NOT(ISERROR(SEARCH("Met",AU212)))</formula>
    </cfRule>
  </conditionalFormatting>
  <conditionalFormatting sqref="AU243:AU256">
    <cfRule type="containsText" dxfId="1734" priority="4786" operator="containsText" text="Met">
      <formula>NOT(ISERROR(SEARCH("Met",AU243)))</formula>
    </cfRule>
    <cfRule type="containsText" dxfId="1733" priority="4785" operator="containsText" text="Not Met">
      <formula>NOT(ISERROR(SEARCH("Not Met",AU243)))</formula>
    </cfRule>
  </conditionalFormatting>
  <conditionalFormatting sqref="AU288:AU294">
    <cfRule type="containsText" dxfId="1732" priority="4651" operator="containsText" text="Not Met">
      <formula>NOT(ISERROR(SEARCH("Not Met",AU288)))</formula>
    </cfRule>
    <cfRule type="containsText" dxfId="1731" priority="4652" operator="containsText" text="Met">
      <formula>NOT(ISERROR(SEARCH("Met",AU288)))</formula>
    </cfRule>
  </conditionalFormatting>
  <conditionalFormatting sqref="AU364:AU377">
    <cfRule type="containsText" dxfId="1730" priority="4604" operator="containsText" text="Not Met">
      <formula>NOT(ISERROR(SEARCH("Not Met",AU364)))</formula>
    </cfRule>
  </conditionalFormatting>
  <conditionalFormatting sqref="AU382 AU389 AU396 AU403 AU353:AU377">
    <cfRule type="containsText" dxfId="1729" priority="4607" operator="containsText" text="Met">
      <formula>NOT(ISERROR(SEARCH("Met",AU353)))</formula>
    </cfRule>
  </conditionalFormatting>
  <conditionalFormatting sqref="AU382 AU389 AU396 AU403">
    <cfRule type="containsText" dxfId="1728" priority="4606" operator="containsText" text="Not Met">
      <formula>NOT(ISERROR(SEARCH("Not Met",AU382)))</formula>
    </cfRule>
  </conditionalFormatting>
  <conditionalFormatting sqref="AU416">
    <cfRule type="containsText" dxfId="1727" priority="4836" operator="containsText" text="Met">
      <formula>NOT(ISERROR(SEARCH("Met",AU416)))</formula>
    </cfRule>
    <cfRule type="containsText" dxfId="1726" priority="4835" operator="containsText" text="Not Met">
      <formula>NOT(ISERROR(SEARCH("Not Met",AU416)))</formula>
    </cfRule>
  </conditionalFormatting>
  <conditionalFormatting sqref="AU444:AU452">
    <cfRule type="containsText" dxfId="1725" priority="774" operator="containsText" text="Not Met">
      <formula>NOT(ISERROR(SEARCH("Not Met",AU444)))</formula>
    </cfRule>
    <cfRule type="containsText" dxfId="1724" priority="775" operator="containsText" text="Met">
      <formula>NOT(ISERROR(SEARCH("Met",AU444)))</formula>
    </cfRule>
  </conditionalFormatting>
  <conditionalFormatting sqref="AU454:AU457">
    <cfRule type="containsText" dxfId="1723" priority="772" operator="containsText" text="Not Met">
      <formula>NOT(ISERROR(SEARCH("Not Met",AU454)))</formula>
    </cfRule>
    <cfRule type="containsText" dxfId="1722" priority="773" operator="containsText" text="Met">
      <formula>NOT(ISERROR(SEARCH("Met",AU454)))</formula>
    </cfRule>
  </conditionalFormatting>
  <conditionalFormatting sqref="AU155:AV166">
    <cfRule type="containsText" dxfId="1721" priority="4630" operator="containsText" text="Met">
      <formula>NOT(ISERROR(SEARCH("Met",AU155)))</formula>
    </cfRule>
  </conditionalFormatting>
  <conditionalFormatting sqref="AU182:AV191">
    <cfRule type="containsText" dxfId="1720" priority="4933" operator="containsText" text="Not Met">
      <formula>NOT(ISERROR(SEARCH("Not Met",AU182)))</formula>
    </cfRule>
    <cfRule type="containsText" dxfId="1719" priority="4936" operator="containsText" text="Met">
      <formula>NOT(ISERROR(SEARCH("Met",AU182)))</formula>
    </cfRule>
    <cfRule type="containsText" dxfId="1718" priority="4932" operator="containsText" text="Met">
      <formula>NOT(ISERROR(SEARCH("Met",AU182)))</formula>
    </cfRule>
    <cfRule type="containsText" dxfId="1717" priority="4930" operator="containsText" text="Met">
      <formula>NOT(ISERROR(SEARCH("Met",AU182)))</formula>
    </cfRule>
    <cfRule type="containsText" dxfId="1716" priority="4931" operator="containsText" text="Not Met">
      <formula>NOT(ISERROR(SEARCH("Not Met",AU182)))</formula>
    </cfRule>
    <cfRule type="containsText" dxfId="1715" priority="4938" operator="containsText" text="Met">
      <formula>NOT(ISERROR(SEARCH("Met",AU182)))</formula>
    </cfRule>
    <cfRule type="containsText" dxfId="1714" priority="4937" operator="containsText" text="Not Met">
      <formula>NOT(ISERROR(SEARCH("Not Met",AU182)))</formula>
    </cfRule>
    <cfRule type="containsText" dxfId="1713" priority="4935" operator="containsText" text="Not Met">
      <formula>NOT(ISERROR(SEARCH("Not Met",AU182)))</formula>
    </cfRule>
    <cfRule type="containsText" dxfId="1712" priority="4934" operator="containsText" text="Met">
      <formula>NOT(ISERROR(SEARCH("Met",AU182)))</formula>
    </cfRule>
    <cfRule type="containsText" dxfId="1711" priority="4929" operator="containsText" text="Not Met">
      <formula>NOT(ISERROR(SEARCH("Not Met",AU182)))</formula>
    </cfRule>
  </conditionalFormatting>
  <conditionalFormatting sqref="AU304:AV314">
    <cfRule type="containsText" dxfId="1710" priority="4965" operator="containsText" text="Not Met">
      <formula>NOT(ISERROR(SEARCH("Not Met",AU304)))</formula>
    </cfRule>
    <cfRule type="containsText" dxfId="1709" priority="5373" operator="containsText" text="Met">
      <formula>NOT(ISERROR(SEARCH("Met",AU304)))</formula>
    </cfRule>
  </conditionalFormatting>
  <conditionalFormatting sqref="AU336:AV336">
    <cfRule type="containsText" dxfId="1708" priority="4581" operator="containsText" text="Met">
      <formula>NOT(ISERROR(SEARCH("Met",AU336)))</formula>
    </cfRule>
    <cfRule type="containsText" dxfId="1707" priority="4577" operator="containsText" text="Not Met">
      <formula>NOT(ISERROR(SEARCH("Not Met",AU336)))</formula>
    </cfRule>
  </conditionalFormatting>
  <conditionalFormatting sqref="AU155:AW160">
    <cfRule type="containsText" dxfId="1706" priority="4444" operator="containsText" text="Not Met">
      <formula>NOT(ISERROR(SEARCH("Not Met",AU155)))</formula>
    </cfRule>
  </conditionalFormatting>
  <conditionalFormatting sqref="AU182:AW191">
    <cfRule type="containsText" dxfId="1705" priority="4193" operator="containsText" text="Met">
      <formula>NOT(ISERROR(SEARCH("Met",AU182)))</formula>
    </cfRule>
    <cfRule type="containsText" dxfId="1704" priority="4192" operator="containsText" text="Not Met">
      <formula>NOT(ISERROR(SEARCH("Not Met",AU182)))</formula>
    </cfRule>
  </conditionalFormatting>
  <conditionalFormatting sqref="AV338:AV345">
    <cfRule type="containsText" dxfId="1703" priority="4859" operator="containsText" text="Met">
      <formula>NOT(ISERROR(SEARCH("Met",AV338)))</formula>
    </cfRule>
  </conditionalFormatting>
  <conditionalFormatting sqref="AV353:AV381">
    <cfRule type="containsText" dxfId="1702" priority="4605" operator="containsText" text="Met">
      <formula>NOT(ISERROR(SEARCH("Met",AV353)))</formula>
    </cfRule>
  </conditionalFormatting>
  <conditionalFormatting sqref="AV364:AV381">
    <cfRule type="containsText" dxfId="1701" priority="4603" operator="containsText" text="Not Met">
      <formula>NOT(ISERROR(SEARCH("Not Met",AV364)))</formula>
    </cfRule>
  </conditionalFormatting>
  <conditionalFormatting sqref="AV383:AV395">
    <cfRule type="containsText" dxfId="1700" priority="4609" operator="containsText" text="Met">
      <formula>NOT(ISERROR(SEARCH("Met",AV383)))</formula>
    </cfRule>
    <cfRule type="containsText" dxfId="1699" priority="4608" operator="containsText" text="Not Met">
      <formula>NOT(ISERROR(SEARCH("Not Met",AV383)))</formula>
    </cfRule>
  </conditionalFormatting>
  <conditionalFormatting sqref="AV413:AV426">
    <cfRule type="containsText" dxfId="1698" priority="4826" operator="containsText" text="Met">
      <formula>NOT(ISERROR(SEARCH("Met",AV413)))</formula>
    </cfRule>
    <cfRule type="containsText" dxfId="1697" priority="4825" operator="containsText" text="Not Met">
      <formula>NOT(ISERROR(SEARCH("Not Met",AV413)))</formula>
    </cfRule>
  </conditionalFormatting>
  <conditionalFormatting sqref="AV421:AV426">
    <cfRule type="containsText" dxfId="1696" priority="4823" operator="containsText" text="Not Met">
      <formula>NOT(ISERROR(SEARCH("Not Met",AV421)))</formula>
    </cfRule>
    <cfRule type="containsText" dxfId="1695" priority="4824" operator="containsText" text="Met">
      <formula>NOT(ISERROR(SEARCH("Met",AV421)))</formula>
    </cfRule>
  </conditionalFormatting>
  <conditionalFormatting sqref="AV78:AW89">
    <cfRule type="containsText" dxfId="1694" priority="4078" operator="containsText" text="Met">
      <formula>NOT(ISERROR(SEARCH("Met",AV78)))</formula>
    </cfRule>
    <cfRule type="containsText" dxfId="1693" priority="4077" operator="containsText" text="Not Met">
      <formula>NOT(ISERROR(SEARCH("Not Met",AV78)))</formula>
    </cfRule>
  </conditionalFormatting>
  <conditionalFormatting sqref="AV444:AW457">
    <cfRule type="containsText" dxfId="1692" priority="769" operator="containsText" text="Met">
      <formula>NOT(ISERROR(SEARCH("Met",AV444)))</formula>
    </cfRule>
    <cfRule type="containsText" dxfId="1691" priority="768" operator="containsText" text="Not Met">
      <formula>NOT(ISERROR(SEARCH("Not Met",AV444)))</formula>
    </cfRule>
  </conditionalFormatting>
  <conditionalFormatting sqref="AV34:AY41 BA34:BA41 AX52:AX61 AX62:AY68 BA62:BA68 AX69 AZ71:AZ77 AX72:AX77 BA90:BA104 AX97:AY104 AX147:AY154 BA147:BA154 AX261:AX264 AX287 AX316:AX321 AX331:AX332 AX336 AX421:AX426 AZ421:AZ426 BB421:BB426 AX436:AX443 AU346:AY352">
    <cfRule type="containsText" dxfId="1690" priority="5183" operator="containsText" text="Met">
      <formula>NOT(ISERROR(SEARCH("Met",AU34)))</formula>
    </cfRule>
  </conditionalFormatting>
  <conditionalFormatting sqref="AV34:AY41 BA90:BA104 AX97:AY104 AX147:AY154 AX316:AX321 AX436:AX443 AX52:AX61 AX62:AY68 AX69 AZ71:AZ77 AX72:AX77 BA147:BA154 AX261:AX264 AX287 AX331:AX332 AX336 AX421:AX426 AZ421:AZ426 BB421:BB426 BA34:BA41 BA62:BA68">
    <cfRule type="containsText" dxfId="1689" priority="5182" operator="containsText" text="Not Met">
      <formula>NOT(ISERROR(SEARCH("Not Met",AV34)))</formula>
    </cfRule>
  </conditionalFormatting>
  <conditionalFormatting sqref="AV166:AY166 BA166">
    <cfRule type="containsText" dxfId="1688" priority="3836" operator="containsText" text="Met">
      <formula>NOT(ISERROR(SEARCH("Met",AV166)))</formula>
    </cfRule>
    <cfRule type="containsText" dxfId="1687" priority="3835" operator="containsText" text="Not Met">
      <formula>NOT(ISERROR(SEARCH("Not Met",AV166)))</formula>
    </cfRule>
  </conditionalFormatting>
  <conditionalFormatting sqref="AW2:AW5">
    <cfRule type="containsText" dxfId="1686" priority="4486" operator="containsText" text="Met">
      <formula>NOT(ISERROR(SEARCH("Met",AW2)))</formula>
    </cfRule>
    <cfRule type="containsText" dxfId="1685" priority="4485" operator="containsText" text="Not Met">
      <formula>NOT(ISERROR(SEARCH("Not Met",AW2)))</formula>
    </cfRule>
  </conditionalFormatting>
  <conditionalFormatting sqref="AW5:AW6">
    <cfRule type="containsText" dxfId="1684" priority="4488" operator="containsText" text="Met">
      <formula>NOT(ISERROR(SEARCH("Met",AW5)))</formula>
    </cfRule>
    <cfRule type="containsText" dxfId="1683" priority="4487" operator="containsText" text="Not Met">
      <formula>NOT(ISERROR(SEARCH("Not Met",AW5)))</formula>
    </cfRule>
  </conditionalFormatting>
  <conditionalFormatting sqref="AW7:AW19">
    <cfRule type="containsText" dxfId="1682" priority="4461" operator="containsText" text="Met">
      <formula>NOT(ISERROR(SEARCH("Met",AW7)))</formula>
    </cfRule>
    <cfRule type="containsText" dxfId="1681" priority="4460" operator="containsText" text="Not Met">
      <formula>NOT(ISERROR(SEARCH("Not Met",AW7)))</formula>
    </cfRule>
  </conditionalFormatting>
  <conditionalFormatting sqref="AW49:AW53">
    <cfRule type="containsText" dxfId="1680" priority="4482" operator="containsText" text="Met">
      <formula>NOT(ISERROR(SEARCH("Met",AW49)))</formula>
    </cfRule>
    <cfRule type="containsText" dxfId="1679" priority="4481" operator="containsText" text="Not Met">
      <formula>NOT(ISERROR(SEARCH("Not Met",AW49)))</formula>
    </cfRule>
  </conditionalFormatting>
  <conditionalFormatting sqref="AW51">
    <cfRule type="containsText" dxfId="1678" priority="4484" operator="containsText" text="Met">
      <formula>NOT(ISERROR(SEARCH("Met",AW51)))</formula>
    </cfRule>
    <cfRule type="containsText" dxfId="1677" priority="4483" operator="containsText" text="Not Met">
      <formula>NOT(ISERROR(SEARCH("Not Met",AW51)))</formula>
    </cfRule>
  </conditionalFormatting>
  <conditionalFormatting sqref="AW90:AW96">
    <cfRule type="containsText" dxfId="1676" priority="4571" operator="containsText" text="Not Met">
      <formula>NOT(ISERROR(SEARCH("Not Met",AW90)))</formula>
    </cfRule>
    <cfRule type="containsText" dxfId="1675" priority="4572" operator="containsText" text="Met">
      <formula>NOT(ISERROR(SEARCH("Met",AW90)))</formula>
    </cfRule>
  </conditionalFormatting>
  <conditionalFormatting sqref="AW113">
    <cfRule type="containsText" dxfId="1674" priority="4318" operator="containsText" text="Not Met">
      <formula>NOT(ISERROR(SEARCH("Not Met",AW113)))</formula>
    </cfRule>
    <cfRule type="containsText" dxfId="1673" priority="4319" operator="containsText" text="Met">
      <formula>NOT(ISERROR(SEARCH("Met",AW113)))</formula>
    </cfRule>
  </conditionalFormatting>
  <conditionalFormatting sqref="AW118:AW124">
    <cfRule type="containsText" dxfId="1672" priority="4314" operator="containsText" text="Not Met">
      <formula>NOT(ISERROR(SEARCH("Not Met",AW118)))</formula>
    </cfRule>
  </conditionalFormatting>
  <conditionalFormatting sqref="AW118:AW126">
    <cfRule type="containsText" dxfId="1671" priority="4315" operator="containsText" text="Met">
      <formula>NOT(ISERROR(SEARCH("Met",AW118)))</formula>
    </cfRule>
  </conditionalFormatting>
  <conditionalFormatting sqref="AW125:AW126">
    <cfRule type="containsText" dxfId="1670" priority="4345" operator="containsText" text="Not Met">
      <formula>NOT(ISERROR(SEARCH("Not Met",AW125)))</formula>
    </cfRule>
  </conditionalFormatting>
  <conditionalFormatting sqref="AW128:AW146">
    <cfRule type="containsText" dxfId="1669" priority="4341" operator="containsText" text="Met">
      <formula>NOT(ISERROR(SEARCH("Met",AW128)))</formula>
    </cfRule>
    <cfRule type="containsText" dxfId="1668" priority="4340" operator="containsText" text="Not Met">
      <formula>NOT(ISERROR(SEARCH("Not Met",AW128)))</formula>
    </cfRule>
  </conditionalFormatting>
  <conditionalFormatting sqref="AW155:AW160">
    <cfRule type="containsText" dxfId="1667" priority="4445" operator="containsText" text="Met">
      <formula>NOT(ISERROR(SEARCH("Met",AW155)))</formula>
    </cfRule>
  </conditionalFormatting>
  <conditionalFormatting sqref="AW161:AW170">
    <cfRule type="containsText" dxfId="1666" priority="4425" operator="containsText" text="Met">
      <formula>NOT(ISERROR(SEARCH("Met",AW161)))</formula>
    </cfRule>
    <cfRule type="containsText" dxfId="1665" priority="4424" operator="containsText" text="Not Met">
      <formula>NOT(ISERROR(SEARCH("Not Met",AW161)))</formula>
    </cfRule>
  </conditionalFormatting>
  <conditionalFormatting sqref="AW173">
    <cfRule type="containsText" dxfId="1664" priority="4329" operator="containsText" text="Met">
      <formula>NOT(ISERROR(SEARCH("Met",AW173)))</formula>
    </cfRule>
    <cfRule type="containsText" dxfId="1663" priority="4328" operator="containsText" text="Not Met">
      <formula>NOT(ISERROR(SEARCH("Not Met",AW173)))</formula>
    </cfRule>
  </conditionalFormatting>
  <conditionalFormatting sqref="AW176:AW191">
    <cfRule type="containsText" dxfId="1662" priority="4195" operator="containsText" text="Met">
      <formula>NOT(ISERROR(SEARCH("Met",AW176)))</formula>
    </cfRule>
    <cfRule type="containsText" dxfId="1661" priority="4194" operator="containsText" text="Not Met">
      <formula>NOT(ISERROR(SEARCH("Not Met",AW176)))</formula>
    </cfRule>
  </conditionalFormatting>
  <conditionalFormatting sqref="AW182:AW191">
    <cfRule type="containsText" dxfId="1660" priority="4190" operator="containsText" text="Not Met">
      <formula>NOT(ISERROR(SEARCH("Not Met",AW182)))</formula>
    </cfRule>
    <cfRule type="containsText" dxfId="1659" priority="4191" operator="containsText" text="Met">
      <formula>NOT(ISERROR(SEARCH("Met",AW182)))</formula>
    </cfRule>
    <cfRule type="containsText" dxfId="1658" priority="4189" operator="containsText" text="Met">
      <formula>NOT(ISERROR(SEARCH("Met",AW182)))</formula>
    </cfRule>
  </conditionalFormatting>
  <conditionalFormatting sqref="AW212:AW228 AW273:AW279">
    <cfRule type="containsText" dxfId="1657" priority="4567" operator="containsText" text="Not Met">
      <formula>NOT(ISERROR(SEARCH("Not Met",AW212)))</formula>
    </cfRule>
    <cfRule type="containsText" dxfId="1656" priority="4568" operator="containsText" text="Met">
      <formula>NOT(ISERROR(SEARCH("Met",AW212)))</formula>
    </cfRule>
  </conditionalFormatting>
  <conditionalFormatting sqref="AW243:AW256">
    <cfRule type="containsText" dxfId="1655" priority="4447" operator="containsText" text="Met">
      <formula>NOT(ISERROR(SEARCH("Met",AW243)))</formula>
    </cfRule>
    <cfRule type="containsText" dxfId="1654" priority="4446" operator="containsText" text="Not Met">
      <formula>NOT(ISERROR(SEARCH("Not Met",AW243)))</formula>
    </cfRule>
  </conditionalFormatting>
  <conditionalFormatting sqref="AW288:AW294">
    <cfRule type="containsText" dxfId="1653" priority="4347" operator="containsText" text="Met">
      <formula>NOT(ISERROR(SEARCH("Met",AW288)))</formula>
    </cfRule>
    <cfRule type="containsText" dxfId="1652" priority="4346" operator="containsText" text="Not Met">
      <formula>NOT(ISERROR(SEARCH("Not Met",AW288)))</formula>
    </cfRule>
  </conditionalFormatting>
  <conditionalFormatting sqref="AW305:AW309">
    <cfRule type="containsText" dxfId="1651" priority="4496" operator="containsText" text="Met">
      <formula>NOT(ISERROR(SEARCH("Met",AW305)))</formula>
    </cfRule>
    <cfRule type="containsText" dxfId="1650" priority="4495" operator="containsText" text="Not Met">
      <formula>NOT(ISERROR(SEARCH("Not Met",AW305)))</formula>
    </cfRule>
  </conditionalFormatting>
  <conditionalFormatting sqref="AW311:AW312">
    <cfRule type="containsText" dxfId="1649" priority="4501" operator="containsText" text="Not Met">
      <formula>NOT(ISERROR(SEARCH("Not Met",AW311)))</formula>
    </cfRule>
    <cfRule type="containsText" dxfId="1648" priority="4502" operator="containsText" text="Met">
      <formula>NOT(ISERROR(SEARCH("Met",AW311)))</formula>
    </cfRule>
  </conditionalFormatting>
  <conditionalFormatting sqref="AW311:AW313">
    <cfRule type="containsText" dxfId="1647" priority="4504" operator="containsText" text="Met">
      <formula>NOT(ISERROR(SEARCH("Met",AW311)))</formula>
    </cfRule>
  </conditionalFormatting>
  <conditionalFormatting sqref="AW314">
    <cfRule type="containsText" dxfId="1646" priority="4491" operator="containsText" text="Not Met">
      <formula>NOT(ISERROR(SEARCH("Not Met",AW314)))</formula>
    </cfRule>
    <cfRule type="containsText" dxfId="1645" priority="4492" operator="containsText" text="Met">
      <formula>NOT(ISERROR(SEARCH("Met",AW314)))</formula>
    </cfRule>
    <cfRule type="containsText" dxfId="1644" priority="4494" operator="containsText" text="Met">
      <formula>NOT(ISERROR(SEARCH("Met",AW314)))</formula>
    </cfRule>
  </conditionalFormatting>
  <conditionalFormatting sqref="AW338:AW343 AW344:AX344">
    <cfRule type="containsText" dxfId="1643" priority="4555" operator="containsText" text="Not Met">
      <formula>NOT(ISERROR(SEARCH("Not Met",AW338)))</formula>
    </cfRule>
    <cfRule type="containsText" dxfId="1642" priority="4565" operator="containsText" text="Not Met">
      <formula>NOT(ISERROR(SEARCH("Not Met",AW338)))</formula>
    </cfRule>
    <cfRule type="containsText" dxfId="1641" priority="4566" operator="containsText" text="Met">
      <formula>NOT(ISERROR(SEARCH("Met",AW338)))</formula>
    </cfRule>
  </conditionalFormatting>
  <conditionalFormatting sqref="AW338:AW343">
    <cfRule type="containsText" dxfId="1640" priority="4564" operator="containsText" text="Met">
      <formula>NOT(ISERROR(SEARCH("Met",AW338)))</formula>
    </cfRule>
  </conditionalFormatting>
  <conditionalFormatting sqref="AW353:AW363">
    <cfRule type="containsText" dxfId="1639" priority="4436" operator="containsText" text="Met">
      <formula>NOT(ISERROR(SEARCH("Met",AW353)))</formula>
    </cfRule>
  </conditionalFormatting>
  <conditionalFormatting sqref="AW364:AW377">
    <cfRule type="containsText" dxfId="1638" priority="4304" operator="containsText" text="Not Met">
      <formula>NOT(ISERROR(SEARCH("Not Met",AW364)))</formula>
    </cfRule>
    <cfRule type="containsText" dxfId="1637" priority="4305" operator="containsText" text="Met">
      <formula>NOT(ISERROR(SEARCH("Met",AW364)))</formula>
    </cfRule>
  </conditionalFormatting>
  <conditionalFormatting sqref="AW381:AW382">
    <cfRule type="containsText" dxfId="1636" priority="4301" operator="containsText" text="Met">
      <formula>NOT(ISERROR(SEARCH("Met",AW381)))</formula>
    </cfRule>
    <cfRule type="containsText" dxfId="1635" priority="4300" operator="containsText" text="Not Met">
      <formula>NOT(ISERROR(SEARCH("Not Met",AW381)))</formula>
    </cfRule>
  </conditionalFormatting>
  <conditionalFormatting sqref="AW388:AW389">
    <cfRule type="containsText" dxfId="1634" priority="4291" operator="containsText" text="Met">
      <formula>NOT(ISERROR(SEARCH("Met",AW388)))</formula>
    </cfRule>
    <cfRule type="containsText" dxfId="1633" priority="4290" operator="containsText" text="Not Met">
      <formula>NOT(ISERROR(SEARCH("Not Met",AW388)))</formula>
    </cfRule>
  </conditionalFormatting>
  <conditionalFormatting sqref="AW391">
    <cfRule type="containsText" dxfId="1632" priority="4287" operator="containsText" text="Met">
      <formula>NOT(ISERROR(SEARCH("Met",AW391)))</formula>
    </cfRule>
    <cfRule type="containsText" dxfId="1631" priority="4286" operator="containsText" text="Not Met">
      <formula>NOT(ISERROR(SEARCH("Not Met",AW391)))</formula>
    </cfRule>
  </conditionalFormatting>
  <conditionalFormatting sqref="AW395:AW396">
    <cfRule type="containsText" dxfId="1630" priority="4279" operator="containsText" text="Met">
      <formula>NOT(ISERROR(SEARCH("Met",AW395)))</formula>
    </cfRule>
    <cfRule type="containsText" dxfId="1629" priority="4278" operator="containsText" text="Not Met">
      <formula>NOT(ISERROR(SEARCH("Not Met",AW395)))</formula>
    </cfRule>
  </conditionalFormatting>
  <conditionalFormatting sqref="AW398">
    <cfRule type="containsText" dxfId="1628" priority="4269" operator="containsText" text="Met">
      <formula>NOT(ISERROR(SEARCH("Met",AW398)))</formula>
    </cfRule>
    <cfRule type="containsText" dxfId="1627" priority="4268" operator="containsText" text="Not Met">
      <formula>NOT(ISERROR(SEARCH("Not Met",AW398)))</formula>
    </cfRule>
  </conditionalFormatting>
  <conditionalFormatting sqref="AW402">
    <cfRule type="containsText" dxfId="1626" priority="4263" operator="containsText" text="Met">
      <formula>NOT(ISERROR(SEARCH("Met",AW402)))</formula>
    </cfRule>
    <cfRule type="containsText" dxfId="1625" priority="4262" operator="containsText" text="Not Met">
      <formula>NOT(ISERROR(SEARCH("Not Met",AW402)))</formula>
    </cfRule>
  </conditionalFormatting>
  <conditionalFormatting sqref="AW404">
    <cfRule type="containsText" dxfId="1624" priority="4255" operator="containsText" text="Met">
      <formula>NOT(ISERROR(SEARCH("Met",AW404)))</formula>
    </cfRule>
    <cfRule type="containsText" dxfId="1623" priority="4254" operator="containsText" text="Not Met">
      <formula>NOT(ISERROR(SEARCH("Not Met",AW404)))</formula>
    </cfRule>
  </conditionalFormatting>
  <conditionalFormatting sqref="AW409:AW412">
    <cfRule type="containsText" dxfId="1622" priority="4241" operator="containsText" text="Met">
      <formula>NOT(ISERROR(SEARCH("Met",AW409)))</formula>
    </cfRule>
    <cfRule type="containsText" dxfId="1621" priority="4240" operator="containsText" text="Not Met">
      <formula>NOT(ISERROR(SEARCH("Not Met",AW409)))</formula>
    </cfRule>
  </conditionalFormatting>
  <conditionalFormatting sqref="AW409:AW414">
    <cfRule type="containsText" dxfId="1620" priority="4530" operator="containsText" text="Not Met">
      <formula>NOT(ISERROR(SEARCH("Not Met",AW409)))</formula>
    </cfRule>
    <cfRule type="containsText" dxfId="1619" priority="4531" operator="containsText" text="Met">
      <formula>NOT(ISERROR(SEARCH("Met",AW409)))</formula>
    </cfRule>
  </conditionalFormatting>
  <conditionalFormatting sqref="AW416">
    <cfRule type="containsText" dxfId="1618" priority="4525" operator="containsText" text="Met">
      <formula>NOT(ISERROR(SEARCH("Met",AW416)))</formula>
    </cfRule>
    <cfRule type="containsText" dxfId="1617" priority="4524" operator="containsText" text="Not Met">
      <formula>NOT(ISERROR(SEARCH("Not Met",AW416)))</formula>
    </cfRule>
  </conditionalFormatting>
  <conditionalFormatting sqref="AW418">
    <cfRule type="containsText" dxfId="1616" priority="4520" operator="containsText" text="Not Met">
      <formula>NOT(ISERROR(SEARCH("Not Met",AW418)))</formula>
    </cfRule>
    <cfRule type="containsText" dxfId="1615" priority="4521" operator="containsText" text="Met">
      <formula>NOT(ISERROR(SEARCH("Met",AW418)))</formula>
    </cfRule>
  </conditionalFormatting>
  <conditionalFormatting sqref="AW27:AX33 BB52:BB77 AX155:AX191 AW20:BB20 AW21:AX25 AY21:AY33 AZ21:AZ50 BB21:BB50 AX42:AX50 AZ52:AZ70 AX54:AX61 AX62:AY68 AX69:AX70 AX72:AX89 AZ72:AZ89 BD77 AZ97:AZ134 AX105:AX134 AZ147:AZ191 AV229:AY229 BA229:BE229 AZ229:AZ242 BE230:BE235 AV236:BB242 AZ257:AZ265 AX259:AX265 AX280:AX287 AZ280:AZ287 AX305:AX308 AZ315:AZ322 AX322 AX330 AX332:AX343 AZ390:AZ394 AZ397:AZ401 AZ411 AZ413:AZ426 AX415:AX417 AX419:AX426">
    <cfRule type="containsText" dxfId="1614" priority="4479" operator="containsText" text="Not Met">
      <formula>NOT(ISERROR(SEARCH("Not Met",AV20)))</formula>
    </cfRule>
  </conditionalFormatting>
  <conditionalFormatting sqref="AW33:AX33">
    <cfRule type="containsText" dxfId="1613" priority="4476" operator="containsText" text="Met">
      <formula>NOT(ISERROR(SEARCH("Met",AW33)))</formula>
    </cfRule>
    <cfRule type="containsText" dxfId="1612" priority="4475" operator="containsText" text="Not Met">
      <formula>NOT(ISERROR(SEARCH("Not Met",AW33)))</formula>
    </cfRule>
    <cfRule type="containsText" dxfId="1611" priority="4478" operator="containsText" text="Met">
      <formula>NOT(ISERROR(SEARCH("Met",AW33)))</formula>
    </cfRule>
    <cfRule type="containsText" dxfId="1610" priority="4477" operator="containsText" text="Not Met">
      <formula>NOT(ISERROR(SEARCH("Not Met",AW33)))</formula>
    </cfRule>
  </conditionalFormatting>
  <conditionalFormatting sqref="AW304:AX304">
    <cfRule type="containsText" dxfId="1609" priority="4500" operator="containsText" text="Met">
      <formula>NOT(ISERROR(SEARCH("Met",AW304)))</formula>
    </cfRule>
  </conditionalFormatting>
  <conditionalFormatting sqref="AW344:AX344">
    <cfRule type="containsText" dxfId="1608" priority="4556" operator="containsText" text="Met">
      <formula>NOT(ISERROR(SEARCH("Met",AW344)))</formula>
    </cfRule>
  </conditionalFormatting>
  <conditionalFormatting sqref="AW310:AZ310">
    <cfRule type="containsText" dxfId="1607" priority="4068" operator="containsText" text="Met">
      <formula>NOT(ISERROR(SEARCH("Met",AW310)))</formula>
    </cfRule>
  </conditionalFormatting>
  <conditionalFormatting sqref="AW20:BB20 AW21:AX25 AY21:AY33 AZ21:AZ50 BB21:BB50 AW27:AX33 AX42:AX50 AZ52:AZ70 BB52:BB77 AX54:AX61 AX62:AY68 AX69:AX70 AX72:AX89 AZ72:AZ89 BD77 AZ97:AZ134 AX105:AX134 AZ147:BB154 AX155:AX191 AZ155:AZ191 AV229:BA235 AV236:BB242 AZ257:AZ265 AX259:AX265 AX280:AX287 AZ280:AZ287 AX305:AX308 AZ315:AZ322 AX322 AX330 AX332:AX343 AZ390:AZ394 AZ397:AZ401 AZ411 AZ413:AZ426 AX415:AX417 AX419:AX426 AX315">
    <cfRule type="containsText" dxfId="1606" priority="4480" operator="containsText" text="Met">
      <formula>NOT(ISERROR(SEARCH("Met",AV20)))</formula>
    </cfRule>
  </conditionalFormatting>
  <conditionalFormatting sqref="AX444:AX457 AZ444:AZ457">
    <cfRule type="containsText" dxfId="1605" priority="771" operator="containsText" text="Met">
      <formula>NOT(ISERROR(SEARCH("Met",AX444)))</formula>
    </cfRule>
    <cfRule type="containsText" dxfId="1604" priority="770" operator="containsText" text="Not Met">
      <formula>NOT(ISERROR(SEARCH("Not Met",AX444)))</formula>
    </cfRule>
  </conditionalFormatting>
  <conditionalFormatting sqref="AX315:AY315 BA315:BA318">
    <cfRule type="containsText" dxfId="1603" priority="3797" operator="containsText" text="Not Met">
      <formula>NOT(ISERROR(SEARCH("Not Met",AX315)))</formula>
    </cfRule>
  </conditionalFormatting>
  <conditionalFormatting sqref="AX345:AY345">
    <cfRule type="containsText" dxfId="1602" priority="3992" operator="containsText" text="Not Met">
      <formula>NOT(ISERROR(SEARCH("Not Met",AX345)))</formula>
    </cfRule>
    <cfRule type="containsText" dxfId="1601" priority="3993" operator="containsText" text="Met">
      <formula>NOT(ISERROR(SEARCH("Met",AX345)))</formula>
    </cfRule>
  </conditionalFormatting>
  <conditionalFormatting sqref="AX354:AY354 BA354">
    <cfRule type="containsText" dxfId="1600" priority="3822" operator="containsText" text="Met">
      <formula>NOT(ISERROR(SEARCH("Met",AX354)))</formula>
    </cfRule>
  </conditionalFormatting>
  <conditionalFormatting sqref="AX442:AY443 BA442:BA443">
    <cfRule type="containsText" dxfId="1599" priority="3962" operator="containsText" text="Not Met">
      <formula>NOT(ISERROR(SEARCH("Not Met",AX442)))</formula>
    </cfRule>
  </conditionalFormatting>
  <conditionalFormatting sqref="AX356:AZ366 AX371:AZ373 AX376:AZ376 AX392:AY394 AX397:AY397 AX399:AY401 AX405:AZ408">
    <cfRule type="containsText" dxfId="1598" priority="3668" operator="containsText" text="Not Met">
      <formula>NOT(ISERROR(SEARCH("Not Met",AX356)))</formula>
    </cfRule>
    <cfRule type="containsText" dxfId="1597" priority="3669" operator="containsText" text="Met">
      <formula>NOT(ISERROR(SEARCH("Met",AX356)))</formula>
    </cfRule>
  </conditionalFormatting>
  <conditionalFormatting sqref="AX378:AZ380 AX383:AZ387 AX390:AY390">
    <cfRule type="containsText" dxfId="1596" priority="3672" operator="containsText" text="Not Met">
      <formula>NOT(ISERROR(SEARCH("Not Met",AX378)))</formula>
    </cfRule>
    <cfRule type="containsText" dxfId="1595" priority="3673" operator="containsText" text="Met">
      <formula>NOT(ISERROR(SEARCH("Met",AX378)))</formula>
    </cfRule>
  </conditionalFormatting>
  <conditionalFormatting sqref="AX313:BB313">
    <cfRule type="containsText" dxfId="1594" priority="4070" operator="containsText" text="Met">
      <formula>NOT(ISERROR(SEARCH("Met",AX313)))</formula>
    </cfRule>
  </conditionalFormatting>
  <conditionalFormatting sqref="AX353:BB353 AX355:BB355">
    <cfRule type="containsText" dxfId="1593" priority="4431" operator="containsText" text="Met">
      <formula>NOT(ISERROR(SEARCH("Met",AX353)))</formula>
    </cfRule>
  </conditionalFormatting>
  <conditionalFormatting sqref="AX353:BB355">
    <cfRule type="containsText" dxfId="1592" priority="3819" operator="containsText" text="Not Met">
      <formula>NOT(ISERROR(SEARCH("Not Met",AX353)))</formula>
    </cfRule>
  </conditionalFormatting>
  <conditionalFormatting sqref="AY2:AY5">
    <cfRule type="containsText" dxfId="1591" priority="3868" operator="containsText" text="Met">
      <formula>NOT(ISERROR(SEARCH("Met",AY2)))</formula>
    </cfRule>
    <cfRule type="containsText" dxfId="1590" priority="3867" operator="containsText" text="Not Met">
      <formula>NOT(ISERROR(SEARCH("Not Met",AY2)))</formula>
    </cfRule>
  </conditionalFormatting>
  <conditionalFormatting sqref="AY5:AY19">
    <cfRule type="containsText" dxfId="1589" priority="3869" operator="containsText" text="Not Met">
      <formula>NOT(ISERROR(SEARCH("Not Met",AY5)))</formula>
    </cfRule>
    <cfRule type="containsText" dxfId="1588" priority="3870" operator="containsText" text="Met">
      <formula>NOT(ISERROR(SEARCH("Met",AY5)))</formula>
    </cfRule>
  </conditionalFormatting>
  <conditionalFormatting sqref="AY42:AY48">
    <cfRule type="containsText" dxfId="1587" priority="3714" operator="containsText" text="Not Met">
      <formula>NOT(ISERROR(SEARCH("Not Met",AY42)))</formula>
    </cfRule>
    <cfRule type="containsText" dxfId="1586" priority="3715" operator="containsText" text="Met">
      <formula>NOT(ISERROR(SEARCH("Met",AY42)))</formula>
    </cfRule>
  </conditionalFormatting>
  <conditionalFormatting sqref="AY42:AY53">
    <cfRule type="containsText" dxfId="1585" priority="3716" operator="containsText" text="Not Met">
      <formula>NOT(ISERROR(SEARCH("Not Met",AY42)))</formula>
    </cfRule>
    <cfRule type="containsText" dxfId="1584" priority="3717" operator="containsText" text="Met">
      <formula>NOT(ISERROR(SEARCH("Met",AY42)))</formula>
    </cfRule>
  </conditionalFormatting>
  <conditionalFormatting sqref="AY51">
    <cfRule type="containsText" dxfId="1583" priority="3862" operator="containsText" text="Met">
      <formula>NOT(ISERROR(SEARCH("Met",AY51)))</formula>
    </cfRule>
    <cfRule type="containsText" dxfId="1582" priority="3861" operator="containsText" text="Not Met">
      <formula>NOT(ISERROR(SEARCH("Not Met",AY51)))</formula>
    </cfRule>
  </conditionalFormatting>
  <conditionalFormatting sqref="AY60:AY61">
    <cfRule type="containsText" dxfId="1581" priority="3809" operator="containsText" text="Not Met">
      <formula>NOT(ISERROR(SEARCH("Not Met",AY60)))</formula>
    </cfRule>
    <cfRule type="containsText" dxfId="1580" priority="3810" operator="containsText" text="Met">
      <formula>NOT(ISERROR(SEARCH("Met",AY60)))</formula>
    </cfRule>
  </conditionalFormatting>
  <conditionalFormatting sqref="AY70 BA70">
    <cfRule type="containsText" dxfId="1579" priority="3800" operator="containsText" text="Met">
      <formula>NOT(ISERROR(SEARCH("Met",AY70)))</formula>
    </cfRule>
    <cfRule type="containsText" dxfId="1578" priority="3799" operator="containsText" text="Not Met">
      <formula>NOT(ISERROR(SEARCH("Not Met",AY70)))</formula>
    </cfRule>
  </conditionalFormatting>
  <conditionalFormatting sqref="AY86:AY87">
    <cfRule type="containsText" dxfId="1577" priority="3843" operator="containsText" text="Not met">
      <formula>NOT(ISERROR(SEARCH("Not met",AY86)))</formula>
    </cfRule>
  </conditionalFormatting>
  <conditionalFormatting sqref="AY89">
    <cfRule type="containsText" dxfId="1576" priority="3845" operator="containsText" text="Not met">
      <formula>NOT(ISERROR(SEARCH("Not met",AY89)))</formula>
    </cfRule>
  </conditionalFormatting>
  <conditionalFormatting sqref="AY97:AY113 BA105:BA113">
    <cfRule type="containsText" dxfId="1575" priority="3731" operator="containsText" text="Not Met">
      <formula>NOT(ISERROR(SEARCH("Not Met",AY97)))</formula>
    </cfRule>
    <cfRule type="containsText" dxfId="1574" priority="3732" operator="containsText" text="Met">
      <formula>NOT(ISERROR(SEARCH("Met",AY97)))</formula>
    </cfRule>
  </conditionalFormatting>
  <conditionalFormatting sqref="AY118:AY124">
    <cfRule type="containsText" dxfId="1573" priority="3900" operator="containsText" text="Not Met">
      <formula>NOT(ISERROR(SEARCH("Not Met",AY118)))</formula>
    </cfRule>
  </conditionalFormatting>
  <conditionalFormatting sqref="AY118:AY126">
    <cfRule type="containsText" dxfId="1572" priority="3901" operator="containsText" text="Met">
      <formula>NOT(ISERROR(SEARCH("Met",AY118)))</formula>
    </cfRule>
  </conditionalFormatting>
  <conditionalFormatting sqref="AY125:AY126">
    <cfRule type="containsText" dxfId="1571" priority="3950" operator="containsText" text="Not Met">
      <formula>NOT(ISERROR(SEARCH("Not Met",AY125)))</formula>
    </cfRule>
  </conditionalFormatting>
  <conditionalFormatting sqref="AY128:AY146 BA128:BA146">
    <cfRule type="containsText" dxfId="1570" priority="3749" operator="containsText" text="Not Met">
      <formula>NOT(ISERROR(SEARCH("Not Met",AY128)))</formula>
    </cfRule>
    <cfRule type="containsText" dxfId="1569" priority="3750" operator="containsText" text="Met">
      <formula>NOT(ISERROR(SEARCH("Met",AY128)))</formula>
    </cfRule>
  </conditionalFormatting>
  <conditionalFormatting sqref="AY147:AY154">
    <cfRule type="containsText" dxfId="1568" priority="3736" operator="containsText" text="Met">
      <formula>NOT(ISERROR(SEARCH("Met",AY147)))</formula>
    </cfRule>
  </conditionalFormatting>
  <conditionalFormatting sqref="AY155:AY170 BA158:BA170">
    <cfRule type="containsText" dxfId="1567" priority="3838" operator="containsText" text="Met">
      <formula>NOT(ISERROR(SEARCH("Met",AY155)))</formula>
    </cfRule>
    <cfRule type="containsText" dxfId="1566" priority="3837" operator="containsText" text="Not Met">
      <formula>NOT(ISERROR(SEARCH("Not Met",AY155)))</formula>
    </cfRule>
  </conditionalFormatting>
  <conditionalFormatting sqref="AY173">
    <cfRule type="containsText" dxfId="1565" priority="3924" operator="containsText" text="Not Met">
      <formula>NOT(ISERROR(SEARCH("Not Met",AY173)))</formula>
    </cfRule>
    <cfRule type="containsText" dxfId="1564" priority="3925" operator="containsText" text="Met">
      <formula>NOT(ISERROR(SEARCH("Met",AY173)))</formula>
    </cfRule>
  </conditionalFormatting>
  <conditionalFormatting sqref="AY176:AY191 BA176:BA191">
    <cfRule type="containsText" dxfId="1563" priority="3885" operator="containsText" text="Not Met">
      <formula>NOT(ISERROR(SEARCH("Not Met",AY176)))</formula>
    </cfRule>
    <cfRule type="containsText" dxfId="1562" priority="3888" operator="containsText" text="Met">
      <formula>NOT(ISERROR(SEARCH("Met",AY176)))</formula>
    </cfRule>
  </conditionalFormatting>
  <conditionalFormatting sqref="AY212:AY228">
    <cfRule type="containsText" dxfId="1561" priority="3740" operator="containsText" text="Met">
      <formula>NOT(ISERROR(SEARCH("Met",AY212)))</formula>
    </cfRule>
    <cfRule type="containsText" dxfId="1560" priority="3739" operator="containsText" text="Not Met">
      <formula>NOT(ISERROR(SEARCH("Not Met",AY212)))</formula>
    </cfRule>
  </conditionalFormatting>
  <conditionalFormatting sqref="AY243:AY262">
    <cfRule type="containsText" dxfId="1559" priority="3685" operator="containsText" text="Met">
      <formula>NOT(ISERROR(SEARCH("Met",AY243)))</formula>
    </cfRule>
    <cfRule type="containsText" dxfId="1558" priority="3684" operator="containsText" text="Not Met">
      <formula>NOT(ISERROR(SEARCH("Not Met",AY243)))</formula>
    </cfRule>
  </conditionalFormatting>
  <conditionalFormatting sqref="AY259:AY264 BA243:BA286">
    <cfRule type="containsText" dxfId="1557" priority="3682" operator="containsText" text="Not Met">
      <formula>NOT(ISERROR(SEARCH("Not Met",AY243)))</formula>
    </cfRule>
  </conditionalFormatting>
  <conditionalFormatting sqref="AY261:AY264">
    <cfRule type="containsText" dxfId="1556" priority="3687" operator="containsText" text="Met">
      <formula>NOT(ISERROR(SEARCH("Met",AY261)))</formula>
    </cfRule>
    <cfRule type="containsText" dxfId="1555" priority="3686" operator="containsText" text="Not Met">
      <formula>NOT(ISERROR(SEARCH("Not Met",AY261)))</formula>
    </cfRule>
  </conditionalFormatting>
  <conditionalFormatting sqref="AY264:AY286">
    <cfRule type="containsText" dxfId="1554" priority="3679" operator="containsText" text="Met">
      <formula>NOT(ISERROR(SEARCH("Met",AY264)))</formula>
    </cfRule>
    <cfRule type="containsText" dxfId="1553" priority="3678" operator="containsText" text="Not Met">
      <formula>NOT(ISERROR(SEARCH("Not Met",AY264)))</formula>
    </cfRule>
  </conditionalFormatting>
  <conditionalFormatting sqref="AY265">
    <cfRule type="containsText" dxfId="1552" priority="3674" operator="containsText" text="Not Met">
      <formula>NOT(ISERROR(SEARCH("Not Met",AY265)))</formula>
    </cfRule>
    <cfRule type="containsText" dxfId="1551" priority="3677" operator="containsText" text="Met">
      <formula>NOT(ISERROR(SEARCH("Met",AY265)))</formula>
    </cfRule>
    <cfRule type="containsText" dxfId="1550" priority="3675" operator="containsText" text="Met">
      <formula>NOT(ISERROR(SEARCH("Met",AY265)))</formula>
    </cfRule>
    <cfRule type="containsText" dxfId="1549" priority="3676" operator="containsText" text="Not Met">
      <formula>NOT(ISERROR(SEARCH("Not Met",AY265)))</formula>
    </cfRule>
  </conditionalFormatting>
  <conditionalFormatting sqref="AY288:AY302">
    <cfRule type="containsText" dxfId="1548" priority="3693" operator="containsText" text="Met">
      <formula>NOT(ISERROR(SEARCH("Met",AY288)))</formula>
    </cfRule>
    <cfRule type="containsText" dxfId="1547" priority="3692" operator="containsText" text="Not Met">
      <formula>NOT(ISERROR(SEARCH("Not Met",AY288)))</formula>
    </cfRule>
  </conditionalFormatting>
  <conditionalFormatting sqref="AY304 BA304">
    <cfRule type="containsText" dxfId="1546" priority="4053" operator="containsText" text="Not Met">
      <formula>NOT(ISERROR(SEARCH("Not Met",AY304)))</formula>
    </cfRule>
  </conditionalFormatting>
  <conditionalFormatting sqref="AY304 BA304:BB304">
    <cfRule type="containsText" dxfId="1545" priority="4054" operator="containsText" text="Met">
      <formula>NOT(ISERROR(SEARCH("Met",AY304)))</formula>
    </cfRule>
  </conditionalFormatting>
  <conditionalFormatting sqref="AY304:AY309 AZ309:BB309">
    <cfRule type="containsText" dxfId="1544" priority="4049" operator="containsText" text="Not Met">
      <formula>NOT(ISERROR(SEARCH("Not Met",AY304)))</formula>
    </cfRule>
    <cfRule type="containsText" dxfId="1543" priority="4050" operator="containsText" text="Met">
      <formula>NOT(ISERROR(SEARCH("Met",AY304)))</formula>
    </cfRule>
  </conditionalFormatting>
  <conditionalFormatting sqref="AY315 BA315">
    <cfRule type="containsText" dxfId="1542" priority="3791" operator="containsText" text="Met">
      <formula>NOT(ISERROR(SEARCH("Met",AY315)))</formula>
    </cfRule>
  </conditionalFormatting>
  <conditionalFormatting sqref="AY315:AY318 BA315:BA318 AY320:AY322 BA320:BA322">
    <cfRule type="containsText" dxfId="1541" priority="3798" operator="containsText" text="Met">
      <formula>NOT(ISERROR(SEARCH("Met",AY315)))</formula>
    </cfRule>
  </conditionalFormatting>
  <conditionalFormatting sqref="AY315:AY318">
    <cfRule type="containsText" dxfId="1540" priority="3790" operator="containsText" text="Not Met">
      <formula>NOT(ISERROR(SEARCH("Not Met",AY315)))</formula>
    </cfRule>
  </conditionalFormatting>
  <conditionalFormatting sqref="AY320:AY322 BA320:BA322">
    <cfRule type="containsText" dxfId="1539" priority="3786" operator="containsText" text="Not Met">
      <formula>NOT(ISERROR(SEARCH("Not Met",AY320)))</formula>
    </cfRule>
  </conditionalFormatting>
  <conditionalFormatting sqref="AY330:AY337 AZ330:BA352">
    <cfRule type="containsText" dxfId="1538" priority="3967" operator="containsText" text="Met">
      <formula>NOT(ISERROR(SEARCH("Met",AY330)))</formula>
    </cfRule>
    <cfRule type="containsText" dxfId="1537" priority="3966" operator="containsText" text="Not Met">
      <formula>NOT(ISERROR(SEARCH("Not Met",AY330)))</formula>
    </cfRule>
  </conditionalFormatting>
  <conditionalFormatting sqref="AY330:AY337 BA330:BA337">
    <cfRule type="containsText" dxfId="1536" priority="3965" operator="containsText" text="Met">
      <formula>NOT(ISERROR(SEARCH("Met",AY330)))</formula>
    </cfRule>
  </conditionalFormatting>
  <conditionalFormatting sqref="AY330:AY337">
    <cfRule type="containsText" dxfId="1535" priority="3964" operator="containsText" text="Not Met">
      <formula>NOT(ISERROR(SEARCH("Not Met",AY330)))</formula>
    </cfRule>
  </conditionalFormatting>
  <conditionalFormatting sqref="AY338:AY344 BA338:BA344">
    <cfRule type="containsText" dxfId="1534" priority="4010" operator="containsText" text="Not Met">
      <formula>NOT(ISERROR(SEARCH("Not Met",AY338)))</formula>
    </cfRule>
    <cfRule type="containsText" dxfId="1533" priority="4011" operator="containsText" text="Met">
      <formula>NOT(ISERROR(SEARCH("Met",AY338)))</formula>
    </cfRule>
  </conditionalFormatting>
  <conditionalFormatting sqref="AY338:AY345">
    <cfRule type="containsText" dxfId="1532" priority="3994" operator="containsText" text="Not Met">
      <formula>NOT(ISERROR(SEARCH("Not Met",AY338)))</formula>
    </cfRule>
    <cfRule type="containsText" dxfId="1531" priority="3995" operator="containsText" text="Met">
      <formula>NOT(ISERROR(SEARCH("Met",AY338)))</formula>
    </cfRule>
  </conditionalFormatting>
  <conditionalFormatting sqref="AY346">
    <cfRule type="containsText" dxfId="1530" priority="3834" operator="containsText" text="Met">
      <formula>NOT(ISERROR(SEARCH("Met",AY346)))</formula>
    </cfRule>
    <cfRule type="containsText" dxfId="1529" priority="3831" operator="containsText" text="Not Met">
      <formula>NOT(ISERROR(SEARCH("Not Met",AY346)))</formula>
    </cfRule>
    <cfRule type="containsText" dxfId="1528" priority="3832" operator="containsText" text="Met">
      <formula>NOT(ISERROR(SEARCH("Met",AY346)))</formula>
    </cfRule>
    <cfRule type="containsText" dxfId="1527" priority="3833" operator="containsText" text="Not Met">
      <formula>NOT(ISERROR(SEARCH("Not Met",AY346)))</formula>
    </cfRule>
  </conditionalFormatting>
  <conditionalFormatting sqref="AY346:AY352 BA346:BA352">
    <cfRule type="containsText" dxfId="1526" priority="3823" operator="containsText" text="Not Met">
      <formula>NOT(ISERROR(SEARCH("Not Met",AY346)))</formula>
    </cfRule>
    <cfRule type="containsText" dxfId="1525" priority="3824" operator="containsText" text="Met">
      <formula>NOT(ISERROR(SEARCH("Met",AY346)))</formula>
    </cfRule>
    <cfRule type="containsText" dxfId="1524" priority="3825" operator="containsText" text="Not Met">
      <formula>NOT(ISERROR(SEARCH("Not Met",AY346)))</formula>
    </cfRule>
    <cfRule type="containsText" dxfId="1523" priority="3826" operator="containsText" text="Met">
      <formula>NOT(ISERROR(SEARCH("Met",AY346)))</formula>
    </cfRule>
  </conditionalFormatting>
  <conditionalFormatting sqref="AY416">
    <cfRule type="containsText" dxfId="1522" priority="4019" operator="containsText" text="Met">
      <formula>NOT(ISERROR(SEARCH("Met",AY416)))</formula>
    </cfRule>
    <cfRule type="containsText" dxfId="1521" priority="4018" operator="containsText" text="Not Met">
      <formula>NOT(ISERROR(SEARCH("Not Met",AY416)))</formula>
    </cfRule>
  </conditionalFormatting>
  <conditionalFormatting sqref="AY442:AY443">
    <cfRule type="containsText" dxfId="1520" priority="3959" operator="containsText" text="Met">
      <formula>NOT(ISERROR(SEARCH("Met",AY442)))</formula>
    </cfRule>
  </conditionalFormatting>
  <conditionalFormatting sqref="AY444:AY457">
    <cfRule type="containsText" dxfId="1519" priority="762" operator="containsText" text="Not Met">
      <formula>NOT(ISERROR(SEARCH("Not Met",AY444)))</formula>
    </cfRule>
    <cfRule type="containsText" dxfId="1518" priority="763" operator="containsText" text="Met">
      <formula>NOT(ISERROR(SEARCH("Met",AY444)))</formula>
    </cfRule>
  </conditionalFormatting>
  <conditionalFormatting sqref="AY309:AZ309">
    <cfRule type="containsText" dxfId="1517" priority="4042" operator="containsText" text="Met">
      <formula>NOT(ISERROR(SEARCH("Met",AY309)))</formula>
    </cfRule>
    <cfRule type="containsText" dxfId="1516" priority="4041" operator="containsText" text="Not Met">
      <formula>NOT(ISERROR(SEARCH("Not Met",AY309)))</formula>
    </cfRule>
  </conditionalFormatting>
  <conditionalFormatting sqref="AY314:AZ314 BB314">
    <cfRule type="containsText" dxfId="1515" priority="4060" operator="containsText" text="Met">
      <formula>NOT(ISERROR(SEARCH("Met",AY314)))</formula>
    </cfRule>
  </conditionalFormatting>
  <conditionalFormatting sqref="AY314:AZ314 BB314:BB315">
    <cfRule type="containsText" dxfId="1514" priority="4061" operator="containsText" text="Not Met">
      <formula>NOT(ISERROR(SEARCH("Not Met",AY314)))</formula>
    </cfRule>
  </conditionalFormatting>
  <conditionalFormatting sqref="AY436:AZ443 BA442:BA443">
    <cfRule type="containsText" dxfId="1513" priority="3963" operator="containsText" text="Met">
      <formula>NOT(ISERROR(SEARCH("Met",AY436)))</formula>
    </cfRule>
  </conditionalFormatting>
  <conditionalFormatting sqref="AY311:BB312">
    <cfRule type="containsText" dxfId="1512" priority="4058" operator="containsText" text="Met">
      <formula>NOT(ISERROR(SEARCH("Met",AY311)))</formula>
    </cfRule>
    <cfRule type="containsText" dxfId="1511" priority="4056" operator="containsText" text="Met">
      <formula>NOT(ISERROR(SEARCH("Met",AY311)))</formula>
    </cfRule>
    <cfRule type="containsText" dxfId="1510" priority="4055" operator="containsText" text="Not Met">
      <formula>NOT(ISERROR(SEARCH("Not Met",AY311)))</formula>
    </cfRule>
    <cfRule type="containsText" dxfId="1509" priority="4057" operator="containsText" text="Not Met">
      <formula>NOT(ISERROR(SEARCH("Not Met",AY311)))</formula>
    </cfRule>
  </conditionalFormatting>
  <conditionalFormatting sqref="AY314:BB314">
    <cfRule type="containsText" dxfId="1508" priority="4062" operator="containsText" text="Met">
      <formula>NOT(ISERROR(SEARCH("Met",AY314)))</formula>
    </cfRule>
    <cfRule type="containsText" dxfId="1507" priority="4046" operator="containsText" text="Met">
      <formula>NOT(ISERROR(SEARCH("Met",AY314)))</formula>
    </cfRule>
    <cfRule type="containsText" dxfId="1506" priority="4059" operator="containsText" text="Not Met">
      <formula>NOT(ISERROR(SEARCH("Not Met",AY314)))</formula>
    </cfRule>
    <cfRule type="containsText" dxfId="1505" priority="4045" operator="containsText" text="Not Met">
      <formula>NOT(ISERROR(SEARCH("Not Met",AY314)))</formula>
    </cfRule>
    <cfRule type="containsText" dxfId="1504" priority="4048" operator="containsText" text="Met">
      <formula>NOT(ISERROR(SEARCH("Met",AY314)))</formula>
    </cfRule>
    <cfRule type="containsText" dxfId="1503" priority="4047" operator="containsText" text="Not Met">
      <formula>NOT(ISERROR(SEARCH("Not Met",AY314)))</formula>
    </cfRule>
  </conditionalFormatting>
  <conditionalFormatting sqref="AY436:BB443">
    <cfRule type="containsText" dxfId="1502" priority="3954" operator="containsText" text="Not Met">
      <formula>NOT(ISERROR(SEARCH("Not Met",AY436)))</formula>
    </cfRule>
  </conditionalFormatting>
  <conditionalFormatting sqref="AZ295:AZ302 AZ304:AZ309 BB309:BB310">
    <cfRule type="containsText" dxfId="1501" priority="4064" operator="containsText" text="Met">
      <formula>NOT(ISERROR(SEARCH("Met",AZ295)))</formula>
    </cfRule>
  </conditionalFormatting>
  <conditionalFormatting sqref="AZ304:AZ309 BB309:BB310 AZ295:AZ302">
    <cfRule type="containsText" dxfId="1500" priority="4063" operator="containsText" text="Not Met">
      <formula>NOT(ISERROR(SEARCH("Not Met",AZ295)))</formula>
    </cfRule>
  </conditionalFormatting>
  <conditionalFormatting sqref="BA2:BA5">
    <cfRule type="containsText" dxfId="1499" priority="3864" operator="containsText" text="Met">
      <formula>NOT(ISERROR(SEARCH("Met",BA2)))</formula>
    </cfRule>
    <cfRule type="containsText" dxfId="1498" priority="3863" operator="containsText" text="Not Met">
      <formula>NOT(ISERROR(SEARCH("Not Met",BA2)))</formula>
    </cfRule>
  </conditionalFormatting>
  <conditionalFormatting sqref="BA5:BA19">
    <cfRule type="containsText" dxfId="1497" priority="3865" operator="containsText" text="Not Met">
      <formula>NOT(ISERROR(SEARCH("Not Met",BA5)))</formula>
    </cfRule>
    <cfRule type="containsText" dxfId="1496" priority="3866" operator="containsText" text="Met">
      <formula>NOT(ISERROR(SEARCH("Met",BA5)))</formula>
    </cfRule>
  </conditionalFormatting>
  <conditionalFormatting sqref="BA21:BA53">
    <cfRule type="containsText" dxfId="1495" priority="3712" operator="containsText" text="Not Met">
      <formula>NOT(ISERROR(SEARCH("Not Met",BA21)))</formula>
    </cfRule>
    <cfRule type="containsText" dxfId="1494" priority="3713" operator="containsText" text="Met">
      <formula>NOT(ISERROR(SEARCH("Met",BA21)))</formula>
    </cfRule>
  </conditionalFormatting>
  <conditionalFormatting sqref="BA42:BA48">
    <cfRule type="containsText" dxfId="1493" priority="3709" operator="containsText" text="Met">
      <formula>NOT(ISERROR(SEARCH("Met",BA42)))</formula>
    </cfRule>
    <cfRule type="containsText" dxfId="1492" priority="3708" operator="containsText" text="Not Met">
      <formula>NOT(ISERROR(SEARCH("Not Met",BA42)))</formula>
    </cfRule>
    <cfRule type="containsText" dxfId="1491" priority="3705" operator="containsText" text="Met">
      <formula>NOT(ISERROR(SEARCH("Met",BA42)))</formula>
    </cfRule>
    <cfRule type="containsText" dxfId="1490" priority="3704" operator="containsText" text="Not Met">
      <formula>NOT(ISERROR(SEARCH("Not Met",BA42)))</formula>
    </cfRule>
  </conditionalFormatting>
  <conditionalFormatting sqref="BA51">
    <cfRule type="containsText" dxfId="1489" priority="3858" operator="containsText" text="Met">
      <formula>NOT(ISERROR(SEARCH("Met",BA51)))</formula>
    </cfRule>
    <cfRule type="containsText" dxfId="1488" priority="3857" operator="containsText" text="Not Met">
      <formula>NOT(ISERROR(SEARCH("Not Met",BA51)))</formula>
    </cfRule>
  </conditionalFormatting>
  <conditionalFormatting sqref="BA60:BA68">
    <cfRule type="containsText" dxfId="1487" priority="3807" operator="containsText" text="Not Met">
      <formula>NOT(ISERROR(SEARCH("Not Met",BA60)))</formula>
    </cfRule>
    <cfRule type="containsText" dxfId="1486" priority="3808" operator="containsText" text="Met">
      <formula>NOT(ISERROR(SEARCH("Met",BA60)))</formula>
    </cfRule>
  </conditionalFormatting>
  <conditionalFormatting sqref="BA86:BA87">
    <cfRule type="containsText" dxfId="1485" priority="3846" operator="containsText" text="Not met">
      <formula>NOT(ISERROR(SEARCH("Not met",BA86)))</formula>
    </cfRule>
  </conditionalFormatting>
  <conditionalFormatting sqref="BA89">
    <cfRule type="containsText" dxfId="1484" priority="3844" operator="containsText" text="Not met">
      <formula>NOT(ISERROR(SEARCH("Not met",BA89)))</formula>
    </cfRule>
  </conditionalFormatting>
  <conditionalFormatting sqref="BA97:BA104 AT346:AY352 AR34:AY41 AV97:AY104 AT147:AY154 AX317">
    <cfRule type="containsText" dxfId="1483" priority="4637" operator="containsText" text="Not Met">
      <formula>NOT(ISERROR(SEARCH("Not Met",AR34)))</formula>
    </cfRule>
  </conditionalFormatting>
  <conditionalFormatting sqref="BA97:BA104">
    <cfRule type="containsText" dxfId="1482" priority="3970" operator="containsText" text="Not Met">
      <formula>NOT(ISERROR(SEARCH("Not Met",BA97)))</formula>
    </cfRule>
    <cfRule type="containsText" dxfId="1481" priority="3969" operator="containsText" text="Met">
      <formula>NOT(ISERROR(SEARCH("Met",BA97)))</formula>
    </cfRule>
  </conditionalFormatting>
  <conditionalFormatting sqref="BA105:BA106">
    <cfRule type="containsText" dxfId="1480" priority="3734" operator="containsText" text="Met">
      <formula>NOT(ISERROR(SEARCH("Met",BA105)))</formula>
    </cfRule>
    <cfRule type="containsText" dxfId="1479" priority="3733" operator="containsText" text="Not Met">
      <formula>NOT(ISERROR(SEARCH("Not Met",BA105)))</formula>
    </cfRule>
  </conditionalFormatting>
  <conditionalFormatting sqref="BA118:BA123">
    <cfRule type="containsText" dxfId="1478" priority="3898" operator="containsText" text="Not Met">
      <formula>NOT(ISERROR(SEARCH("Not Met",BA118)))</formula>
    </cfRule>
    <cfRule type="containsText" dxfId="1477" priority="3899" operator="containsText" text="Met">
      <formula>NOT(ISERROR(SEARCH("Met",BA118)))</formula>
    </cfRule>
  </conditionalFormatting>
  <conditionalFormatting sqref="BA124">
    <cfRule type="containsText" dxfId="1476" priority="3946" operator="containsText" text="Met">
      <formula>NOT(ISERROR(SEARCH("Met",BA124)))</formula>
    </cfRule>
  </conditionalFormatting>
  <conditionalFormatting sqref="BA124:BA126">
    <cfRule type="containsText" dxfId="1475" priority="3945" operator="containsText" text="Not Met">
      <formula>NOT(ISERROR(SEARCH("Not Met",BA124)))</formula>
    </cfRule>
  </conditionalFormatting>
  <conditionalFormatting sqref="BA125:BA126">
    <cfRule type="containsText" dxfId="1474" priority="3944" operator="containsText" text="Met">
      <formula>NOT(ISERROR(SEARCH("Met",BA125)))</formula>
    </cfRule>
  </conditionalFormatting>
  <conditionalFormatting sqref="BA147:BA154">
    <cfRule type="containsText" dxfId="1473" priority="3735" operator="containsText" text="Met">
      <formula>NOT(ISERROR(SEARCH("Met",BA147)))</formula>
    </cfRule>
  </conditionalFormatting>
  <conditionalFormatting sqref="BA173">
    <cfRule type="containsText" dxfId="1472" priority="3923" operator="containsText" text="Met">
      <formula>NOT(ISERROR(SEARCH("Met",BA173)))</formula>
    </cfRule>
    <cfRule type="containsText" dxfId="1471" priority="3922" operator="containsText" text="Not Met">
      <formula>NOT(ISERROR(SEARCH("Not Met",BA173)))</formula>
    </cfRule>
  </conditionalFormatting>
  <conditionalFormatting sqref="BA212:BA228">
    <cfRule type="containsText" dxfId="1470" priority="3737" operator="containsText" text="Not Met">
      <formula>NOT(ISERROR(SEARCH("Not Met",BA212)))</formula>
    </cfRule>
    <cfRule type="containsText" dxfId="1469" priority="3738" operator="containsText" text="Met">
      <formula>NOT(ISERROR(SEARCH("Met",BA212)))</formula>
    </cfRule>
  </conditionalFormatting>
  <conditionalFormatting sqref="BA243:BA286 AY259:AY264">
    <cfRule type="containsText" dxfId="1468" priority="3683" operator="containsText" text="Met">
      <formula>NOT(ISERROR(SEARCH("Met",AY243)))</formula>
    </cfRule>
  </conditionalFormatting>
  <conditionalFormatting sqref="BA288:BA299">
    <cfRule type="containsText" dxfId="1467" priority="3689" operator="containsText" text="Not Met">
      <formula>NOT(ISERROR(SEARCH("Not Met",BA288)))</formula>
    </cfRule>
  </conditionalFormatting>
  <conditionalFormatting sqref="BA288:BA302 BA304:BA312">
    <cfRule type="containsText" dxfId="1466" priority="3690" operator="containsText" text="Met">
      <formula>NOT(ISERROR(SEARCH("Met",BA288)))</formula>
    </cfRule>
  </conditionalFormatting>
  <conditionalFormatting sqref="BA300">
    <cfRule type="containsText" dxfId="1465" priority="3696" operator="containsText" text="Not Met">
      <formula>NOT(ISERROR(SEARCH("Not Met",BA300)))</formula>
    </cfRule>
  </conditionalFormatting>
  <conditionalFormatting sqref="BA301:BA302 BA304:BA312">
    <cfRule type="containsText" dxfId="1464" priority="3688" operator="containsText" text="Not Met">
      <formula>NOT(ISERROR(SEARCH("Not Met",BA301)))</formula>
    </cfRule>
  </conditionalFormatting>
  <conditionalFormatting sqref="BA315">
    <cfRule type="containsText" dxfId="1463" priority="3779" operator="containsText" text="Not Met">
      <formula>NOT(ISERROR(SEARCH("Not Met",BA315)))</formula>
    </cfRule>
  </conditionalFormatting>
  <conditionalFormatting sqref="BA346">
    <cfRule type="containsText" dxfId="1462" priority="3829" operator="containsText" text="Not Met">
      <formula>NOT(ISERROR(SEARCH("Not Met",BA346)))</formula>
    </cfRule>
    <cfRule type="containsText" dxfId="1461" priority="3830" operator="containsText" text="Met">
      <formula>NOT(ISERROR(SEARCH("Met",BA346)))</formula>
    </cfRule>
    <cfRule type="containsText" dxfId="1460" priority="3827" operator="containsText" text="Not Met">
      <formula>NOT(ISERROR(SEARCH("Not Met",BA346)))</formula>
    </cfRule>
    <cfRule type="containsText" dxfId="1459" priority="3828" operator="containsText" text="Met">
      <formula>NOT(ISERROR(SEARCH("Met",BA346)))</formula>
    </cfRule>
  </conditionalFormatting>
  <conditionalFormatting sqref="BA356:BA377">
    <cfRule type="containsText" dxfId="1458" priority="3652" operator="containsText" text="Not Met">
      <formula>NOT(ISERROR(SEARCH("Not Met",BA356)))</formula>
    </cfRule>
    <cfRule type="containsText" dxfId="1457" priority="3653" operator="containsText" text="Met">
      <formula>NOT(ISERROR(SEARCH("Met",BA356)))</formula>
    </cfRule>
  </conditionalFormatting>
  <conditionalFormatting sqref="BA381:BA382 BA389 BA396 AX403:BA403">
    <cfRule type="containsText" dxfId="1456" priority="3656" operator="containsText" text="Not Met">
      <formula>NOT(ISERROR(SEARCH("Not Met",AX381)))</formula>
    </cfRule>
    <cfRule type="containsText" dxfId="1455" priority="3657" operator="containsText" text="Met">
      <formula>NOT(ISERROR(SEARCH("Met",AX381)))</formula>
    </cfRule>
  </conditionalFormatting>
  <conditionalFormatting sqref="BA416">
    <cfRule type="containsText" dxfId="1454" priority="4016" operator="containsText" text="Not Met">
      <formula>NOT(ISERROR(SEARCH("Not Met",BA416)))</formula>
    </cfRule>
    <cfRule type="containsText" dxfId="1453" priority="4017" operator="containsText" text="Met">
      <formula>NOT(ISERROR(SEARCH("Met",BA416)))</formula>
    </cfRule>
  </conditionalFormatting>
  <conditionalFormatting sqref="BA444:BA457">
    <cfRule type="containsText" dxfId="1452" priority="764" operator="containsText" text="Not Met">
      <formula>NOT(ISERROR(SEARCH("Not Met",BA444)))</formula>
    </cfRule>
    <cfRule type="containsText" dxfId="1451" priority="765" operator="containsText" text="Met">
      <formula>NOT(ISERROR(SEARCH("Met",BA444)))</formula>
    </cfRule>
  </conditionalFormatting>
  <conditionalFormatting sqref="BA97:BB104">
    <cfRule type="containsText" dxfId="1450" priority="3971" operator="containsText" text="Met">
      <formula>NOT(ISERROR(SEARCH("Met",BA97)))</formula>
    </cfRule>
  </conditionalFormatting>
  <conditionalFormatting sqref="BA147:BB157">
    <cfRule type="containsText" dxfId="1449" priority="3853" operator="containsText" text="Not Met">
      <formula>NOT(ISERROR(SEARCH("Not Met",BA147)))</formula>
    </cfRule>
  </conditionalFormatting>
  <conditionalFormatting sqref="BA155:BB157">
    <cfRule type="containsText" dxfId="1448" priority="3854" operator="containsText" text="Met">
      <formula>NOT(ISERROR(SEARCH("Met",BA155)))</formula>
    </cfRule>
  </conditionalFormatting>
  <conditionalFormatting sqref="BA345:BB352 BB72:BB89 BA97:BB104 BB105:BB134 BB158:BB191 AV230:BC230 AV231:AY231 BA231 AV232:BA232 AV233:BC233 AV234:AY234 BA234:BD234 AV235:BC235 BB257:BB265 BB280:BB287 BB295:BB302 BB304:BB309 BB316:BB322 BA330:BB337 BB338:BB344 BB356:BB367 BB371:BB374 BB376:BB380 BB390:BB395 BB397:BB402 BB404:BB409 BB411 BB413:BB426">
    <cfRule type="containsText" dxfId="1447" priority="3847" operator="containsText" text="Not Met">
      <formula>NOT(ISERROR(SEARCH("Not Met",AV72)))</formula>
    </cfRule>
  </conditionalFormatting>
  <conditionalFormatting sqref="BA436:BB443">
    <cfRule type="containsText" dxfId="1446" priority="3956" operator="containsText" text="Met">
      <formula>NOT(ISERROR(SEARCH("Met",BA436)))</formula>
    </cfRule>
  </conditionalFormatting>
  <conditionalFormatting sqref="BB72:BB89 BB105:BB134 BB158:BB191 BB233:BC233 BB235:BC235 BB257:BB265 BB280:BB287 BB295:BB302 BB305:BB309 BB316:BB322 BB330:BB344 BA345:BB352 BB356:BB367 BB371:BB374 BB376:BB380 BB390:BB395 BB397:BB402 BB404:BB409 BB411 BB413:BB426">
    <cfRule type="containsText" dxfId="1445" priority="3848" operator="containsText" text="Met">
      <formula>NOT(ISERROR(SEARCH("Met",BA72)))</formula>
    </cfRule>
  </conditionalFormatting>
  <conditionalFormatting sqref="BB444:BB457">
    <cfRule type="containsText" dxfId="1444" priority="766" operator="containsText" text="Not Met">
      <formula>NOT(ISERROR(SEARCH("Not Met",BB444)))</formula>
    </cfRule>
    <cfRule type="containsText" dxfId="1443" priority="767" operator="containsText" text="Met">
      <formula>NOT(ISERROR(SEARCH("Met",BB444)))</formula>
    </cfRule>
  </conditionalFormatting>
  <conditionalFormatting sqref="BC2:BC5 BC7:BC19 BC42:BC48 BC51 BC70 BC90:BC96 BC135:BC146 BC170 BC192:BC228 BC243:BC279 BC288:BC294 BC309 BC311:BC312 BC314 BC323:BC329 BC367:BC368 BC370 BC374:BC375 BC377 BC381:BC382 BC388:BC389 BC391 BC395:BC396 BC398 BC402:BC403 BC409:BC410 BC412 BC427:BC435">
    <cfRule type="containsText" dxfId="1442" priority="3351" operator="containsText" text="Not Met">
      <formula>NOT(ISERROR(SEARCH("Not Met",BC2)))</formula>
    </cfRule>
    <cfRule type="containsText" dxfId="1441" priority="3352" operator="containsText" text="Met">
      <formula>NOT(ISERROR(SEARCH("Met",BC2)))</formula>
    </cfRule>
  </conditionalFormatting>
  <conditionalFormatting sqref="BC5:BC19 BC42:BC48 BC51 BC70 BC90:BC96 BC135:BC146 BC170 BC192:BC228 BC243:BC279 BC288:BC294 BC309 BC311:BC312 BC314 BC323:BC329 BC367:BC368 BC370 BC374:BC375 BC377 BC381:BC382 BC388:BC389 BC391 BC395:BC396 BC398 BC402:BC403 BC409:BC410 BC412 BC427:BC435">
    <cfRule type="containsText" dxfId="1440" priority="3353" operator="containsText" text="Not Met">
      <formula>NOT(ISERROR(SEARCH("Not Met",BC5)))</formula>
    </cfRule>
    <cfRule type="containsText" dxfId="1439" priority="3354" operator="containsText" text="Met">
      <formula>NOT(ISERROR(SEARCH("Met",BC5)))</formula>
    </cfRule>
  </conditionalFormatting>
  <conditionalFormatting sqref="BC49:BC50 BC52:BC53">
    <cfRule type="containsText" dxfId="1438" priority="3342" operator="containsText" text="Met">
      <formula>NOT(ISERROR(SEARCH("Met",BC49)))</formula>
    </cfRule>
    <cfRule type="containsText" dxfId="1437" priority="3341" operator="containsText" text="Not Met">
      <formula>NOT(ISERROR(SEARCH("Not Met",BC49)))</formula>
    </cfRule>
  </conditionalFormatting>
  <conditionalFormatting sqref="BC77">
    <cfRule type="containsText" dxfId="1436" priority="3271" operator="containsText" text="Met">
      <formula>NOT(ISERROR(SEARCH("Met",BC77)))</formula>
    </cfRule>
    <cfRule type="containsText" dxfId="1435" priority="3272" operator="containsText" text="Not Met">
      <formula>NOT(ISERROR(SEARCH("Not Met",BC77)))</formula>
    </cfRule>
    <cfRule type="containsText" dxfId="1434" priority="3270" operator="containsText" text="Not Met">
      <formula>NOT(ISERROR(SEARCH("Not Met",BC77)))</formula>
    </cfRule>
    <cfRule type="containsText" dxfId="1433" priority="3273" operator="containsText" text="Met">
      <formula>NOT(ISERROR(SEARCH("Met",BC77)))</formula>
    </cfRule>
  </conditionalFormatting>
  <conditionalFormatting sqref="BC78:BC83">
    <cfRule type="containsText" dxfId="1432" priority="3338" operator="containsText" text="Not met">
      <formula>NOT(ISERROR(SEARCH("Not met",BC78)))</formula>
    </cfRule>
  </conditionalFormatting>
  <conditionalFormatting sqref="BC84:BC85">
    <cfRule type="containsText" dxfId="1431" priority="3337" operator="containsText" text="Not met">
      <formula>NOT(ISERROR(SEARCH("Not met",BC84)))</formula>
    </cfRule>
  </conditionalFormatting>
  <conditionalFormatting sqref="BC86:BC87">
    <cfRule type="containsText" dxfId="1430" priority="3336" operator="containsText" text="Not met">
      <formula>NOT(ISERROR(SEARCH("Not met",BC86)))</formula>
    </cfRule>
  </conditionalFormatting>
  <conditionalFormatting sqref="BC88">
    <cfRule type="containsText" dxfId="1429" priority="3335" operator="containsText" text="Not met">
      <formula>NOT(ISERROR(SEARCH("Not met",BC88)))</formula>
    </cfRule>
  </conditionalFormatting>
  <conditionalFormatting sqref="BC105:BC107 BC109:BC113">
    <cfRule type="containsText" dxfId="1428" priority="3391" operator="containsText" text="Not Met">
      <formula>NOT(ISERROR(SEARCH("Not Met",BC105)))</formula>
    </cfRule>
    <cfRule type="containsText" dxfId="1427" priority="3392" operator="containsText" text="Met">
      <formula>NOT(ISERROR(SEARCH("Met",BC105)))</formula>
    </cfRule>
  </conditionalFormatting>
  <conditionalFormatting sqref="BC105:BC107">
    <cfRule type="containsText" dxfId="1426" priority="3387" operator="containsText" text="Not Met">
      <formula>NOT(ISERROR(SEARCH("Not Met",BC105)))</formula>
    </cfRule>
    <cfRule type="containsText" dxfId="1425" priority="3388" operator="containsText" text="Met">
      <formula>NOT(ISERROR(SEARCH("Met",BC105)))</formula>
    </cfRule>
  </conditionalFormatting>
  <conditionalFormatting sqref="BC109">
    <cfRule type="containsText" dxfId="1424" priority="3389" operator="containsText" text="Not Met">
      <formula>NOT(ISERROR(SEARCH("Not Met",BC109)))</formula>
    </cfRule>
    <cfRule type="containsText" dxfId="1423" priority="3390" operator="containsText" text="Met">
      <formula>NOT(ISERROR(SEARCH("Met",BC109)))</formula>
    </cfRule>
  </conditionalFormatting>
  <conditionalFormatting sqref="BC109:BC112">
    <cfRule type="containsText" dxfId="1422" priority="3378" operator="containsText" text="Met">
      <formula>NOT(ISERROR(SEARCH("Met",BC109)))</formula>
    </cfRule>
    <cfRule type="containsText" dxfId="1421" priority="3377" operator="containsText" text="Not Met">
      <formula>NOT(ISERROR(SEARCH("Not Met",BC109)))</formula>
    </cfRule>
  </conditionalFormatting>
  <conditionalFormatting sqref="BC118:BC124">
    <cfRule type="containsText" dxfId="1420" priority="3423" operator="containsText" text="Not Met">
      <formula>NOT(ISERROR(SEARCH("Not Met",BC118)))</formula>
    </cfRule>
  </conditionalFormatting>
  <conditionalFormatting sqref="BC118:BC126">
    <cfRule type="containsText" dxfId="1419" priority="3424" operator="containsText" text="Met">
      <formula>NOT(ISERROR(SEARCH("Met",BC118)))</formula>
    </cfRule>
  </conditionalFormatting>
  <conditionalFormatting sqref="BC125:BC126">
    <cfRule type="containsText" dxfId="1418" priority="3495" operator="containsText" text="Not Met">
      <formula>NOT(ISERROR(SEARCH("Not Met",BC125)))</formula>
    </cfRule>
  </conditionalFormatting>
  <conditionalFormatting sqref="BC128:BC133">
    <cfRule type="containsText" dxfId="1417" priority="3483" operator="containsText" text="Not Met">
      <formula>NOT(ISERROR(SEARCH("Not Met",BC128)))</formula>
    </cfRule>
    <cfRule type="containsText" dxfId="1416" priority="3484" operator="containsText" text="Met">
      <formula>NOT(ISERROR(SEARCH("Met",BC128)))</formula>
    </cfRule>
  </conditionalFormatting>
  <conditionalFormatting sqref="BC155:BC157">
    <cfRule type="containsText" dxfId="1415" priority="3350" operator="containsText" text="Met">
      <formula>NOT(ISERROR(SEARCH("Met",BC155)))</formula>
    </cfRule>
    <cfRule type="containsText" dxfId="1414" priority="3349" operator="containsText" text="Not Met">
      <formula>NOT(ISERROR(SEARCH("Not Met",BC155)))</formula>
    </cfRule>
  </conditionalFormatting>
  <conditionalFormatting sqref="BC158:BC162">
    <cfRule type="containsText" dxfId="1413" priority="3348" operator="containsText" text="Met">
      <formula>NOT(ISERROR(SEARCH("Met",BC158)))</formula>
    </cfRule>
    <cfRule type="containsText" dxfId="1412" priority="3347" operator="containsText" text="Not Met">
      <formula>NOT(ISERROR(SEARCH("Not Met",BC158)))</formula>
    </cfRule>
  </conditionalFormatting>
  <conditionalFormatting sqref="BC163:BC169">
    <cfRule type="containsText" dxfId="1411" priority="3307" operator="containsText" text="Met">
      <formula>NOT(ISERROR(SEARCH("Met",BC163)))</formula>
    </cfRule>
    <cfRule type="containsText" dxfId="1410" priority="3306" operator="containsText" text="Not Met">
      <formula>NOT(ISERROR(SEARCH("Not Met",BC163)))</formula>
    </cfRule>
  </conditionalFormatting>
  <conditionalFormatting sqref="BC166">
    <cfRule type="containsText" dxfId="1409" priority="3304" operator="containsText" text="Not Met">
      <formula>NOT(ISERROR(SEARCH("Not Met",BC166)))</formula>
    </cfRule>
    <cfRule type="containsText" dxfId="1408" priority="3305" operator="containsText" text="Met">
      <formula>NOT(ISERROR(SEARCH("Met",BC166)))</formula>
    </cfRule>
  </conditionalFormatting>
  <conditionalFormatting sqref="BC173">
    <cfRule type="containsText" dxfId="1407" priority="3457" operator="containsText" text="Not Met">
      <formula>NOT(ISERROR(SEARCH("Not Met",BC173)))</formula>
    </cfRule>
    <cfRule type="containsText" dxfId="1406" priority="3458" operator="containsText" text="Met">
      <formula>NOT(ISERROR(SEARCH("Met",BC173)))</formula>
    </cfRule>
  </conditionalFormatting>
  <conditionalFormatting sqref="BC176:BC181">
    <cfRule type="containsText" dxfId="1405" priority="3454" operator="containsText" text="Met">
      <formula>NOT(ISERROR(SEARCH("Met",BC176)))</formula>
    </cfRule>
    <cfRule type="containsText" dxfId="1404" priority="3453" operator="containsText" text="Not Met">
      <formula>NOT(ISERROR(SEARCH("Not Met",BC176)))</formula>
    </cfRule>
  </conditionalFormatting>
  <conditionalFormatting sqref="BC182:BC191">
    <cfRule type="containsText" dxfId="1403" priority="3616" operator="containsText" text="Met">
      <formula>NOT(ISERROR(SEARCH("Met",BC182)))</formula>
    </cfRule>
    <cfRule type="containsText" dxfId="1402" priority="3615" operator="containsText" text="Not Met">
      <formula>NOT(ISERROR(SEARCH("Not Met",BC182)))</formula>
    </cfRule>
  </conditionalFormatting>
  <conditionalFormatting sqref="BC190">
    <cfRule type="containsText" dxfId="1401" priority="3599" operator="containsText" text="Met">
      <formula>NOT(ISERROR(SEARCH("Met",BC190)))</formula>
    </cfRule>
    <cfRule type="containsText" dxfId="1400" priority="3598" operator="containsText" text="Not Met">
      <formula>NOT(ISERROR(SEARCH("Not Met",BC190)))</formula>
    </cfRule>
    <cfRule type="containsText" dxfId="1399" priority="3596" operator="containsText" text="Not Met">
      <formula>NOT(ISERROR(SEARCH("Not Met",BC190)))</formula>
    </cfRule>
    <cfRule type="containsText" dxfId="1398" priority="3595" operator="containsText" text="Met">
      <formula>NOT(ISERROR(SEARCH("Met",BC190)))</formula>
    </cfRule>
    <cfRule type="containsText" dxfId="1397" priority="3594" operator="containsText" text="Not Met">
      <formula>NOT(ISERROR(SEARCH("Not Met",BC190)))</formula>
    </cfRule>
    <cfRule type="containsText" dxfId="1396" priority="3593" operator="containsText" text="Met">
      <formula>NOT(ISERROR(SEARCH("Met",BC190)))</formula>
    </cfRule>
    <cfRule type="containsText" dxfId="1395" priority="3588" operator="containsText" text="Not Met">
      <formula>NOT(ISERROR(SEARCH("Not Met",BC190)))</formula>
    </cfRule>
    <cfRule type="containsText" dxfId="1394" priority="3589" operator="containsText" text="Met">
      <formula>NOT(ISERROR(SEARCH("Met",BC190)))</formula>
    </cfRule>
    <cfRule type="containsText" dxfId="1393" priority="3590" operator="containsText" text="Not Met">
      <formula>NOT(ISERROR(SEARCH("Not Met",BC190)))</formula>
    </cfRule>
    <cfRule type="containsText" dxfId="1392" priority="3591" operator="containsText" text="Met">
      <formula>NOT(ISERROR(SEARCH("Met",BC190)))</formula>
    </cfRule>
    <cfRule type="containsText" dxfId="1391" priority="3592" operator="containsText" text="Not Met">
      <formula>NOT(ISERROR(SEARCH("Not Met",BC190)))</formula>
    </cfRule>
    <cfRule type="containsText" dxfId="1390" priority="3597" operator="containsText" text="Met">
      <formula>NOT(ISERROR(SEARCH("Met",BC190)))</formula>
    </cfRule>
  </conditionalFormatting>
  <conditionalFormatting sqref="BC190:BC191">
    <cfRule type="containsText" dxfId="1389" priority="3586" operator="containsText" text="Met">
      <formula>NOT(ISERROR(SEARCH("Met",BC190)))</formula>
    </cfRule>
    <cfRule type="containsText" dxfId="1388" priority="3585" operator="containsText" text="Not Met">
      <formula>NOT(ISERROR(SEARCH("Not Met",BC190)))</formula>
    </cfRule>
  </conditionalFormatting>
  <conditionalFormatting sqref="BC191">
    <cfRule type="containsText" dxfId="1387" priority="3584" operator="containsText" text="Met">
      <formula>NOT(ISERROR(SEARCH("Met",BC191)))</formula>
    </cfRule>
    <cfRule type="containsText" dxfId="1386" priority="3583" operator="containsText" text="Not Met">
      <formula>NOT(ISERROR(SEARCH("Not Met",BC191)))</formula>
    </cfRule>
    <cfRule type="containsText" dxfId="1385" priority="3582" operator="containsText" text="Met">
      <formula>NOT(ISERROR(SEARCH("Met",BC191)))</formula>
    </cfRule>
    <cfRule type="containsText" dxfId="1384" priority="3581" operator="containsText" text="Not Met">
      <formula>NOT(ISERROR(SEARCH("Not Met",BC191)))</formula>
    </cfRule>
    <cfRule type="containsText" dxfId="1383" priority="3580" operator="containsText" text="Met">
      <formula>NOT(ISERROR(SEARCH("Met",BC191)))</formula>
    </cfRule>
    <cfRule type="containsText" dxfId="1382" priority="3579" operator="containsText" text="Not Met">
      <formula>NOT(ISERROR(SEARCH("Not Met",BC191)))</formula>
    </cfRule>
    <cfRule type="containsText" dxfId="1381" priority="3578" operator="containsText" text="Met">
      <formula>NOT(ISERROR(SEARCH("Met",BC191)))</formula>
    </cfRule>
    <cfRule type="containsText" dxfId="1380" priority="3577" operator="containsText" text="Not Met">
      <formula>NOT(ISERROR(SEARCH("Not Met",BC191)))</formula>
    </cfRule>
    <cfRule type="containsText" dxfId="1379" priority="3576" operator="containsText" text="Met">
      <formula>NOT(ISERROR(SEARCH("Met",BC191)))</formula>
    </cfRule>
    <cfRule type="containsText" dxfId="1378" priority="3575" operator="containsText" text="Not Met">
      <formula>NOT(ISERROR(SEARCH("Not Met",BC191)))</formula>
    </cfRule>
    <cfRule type="containsText" dxfId="1377" priority="3574" operator="containsText" text="Met">
      <formula>NOT(ISERROR(SEARCH("Met",BC191)))</formula>
    </cfRule>
    <cfRule type="containsText" dxfId="1376" priority="3573" operator="containsText" text="Not Met">
      <formula>NOT(ISERROR(SEARCH("Not Met",BC191)))</formula>
    </cfRule>
  </conditionalFormatting>
  <conditionalFormatting sqref="BC280:BC286">
    <cfRule type="containsText" dxfId="1375" priority="3258" operator="containsText" text="Not Met">
      <formula>NOT(ISERROR(SEARCH("Not Met",BC280)))</formula>
    </cfRule>
    <cfRule type="containsText" dxfId="1374" priority="3259" operator="containsText" text="Met">
      <formula>NOT(ISERROR(SEARCH("Met",BC280)))</formula>
    </cfRule>
  </conditionalFormatting>
  <conditionalFormatting sqref="BC295:BC296">
    <cfRule type="containsText" dxfId="1373" priority="3168" operator="containsText" text="Met">
      <formula>NOT(ISERROR(SEARCH("Met",BC295)))</formula>
    </cfRule>
    <cfRule type="containsText" dxfId="1372" priority="3167" operator="containsText" text="Not Met">
      <formula>NOT(ISERROR(SEARCH("Not Met",BC295)))</formula>
    </cfRule>
  </conditionalFormatting>
  <conditionalFormatting sqref="BC297:BC302">
    <cfRule type="containsText" dxfId="1371" priority="3165" operator="containsText" text="Met">
      <formula>NOT(ISERROR(SEARCH("Met",BC297)))</formula>
    </cfRule>
    <cfRule type="containsText" dxfId="1370" priority="3164" operator="containsText" text="Not Met">
      <formula>NOT(ISERROR(SEARCH("Not Met",BC297)))</formula>
    </cfRule>
  </conditionalFormatting>
  <conditionalFormatting sqref="BC305 BC307:BC308 BC310 BC313">
    <cfRule type="containsText" dxfId="1369" priority="3227" operator="containsText" text="Met">
      <formula>NOT(ISERROR(SEARCH("Met",BC305)))</formula>
    </cfRule>
  </conditionalFormatting>
  <conditionalFormatting sqref="BC310">
    <cfRule type="containsText" dxfId="1368" priority="3228" operator="containsText" text="Not Met">
      <formula>NOT(ISERROR(SEARCH("Not Met",BC310)))</formula>
    </cfRule>
    <cfRule type="containsText" dxfId="1367" priority="3229" operator="containsText" text="Met">
      <formula>NOT(ISERROR(SEARCH("Met",BC310)))</formula>
    </cfRule>
  </conditionalFormatting>
  <conditionalFormatting sqref="BC313 BC305 BC310 BC307:BC308">
    <cfRule type="containsText" dxfId="1366" priority="3226" operator="containsText" text="Not Met">
      <formula>NOT(ISERROR(SEARCH("Not Met",BC305)))</formula>
    </cfRule>
  </conditionalFormatting>
  <conditionalFormatting sqref="BC313">
    <cfRule type="containsText" dxfId="1365" priority="3223" operator="containsText" text="Met">
      <formula>NOT(ISERROR(SEARCH("Met",BC313)))</formula>
    </cfRule>
    <cfRule type="containsText" dxfId="1364" priority="3222" operator="containsText" text="Not Met">
      <formula>NOT(ISERROR(SEARCH("Not Met",BC313)))</formula>
    </cfRule>
  </conditionalFormatting>
  <conditionalFormatting sqref="BC316">
    <cfRule type="containsText" dxfId="1363" priority="3527" operator="containsText" text="Met">
      <formula>NOT(ISERROR(SEARCH("Met",BC316)))</formula>
    </cfRule>
    <cfRule type="containsText" dxfId="1362" priority="3526" operator="containsText" text="Not Met">
      <formula>NOT(ISERROR(SEARCH("Not Met",BC316)))</formula>
    </cfRule>
  </conditionalFormatting>
  <conditionalFormatting sqref="BC320:BC322">
    <cfRule type="containsText" dxfId="1361" priority="3520" operator="containsText" text="Not Met">
      <formula>NOT(ISERROR(SEARCH("Not Met",BC320)))</formula>
    </cfRule>
    <cfRule type="containsText" dxfId="1360" priority="3521" operator="containsText" text="Met">
      <formula>NOT(ISERROR(SEARCH("Met",BC320)))</formula>
    </cfRule>
  </conditionalFormatting>
  <conditionalFormatting sqref="BC322">
    <cfRule type="containsText" dxfId="1359" priority="3533" operator="containsText" text="Met">
      <formula>NOT(ISERROR(SEARCH("Met",BC322)))</formula>
    </cfRule>
    <cfRule type="containsText" dxfId="1358" priority="3539" operator="containsText" text="Met">
      <formula>NOT(ISERROR(SEARCH("Met",BC322)))</formula>
    </cfRule>
    <cfRule type="containsText" dxfId="1357" priority="3538" operator="containsText" text="Not Met">
      <formula>NOT(ISERROR(SEARCH("Not Met",BC322)))</formula>
    </cfRule>
    <cfRule type="containsText" dxfId="1356" priority="3532" operator="containsText" text="Not Met">
      <formula>NOT(ISERROR(SEARCH("Not Met",BC322)))</formula>
    </cfRule>
  </conditionalFormatting>
  <conditionalFormatting sqref="BC330:BC331 BC333:BC335 BC337">
    <cfRule type="containsText" dxfId="1355" priority="3563" operator="containsText" text="Met">
      <formula>NOT(ISERROR(SEARCH("Met",BC330)))</formula>
    </cfRule>
    <cfRule type="containsText" dxfId="1354" priority="3562" operator="containsText" text="Not Met">
      <formula>NOT(ISERROR(SEARCH("Not Met",BC330)))</formula>
    </cfRule>
  </conditionalFormatting>
  <conditionalFormatting sqref="BC333:BC335 BC337 BC330:BE331 BE333:BE335 BE337">
    <cfRule type="containsText" dxfId="1353" priority="3564" operator="containsText" text="Not Met">
      <formula>NOT(ISERROR(SEARCH("Not Met",BC330)))</formula>
    </cfRule>
  </conditionalFormatting>
  <conditionalFormatting sqref="BC338:BC343">
    <cfRule type="containsText" dxfId="1352" priority="3249" operator="containsText" text="Met">
      <formula>NOT(ISERROR(SEARCH("Met",BC338)))</formula>
    </cfRule>
    <cfRule type="containsText" dxfId="1351" priority="3250" operator="containsText" text="Not Met">
      <formula>NOT(ISERROR(SEARCH("Not Met",BC338)))</formula>
    </cfRule>
    <cfRule type="containsText" dxfId="1350" priority="3251" operator="containsText" text="Met">
      <formula>NOT(ISERROR(SEARCH("Met",BC338)))</formula>
    </cfRule>
    <cfRule type="containsText" dxfId="1349" priority="3248" operator="containsText" text="Not Met">
      <formula>NOT(ISERROR(SEARCH("Not Met",BC338)))</formula>
    </cfRule>
  </conditionalFormatting>
  <conditionalFormatting sqref="BC345">
    <cfRule type="containsText" dxfId="1348" priority="3234" operator="containsText" text="Not Met">
      <formula>NOT(ISERROR(SEARCH("Not Met",BC345)))</formula>
    </cfRule>
    <cfRule type="containsText" dxfId="1347" priority="3233" operator="containsText" text="Met">
      <formula>NOT(ISERROR(SEARCH("Met",BC345)))</formula>
    </cfRule>
    <cfRule type="containsText" dxfId="1346" priority="3235" operator="containsText" text="Met">
      <formula>NOT(ISERROR(SEARCH("Met",BC345)))</formula>
    </cfRule>
    <cfRule type="containsText" dxfId="1345" priority="3232" operator="containsText" text="Not Met">
      <formula>NOT(ISERROR(SEARCH("Not Met",BC345)))</formula>
    </cfRule>
  </conditionalFormatting>
  <conditionalFormatting sqref="BC353:BC356">
    <cfRule type="containsText" dxfId="1344" priority="3314" operator="containsText" text="Not Met">
      <formula>NOT(ISERROR(SEARCH("Not Met",BC353)))</formula>
    </cfRule>
    <cfRule type="containsText" dxfId="1343" priority="3315" operator="containsText" text="Met">
      <formula>NOT(ISERROR(SEARCH("Met",BC353)))</formula>
    </cfRule>
  </conditionalFormatting>
  <conditionalFormatting sqref="BC357:BC363">
    <cfRule type="containsText" dxfId="1342" priority="3312" operator="containsText" text="Not Met">
      <formula>NOT(ISERROR(SEARCH("Not Met",BC357)))</formula>
    </cfRule>
    <cfRule type="containsText" dxfId="1341" priority="3313" operator="containsText" text="Met">
      <formula>NOT(ISERROR(SEARCH("Met",BC357)))</formula>
    </cfRule>
  </conditionalFormatting>
  <conditionalFormatting sqref="BC364:BC366 BC371:BC373 BC376 BC392:BC394 BC397 BC399:BC401 BC405:BC408">
    <cfRule type="containsText" dxfId="1340" priority="3160" operator="containsText" text="Met">
      <formula>NOT(ISERROR(SEARCH("Met",BC364)))</formula>
    </cfRule>
  </conditionalFormatting>
  <conditionalFormatting sqref="BC376 BC392:BC394 BC397 BC364:BC366 BC371:BC373 BC399:BC401 BC405:BC408">
    <cfRule type="containsText" dxfId="1339" priority="3159" operator="containsText" text="Not Met">
      <formula>NOT(ISERROR(SEARCH("Not Met",BC364)))</formula>
    </cfRule>
  </conditionalFormatting>
  <conditionalFormatting sqref="BC378:BC380 BC383:BC387 BC390">
    <cfRule type="containsText" dxfId="1338" priority="3162" operator="containsText" text="Met">
      <formula>NOT(ISERROR(SEARCH("Met",BC378)))</formula>
    </cfRule>
  </conditionalFormatting>
  <conditionalFormatting sqref="BC383:BC387 BC390 BC378:BC380">
    <cfRule type="containsText" dxfId="1337" priority="3158" operator="containsText" text="Not Met">
      <formula>NOT(ISERROR(SEARCH("Not Met",BC378)))</formula>
    </cfRule>
  </conditionalFormatting>
  <conditionalFormatting sqref="BC416">
    <cfRule type="containsText" dxfId="1336" priority="3176" operator="containsText" text="Not Met">
      <formula>NOT(ISERROR(SEARCH("Not Met",BC416)))</formula>
    </cfRule>
    <cfRule type="containsText" dxfId="1335" priority="3177" operator="containsText" text="Met">
      <formula>NOT(ISERROR(SEARCH("Met",BC416)))</formula>
    </cfRule>
  </conditionalFormatting>
  <conditionalFormatting sqref="BC436:BC441">
    <cfRule type="containsText" dxfId="1334" priority="3631" operator="containsText" text="Not Met">
      <formula>NOT(ISERROR(SEARCH("Not Met",BC436)))</formula>
    </cfRule>
    <cfRule type="containsText" dxfId="1333" priority="3632" operator="containsText" text="Met">
      <formula>NOT(ISERROR(SEARCH("Met",BC436)))</formula>
    </cfRule>
  </conditionalFormatting>
  <conditionalFormatting sqref="BC444:BC452">
    <cfRule type="containsText" dxfId="1332" priority="754" operator="containsText" text="Met">
      <formula>NOT(ISERROR(SEARCH("Met",BC444)))</formula>
    </cfRule>
    <cfRule type="containsText" dxfId="1331" priority="753" operator="containsText" text="Not Met">
      <formula>NOT(ISERROR(SEARCH("Not Met",BC444)))</formula>
    </cfRule>
  </conditionalFormatting>
  <conditionalFormatting sqref="BC453:BC454">
    <cfRule type="containsText" dxfId="1330" priority="755" operator="containsText" text="Not Met">
      <formula>NOT(ISERROR(SEARCH("Not Met",BC453)))</formula>
    </cfRule>
  </conditionalFormatting>
  <conditionalFormatting sqref="BC453:BC457">
    <cfRule type="containsText" dxfId="1329" priority="757" operator="containsText" text="Met">
      <formula>NOT(ISERROR(SEARCH("Met",BC453)))</formula>
    </cfRule>
    <cfRule type="containsText" dxfId="1328" priority="756" operator="containsText" text="Not Met">
      <formula>NOT(ISERROR(SEARCH("Not Met",BC453)))</formula>
    </cfRule>
  </conditionalFormatting>
  <conditionalFormatting sqref="BC20:BD33 BC34:BJ41 BC54:BF59 BJ54:BJ77 BF60 BC60:BD69 BF72:BF73 BC72:BD76 BF75:BF76 BC97:BJ104 BJ105:BJ134 BF110 BH113:BH134 BC147:BJ154 BH171:BH181 BJ171:BJ181 BF229:BJ235 BH229:BH242 BC236:BJ242 BH257:BH265 BJ257:BJ265 BC287:BD287 BF287 BH287 BJ287 BH295:BH314 BJ295:BJ322 BF303:BF314 BC304:BD304 BC317:BD317 BF317 BH317 BC319:BD319 BJ330:BJ420 BC332:BF332 BH332 BC336:BF336 BH336 BC344:BD344 BC346:BI352 BH413:BH420 BC421:BD426 BH427:BH435 BJ427:BJ443 BC442:BD443 BF442:BF443 BH442:BH443">
    <cfRule type="containsText" dxfId="1327" priority="3255" operator="containsText" text="Met">
      <formula>NOT(ISERROR(SEARCH("Met",BC20)))</formula>
    </cfRule>
    <cfRule type="containsText" dxfId="1326" priority="3253" operator="containsText" text="Met">
      <formula>NOT(ISERROR(SEARCH("Met",BC20)))</formula>
    </cfRule>
    <cfRule type="containsText" dxfId="1325" priority="3257" operator="containsText" text="Met">
      <formula>NOT(ISERROR(SEARCH("Met",BC20)))</formula>
    </cfRule>
  </conditionalFormatting>
  <conditionalFormatting sqref="BC71:BD71">
    <cfRule type="containsText" dxfId="1324" priority="3274" operator="containsText" text="Not Met">
      <formula>NOT(ISERROR(SEARCH("Not Met",BC71)))</formula>
    </cfRule>
    <cfRule type="containsText" dxfId="1323" priority="3275" operator="containsText" text="Met">
      <formula>NOT(ISERROR(SEARCH("Met",BC71)))</formula>
    </cfRule>
    <cfRule type="containsText" dxfId="1322" priority="3276" operator="containsText" text="Not Met">
      <formula>NOT(ISERROR(SEARCH("Not Met",BC71)))</formula>
    </cfRule>
    <cfRule type="containsText" dxfId="1321" priority="3277" operator="containsText" text="Met">
      <formula>NOT(ISERROR(SEARCH("Met",BC71)))</formula>
    </cfRule>
  </conditionalFormatting>
  <conditionalFormatting sqref="BC72:BD76 BC287:BD287 BC304:BD304 BC317:BD317 BC319:BD319 BC344:BD344 BC421:BD426 BC442:BD443 BC60:BD69 BF60 BF72:BF73 BF75:BF76 BF110 BF287 BF317 BC332:BF332 BC336:BF336 BF442:BF443 BF303:BF314 BC54:BF59 BH171:BH181 BH257:BH265 BH287 BH295:BH314 BH317 BH332 BH336 BC346:BI352 BH413:BH420 BH427:BH435 BH442:BH443 BJ287 BJ171:BJ181 BH113:BH134 BJ105:BJ134 BC149:BJ154 BJ295:BJ322 BJ330:BJ420 BJ54:BJ77 BC236:BJ242 BF229:BJ235 BC34:BJ41 BC97:BJ104 BJ257:BJ265 BJ427:BJ443 BC20:BD33">
    <cfRule type="containsText" dxfId="1320" priority="3254" operator="containsText" text="Not Met">
      <formula>NOT(ISERROR(SEARCH("Not Met",BC20)))</formula>
    </cfRule>
    <cfRule type="containsText" dxfId="1319" priority="3252" operator="containsText" text="Not Met">
      <formula>NOT(ISERROR(SEARCH("Not Met",BC20)))</formula>
    </cfRule>
  </conditionalFormatting>
  <conditionalFormatting sqref="BC134:BD134">
    <cfRule type="containsText" dxfId="1318" priority="3487" operator="containsText" text="Not Met">
      <formula>NOT(ISERROR(SEARCH("Not Met",BC134)))</formula>
    </cfRule>
    <cfRule type="containsText" dxfId="1317" priority="3488" operator="containsText" text="Met">
      <formula>NOT(ISERROR(SEARCH("Met",BC134)))</formula>
    </cfRule>
  </conditionalFormatting>
  <conditionalFormatting sqref="BC315:BD315">
    <cfRule type="containsText" dxfId="1316" priority="3529" operator="containsText" text="Met">
      <formula>NOT(ISERROR(SEARCH("Met",BC315)))</formula>
    </cfRule>
    <cfRule type="containsText" dxfId="1315" priority="3528" operator="containsText" text="Not Met">
      <formula>NOT(ISERROR(SEARCH("Not Met",BC315)))</formula>
    </cfRule>
  </conditionalFormatting>
  <conditionalFormatting sqref="BC318:BD318">
    <cfRule type="containsText" dxfId="1314" priority="3523" operator="containsText" text="Met">
      <formula>NOT(ISERROR(SEARCH("Met",BC318)))</formula>
    </cfRule>
    <cfRule type="containsText" dxfId="1313" priority="3522" operator="containsText" text="Not Met">
      <formula>NOT(ISERROR(SEARCH("Not Met",BC318)))</formula>
    </cfRule>
  </conditionalFormatting>
  <conditionalFormatting sqref="BC319:BD319 BC72:BD76 BC287:BD287 BC304:BD304 BC317:BD317 BC344:BD344 BC421:BD426 BC442:BD443 BC60:BD69 BF60 BF72:BF73 BF75:BF76 BF110 BF287 BF317 BC332:BF332 BC336:BF336 BF442:BF443 BF303:BF314 BC54:BF59 BH171:BH181 BH257:BH265 BH287 BH295:BH314 BH317 BH332 BH336 BC346:BI352 BH413:BH420 BH427:BH435 BH442:BH443 BJ287 BJ171:BJ181 BH113:BH134 BJ105:BJ134 BC149:BJ154 BJ295:BJ322 BJ330:BJ420 BJ54:BJ77 BC236:BJ242 BF229:BJ235 BC34:BJ41 BC97:BJ104 BJ257:BJ265 BJ427:BJ443 BC20:BD33">
    <cfRule type="containsText" dxfId="1312" priority="3256" operator="containsText" text="Not Met">
      <formula>NOT(ISERROR(SEARCH("Not Met",BC20)))</formula>
    </cfRule>
  </conditionalFormatting>
  <conditionalFormatting sqref="BC330:BE331 BC333:BC335 BE333:BE335 BC337 BE337">
    <cfRule type="containsText" dxfId="1311" priority="3565" operator="containsText" text="Met">
      <formula>NOT(ISERROR(SEARCH("Met",BC330)))</formula>
    </cfRule>
  </conditionalFormatting>
  <conditionalFormatting sqref="BD78:BD86 BD111:BD112 BD115 BD117 BD120 BD122 BD126 BD128 BD131 BD133 BD158 BD160 BD162 BD173 BD176 BD178 BD181 BD183 BD185 BD230 BD233 BD235 BD286 BD295:BD300 BD308 BD316 BD320 BD322 BD333:BD335 BD345 BD359:BD361 BD363 BD365 BD369 BD372:BD373 BD379 BD392:BD394 BD397 BD399:BD400 BD404 BD406:BD407 BD411 BD413 BD415:BD417 BD419:BD420 BD437 BD106:BD107 BD337:BD340 BD302">
    <cfRule type="containsText" dxfId="1310" priority="3322" operator="containsText" text="Not Met">
      <formula>NOT(ISERROR(SEARCH("Not Met",BD78)))</formula>
    </cfRule>
  </conditionalFormatting>
  <conditionalFormatting sqref="BD78:BD86">
    <cfRule type="containsText" dxfId="1309" priority="3326" operator="containsText" text="Met">
      <formula>NOT(ISERROR(SEARCH("Met",BD78)))</formula>
    </cfRule>
  </conditionalFormatting>
  <conditionalFormatting sqref="BD106:BD107 BD111:BD112 BD115 BD117 BD120 BD122 BD126 BD128 BD131 BD133 BD158 BD160 BD162 BD173 BD176 BD178 BD181 BD183 BD185 BD230 BD233 BD235 BD286 BD295:BD300 BD302 BD308 BD316 BD320 BD322 BD333:BD335 BD337:BD340 BD345 BD359:BD361 BD363 BD365 BD369 BD372:BD373 BD379 BD392:BD394 BD397 BD399:BD400 BD404 BD406:BD407 BD411 BD413 BD415:BD417 BD419:BD420 BD437">
    <cfRule type="containsText" dxfId="1308" priority="3334" operator="containsText" text="Met">
      <formula>NOT(ISERROR(SEARCH("Met",BD106)))</formula>
    </cfRule>
  </conditionalFormatting>
  <conditionalFormatting sqref="BD444 BF445 BH446:BH448 BJ446:BJ450 BD446:BD453 BF447:BF448 BF450:BF453 BH450:BH453 BJ452:BJ453 BD455:BD457 BF455:BF457 BH455:BH457 BJ455:BJ457">
    <cfRule type="containsText" dxfId="1307" priority="792" operator="containsText" text="Not Met">
      <formula>NOT(ISERROR(SEARCH("Not Met",BD444)))</formula>
    </cfRule>
    <cfRule type="containsText" dxfId="1306" priority="793" operator="containsText" text="Met">
      <formula>NOT(ISERROR(SEARCH("Met",BD444)))</formula>
    </cfRule>
  </conditionalFormatting>
  <conditionalFormatting sqref="BD445 BD454">
    <cfRule type="containsText" dxfId="1305" priority="761" operator="containsText" text="Met">
      <formula>NOT(ISERROR(SEARCH("Met",BD445)))</formula>
    </cfRule>
    <cfRule type="containsText" dxfId="1304" priority="760" operator="containsText" text="Not Met">
      <formula>NOT(ISERROR(SEARCH("Not Met",BD445)))</formula>
    </cfRule>
  </conditionalFormatting>
  <conditionalFormatting sqref="BE2:BE5">
    <cfRule type="containsText" dxfId="1303" priority="3029" operator="containsText" text="Not Met">
      <formula>NOT(ISERROR(SEARCH("Not Met",BE2)))</formula>
    </cfRule>
    <cfRule type="containsText" dxfId="1302" priority="3030" operator="containsText" text="Met">
      <formula>NOT(ISERROR(SEARCH("Met",BE2)))</formula>
    </cfRule>
  </conditionalFormatting>
  <conditionalFormatting sqref="BE5:BE6">
    <cfRule type="containsText" dxfId="1301" priority="3031" operator="containsText" text="Not Met">
      <formula>NOT(ISERROR(SEARCH("Not Met",BE5)))</formula>
    </cfRule>
    <cfRule type="containsText" dxfId="1300" priority="3032" operator="containsText" text="Met">
      <formula>NOT(ISERROR(SEARCH("Met",BE5)))</formula>
    </cfRule>
  </conditionalFormatting>
  <conditionalFormatting sqref="BE11">
    <cfRule type="containsText" dxfId="1299" priority="2995" operator="containsText" text="Not Met">
      <formula>NOT(ISERROR(SEARCH("Not Met",BE11)))</formula>
    </cfRule>
    <cfRule type="containsText" dxfId="1298" priority="2996" operator="containsText" text="Met">
      <formula>NOT(ISERROR(SEARCH("Met",BE11)))</formula>
    </cfRule>
    <cfRule type="containsText" dxfId="1297" priority="2997" operator="containsText" text="Not Met">
      <formula>NOT(ISERROR(SEARCH("Not Met",BE11)))</formula>
    </cfRule>
    <cfRule type="containsText" dxfId="1296" priority="2998" operator="containsText" text="Met">
      <formula>NOT(ISERROR(SEARCH("Met",BE11)))</formula>
    </cfRule>
  </conditionalFormatting>
  <conditionalFormatting sqref="BE13">
    <cfRule type="containsText" dxfId="1295" priority="2991" operator="containsText" text="Not Met">
      <formula>NOT(ISERROR(SEARCH("Not Met",BE13)))</formula>
    </cfRule>
    <cfRule type="containsText" dxfId="1294" priority="2992" operator="containsText" text="Met">
      <formula>NOT(ISERROR(SEARCH("Met",BE13)))</formula>
    </cfRule>
  </conditionalFormatting>
  <conditionalFormatting sqref="BE14">
    <cfRule type="containsText" dxfId="1293" priority="2990" operator="containsText" text="Met">
      <formula>NOT(ISERROR(SEARCH("Met",BE14)))</formula>
    </cfRule>
    <cfRule type="containsText" dxfId="1292" priority="2989" operator="containsText" text="Not Met">
      <formula>NOT(ISERROR(SEARCH("Not Met",BE14)))</formula>
    </cfRule>
  </conditionalFormatting>
  <conditionalFormatting sqref="BE16:BE19">
    <cfRule type="containsText" dxfId="1291" priority="3001" operator="containsText" text="Not Met">
      <formula>NOT(ISERROR(SEARCH("Not Met",BE16)))</formula>
    </cfRule>
    <cfRule type="containsText" dxfId="1290" priority="3000" operator="containsText" text="Met">
      <formula>NOT(ISERROR(SEARCH("Met",BE16)))</formula>
    </cfRule>
    <cfRule type="containsText" dxfId="1289" priority="2999" operator="containsText" text="Not Met">
      <formula>NOT(ISERROR(SEARCH("Not Met",BE16)))</formula>
    </cfRule>
    <cfRule type="containsText" dxfId="1288" priority="3002" operator="containsText" text="Met">
      <formula>NOT(ISERROR(SEARCH("Met",BE16)))</formula>
    </cfRule>
  </conditionalFormatting>
  <conditionalFormatting sqref="BE42:BE48">
    <cfRule type="containsText" dxfId="1287" priority="2760" operator="containsText" text="Met">
      <formula>NOT(ISERROR(SEARCH("Met",BE42)))</formula>
    </cfRule>
    <cfRule type="containsText" dxfId="1286" priority="2757" operator="containsText" text="Not Met">
      <formula>NOT(ISERROR(SEARCH("Not Met",BE42)))</formula>
    </cfRule>
    <cfRule type="containsText" dxfId="1285" priority="2758" operator="containsText" text="Met">
      <formula>NOT(ISERROR(SEARCH("Met",BE42)))</formula>
    </cfRule>
    <cfRule type="containsText" dxfId="1284" priority="2759" operator="containsText" text="Not Met">
      <formula>NOT(ISERROR(SEARCH("Not Met",BE42)))</formula>
    </cfRule>
  </conditionalFormatting>
  <conditionalFormatting sqref="BE49:BE50 BE52:BE53">
    <cfRule type="containsText" dxfId="1283" priority="2929" operator="containsText" text="Met">
      <formula>NOT(ISERROR(SEARCH("Met",BE49)))</formula>
    </cfRule>
    <cfRule type="containsText" dxfId="1282" priority="2928" operator="containsText" text="Not Met">
      <formula>NOT(ISERROR(SEARCH("Not Met",BE49)))</formula>
    </cfRule>
  </conditionalFormatting>
  <conditionalFormatting sqref="BE51">
    <cfRule type="containsText" dxfId="1281" priority="2930" operator="containsText" text="Not Met">
      <formula>NOT(ISERROR(SEARCH("Not Met",BE51)))</formula>
    </cfRule>
    <cfRule type="containsText" dxfId="1280" priority="2933" operator="containsText" text="Met">
      <formula>NOT(ISERROR(SEARCH("Met",BE51)))</formula>
    </cfRule>
    <cfRule type="containsText" dxfId="1279" priority="2932" operator="containsText" text="Not Met">
      <formula>NOT(ISERROR(SEARCH("Not Met",BE51)))</formula>
    </cfRule>
    <cfRule type="containsText" dxfId="1278" priority="2931" operator="containsText" text="Met">
      <formula>NOT(ISERROR(SEARCH("Met",BE51)))</formula>
    </cfRule>
  </conditionalFormatting>
  <conditionalFormatting sqref="BE61">
    <cfRule type="containsText" dxfId="1277" priority="2703" operator="containsText" text="Met">
      <formula>NOT(ISERROR(SEARCH("Met",BE61)))</formula>
    </cfRule>
    <cfRule type="containsText" dxfId="1276" priority="2702" operator="containsText" text="Not Met">
      <formula>NOT(ISERROR(SEARCH("Not Met",BE61)))</formula>
    </cfRule>
    <cfRule type="containsText" dxfId="1275" priority="2701" operator="containsText" text="Met">
      <formula>NOT(ISERROR(SEARCH("Met",BE61)))</formula>
    </cfRule>
    <cfRule type="containsText" dxfId="1274" priority="2694" operator="containsText" text="Not Met">
      <formula>NOT(ISERROR(SEARCH("Not Met",BE61)))</formula>
    </cfRule>
  </conditionalFormatting>
  <conditionalFormatting sqref="BE62:BE65">
    <cfRule type="containsText" dxfId="1273" priority="2674" operator="containsText" text="Not Met">
      <formula>NOT(ISERROR(SEARCH("Not Met",BE62)))</formula>
    </cfRule>
    <cfRule type="containsText" dxfId="1272" priority="2675" operator="containsText" text="Met">
      <formula>NOT(ISERROR(SEARCH("Met",BE62)))</formula>
    </cfRule>
  </conditionalFormatting>
  <conditionalFormatting sqref="BE66:BE68">
    <cfRule type="containsText" dxfId="1271" priority="2676" operator="containsText" text="Not Met">
      <formula>NOT(ISERROR(SEARCH("Not Met",BE66)))</formula>
    </cfRule>
    <cfRule type="containsText" dxfId="1270" priority="2677" operator="containsText" text="Met">
      <formula>NOT(ISERROR(SEARCH("Met",BE66)))</formula>
    </cfRule>
  </conditionalFormatting>
  <conditionalFormatting sqref="BE69:BE74 BE76:BE79 BE80:BF80 BE81">
    <cfRule type="containsText" dxfId="1269" priority="2639" operator="containsText" text="Met">
      <formula>NOT(ISERROR(SEARCH("Met",BE69)))</formula>
    </cfRule>
    <cfRule type="containsText" dxfId="1268" priority="2637" operator="containsText" text="Met">
      <formula>NOT(ISERROR(SEARCH("Met",BE69)))</formula>
    </cfRule>
    <cfRule type="containsText" dxfId="1267" priority="2635" operator="containsText" text="Met">
      <formula>NOT(ISERROR(SEARCH("Met",BE69)))</formula>
    </cfRule>
  </conditionalFormatting>
  <conditionalFormatting sqref="BE75 BE82">
    <cfRule type="containsText" dxfId="1266" priority="2631" operator="containsText" text="Met">
      <formula>NOT(ISERROR(SEARCH("Met",BE75)))</formula>
    </cfRule>
    <cfRule type="containsText" dxfId="1265" priority="2629" operator="containsText" text="Met">
      <formula>NOT(ISERROR(SEARCH("Met",BE75)))</formula>
    </cfRule>
  </conditionalFormatting>
  <conditionalFormatting sqref="BE82 BE75 BC147:BJ148">
    <cfRule type="containsText" dxfId="1264" priority="2630" operator="containsText" text="Not Met">
      <formula>NOT(ISERROR(SEARCH("Not Met",BC75)))</formula>
    </cfRule>
    <cfRule type="containsText" dxfId="1263" priority="2628" operator="containsText" text="Not Met">
      <formula>NOT(ISERROR(SEARCH("Not Met",BC75)))</formula>
    </cfRule>
  </conditionalFormatting>
  <conditionalFormatting sqref="BE83">
    <cfRule type="containsText" dxfId="1262" priority="2744" operator="containsText" text="Not met">
      <formula>NOT(ISERROR(SEARCH("Not met",BE83)))</formula>
    </cfRule>
  </conditionalFormatting>
  <conditionalFormatting sqref="BE86">
    <cfRule type="containsText" dxfId="1261" priority="2742" operator="containsText" text="Not met">
      <formula>NOT(ISERROR(SEARCH("Not met",BE86)))</formula>
    </cfRule>
  </conditionalFormatting>
  <conditionalFormatting sqref="BE87">
    <cfRule type="containsText" dxfId="1260" priority="2740" operator="containsText" text="Not met">
      <formula>NOT(ISERROR(SEARCH("Not met",BE87)))</formula>
    </cfRule>
  </conditionalFormatting>
  <conditionalFormatting sqref="BE88">
    <cfRule type="containsText" dxfId="1259" priority="2737" operator="containsText" text="Not met">
      <formula>NOT(ISERROR(SEARCH("Not met",BE88)))</formula>
    </cfRule>
  </conditionalFormatting>
  <conditionalFormatting sqref="BE90:BE96 BE243:BE256">
    <cfRule type="containsText" dxfId="1258" priority="3034" operator="containsText" text="Met">
      <formula>NOT(ISERROR(SEARCH("Met",BE90)))</formula>
    </cfRule>
    <cfRule type="containsText" dxfId="1257" priority="3036" operator="containsText" text="Met">
      <formula>NOT(ISERROR(SEARCH("Met",BE90)))</formula>
    </cfRule>
    <cfRule type="containsText" dxfId="1256" priority="3035" operator="containsText" text="Not Met">
      <formula>NOT(ISERROR(SEARCH("Not Met",BE90)))</formula>
    </cfRule>
    <cfRule type="containsText" dxfId="1255" priority="3033" operator="containsText" text="Not Met">
      <formula>NOT(ISERROR(SEARCH("Not Met",BE90)))</formula>
    </cfRule>
  </conditionalFormatting>
  <conditionalFormatting sqref="BE105 BE108:BE110">
    <cfRule type="containsText" dxfId="1254" priority="2804" operator="containsText" text="Met">
      <formula>NOT(ISERROR(SEARCH("Met",BE105)))</formula>
    </cfRule>
    <cfRule type="containsText" dxfId="1253" priority="2803" operator="containsText" text="Not Met">
      <formula>NOT(ISERROR(SEARCH("Not Met",BE105)))</formula>
    </cfRule>
  </conditionalFormatting>
  <conditionalFormatting sqref="BE105:BE107 BE111">
    <cfRule type="containsText" dxfId="1252" priority="2796" operator="containsText" text="Met">
      <formula>NOT(ISERROR(SEARCH("Met",BE105)))</formula>
    </cfRule>
  </conditionalFormatting>
  <conditionalFormatting sqref="BE111 BE105:BE107">
    <cfRule type="containsText" dxfId="1251" priority="2795" operator="containsText" text="Not Met">
      <formula>NOT(ISERROR(SEARCH("Not Met",BE105)))</formula>
    </cfRule>
  </conditionalFormatting>
  <conditionalFormatting sqref="BE112">
    <cfRule type="containsText" dxfId="1250" priority="2791" operator="containsText" text="Not Met">
      <formula>NOT(ISERROR(SEARCH("Not Met",BE112)))</formula>
    </cfRule>
    <cfRule type="containsText" dxfId="1249" priority="2792" operator="containsText" text="Met">
      <formula>NOT(ISERROR(SEARCH("Met",BE112)))</formula>
    </cfRule>
  </conditionalFormatting>
  <conditionalFormatting sqref="BE113">
    <cfRule type="containsText" dxfId="1248" priority="2835" operator="containsText" text="Not Met">
      <formula>NOT(ISERROR(SEARCH("Not Met",BE113)))</formula>
    </cfRule>
    <cfRule type="containsText" dxfId="1247" priority="2836" operator="containsText" text="Met">
      <formula>NOT(ISERROR(SEARCH("Met",BE113)))</formula>
    </cfRule>
  </conditionalFormatting>
  <conditionalFormatting sqref="BE117:BE123">
    <cfRule type="containsText" dxfId="1246" priority="2831" operator="containsText" text="Not Met">
      <formula>NOT(ISERROR(SEARCH("Not Met",BE117)))</formula>
    </cfRule>
    <cfRule type="containsText" dxfId="1245" priority="2832" operator="containsText" text="Met">
      <formula>NOT(ISERROR(SEARCH("Met",BE117)))</formula>
    </cfRule>
  </conditionalFormatting>
  <conditionalFormatting sqref="BE124">
    <cfRule type="containsText" dxfId="1244" priority="2899" operator="containsText" text="Not Met">
      <formula>NOT(ISERROR(SEARCH("Not Met",BE124)))</formula>
    </cfRule>
  </conditionalFormatting>
  <conditionalFormatting sqref="BE124:BE126">
    <cfRule type="containsText" dxfId="1243" priority="2900" operator="containsText" text="Met">
      <formula>NOT(ISERROR(SEARCH("Met",BE124)))</formula>
    </cfRule>
  </conditionalFormatting>
  <conditionalFormatting sqref="BE125:BE126">
    <cfRule type="containsText" dxfId="1242" priority="2901" operator="containsText" text="Not Met">
      <formula>NOT(ISERROR(SEARCH("Not Met",BE125)))</formula>
    </cfRule>
  </conditionalFormatting>
  <conditionalFormatting sqref="BE127:BE134">
    <cfRule type="containsText" dxfId="1241" priority="2903" operator="containsText" text="Met">
      <formula>NOT(ISERROR(SEARCH("Met",BE127)))</formula>
    </cfRule>
    <cfRule type="containsText" dxfId="1240" priority="2902" operator="containsText" text="Not Met">
      <formula>NOT(ISERROR(SEARCH("Not Met",BE127)))</formula>
    </cfRule>
  </conditionalFormatting>
  <conditionalFormatting sqref="BE129:BE134">
    <cfRule type="containsText" dxfId="1239" priority="2891" operator="containsText" text="Not Met">
      <formula>NOT(ISERROR(SEARCH("Not Met",BE129)))</formula>
    </cfRule>
    <cfRule type="containsText" dxfId="1238" priority="2892" operator="containsText" text="Met">
      <formula>NOT(ISERROR(SEARCH("Met",BE129)))</formula>
    </cfRule>
  </conditionalFormatting>
  <conditionalFormatting sqref="BE135:BE146 BE212:BE228 BE273:BE279 BE288:BE294">
    <cfRule type="containsText" dxfId="1237" priority="3040" operator="containsText" text="Met">
      <formula>NOT(ISERROR(SEARCH("Met",BE135)))</formula>
    </cfRule>
    <cfRule type="containsText" dxfId="1236" priority="3038" operator="containsText" text="Met">
      <formula>NOT(ISERROR(SEARCH("Met",BE135)))</formula>
    </cfRule>
  </conditionalFormatting>
  <conditionalFormatting sqref="BE155:BE162">
    <cfRule type="containsText" dxfId="1235" priority="2749" operator="containsText" text="Not Met">
      <formula>NOT(ISERROR(SEARCH("Not Met",BE155)))</formula>
    </cfRule>
    <cfRule type="containsText" dxfId="1234" priority="2750" operator="containsText" text="Met">
      <formula>NOT(ISERROR(SEARCH("Met",BE155)))</formula>
    </cfRule>
  </conditionalFormatting>
  <conditionalFormatting sqref="BE163:BE169">
    <cfRule type="containsText" dxfId="1233" priority="2714" operator="containsText" text="Not Met">
      <formula>NOT(ISERROR(SEARCH("Not Met",BE163)))</formula>
    </cfRule>
    <cfRule type="containsText" dxfId="1232" priority="2715" operator="containsText" text="Met">
      <formula>NOT(ISERROR(SEARCH("Met",BE163)))</formula>
    </cfRule>
  </conditionalFormatting>
  <conditionalFormatting sqref="BE166">
    <cfRule type="containsText" dxfId="1231" priority="2713" operator="containsText" text="Met">
      <formula>NOT(ISERROR(SEARCH("Met",BE166)))</formula>
    </cfRule>
    <cfRule type="containsText" dxfId="1230" priority="2712" operator="containsText" text="Not Met">
      <formula>NOT(ISERROR(SEARCH("Not Met",BE166)))</formula>
    </cfRule>
  </conditionalFormatting>
  <conditionalFormatting sqref="BE173">
    <cfRule type="containsText" dxfId="1229" priority="2873" operator="containsText" text="Not Met">
      <formula>NOT(ISERROR(SEARCH("Not Met",BE173)))</formula>
    </cfRule>
    <cfRule type="containsText" dxfId="1228" priority="2874" operator="containsText" text="Met">
      <formula>NOT(ISERROR(SEARCH("Met",BE173)))</formula>
    </cfRule>
  </conditionalFormatting>
  <conditionalFormatting sqref="BE176:BE181">
    <cfRule type="containsText" dxfId="1227" priority="2869" operator="containsText" text="Not Met">
      <formula>NOT(ISERROR(SEARCH("Not Met",BE176)))</formula>
    </cfRule>
    <cfRule type="containsText" dxfId="1226" priority="2870" operator="containsText" text="Met">
      <formula>NOT(ISERROR(SEARCH("Met",BE176)))</formula>
    </cfRule>
  </conditionalFormatting>
  <conditionalFormatting sqref="BE182 BE184 BE186:BE189">
    <cfRule type="containsText" dxfId="1225" priority="2981" operator="containsText" text="Not Met">
      <formula>NOT(ISERROR(SEARCH("Not Met",BE182)))</formula>
    </cfRule>
    <cfRule type="containsText" dxfId="1224" priority="2982" operator="containsText" text="Met">
      <formula>NOT(ISERROR(SEARCH("Met",BE182)))</formula>
    </cfRule>
  </conditionalFormatting>
  <conditionalFormatting sqref="BE183 BE185">
    <cfRule type="containsText" dxfId="1223" priority="2956" operator="containsText" text="Not Met">
      <formula>NOT(ISERROR(SEARCH("Not Met",BE183)))</formula>
    </cfRule>
    <cfRule type="containsText" dxfId="1222" priority="2957" operator="containsText" text="Met">
      <formula>NOT(ISERROR(SEARCH("Met",BE183)))</formula>
    </cfRule>
  </conditionalFormatting>
  <conditionalFormatting sqref="BE190:BE191">
    <cfRule type="containsText" dxfId="1221" priority="2947" operator="containsText" text="Met">
      <formula>NOT(ISERROR(SEARCH("Met",BE190)))</formula>
    </cfRule>
    <cfRule type="containsText" dxfId="1220" priority="2950" operator="containsText" text="Not Met">
      <formula>NOT(ISERROR(SEARCH("Not Met",BE190)))</formula>
    </cfRule>
    <cfRule type="containsText" dxfId="1219" priority="2951" operator="containsText" text="Met">
      <formula>NOT(ISERROR(SEARCH("Met",BE190)))</formula>
    </cfRule>
    <cfRule type="containsText" dxfId="1218" priority="2952" operator="containsText" text="Not Met">
      <formula>NOT(ISERROR(SEARCH("Not Met",BE190)))</formula>
    </cfRule>
    <cfRule type="containsText" dxfId="1217" priority="2953" operator="containsText" text="Met">
      <formula>NOT(ISERROR(SEARCH("Met",BE190)))</formula>
    </cfRule>
    <cfRule type="containsText" dxfId="1216" priority="2938" operator="containsText" text="Not Met">
      <formula>NOT(ISERROR(SEARCH("Not Met",BE190)))</formula>
    </cfRule>
    <cfRule type="containsText" dxfId="1215" priority="2939" operator="containsText" text="Met">
      <formula>NOT(ISERROR(SEARCH("Met",BE190)))</formula>
    </cfRule>
    <cfRule type="containsText" dxfId="1214" priority="2940" operator="containsText" text="Not Met">
      <formula>NOT(ISERROR(SEARCH("Not Met",BE190)))</formula>
    </cfRule>
    <cfRule type="containsText" dxfId="1213" priority="2941" operator="containsText" text="Met">
      <formula>NOT(ISERROR(SEARCH("Met",BE190)))</formula>
    </cfRule>
    <cfRule type="containsText" dxfId="1212" priority="2942" operator="containsText" text="Not Met">
      <formula>NOT(ISERROR(SEARCH("Not Met",BE190)))</formula>
    </cfRule>
    <cfRule type="containsText" dxfId="1211" priority="2943" operator="containsText" text="Met">
      <formula>NOT(ISERROR(SEARCH("Met",BE190)))</formula>
    </cfRule>
    <cfRule type="containsText" dxfId="1210" priority="2944" operator="containsText" text="Not Met">
      <formula>NOT(ISERROR(SEARCH("Not Met",BE190)))</formula>
    </cfRule>
    <cfRule type="containsText" dxfId="1209" priority="2945" operator="containsText" text="Met">
      <formula>NOT(ISERROR(SEARCH("Met",BE190)))</formula>
    </cfRule>
    <cfRule type="containsText" dxfId="1208" priority="2946" operator="containsText" text="Not Met">
      <formula>NOT(ISERROR(SEARCH("Not Met",BE190)))</formula>
    </cfRule>
    <cfRule type="containsText" dxfId="1207" priority="2948" operator="containsText" text="Not Met">
      <formula>NOT(ISERROR(SEARCH("Not Met",BE190)))</formula>
    </cfRule>
    <cfRule type="containsText" dxfId="1206" priority="2949" operator="containsText" text="Met">
      <formula>NOT(ISERROR(SEARCH("Met",BE190)))</formula>
    </cfRule>
  </conditionalFormatting>
  <conditionalFormatting sqref="BE257:BE265">
    <cfRule type="containsText" dxfId="1205" priority="2569" operator="containsText" text="Not Met">
      <formula>NOT(ISERROR(SEARCH("Not Met",BE257)))</formula>
    </cfRule>
    <cfRule type="containsText" dxfId="1204" priority="2570" operator="containsText" text="Met">
      <formula>NOT(ISERROR(SEARCH("Met",BE257)))</formula>
    </cfRule>
    <cfRule type="containsText" dxfId="1203" priority="2571" operator="containsText" text="Not Met">
      <formula>NOT(ISERROR(SEARCH("Not Met",BE257)))</formula>
    </cfRule>
    <cfRule type="containsText" dxfId="1202" priority="2572" operator="containsText" text="Met">
      <formula>NOT(ISERROR(SEARCH("Met",BE257)))</formula>
    </cfRule>
  </conditionalFormatting>
  <conditionalFormatting sqref="BE266:BE272">
    <cfRule type="containsText" dxfId="1201" priority="3054" operator="containsText" text="Met">
      <formula>NOT(ISERROR(SEARCH("Met",BE266)))</formula>
    </cfRule>
    <cfRule type="containsText" dxfId="1200" priority="3052" operator="containsText" text="Met">
      <formula>NOT(ISERROR(SEARCH("Met",BE266)))</formula>
    </cfRule>
    <cfRule type="containsText" dxfId="1199" priority="3053" operator="containsText" text="Not Met">
      <formula>NOT(ISERROR(SEARCH("Not Met",BE266)))</formula>
    </cfRule>
    <cfRule type="containsText" dxfId="1198" priority="3051" operator="containsText" text="Not Met">
      <formula>NOT(ISERROR(SEARCH("Not Met",BE266)))</formula>
    </cfRule>
  </conditionalFormatting>
  <conditionalFormatting sqref="BE280:BE287">
    <cfRule type="containsText" dxfId="1197" priority="3123" operator="containsText" text="Not Met">
      <formula>NOT(ISERROR(SEARCH("Not Met",BE280)))</formula>
    </cfRule>
    <cfRule type="containsText" dxfId="1196" priority="3124" operator="containsText" text="Met">
      <formula>NOT(ISERROR(SEARCH("Met",BE280)))</formula>
    </cfRule>
  </conditionalFormatting>
  <conditionalFormatting sqref="BE288:BE294 BE273:BE279 BE212:BE228 BE135:BE146">
    <cfRule type="containsText" dxfId="1195" priority="3039" operator="containsText" text="Not Met">
      <formula>NOT(ISERROR(SEARCH("Not Met",BE135)))</formula>
    </cfRule>
    <cfRule type="containsText" dxfId="1194" priority="3037" operator="containsText" text="Not Met">
      <formula>NOT(ISERROR(SEARCH("Not Met",BE135)))</formula>
    </cfRule>
  </conditionalFormatting>
  <conditionalFormatting sqref="BE295">
    <cfRule type="containsText" dxfId="1193" priority="2601" operator="containsText" text="Not Met">
      <formula>NOT(ISERROR(SEARCH("Not Met",BE295)))</formula>
    </cfRule>
  </conditionalFormatting>
  <conditionalFormatting sqref="BE295:BE297">
    <cfRule type="containsText" dxfId="1192" priority="2589" operator="containsText" text="Not Met">
      <formula>NOT(ISERROR(SEARCH("Not Met",BE295)))</formula>
    </cfRule>
    <cfRule type="containsText" dxfId="1191" priority="2590" operator="containsText" text="Met">
      <formula>NOT(ISERROR(SEARCH("Met",BE295)))</formula>
    </cfRule>
  </conditionalFormatting>
  <conditionalFormatting sqref="BE298:BE302">
    <cfRule type="containsText" dxfId="1190" priority="2587" operator="containsText" text="Not Met">
      <formula>NOT(ISERROR(SEARCH("Not Met",BE298)))</formula>
    </cfRule>
    <cfRule type="containsText" dxfId="1189" priority="2588" operator="containsText" text="Met">
      <formula>NOT(ISERROR(SEARCH("Met",BE298)))</formula>
    </cfRule>
  </conditionalFormatting>
  <conditionalFormatting sqref="BE303:BE314">
    <cfRule type="containsText" dxfId="1188" priority="3045" operator="containsText" text="Not Met">
      <formula>NOT(ISERROR(SEARCH("Not Met",BE303)))</formula>
    </cfRule>
    <cfRule type="containsText" dxfId="1187" priority="3050" operator="containsText" text="Met">
      <formula>NOT(ISERROR(SEARCH("Met",BE303)))</formula>
    </cfRule>
    <cfRule type="containsText" dxfId="1186" priority="3049" operator="containsText" text="Not Met">
      <formula>NOT(ISERROR(SEARCH("Not Met",BE303)))</formula>
    </cfRule>
    <cfRule type="containsText" dxfId="1185" priority="3048" operator="containsText" text="Met">
      <formula>NOT(ISERROR(SEARCH("Met",BE303)))</formula>
    </cfRule>
    <cfRule type="containsText" dxfId="1184" priority="3047" operator="containsText" text="Not Met">
      <formula>NOT(ISERROR(SEARCH("Not Met",BE303)))</formula>
    </cfRule>
    <cfRule type="containsText" dxfId="1183" priority="3046" operator="containsText" text="Met">
      <formula>NOT(ISERROR(SEARCH("Met",BE303)))</formula>
    </cfRule>
  </conditionalFormatting>
  <conditionalFormatting sqref="BE323:BE329">
    <cfRule type="containsText" dxfId="1182" priority="2766" operator="containsText" text="Met">
      <formula>NOT(ISERROR(SEARCH("Met",BE323)))</formula>
    </cfRule>
    <cfRule type="containsText" dxfId="1181" priority="2765" operator="containsText" text="Not Met">
      <formula>NOT(ISERROR(SEARCH("Not Met",BE323)))</formula>
    </cfRule>
    <cfRule type="containsText" dxfId="1180" priority="2768" operator="containsText" text="Met">
      <formula>NOT(ISERROR(SEARCH("Met",BE323)))</formula>
    </cfRule>
    <cfRule type="containsText" dxfId="1179" priority="2767" operator="containsText" text="Not Met">
      <formula>NOT(ISERROR(SEARCH("Not Met",BE323)))</formula>
    </cfRule>
  </conditionalFormatting>
  <conditionalFormatting sqref="BE330:BE331 BE333:BE335 BE337">
    <cfRule type="containsText" dxfId="1178" priority="2777" operator="containsText" text="Not Met">
      <formula>NOT(ISERROR(SEARCH("Not Met",BE330)))</formula>
    </cfRule>
    <cfRule type="containsText" dxfId="1177" priority="2778" operator="containsText" text="Met">
      <formula>NOT(ISERROR(SEARCH("Met",BE330)))</formula>
    </cfRule>
  </conditionalFormatting>
  <conditionalFormatting sqref="BE338:BE344">
    <cfRule type="containsText" dxfId="1176" priority="3120" operator="containsText" text="Met">
      <formula>NOT(ISERROR(SEARCH("Met",BE338)))</formula>
    </cfRule>
    <cfRule type="containsText" dxfId="1175" priority="3119" operator="containsText" text="Not Met">
      <formula>NOT(ISERROR(SEARCH("Not Met",BE338)))</formula>
    </cfRule>
    <cfRule type="containsText" dxfId="1174" priority="3118" operator="containsText" text="Met">
      <formula>NOT(ISERROR(SEARCH("Met",BE338)))</formula>
    </cfRule>
    <cfRule type="containsText" dxfId="1173" priority="3117" operator="containsText" text="Not Met">
      <formula>NOT(ISERROR(SEARCH("Not Met",BE338)))</formula>
    </cfRule>
  </conditionalFormatting>
  <conditionalFormatting sqref="BE344">
    <cfRule type="containsText" dxfId="1172" priority="3111" operator="containsText" text="Not Met">
      <formula>NOT(ISERROR(SEARCH("Not Met",BE344)))</formula>
    </cfRule>
    <cfRule type="containsText" dxfId="1171" priority="3106" operator="containsText" text="Met">
      <formula>NOT(ISERROR(SEARCH("Met",BE344)))</formula>
    </cfRule>
    <cfRule type="containsText" dxfId="1170" priority="3105" operator="containsText" text="Not Met">
      <formula>NOT(ISERROR(SEARCH("Not Met",BE344)))</formula>
    </cfRule>
    <cfRule type="containsText" dxfId="1169" priority="3112" operator="containsText" text="Met">
      <formula>NOT(ISERROR(SEARCH("Met",BE344)))</formula>
    </cfRule>
  </conditionalFormatting>
  <conditionalFormatting sqref="BE345">
    <cfRule type="containsText" dxfId="1168" priority="3102" operator="containsText" text="Met">
      <formula>NOT(ISERROR(SEARCH("Met",BE345)))</formula>
    </cfRule>
    <cfRule type="containsText" dxfId="1167" priority="3101" operator="containsText" text="Not Met">
      <formula>NOT(ISERROR(SEARCH("Not Met",BE345)))</formula>
    </cfRule>
    <cfRule type="containsText" dxfId="1166" priority="3104" operator="containsText" text="Met">
      <formula>NOT(ISERROR(SEARCH("Met",BE345)))</formula>
    </cfRule>
    <cfRule type="containsText" dxfId="1165" priority="3103" operator="containsText" text="Not Met">
      <formula>NOT(ISERROR(SEARCH("Not Met",BE345)))</formula>
    </cfRule>
  </conditionalFormatting>
  <conditionalFormatting sqref="BE353:BE356">
    <cfRule type="containsText" dxfId="1164" priority="2733" operator="containsText" text="Met">
      <formula>NOT(ISERROR(SEARCH("Met",BE353)))</formula>
    </cfRule>
    <cfRule type="containsText" dxfId="1163" priority="2732" operator="containsText" text="Not Met">
      <formula>NOT(ISERROR(SEARCH("Not Met",BE353)))</formula>
    </cfRule>
  </conditionalFormatting>
  <conditionalFormatting sqref="BE357:BE363">
    <cfRule type="containsText" dxfId="1162" priority="2731" operator="containsText" text="Met">
      <formula>NOT(ISERROR(SEARCH("Met",BE357)))</formula>
    </cfRule>
    <cfRule type="containsText" dxfId="1161" priority="2730" operator="containsText" text="Not Met">
      <formula>NOT(ISERROR(SEARCH("Not Met",BE357)))</formula>
    </cfRule>
  </conditionalFormatting>
  <conditionalFormatting sqref="BE364:BE366 BE371:BE373 BE376 BE383:BE401 BE405:BE408">
    <cfRule type="containsText" dxfId="1160" priority="2608" operator="containsText" text="Met">
      <formula>NOT(ISERROR(SEARCH("Met",BE364)))</formula>
    </cfRule>
  </conditionalFormatting>
  <conditionalFormatting sqref="BE367:BE368 BE370 BE374:BE375 BE377 BE381:BE382 BE388:BE389 BE391 BE395:BE396 BE398 BE402:BE403 BE409:BE410 BE412">
    <cfRule type="containsText" dxfId="1159" priority="2612" operator="containsText" text="Not Met">
      <formula>NOT(ISERROR(SEARCH("Not Met",BE367)))</formula>
    </cfRule>
    <cfRule type="containsText" dxfId="1158" priority="2613" operator="containsText" text="Met">
      <formula>NOT(ISERROR(SEARCH("Met",BE367)))</formula>
    </cfRule>
    <cfRule type="containsText" dxfId="1157" priority="2610" operator="containsText" text="Not Met">
      <formula>NOT(ISERROR(SEARCH("Not Met",BE367)))</formula>
    </cfRule>
    <cfRule type="containsText" dxfId="1156" priority="2611" operator="containsText" text="Met">
      <formula>NOT(ISERROR(SEARCH("Met",BE367)))</formula>
    </cfRule>
  </conditionalFormatting>
  <conditionalFormatting sqref="BE376 BE392:BE394 BE397 BE364:BE366 BE371:BE373 BE399:BE401 BE405:BE408">
    <cfRule type="containsText" dxfId="1155" priority="2607" operator="containsText" text="Not Met">
      <formula>NOT(ISERROR(SEARCH("Not Met",BE364)))</formula>
    </cfRule>
  </conditionalFormatting>
  <conditionalFormatting sqref="BE378:BE380 BE383:BE398">
    <cfRule type="containsText" dxfId="1154" priority="2606" operator="containsText" text="Not Met">
      <formula>NOT(ISERROR(SEARCH("Not Met",BE378)))</formula>
    </cfRule>
  </conditionalFormatting>
  <conditionalFormatting sqref="BE378:BE380">
    <cfRule type="containsText" dxfId="1153" priority="2609" operator="containsText" text="Met">
      <formula>NOT(ISERROR(SEARCH("Met",BE378)))</formula>
    </cfRule>
  </conditionalFormatting>
  <conditionalFormatting sqref="BE416">
    <cfRule type="containsText" dxfId="1152" priority="3061" operator="containsText" text="Not Met">
      <formula>NOT(ISERROR(SEARCH("Not Met",BE416)))</formula>
    </cfRule>
    <cfRule type="containsText" dxfId="1151" priority="3062" operator="containsText" text="Met">
      <formula>NOT(ISERROR(SEARCH("Met",BE416)))</formula>
    </cfRule>
  </conditionalFormatting>
  <conditionalFormatting sqref="BE421:BE424 BE426">
    <cfRule type="containsText" dxfId="1150" priority="3081" operator="containsText" text="Met">
      <formula>NOT(ISERROR(SEARCH("Met",BE421)))</formula>
    </cfRule>
    <cfRule type="containsText" dxfId="1149" priority="3079" operator="containsText" text="Met">
      <formula>NOT(ISERROR(SEARCH("Met",BE421)))</formula>
    </cfRule>
  </conditionalFormatting>
  <conditionalFormatting sqref="BE426 BE421:BE424">
    <cfRule type="containsText" dxfId="1148" priority="3080" operator="containsText" text="Not Met">
      <formula>NOT(ISERROR(SEARCH("Not Met",BE421)))</formula>
    </cfRule>
    <cfRule type="containsText" dxfId="1147" priority="3078" operator="containsText" text="Not Met">
      <formula>NOT(ISERROR(SEARCH("Not Met",BE421)))</formula>
    </cfRule>
    <cfRule type="containsText" dxfId="1146" priority="3082" operator="containsText" text="Not Met">
      <formula>NOT(ISERROR(SEARCH("Not Met",BE421)))</formula>
    </cfRule>
  </conditionalFormatting>
  <conditionalFormatting sqref="BE427:BE435">
    <cfRule type="containsText" dxfId="1145" priority="2773" operator="containsText" text="Not Met">
      <formula>NOT(ISERROR(SEARCH("Not Met",BE427)))</formula>
    </cfRule>
    <cfRule type="containsText" dxfId="1144" priority="2776" operator="containsText" text="Met">
      <formula>NOT(ISERROR(SEARCH("Met",BE427)))</formula>
    </cfRule>
    <cfRule type="containsText" dxfId="1143" priority="2774" operator="containsText" text="Met">
      <formula>NOT(ISERROR(SEARCH("Met",BE427)))</formula>
    </cfRule>
    <cfRule type="containsText" dxfId="1142" priority="2775" operator="containsText" text="Not Met">
      <formula>NOT(ISERROR(SEARCH("Not Met",BE427)))</formula>
    </cfRule>
  </conditionalFormatting>
  <conditionalFormatting sqref="BE442:BE443">
    <cfRule type="containsText" dxfId="1141" priority="3026" operator="containsText" text="Met">
      <formula>NOT(ISERROR(SEARCH("Met",BE442)))</formula>
    </cfRule>
    <cfRule type="containsText" dxfId="1140" priority="3025" operator="containsText" text="Not Met">
      <formula>NOT(ISERROR(SEARCH("Not Met",BE442)))</formula>
    </cfRule>
    <cfRule type="containsText" dxfId="1139" priority="3024" operator="containsText" text="Met">
      <formula>NOT(ISERROR(SEARCH("Met",BE442)))</formula>
    </cfRule>
    <cfRule type="containsText" dxfId="1138" priority="3023" operator="containsText" text="Not Met">
      <formula>NOT(ISERROR(SEARCH("Not Met",BE442)))</formula>
    </cfRule>
    <cfRule type="containsText" dxfId="1137" priority="3022" operator="containsText" text="Met">
      <formula>NOT(ISERROR(SEARCH("Met",BE442)))</formula>
    </cfRule>
    <cfRule type="containsText" dxfId="1136" priority="3021" operator="containsText" text="Not Met">
      <formula>NOT(ISERROR(SEARCH("Not Met",BE442)))</formula>
    </cfRule>
  </conditionalFormatting>
  <conditionalFormatting sqref="BE444:BE452">
    <cfRule type="containsText" dxfId="1135" priority="749" operator="containsText" text="Met">
      <formula>NOT(ISERROR(SEARCH("Met",BE444)))</formula>
    </cfRule>
    <cfRule type="containsText" dxfId="1134" priority="748" operator="containsText" text="Not Met">
      <formula>NOT(ISERROR(SEARCH("Not Met",BE444)))</formula>
    </cfRule>
  </conditionalFormatting>
  <conditionalFormatting sqref="BE453:BE454">
    <cfRule type="containsText" dxfId="1133" priority="750" operator="containsText" text="Not Met">
      <formula>NOT(ISERROR(SEARCH("Not Met",BE453)))</formula>
    </cfRule>
  </conditionalFormatting>
  <conditionalFormatting sqref="BE453:BE457">
    <cfRule type="containsText" dxfId="1132" priority="752" operator="containsText" text="Met">
      <formula>NOT(ISERROR(SEARCH("Met",BE453)))</formula>
    </cfRule>
    <cfRule type="containsText" dxfId="1131" priority="751" operator="containsText" text="Not Met">
      <formula>NOT(ISERROR(SEARCH("Not Met",BE453)))</formula>
    </cfRule>
  </conditionalFormatting>
  <conditionalFormatting sqref="BE80:BF80 BE69:BE74 BE76:BE79 BE81">
    <cfRule type="containsText" dxfId="1130" priority="2634" operator="containsText" text="Not Met">
      <formula>NOT(ISERROR(SEARCH("Not Met",BE69)))</formula>
    </cfRule>
    <cfRule type="containsText" dxfId="1129" priority="2636" operator="containsText" text="Not Met">
      <formula>NOT(ISERROR(SEARCH("Not Met",BE69)))</formula>
    </cfRule>
    <cfRule type="containsText" dxfId="1128" priority="2638" operator="containsText" text="Not Met">
      <formula>NOT(ISERROR(SEARCH("Not Met",BE69)))</formula>
    </cfRule>
  </conditionalFormatting>
  <conditionalFormatting sqref="BE170:BF170">
    <cfRule type="containsText" dxfId="1127" priority="2719" operator="containsText" text="Met">
      <formula>NOT(ISERROR(SEARCH("Met",BE170)))</formula>
    </cfRule>
    <cfRule type="containsText" dxfId="1126" priority="2716" operator="containsText" text="Not Met">
      <formula>NOT(ISERROR(SEARCH("Not Met",BE170)))</formula>
    </cfRule>
    <cfRule type="containsText" dxfId="1125" priority="2717" operator="containsText" text="Met">
      <formula>NOT(ISERROR(SEARCH("Met",BE170)))</formula>
    </cfRule>
    <cfRule type="containsText" dxfId="1124" priority="2718" operator="containsText" text="Not Met">
      <formula>NOT(ISERROR(SEARCH("Not Met",BE170)))</formula>
    </cfRule>
  </conditionalFormatting>
  <conditionalFormatting sqref="BE20:BJ33">
    <cfRule type="containsText" dxfId="1123" priority="7" operator="containsText" text="Not Met">
      <formula>NOT(ISERROR(SEARCH("Not Met",BE20)))</formula>
    </cfRule>
    <cfRule type="containsText" dxfId="1122" priority="8" operator="containsText" text="Met">
      <formula>NOT(ISERROR(SEARCH("Met",BE20)))</formula>
    </cfRule>
    <cfRule type="containsText" dxfId="1121" priority="9" operator="containsText" text="Not Met">
      <formula>NOT(ISERROR(SEARCH("Not Met",BE20)))</formula>
    </cfRule>
    <cfRule type="containsText" dxfId="1120" priority="10" operator="containsText" text="Met">
      <formula>NOT(ISERROR(SEARCH("Met",BE20)))</formula>
    </cfRule>
    <cfRule type="containsText" dxfId="1119" priority="11" operator="containsText" text="Not Met">
      <formula>NOT(ISERROR(SEARCH("Not Met",BE20)))</formula>
    </cfRule>
    <cfRule type="containsText" dxfId="1118" priority="12" operator="containsText" text="Met">
      <formula>NOT(ISERROR(SEARCH("Met",BE20)))</formula>
    </cfRule>
  </conditionalFormatting>
  <conditionalFormatting sqref="BF11">
    <cfRule type="containsText" dxfId="1117" priority="3003" operator="containsText" text="Not Met">
      <formula>NOT(ISERROR(SEARCH("Not Met",BF11)))</formula>
    </cfRule>
    <cfRule type="containsText" dxfId="1116" priority="2994" operator="containsText" text="Met">
      <formula>NOT(ISERROR(SEARCH("Met",BF11)))</formula>
    </cfRule>
    <cfRule type="containsText" dxfId="1115" priority="3004" operator="containsText" text="Met">
      <formula>NOT(ISERROR(SEARCH("Met",BF11)))</formula>
    </cfRule>
    <cfRule type="containsText" dxfId="1114" priority="2993" operator="containsText" text="Not Met">
      <formula>NOT(ISERROR(SEARCH("Not Met",BF11)))</formula>
    </cfRule>
  </conditionalFormatting>
  <conditionalFormatting sqref="BF66 BF70 BF74 BF77:BF78 BF81 BF84:BF86 BF88 BF107 BF112 BF117 BF120 BF126 BF130:BF131 BF133:BF134 BF160 BF162 BF176:BF178 BF180:BF181 BF285 BF296:BF298 BF301:BF302 BF316 BF318:BF319 BF322 BF334:BF335 BF337:BF340 BF342 BF344:BF345 BF357 BF359:BF361 BF363 BF370 BF372 BF376 BF379 BF383 BF391:BF394 BF396 BF398:BF400 BF404 BF406:BF407 BF412 BF414:BF417 BF419:BF420 BF423 BF441">
    <cfRule type="containsText" dxfId="1113" priority="2683" operator="containsText" text="Met">
      <formula>NOT(ISERROR(SEARCH("Met",BF66)))</formula>
    </cfRule>
    <cfRule type="containsText" dxfId="1112" priority="2685" operator="containsText" text="Met">
      <formula>NOT(ISERROR(SEARCH("Met",BF66)))</formula>
    </cfRule>
  </conditionalFormatting>
  <conditionalFormatting sqref="BF66 BF70 BF74 BF81 BF84:BF86 BF88 BF107 BF112 BF117 BF120 BF126 BF130:BF131 BF133:BF134 BF160 BF162 BF176:BF178 BF180:BF181 BF285 BF296:BF298 BF301:BF302 BF316 BF318:BF319 BF322 BF334:BF335 BF342 BF344:BF345 BF357 BF359:BF361 BF363 BF370 BF372 BF376 BF379 BF383 BF391:BF394 BF396 BF398:BF400 BF404 BF406:BF407 BF412 BF414:BF417 BF419:BF420 BF423 BF441 BF337:BF340 BF77:BF78">
    <cfRule type="containsText" dxfId="1111" priority="2684" operator="containsText" text="Not Met">
      <formula>NOT(ISERROR(SEARCH("Not Met",BF66)))</formula>
    </cfRule>
    <cfRule type="containsText" dxfId="1110" priority="2678" operator="containsText" text="Not Met">
      <formula>NOT(ISERROR(SEARCH("Not Met",BF66)))</formula>
    </cfRule>
  </conditionalFormatting>
  <conditionalFormatting sqref="BF444 BF446 BF449 BF454">
    <cfRule type="containsText" dxfId="1109" priority="746" operator="containsText" text="Not Met">
      <formula>NOT(ISERROR(SEARCH("Not Met",BF444)))</formula>
    </cfRule>
    <cfRule type="containsText" dxfId="1108" priority="747" operator="containsText" text="Met">
      <formula>NOT(ISERROR(SEARCH("Met",BF444)))</formula>
    </cfRule>
    <cfRule type="containsText" dxfId="1107" priority="745" operator="containsText" text="Met">
      <formula>NOT(ISERROR(SEARCH("Met",BF444)))</formula>
    </cfRule>
    <cfRule type="containsText" dxfId="1106" priority="744" operator="containsText" text="Not Met">
      <formula>NOT(ISERROR(SEARCH("Not Met",BF444)))</formula>
    </cfRule>
  </conditionalFormatting>
  <conditionalFormatting sqref="BG2:BG5">
    <cfRule type="containsText" dxfId="1105" priority="2129" operator="containsText" text="Met">
      <formula>NOT(ISERROR(SEARCH("Met",BG2)))</formula>
    </cfRule>
    <cfRule type="containsText" dxfId="1104" priority="2128" operator="containsText" text="Not Met">
      <formula>NOT(ISERROR(SEARCH("Not Met",BG2)))</formula>
    </cfRule>
  </conditionalFormatting>
  <conditionalFormatting sqref="BG5:BG6">
    <cfRule type="containsText" dxfId="1103" priority="2131" operator="containsText" text="Met">
      <formula>NOT(ISERROR(SEARCH("Met",BG5)))</formula>
    </cfRule>
    <cfRule type="containsText" dxfId="1102" priority="2130" operator="containsText" text="Not Met">
      <formula>NOT(ISERROR(SEARCH("Not Met",BG5)))</formula>
    </cfRule>
  </conditionalFormatting>
  <conditionalFormatting sqref="BG7:BG15 BI7:BI10 BI12:BI15">
    <cfRule type="containsText" dxfId="1101" priority="2360" operator="containsText" text="Not Met">
      <formula>NOT(ISERROR(SEARCH("Not Met",BG7)))</formula>
    </cfRule>
  </conditionalFormatting>
  <conditionalFormatting sqref="BG11">
    <cfRule type="containsText" dxfId="1100" priority="2351" operator="containsText" text="Met">
      <formula>NOT(ISERROR(SEARCH("Met",BG11)))</formula>
    </cfRule>
    <cfRule type="containsText" dxfId="1099" priority="2350" operator="containsText" text="Not Met">
      <formula>NOT(ISERROR(SEARCH("Not Met",BG11)))</formula>
    </cfRule>
  </conditionalFormatting>
  <conditionalFormatting sqref="BG16:BG19">
    <cfRule type="containsText" dxfId="1098" priority="2349" operator="containsText" text="Met">
      <formula>NOT(ISERROR(SEARCH("Met",BG16)))</formula>
    </cfRule>
    <cfRule type="containsText" dxfId="1097" priority="2348" operator="containsText" text="Not Met">
      <formula>NOT(ISERROR(SEARCH("Not Met",BG16)))</formula>
    </cfRule>
    <cfRule type="containsText" dxfId="1096" priority="2346" operator="containsText" text="Not Met">
      <formula>NOT(ISERROR(SEARCH("Not Met",BG16)))</formula>
    </cfRule>
    <cfRule type="containsText" dxfId="1095" priority="2347" operator="containsText" text="Met">
      <formula>NOT(ISERROR(SEARCH("Met",BG16)))</formula>
    </cfRule>
  </conditionalFormatting>
  <conditionalFormatting sqref="BG42:BG48 BI42:BI48">
    <cfRule type="containsText" dxfId="1094" priority="2132" operator="containsText" text="Not Met">
      <formula>NOT(ISERROR(SEARCH("Not Met",BG42)))</formula>
    </cfRule>
    <cfRule type="containsText" dxfId="1093" priority="2133" operator="containsText" text="Met">
      <formula>NOT(ISERROR(SEARCH("Met",BG42)))</formula>
    </cfRule>
    <cfRule type="containsText" dxfId="1092" priority="2134" operator="containsText" text="Not Met">
      <formula>NOT(ISERROR(SEARCH("Not Met",BG42)))</formula>
    </cfRule>
    <cfRule type="containsText" dxfId="1091" priority="2135" operator="containsText" text="Met">
      <formula>NOT(ISERROR(SEARCH("Met",BG42)))</formula>
    </cfRule>
  </conditionalFormatting>
  <conditionalFormatting sqref="BG49:BG50 BG52:BG53">
    <cfRule type="containsText" dxfId="1090" priority="2110" operator="containsText" text="Not Met">
      <formula>NOT(ISERROR(SEARCH("Not Met",BG49)))</formula>
    </cfRule>
    <cfRule type="containsText" dxfId="1089" priority="2111" operator="containsText" text="Met">
      <formula>NOT(ISERROR(SEARCH("Met",BG49)))</formula>
    </cfRule>
  </conditionalFormatting>
  <conditionalFormatting sqref="BG51">
    <cfRule type="containsText" dxfId="1088" priority="2112" operator="containsText" text="Not Met">
      <formula>NOT(ISERROR(SEARCH("Not Met",BG51)))</formula>
    </cfRule>
    <cfRule type="containsText" dxfId="1087" priority="2114" operator="containsText" text="Not Met">
      <formula>NOT(ISERROR(SEARCH("Not Met",BG51)))</formula>
    </cfRule>
    <cfRule type="containsText" dxfId="1086" priority="2115" operator="containsText" text="Met">
      <formula>NOT(ISERROR(SEARCH("Met",BG51)))</formula>
    </cfRule>
    <cfRule type="containsText" dxfId="1085" priority="2113" operator="containsText" text="Met">
      <formula>NOT(ISERROR(SEARCH("Met",BG51)))</formula>
    </cfRule>
  </conditionalFormatting>
  <conditionalFormatting sqref="BG78:BG83">
    <cfRule type="containsText" dxfId="1084" priority="2093" operator="containsText" text="Not met">
      <formula>NOT(ISERROR(SEARCH("Not met",BG78)))</formula>
    </cfRule>
  </conditionalFormatting>
  <conditionalFormatting sqref="BG84:BG85">
    <cfRule type="containsText" dxfId="1083" priority="2092" operator="containsText" text="Not met">
      <formula>NOT(ISERROR(SEARCH("Not met",BG84)))</formula>
    </cfRule>
  </conditionalFormatting>
  <conditionalFormatting sqref="BG86:BG87">
    <cfRule type="containsText" dxfId="1082" priority="2091" operator="containsText" text="Not met">
      <formula>NOT(ISERROR(SEARCH("Not met",BG86)))</formula>
    </cfRule>
  </conditionalFormatting>
  <conditionalFormatting sqref="BG88">
    <cfRule type="containsText" dxfId="1081" priority="2090" operator="containsText" text="Not met">
      <formula>NOT(ISERROR(SEARCH("Not met",BG88)))</formula>
    </cfRule>
  </conditionalFormatting>
  <conditionalFormatting sqref="BG89">
    <cfRule type="containsText" dxfId="1080" priority="2089" operator="containsText" text="Not met">
      <formula>NOT(ISERROR(SEARCH("Not met",BG89)))</formula>
    </cfRule>
  </conditionalFormatting>
  <conditionalFormatting sqref="BG90:BG96 BI90:BI96">
    <cfRule type="containsText" dxfId="1079" priority="2147" operator="containsText" text="Met">
      <formula>NOT(ISERROR(SEARCH("Met",BG90)))</formula>
    </cfRule>
    <cfRule type="containsText" dxfId="1078" priority="2146" operator="containsText" text="Not Met">
      <formula>NOT(ISERROR(SEARCH("Not Met",BG90)))</formula>
    </cfRule>
    <cfRule type="containsText" dxfId="1077" priority="2145" operator="containsText" text="Met">
      <formula>NOT(ISERROR(SEARCH("Met",BG90)))</formula>
    </cfRule>
    <cfRule type="containsText" dxfId="1076" priority="2144" operator="containsText" text="Not Met">
      <formula>NOT(ISERROR(SEARCH("Not Met",BG90)))</formula>
    </cfRule>
  </conditionalFormatting>
  <conditionalFormatting sqref="BG105:BG106 BG112 BI105:BI112 BG108:BG110">
    <cfRule type="containsText" dxfId="1075" priority="2188" operator="containsText" text="Not Met">
      <formula>NOT(ISERROR(SEARCH("Not Met",BG105)))</formula>
    </cfRule>
  </conditionalFormatting>
  <conditionalFormatting sqref="BG105:BG107 BG111:BG112">
    <cfRule type="containsText" dxfId="1074" priority="2187" operator="containsText" text="Met">
      <formula>NOT(ISERROR(SEARCH("Met",BG105)))</formula>
    </cfRule>
  </conditionalFormatting>
  <conditionalFormatting sqref="BG107 BG111">
    <cfRule type="containsText" dxfId="1073" priority="2186" operator="containsText" text="Not Met">
      <formula>NOT(ISERROR(SEARCH("Not Met",BG107)))</formula>
    </cfRule>
  </conditionalFormatting>
  <conditionalFormatting sqref="BG108:BG110">
    <cfRule type="containsText" dxfId="1072" priority="2159" operator="containsText" text="Met">
      <formula>NOT(ISERROR(SEARCH("Met",BG108)))</formula>
    </cfRule>
  </conditionalFormatting>
  <conditionalFormatting sqref="BG113">
    <cfRule type="containsText" dxfId="1071" priority="1902" operator="containsText" text="Met">
      <formula>NOT(ISERROR(SEARCH("Met",BG113)))</formula>
    </cfRule>
    <cfRule type="containsText" dxfId="1070" priority="1901" operator="containsText" text="Not Met">
      <formula>NOT(ISERROR(SEARCH("Not Met",BG113)))</formula>
    </cfRule>
  </conditionalFormatting>
  <conditionalFormatting sqref="BG118:BG123">
    <cfRule type="containsText" dxfId="1069" priority="1890" operator="containsText" text="Met">
      <formula>NOT(ISERROR(SEARCH("Met",BG118)))</formula>
    </cfRule>
    <cfRule type="containsText" dxfId="1068" priority="1889" operator="containsText" text="Not Met">
      <formula>NOT(ISERROR(SEARCH("Not Met",BG118)))</formula>
    </cfRule>
  </conditionalFormatting>
  <conditionalFormatting sqref="BG124">
    <cfRule type="containsText" dxfId="1067" priority="1936" operator="containsText" text="Not Met">
      <formula>NOT(ISERROR(SEARCH("Not Met",BG124)))</formula>
    </cfRule>
  </conditionalFormatting>
  <conditionalFormatting sqref="BG124:BG126">
    <cfRule type="containsText" dxfId="1066" priority="1937" operator="containsText" text="Met">
      <formula>NOT(ISERROR(SEARCH("Met",BG124)))</formula>
    </cfRule>
  </conditionalFormatting>
  <conditionalFormatting sqref="BG125:BG126">
    <cfRule type="containsText" dxfId="1065" priority="1938" operator="containsText" text="Not Met">
      <formula>NOT(ISERROR(SEARCH("Not Met",BG125)))</formula>
    </cfRule>
  </conditionalFormatting>
  <conditionalFormatting sqref="BG128">
    <cfRule type="containsText" dxfId="1064" priority="1940" operator="containsText" text="Met">
      <formula>NOT(ISERROR(SEARCH("Met",BG128)))</formula>
    </cfRule>
    <cfRule type="containsText" dxfId="1063" priority="1939" operator="containsText" text="Not Met">
      <formula>NOT(ISERROR(SEARCH("Not Met",BG128)))</formula>
    </cfRule>
  </conditionalFormatting>
  <conditionalFormatting sqref="BG129:BG134">
    <cfRule type="containsText" dxfId="1062" priority="1923" operator="containsText" text="Not Met">
      <formula>NOT(ISERROR(SEARCH("Not Met",BG129)))</formula>
    </cfRule>
    <cfRule type="containsText" dxfId="1061" priority="1924" operator="containsText" text="Met">
      <formula>NOT(ISERROR(SEARCH("Met",BG129)))</formula>
    </cfRule>
  </conditionalFormatting>
  <conditionalFormatting sqref="BG135:BG146">
    <cfRule type="containsText" dxfId="1060" priority="2420" operator="containsText" text="Met">
      <formula>NOT(ISERROR(SEARCH("Met",BG135)))</formula>
    </cfRule>
    <cfRule type="containsText" dxfId="1059" priority="2419" operator="containsText" text="Not Met">
      <formula>NOT(ISERROR(SEARCH("Not Met",BG135)))</formula>
    </cfRule>
    <cfRule type="containsText" dxfId="1058" priority="2418" operator="containsText" text="Met">
      <formula>NOT(ISERROR(SEARCH("Met",BG135)))</formula>
    </cfRule>
    <cfRule type="containsText" dxfId="1057" priority="2417" operator="containsText" text="Not Met">
      <formula>NOT(ISERROR(SEARCH("Not Met",BG135)))</formula>
    </cfRule>
  </conditionalFormatting>
  <conditionalFormatting sqref="BG155:BG162 BI155:BI162">
    <cfRule type="containsText" dxfId="1056" priority="2099" operator="containsText" text="Met">
      <formula>NOT(ISERROR(SEARCH("Met",BG155)))</formula>
    </cfRule>
    <cfRule type="containsText" dxfId="1055" priority="2098" operator="containsText" text="Not Met">
      <formula>NOT(ISERROR(SEARCH("Not Met",BG155)))</formula>
    </cfRule>
  </conditionalFormatting>
  <conditionalFormatting sqref="BG163:BG170 BI167:BI170">
    <cfRule type="containsText" dxfId="1054" priority="2073" operator="containsText" text="Met">
      <formula>NOT(ISERROR(SEARCH("Met",BG163)))</formula>
    </cfRule>
    <cfRule type="containsText" dxfId="1053" priority="2072" operator="containsText" text="Not Met">
      <formula>NOT(ISERROR(SEARCH("Not Met",BG163)))</formula>
    </cfRule>
  </conditionalFormatting>
  <conditionalFormatting sqref="BG166">
    <cfRule type="containsText" dxfId="1052" priority="2071" operator="containsText" text="Met">
      <formula>NOT(ISERROR(SEARCH("Met",BG166)))</formula>
    </cfRule>
    <cfRule type="containsText" dxfId="1051" priority="2070" operator="containsText" text="Not Met">
      <formula>NOT(ISERROR(SEARCH("Not Met",BG166)))</formula>
    </cfRule>
  </conditionalFormatting>
  <conditionalFormatting sqref="BG173">
    <cfRule type="containsText" dxfId="1050" priority="1918" operator="containsText" text="Met">
      <formula>NOT(ISERROR(SEARCH("Met",BG173)))</formula>
    </cfRule>
    <cfRule type="containsText" dxfId="1049" priority="1917" operator="containsText" text="Not Met">
      <formula>NOT(ISERROR(SEARCH("Not Met",BG173)))</formula>
    </cfRule>
  </conditionalFormatting>
  <conditionalFormatting sqref="BG176:BG181">
    <cfRule type="containsText" dxfId="1048" priority="1910" operator="containsText" text="Met">
      <formula>NOT(ISERROR(SEARCH("Met",BG176)))</formula>
    </cfRule>
    <cfRule type="containsText" dxfId="1047" priority="1909" operator="containsText" text="Not Met">
      <formula>NOT(ISERROR(SEARCH("Not Met",BG176)))</formula>
    </cfRule>
  </conditionalFormatting>
  <conditionalFormatting sqref="BG182:BG190">
    <cfRule type="containsText" dxfId="1046" priority="2316" operator="containsText" text="Met">
      <formula>NOT(ISERROR(SEARCH("Met",BG182)))</formula>
    </cfRule>
  </conditionalFormatting>
  <conditionalFormatting sqref="BG190">
    <cfRule type="containsText" dxfId="1045" priority="2311" operator="containsText" text="Not Met">
      <formula>NOT(ISERROR(SEARCH("Not Met",BG190)))</formula>
    </cfRule>
    <cfRule type="containsText" dxfId="1044" priority="2310" operator="containsText" text="Met">
      <formula>NOT(ISERROR(SEARCH("Met",BG190)))</formula>
    </cfRule>
    <cfRule type="containsText" dxfId="1043" priority="2309" operator="containsText" text="Not Met">
      <formula>NOT(ISERROR(SEARCH("Not Met",BG190)))</formula>
    </cfRule>
    <cfRule type="containsText" dxfId="1042" priority="2308" operator="containsText" text="Met">
      <formula>NOT(ISERROR(SEARCH("Met",BG190)))</formula>
    </cfRule>
    <cfRule type="containsText" dxfId="1041" priority="2307" operator="containsText" text="Not Met">
      <formula>NOT(ISERROR(SEARCH("Not Met",BG190)))</formula>
    </cfRule>
    <cfRule type="containsText" dxfId="1040" priority="2306" operator="containsText" text="Met">
      <formula>NOT(ISERROR(SEARCH("Met",BG190)))</formula>
    </cfRule>
    <cfRule type="containsText" dxfId="1039" priority="2312" operator="containsText" text="Met">
      <formula>NOT(ISERROR(SEARCH("Met",BG190)))</formula>
    </cfRule>
    <cfRule type="containsText" dxfId="1038" priority="2305" operator="containsText" text="Not Met">
      <formula>NOT(ISERROR(SEARCH("Not Met",BG190)))</formula>
    </cfRule>
    <cfRule type="containsText" dxfId="1037" priority="2304" operator="containsText" text="Met">
      <formula>NOT(ISERROR(SEARCH("Met",BG190)))</formula>
    </cfRule>
    <cfRule type="containsText" dxfId="1036" priority="2303" operator="containsText" text="Not Met">
      <formula>NOT(ISERROR(SEARCH("Not Met",BG190)))</formula>
    </cfRule>
    <cfRule type="containsText" dxfId="1035" priority="2302" operator="containsText" text="Met">
      <formula>NOT(ISERROR(SEARCH("Met",BG190)))</formula>
    </cfRule>
    <cfRule type="containsText" dxfId="1034" priority="2301" operator="containsText" text="Not Met">
      <formula>NOT(ISERROR(SEARCH("Not Met",BG190)))</formula>
    </cfRule>
    <cfRule type="containsText" dxfId="1033" priority="2315" operator="containsText" text="Not Met">
      <formula>NOT(ISERROR(SEARCH("Not Met",BG190)))</formula>
    </cfRule>
    <cfRule type="containsText" dxfId="1032" priority="2314" operator="containsText" text="Met">
      <formula>NOT(ISERROR(SEARCH("Met",BG190)))</formula>
    </cfRule>
    <cfRule type="containsText" dxfId="1031" priority="2313" operator="containsText" text="Not Met">
      <formula>NOT(ISERROR(SEARCH("Not Met",BG190)))</formula>
    </cfRule>
  </conditionalFormatting>
  <conditionalFormatting sqref="BG191">
    <cfRule type="containsText" dxfId="1030" priority="2299" operator="containsText" text="Not Met">
      <formula>NOT(ISERROR(SEARCH("Not Met",BG191)))</formula>
    </cfRule>
    <cfRule type="containsText" dxfId="1029" priority="2298" operator="containsText" text="Met">
      <formula>NOT(ISERROR(SEARCH("Met",BG191)))</formula>
    </cfRule>
    <cfRule type="containsText" dxfId="1028" priority="2297" operator="containsText" text="Not Met">
      <formula>NOT(ISERROR(SEARCH("Not Met",BG191)))</formula>
    </cfRule>
    <cfRule type="containsText" dxfId="1027" priority="2296" operator="containsText" text="Met">
      <formula>NOT(ISERROR(SEARCH("Met",BG191)))</formula>
    </cfRule>
    <cfRule type="containsText" dxfId="1026" priority="2295" operator="containsText" text="Not Met">
      <formula>NOT(ISERROR(SEARCH("Not Met",BG191)))</formula>
    </cfRule>
    <cfRule type="containsText" dxfId="1025" priority="2294" operator="containsText" text="Met">
      <formula>NOT(ISERROR(SEARCH("Met",BG191)))</formula>
    </cfRule>
    <cfRule type="containsText" dxfId="1024" priority="2293" operator="containsText" text="Not Met">
      <formula>NOT(ISERROR(SEARCH("Not Met",BG191)))</formula>
    </cfRule>
    <cfRule type="containsText" dxfId="1023" priority="2292" operator="containsText" text="Met">
      <formula>NOT(ISERROR(SEARCH("Met",BG191)))</formula>
    </cfRule>
    <cfRule type="containsText" dxfId="1022" priority="2291" operator="containsText" text="Not Met">
      <formula>NOT(ISERROR(SEARCH("Not Met",BG191)))</formula>
    </cfRule>
    <cfRule type="containsText" dxfId="1021" priority="2290" operator="containsText" text="Met">
      <formula>NOT(ISERROR(SEARCH("Met",BG191)))</formula>
    </cfRule>
    <cfRule type="containsText" dxfId="1020" priority="2289" operator="containsText" text="Not Met">
      <formula>NOT(ISERROR(SEARCH("Not Met",BG191)))</formula>
    </cfRule>
    <cfRule type="containsText" dxfId="1019" priority="2288" operator="containsText" text="Met">
      <formula>NOT(ISERROR(SEARCH("Met",BG191)))</formula>
    </cfRule>
    <cfRule type="containsText" dxfId="1018" priority="2287" operator="containsText" text="Not Met">
      <formula>NOT(ISERROR(SEARCH("Not Met",BG191)))</formula>
    </cfRule>
    <cfRule type="containsText" dxfId="1017" priority="2286" operator="containsText" text="Met">
      <formula>NOT(ISERROR(SEARCH("Met",BG191)))</formula>
    </cfRule>
    <cfRule type="containsText" dxfId="1016" priority="2285" operator="containsText" text="Not Met">
      <formula>NOT(ISERROR(SEARCH("Not Met",BG191)))</formula>
    </cfRule>
  </conditionalFormatting>
  <conditionalFormatting sqref="BG191:BG211">
    <cfRule type="containsText" dxfId="1015" priority="2300" operator="containsText" text="Met">
      <formula>NOT(ISERROR(SEARCH("Met",BG191)))</formula>
    </cfRule>
  </conditionalFormatting>
  <conditionalFormatting sqref="BG192:BG211 BG182:BG189 BI182:BI185 BI188:BI189 BI192:BI211">
    <cfRule type="containsText" dxfId="1014" priority="2320" operator="containsText" text="Not Met">
      <formula>NOT(ISERROR(SEARCH("Not Met",BG182)))</formula>
    </cfRule>
  </conditionalFormatting>
  <conditionalFormatting sqref="BG212:BG228">
    <cfRule type="containsText" dxfId="1013" priority="2409" operator="containsText" text="Not Met">
      <formula>NOT(ISERROR(SEARCH("Not Met",BG212)))</formula>
    </cfRule>
    <cfRule type="containsText" dxfId="1012" priority="2412" operator="containsText" text="Met">
      <formula>NOT(ISERROR(SEARCH("Met",BG212)))</formula>
    </cfRule>
    <cfRule type="containsText" dxfId="1011" priority="2411" operator="containsText" text="Not Met">
      <formula>NOT(ISERROR(SEARCH("Not Met",BG212)))</formula>
    </cfRule>
    <cfRule type="containsText" dxfId="1010" priority="2410" operator="containsText" text="Met">
      <formula>NOT(ISERROR(SEARCH("Met",BG212)))</formula>
    </cfRule>
  </conditionalFormatting>
  <conditionalFormatting sqref="BG243:BG256 BI243:BI256">
    <cfRule type="containsText" dxfId="1009" priority="2396" operator="containsText" text="Met">
      <formula>NOT(ISERROR(SEARCH("Met",BG243)))</formula>
    </cfRule>
    <cfRule type="containsText" dxfId="1008" priority="2395" operator="containsText" text="Not Met">
      <formula>NOT(ISERROR(SEARCH("Not Met",BG243)))</formula>
    </cfRule>
    <cfRule type="containsText" dxfId="1007" priority="2394" operator="containsText" text="Met">
      <formula>NOT(ISERROR(SEARCH("Met",BG243)))</formula>
    </cfRule>
    <cfRule type="containsText" dxfId="1006" priority="2393" operator="containsText" text="Not Met">
      <formula>NOT(ISERROR(SEARCH("Not Met",BG243)))</formula>
    </cfRule>
  </conditionalFormatting>
  <conditionalFormatting sqref="BG266:BG272 BI266:BI272">
    <cfRule type="containsText" dxfId="1005" priority="2537" operator="containsText" text="Not Met">
      <formula>NOT(ISERROR(SEARCH("Not Met",BG266)))</formula>
    </cfRule>
    <cfRule type="containsText" dxfId="1004" priority="2535" operator="containsText" text="Not Met">
      <formula>NOT(ISERROR(SEARCH("Not Met",BG266)))</formula>
    </cfRule>
    <cfRule type="containsText" dxfId="1003" priority="2536" operator="containsText" text="Met">
      <formula>NOT(ISERROR(SEARCH("Met",BG266)))</formula>
    </cfRule>
    <cfRule type="containsText" dxfId="1002" priority="2538" operator="containsText" text="Met">
      <formula>NOT(ISERROR(SEARCH("Met",BG266)))</formula>
    </cfRule>
  </conditionalFormatting>
  <conditionalFormatting sqref="BG273:BG279">
    <cfRule type="containsText" dxfId="1001" priority="2392" operator="containsText" text="Met">
      <formula>NOT(ISERROR(SEARCH("Met",BG273)))</formula>
    </cfRule>
    <cfRule type="containsText" dxfId="1000" priority="2389" operator="containsText" text="Not Met">
      <formula>NOT(ISERROR(SEARCH("Not Met",BG273)))</formula>
    </cfRule>
    <cfRule type="containsText" dxfId="999" priority="2390" operator="containsText" text="Met">
      <formula>NOT(ISERROR(SEARCH("Met",BG273)))</formula>
    </cfRule>
    <cfRule type="containsText" dxfId="998" priority="2391" operator="containsText" text="Not Met">
      <formula>NOT(ISERROR(SEARCH("Not Met",BG273)))</formula>
    </cfRule>
  </conditionalFormatting>
  <conditionalFormatting sqref="BG280:BG284 BI280:BI284 BG286 BI286">
    <cfRule type="containsText" dxfId="997" priority="2534" operator="containsText" text="Met">
      <formula>NOT(ISERROR(SEARCH("Met",BG280)))</formula>
    </cfRule>
  </conditionalFormatting>
  <conditionalFormatting sqref="BG285 BI285">
    <cfRule type="containsText" dxfId="996" priority="2519" operator="containsText" text="Not Met">
      <formula>NOT(ISERROR(SEARCH("Not Met",BG285)))</formula>
    </cfRule>
    <cfRule type="containsText" dxfId="995" priority="2522" operator="containsText" text="Met">
      <formula>NOT(ISERROR(SEARCH("Met",BG285)))</formula>
    </cfRule>
    <cfRule type="containsText" dxfId="994" priority="2521" operator="containsText" text="Not Met">
      <formula>NOT(ISERROR(SEARCH("Not Met",BG285)))</formula>
    </cfRule>
    <cfRule type="containsText" dxfId="993" priority="2520" operator="containsText" text="Met">
      <formula>NOT(ISERROR(SEARCH("Met",BG285)))</formula>
    </cfRule>
  </conditionalFormatting>
  <conditionalFormatting sqref="BG286 BI286 BG280:BG284 BI280:BI284">
    <cfRule type="containsText" dxfId="992" priority="2533" operator="containsText" text="Not Met">
      <formula>NOT(ISERROR(SEARCH("Not Met",BG280)))</formula>
    </cfRule>
  </conditionalFormatting>
  <conditionalFormatting sqref="BG287 BI287">
    <cfRule type="containsText" dxfId="991" priority="2530" operator="containsText" text="Met">
      <formula>NOT(ISERROR(SEARCH("Met",BG287)))</formula>
    </cfRule>
    <cfRule type="containsText" dxfId="990" priority="2529" operator="containsText" text="Not Met">
      <formula>NOT(ISERROR(SEARCH("Not Met",BG287)))</formula>
    </cfRule>
    <cfRule type="containsText" dxfId="989" priority="2528" operator="containsText" text="Met">
      <formula>NOT(ISERROR(SEARCH("Met",BG287)))</formula>
    </cfRule>
    <cfRule type="containsText" dxfId="988" priority="2527" operator="containsText" text="Not Met">
      <formula>NOT(ISERROR(SEARCH("Not Met",BG287)))</formula>
    </cfRule>
    <cfRule type="containsText" dxfId="987" priority="2525" operator="containsText" text="Not Met">
      <formula>NOT(ISERROR(SEARCH("Not Met",BG287)))</formula>
    </cfRule>
    <cfRule type="containsText" dxfId="986" priority="2526" operator="containsText" text="Met">
      <formula>NOT(ISERROR(SEARCH("Met",BG287)))</formula>
    </cfRule>
  </conditionalFormatting>
  <conditionalFormatting sqref="BG288:BG294">
    <cfRule type="containsText" dxfId="985" priority="2384" operator="containsText" text="Met">
      <formula>NOT(ISERROR(SEARCH("Met",BG288)))</formula>
    </cfRule>
    <cfRule type="containsText" dxfId="984" priority="2383" operator="containsText" text="Not Met">
      <formula>NOT(ISERROR(SEARCH("Not Met",BG288)))</formula>
    </cfRule>
    <cfRule type="containsText" dxfId="983" priority="2382" operator="containsText" text="Met">
      <formula>NOT(ISERROR(SEARCH("Met",BG288)))</formula>
    </cfRule>
    <cfRule type="containsText" dxfId="982" priority="2381" operator="containsText" text="Not Met">
      <formula>NOT(ISERROR(SEARCH("Not Met",BG288)))</formula>
    </cfRule>
  </conditionalFormatting>
  <conditionalFormatting sqref="BG303:BG314">
    <cfRule type="containsText" dxfId="981" priority="2448" operator="containsText" text="Not Met">
      <formula>NOT(ISERROR(SEARCH("Not Met",BG303)))</formula>
    </cfRule>
    <cfRule type="containsText" dxfId="980" priority="2449" operator="containsText" text="Met">
      <formula>NOT(ISERROR(SEARCH("Met",BG303)))</formula>
    </cfRule>
    <cfRule type="containsText" dxfId="979" priority="2450" operator="containsText" text="Not Met">
      <formula>NOT(ISERROR(SEARCH("Not Met",BG303)))</formula>
    </cfRule>
    <cfRule type="containsText" dxfId="978" priority="2451" operator="containsText" text="Met">
      <formula>NOT(ISERROR(SEARCH("Met",BG303)))</formula>
    </cfRule>
    <cfRule type="containsText" dxfId="977" priority="2446" operator="containsText" text="Not Met">
      <formula>NOT(ISERROR(SEARCH("Not Met",BG303)))</formula>
    </cfRule>
    <cfRule type="containsText" dxfId="976" priority="2447" operator="containsText" text="Met">
      <formula>NOT(ISERROR(SEARCH("Met",BG303)))</formula>
    </cfRule>
  </conditionalFormatting>
  <conditionalFormatting sqref="BG315:BG316 BI315:BI316 BG318:BG322 BI318:BI322">
    <cfRule type="containsText" dxfId="975" priority="2206" operator="containsText" text="Not Met">
      <formula>NOT(ISERROR(SEARCH("Not Met",BG315)))</formula>
    </cfRule>
  </conditionalFormatting>
  <conditionalFormatting sqref="BG315:BG316 BI315:BI316">
    <cfRule type="containsText" dxfId="974" priority="2205" operator="containsText" text="Met">
      <formula>NOT(ISERROR(SEARCH("Met",BG315)))</formula>
    </cfRule>
  </conditionalFormatting>
  <conditionalFormatting sqref="BG318:BG337">
    <cfRule type="containsText" dxfId="973" priority="2123" operator="containsText" text="Met">
      <formula>NOT(ISERROR(SEARCH("Met",BG318)))</formula>
    </cfRule>
  </conditionalFormatting>
  <conditionalFormatting sqref="BG323:BG329">
    <cfRule type="containsText" dxfId="972" priority="2122" operator="containsText" text="Not Met">
      <formula>NOT(ISERROR(SEARCH("Not Met",BG323)))</formula>
    </cfRule>
    <cfRule type="containsText" dxfId="971" priority="2121" operator="containsText" text="Met">
      <formula>NOT(ISERROR(SEARCH("Met",BG323)))</formula>
    </cfRule>
    <cfRule type="containsText" dxfId="970" priority="2120" operator="containsText" text="Not Met">
      <formula>NOT(ISERROR(SEARCH("Not Met",BG323)))</formula>
    </cfRule>
  </conditionalFormatting>
  <conditionalFormatting sqref="BG337">
    <cfRule type="containsText" dxfId="969" priority="2227" operator="containsText" text="Not Met">
      <formula>NOT(ISERROR(SEARCH("Not Met",BG337)))</formula>
    </cfRule>
  </conditionalFormatting>
  <conditionalFormatting sqref="BG338:BG340 BI338:BI345 BG342 BG344:BG345">
    <cfRule type="containsText" dxfId="968" priority="2494" operator="containsText" text="Met">
      <formula>NOT(ISERROR(SEARCH("Met",BG338)))</formula>
    </cfRule>
    <cfRule type="containsText" dxfId="967" priority="2492" operator="containsText" text="Met">
      <formula>NOT(ISERROR(SEARCH("Met",BG338)))</formula>
    </cfRule>
  </conditionalFormatting>
  <conditionalFormatting sqref="BG341 BG343 BI341 BI343">
    <cfRule type="containsText" dxfId="966" priority="2515" operator="containsText" text="Not Met">
      <formula>NOT(ISERROR(SEARCH("Not Met",BG341)))</formula>
    </cfRule>
  </conditionalFormatting>
  <conditionalFormatting sqref="BG341 BI341 BG343 BI343">
    <cfRule type="containsText" dxfId="965" priority="2516" operator="containsText" text="Met">
      <formula>NOT(ISERROR(SEARCH("Met",BG341)))</formula>
    </cfRule>
  </conditionalFormatting>
  <conditionalFormatting sqref="BG353:BG363 BI353:BI363">
    <cfRule type="containsText" dxfId="964" priority="2079" operator="containsText" text="Met">
      <formula>NOT(ISERROR(SEARCH("Met",BG353)))</formula>
    </cfRule>
    <cfRule type="containsText" dxfId="963" priority="2078" operator="containsText" text="Not Met">
      <formula>NOT(ISERROR(SEARCH("Not Met",BG353)))</formula>
    </cfRule>
  </conditionalFormatting>
  <conditionalFormatting sqref="BG364:BG368 BG405:BG410 BG370:BG403">
    <cfRule type="containsText" dxfId="962" priority="2045" operator="containsText" text="Met">
      <formula>NOT(ISERROR(SEARCH("Met",BG364)))</formula>
    </cfRule>
  </conditionalFormatting>
  <conditionalFormatting sqref="BG364:BG368 BG405:BG410">
    <cfRule type="containsText" dxfId="961" priority="2044" operator="containsText" text="Not Met">
      <formula>NOT(ISERROR(SEARCH("Not Met",BG364)))</formula>
    </cfRule>
  </conditionalFormatting>
  <conditionalFormatting sqref="BG367:BG368 BG370 BG374:BG375 BG377 BG381:BG382 BG388:BG389 BG391 BG395:BG396 BG398 BG402:BG403 BG409:BG410 BG412">
    <cfRule type="containsText" dxfId="960" priority="2051" operator="containsText" text="Met">
      <formula>NOT(ISERROR(SEARCH("Met",BG367)))</formula>
    </cfRule>
  </conditionalFormatting>
  <conditionalFormatting sqref="BG370:BG403">
    <cfRule type="containsText" dxfId="959" priority="2043" operator="containsText" text="Not Met">
      <formula>NOT(ISERROR(SEARCH("Not Met",BG370)))</formula>
    </cfRule>
  </conditionalFormatting>
  <conditionalFormatting sqref="BG412 BG367:BG368 BG370 BG374:BG375 BG377 BG381:BG382 BG388:BG389 BG391 BG395:BG396 BG398 BG402:BG403 BG409:BG410">
    <cfRule type="containsText" dxfId="958" priority="2050" operator="containsText" text="Not Met">
      <formula>NOT(ISERROR(SEARCH("Not Met",BG367)))</formula>
    </cfRule>
  </conditionalFormatting>
  <conditionalFormatting sqref="BG412">
    <cfRule type="containsText" dxfId="957" priority="2049" operator="containsText" text="Met">
      <formula>NOT(ISERROR(SEARCH("Met",BG412)))</formula>
    </cfRule>
    <cfRule type="containsText" dxfId="956" priority="2048" operator="containsText" text="Not Met">
      <formula>NOT(ISERROR(SEARCH("Not Met",BG412)))</formula>
    </cfRule>
  </conditionalFormatting>
  <conditionalFormatting sqref="BG413:BG420 BI413:BI420">
    <cfRule type="containsText" dxfId="955" priority="2463" operator="containsText" text="Met">
      <formula>NOT(ISERROR(SEARCH("Met",BG413)))</formula>
    </cfRule>
    <cfRule type="containsText" dxfId="954" priority="2462" operator="containsText" text="Not Met">
      <formula>NOT(ISERROR(SEARCH("Not Met",BG413)))</formula>
    </cfRule>
  </conditionalFormatting>
  <conditionalFormatting sqref="BG414:BG417 BG419:BG420 BI419:BI420 BI414:BI417">
    <cfRule type="containsText" dxfId="953" priority="2452" operator="containsText" text="Not Met">
      <formula>NOT(ISERROR(SEARCH("Not Met",BG414)))</formula>
    </cfRule>
    <cfRule type="containsText" dxfId="952" priority="2454" operator="containsText" text="Not Met">
      <formula>NOT(ISERROR(SEARCH("Not Met",BG414)))</formula>
    </cfRule>
  </conditionalFormatting>
  <conditionalFormatting sqref="BG414:BG417 BI414:BI417 BG419:BG420 BI419:BI420">
    <cfRule type="containsText" dxfId="951" priority="2455" operator="containsText" text="Met">
      <formula>NOT(ISERROR(SEARCH("Met",BG414)))</formula>
    </cfRule>
    <cfRule type="containsText" dxfId="950" priority="2453" operator="containsText" text="Met">
      <formula>NOT(ISERROR(SEARCH("Met",BG414)))</formula>
    </cfRule>
  </conditionalFormatting>
  <conditionalFormatting sqref="BG421:BG422 BG424:BG426 BI424:BI426 BI421:BI422">
    <cfRule type="containsText" dxfId="949" priority="2438" operator="containsText" text="Not Met">
      <formula>NOT(ISERROR(SEARCH("Not Met",BG421)))</formula>
    </cfRule>
  </conditionalFormatting>
  <conditionalFormatting sqref="BG421:BG422 BI421:BI422 BG424:BG426 BI424:BI426">
    <cfRule type="containsText" dxfId="948" priority="2439" operator="containsText" text="Met">
      <formula>NOT(ISERROR(SEARCH("Met",BG421)))</formula>
    </cfRule>
  </conditionalFormatting>
  <conditionalFormatting sqref="BG423 BI423">
    <cfRule type="containsText" dxfId="947" priority="2425" operator="containsText" text="Not Met">
      <formula>NOT(ISERROR(SEARCH("Not Met",BG423)))</formula>
    </cfRule>
    <cfRule type="containsText" dxfId="946" priority="2428" operator="containsText" text="Met">
      <formula>NOT(ISERROR(SEARCH("Met",BG423)))</formula>
    </cfRule>
    <cfRule type="containsText" dxfId="945" priority="2427" operator="containsText" text="Not Met">
      <formula>NOT(ISERROR(SEARCH("Not Met",BG423)))</formula>
    </cfRule>
    <cfRule type="containsText" dxfId="944" priority="2426" operator="containsText" text="Met">
      <formula>NOT(ISERROR(SEARCH("Met",BG423)))</formula>
    </cfRule>
  </conditionalFormatting>
  <conditionalFormatting sqref="BG436:BG443 BI436:BI443">
    <cfRule type="containsText" dxfId="943" priority="2371" operator="containsText" text="Not Met">
      <formula>NOT(ISERROR(SEARCH("Not Met",BG436)))</formula>
    </cfRule>
  </conditionalFormatting>
  <conditionalFormatting sqref="BG436:BG452">
    <cfRule type="containsText" dxfId="942" priority="735" operator="containsText" text="Met">
      <formula>NOT(ISERROR(SEARCH("Met",BG436)))</formula>
    </cfRule>
  </conditionalFormatting>
  <conditionalFormatting sqref="BG444:BG452">
    <cfRule type="containsText" dxfId="941" priority="734" operator="containsText" text="Not Met">
      <formula>NOT(ISERROR(SEARCH("Not Met",BG444)))</formula>
    </cfRule>
  </conditionalFormatting>
  <conditionalFormatting sqref="BG453">
    <cfRule type="containsText" dxfId="940" priority="727" operator="containsText" text="Not Met">
      <formula>NOT(ISERROR(SEARCH("Not Met",BG453)))</formula>
    </cfRule>
    <cfRule type="containsText" dxfId="939" priority="728" operator="containsText" text="Not Met">
      <formula>NOT(ISERROR(SEARCH("Not Met",BG453)))</formula>
    </cfRule>
    <cfRule type="containsText" dxfId="938" priority="729" operator="containsText" text="Met">
      <formula>NOT(ISERROR(SEARCH("Met",BG453)))</formula>
    </cfRule>
  </conditionalFormatting>
  <conditionalFormatting sqref="BG454 BI454">
    <cfRule type="containsText" dxfId="937" priority="736" operator="containsText" text="Not Met">
      <formula>NOT(ISERROR(SEARCH("Not Met",BG454)))</formula>
    </cfRule>
    <cfRule type="containsText" dxfId="936" priority="737" operator="containsText" text="Met">
      <formula>NOT(ISERROR(SEARCH("Met",BG454)))</formula>
    </cfRule>
    <cfRule type="containsText" dxfId="935" priority="738" operator="containsText" text="Not Met">
      <formula>NOT(ISERROR(SEARCH("Not Met",BG454)))</formula>
    </cfRule>
    <cfRule type="containsText" dxfId="934" priority="739" operator="containsText" text="Met">
      <formula>NOT(ISERROR(SEARCH("Met",BG454)))</formula>
    </cfRule>
  </conditionalFormatting>
  <conditionalFormatting sqref="BG455:BG457 BI455:BI457">
    <cfRule type="containsText" dxfId="933" priority="742" operator="containsText" text="Not Met">
      <formula>NOT(ISERROR(SEARCH("Not Met",BG455)))</formula>
    </cfRule>
    <cfRule type="containsText" dxfId="932" priority="743" operator="containsText" text="Met">
      <formula>NOT(ISERROR(SEARCH("Met",BG455)))</formula>
    </cfRule>
  </conditionalFormatting>
  <conditionalFormatting sqref="BG70:BI70 BG71 BI71 BH78 BH80 BH85:BH86 BH88 BH105:BH107 BH111:BH112 BH160 BH169 BH282 BH316 BH318:BH322 BH334:BH335 BH337:BH340 BH342 BH344:BH345 BH360:BH361 BH363 BH366 BH371:BH372 BH380 BH386 BH393:BH394 BH396 BH406:BH407 BH423 BH436 BH441">
    <cfRule type="containsText" dxfId="931" priority="2066" operator="containsText" text="Not Met">
      <formula>NOT(ISERROR(SEARCH("Not Met",BG70)))</formula>
    </cfRule>
    <cfRule type="containsText" dxfId="930" priority="2067" operator="containsText" text="Met">
      <formula>NOT(ISERROR(SEARCH("Met",BG70)))</formula>
    </cfRule>
    <cfRule type="containsText" dxfId="929" priority="2060" operator="containsText" text="Not Met">
      <formula>NOT(ISERROR(SEARCH("Not Met",BG70)))</formula>
    </cfRule>
    <cfRule type="containsText" dxfId="928" priority="2061" operator="containsText" text="Met">
      <formula>NOT(ISERROR(SEARCH("Met",BG70)))</formula>
    </cfRule>
  </conditionalFormatting>
  <conditionalFormatting sqref="BG458:BJ485">
    <cfRule type="containsText" dxfId="927" priority="1649" operator="containsText" text="Met">
      <formula>NOT(ISERROR(SEARCH("Met",BG458)))</formula>
    </cfRule>
    <cfRule type="containsText" dxfId="926" priority="1648" operator="containsText" text="Not Met">
      <formula>NOT(ISERROR(SEARCH("Not Met",BG458)))</formula>
    </cfRule>
    <cfRule type="containsText" dxfId="925" priority="1647" operator="containsText" text="Met">
      <formula>NOT(ISERROR(SEARCH("Met",BG458)))</formula>
    </cfRule>
    <cfRule type="containsText" dxfId="924" priority="1646" operator="containsText" text="Not Met">
      <formula>NOT(ISERROR(SEARCH("Not Met",BG458)))</formula>
    </cfRule>
  </conditionalFormatting>
  <conditionalFormatting sqref="BH375">
    <cfRule type="containsText" dxfId="923" priority="2030" operator="containsText" text="Met">
      <formula>NOT(ISERROR(SEARCH("Met",BH375)))</formula>
    </cfRule>
    <cfRule type="containsText" dxfId="922" priority="2032" operator="containsText" text="Met">
      <formula>NOT(ISERROR(SEARCH("Met",BH375)))</formula>
    </cfRule>
    <cfRule type="containsText" dxfId="921" priority="2031" operator="containsText" text="Not Met">
      <formula>NOT(ISERROR(SEARCH("Not Met",BH375)))</formula>
    </cfRule>
    <cfRule type="containsText" dxfId="920" priority="2029" operator="containsText" text="Not Met">
      <formula>NOT(ISERROR(SEARCH("Not Met",BH375)))</formula>
    </cfRule>
  </conditionalFormatting>
  <conditionalFormatting sqref="BH444:BH445 BH449 BH454">
    <cfRule type="containsText" dxfId="919" priority="715" operator="containsText" text="Not Met">
      <formula>NOT(ISERROR(SEARCH("Not Met",BH444)))</formula>
    </cfRule>
    <cfRule type="containsText" dxfId="918" priority="716" operator="containsText" text="Met">
      <formula>NOT(ISERROR(SEARCH("Met",BH444)))</formula>
    </cfRule>
    <cfRule type="containsText" dxfId="917" priority="717" operator="containsText" text="Not Met">
      <formula>NOT(ISERROR(SEARCH("Not Met",BH444)))</formula>
    </cfRule>
    <cfRule type="containsText" dxfId="916" priority="718" operator="containsText" text="Met">
      <formula>NOT(ISERROR(SEARCH("Met",BH444)))</formula>
    </cfRule>
  </conditionalFormatting>
  <conditionalFormatting sqref="BI2:BI5">
    <cfRule type="containsText" dxfId="915" priority="2125" operator="containsText" text="Met">
      <formula>NOT(ISERROR(SEARCH("Met",BI2)))</formula>
    </cfRule>
    <cfRule type="containsText" dxfId="914" priority="2124" operator="containsText" text="Not Met">
      <formula>NOT(ISERROR(SEARCH("Not Met",BI2)))</formula>
    </cfRule>
  </conditionalFormatting>
  <conditionalFormatting sqref="BI5:BI6">
    <cfRule type="containsText" dxfId="913" priority="2127" operator="containsText" text="Met">
      <formula>NOT(ISERROR(SEARCH("Met",BI5)))</formula>
    </cfRule>
    <cfRule type="containsText" dxfId="912" priority="2126" operator="containsText" text="Not Met">
      <formula>NOT(ISERROR(SEARCH("Not Met",BI5)))</formula>
    </cfRule>
  </conditionalFormatting>
  <conditionalFormatting sqref="BI7:BI10 BG7:BG15 BI12:BI15">
    <cfRule type="containsText" dxfId="911" priority="2361" operator="containsText" text="Met">
      <formula>NOT(ISERROR(SEARCH("Met",BG7)))</formula>
    </cfRule>
  </conditionalFormatting>
  <conditionalFormatting sqref="BI49:BI50 BI52:BI53">
    <cfRule type="containsText" dxfId="910" priority="2104" operator="containsText" text="Not Met">
      <formula>NOT(ISERROR(SEARCH("Not Met",BI49)))</formula>
    </cfRule>
    <cfRule type="containsText" dxfId="909" priority="2105" operator="containsText" text="Met">
      <formula>NOT(ISERROR(SEARCH("Met",BI49)))</formula>
    </cfRule>
  </conditionalFormatting>
  <conditionalFormatting sqref="BI51">
    <cfRule type="containsText" dxfId="908" priority="2109" operator="containsText" text="Met">
      <formula>NOT(ISERROR(SEARCH("Met",BI51)))</formula>
    </cfRule>
    <cfRule type="containsText" dxfId="907" priority="2108" operator="containsText" text="Not Met">
      <formula>NOT(ISERROR(SEARCH("Not Met",BI51)))</formula>
    </cfRule>
    <cfRule type="containsText" dxfId="906" priority="2107" operator="containsText" text="Met">
      <formula>NOT(ISERROR(SEARCH("Met",BI51)))</formula>
    </cfRule>
    <cfRule type="containsText" dxfId="905" priority="2106" operator="containsText" text="Not Met">
      <formula>NOT(ISERROR(SEARCH("Not Met",BI51)))</formula>
    </cfRule>
  </conditionalFormatting>
  <conditionalFormatting sqref="BI78:BI83">
    <cfRule type="containsText" dxfId="904" priority="2088" operator="containsText" text="Not met">
      <formula>NOT(ISERROR(SEARCH("Not met",BI78)))</formula>
    </cfRule>
  </conditionalFormatting>
  <conditionalFormatting sqref="BI84:BI85">
    <cfRule type="containsText" dxfId="903" priority="2087" operator="containsText" text="Not met">
      <formula>NOT(ISERROR(SEARCH("Not met",BI84)))</formula>
    </cfRule>
  </conditionalFormatting>
  <conditionalFormatting sqref="BI86:BI87">
    <cfRule type="containsText" dxfId="902" priority="2086" operator="containsText" text="Not met">
      <formula>NOT(ISERROR(SEARCH("Not met",BI86)))</formula>
    </cfRule>
  </conditionalFormatting>
  <conditionalFormatting sqref="BI88">
    <cfRule type="containsText" dxfId="901" priority="2085" operator="containsText" text="Not met">
      <formula>NOT(ISERROR(SEARCH("Not met",BI88)))</formula>
    </cfRule>
  </conditionalFormatting>
  <conditionalFormatting sqref="BI89">
    <cfRule type="containsText" dxfId="900" priority="2084" operator="containsText" text="Not met">
      <formula>NOT(ISERROR(SEARCH("Not met",BI89)))</formula>
    </cfRule>
  </conditionalFormatting>
  <conditionalFormatting sqref="BI105:BI112">
    <cfRule type="containsText" dxfId="899" priority="2173" operator="containsText" text="Met">
      <formula>NOT(ISERROR(SEARCH("Met",BI105)))</formula>
    </cfRule>
    <cfRule type="containsText" dxfId="898" priority="2171" operator="containsText" text="Met">
      <formula>NOT(ISERROR(SEARCH("Met",BI105)))</formula>
    </cfRule>
    <cfRule type="containsText" dxfId="897" priority="2172" operator="containsText" text="Not Met">
      <formula>NOT(ISERROR(SEARCH("Not Met",BI105)))</formula>
    </cfRule>
    <cfRule type="containsText" dxfId="896" priority="2170" operator="containsText" text="Not Met">
      <formula>NOT(ISERROR(SEARCH("Not Met",BI105)))</formula>
    </cfRule>
  </conditionalFormatting>
  <conditionalFormatting sqref="BI113">
    <cfRule type="containsText" dxfId="895" priority="1900" operator="containsText" text="Met">
      <formula>NOT(ISERROR(SEARCH("Met",BI113)))</formula>
    </cfRule>
    <cfRule type="containsText" dxfId="894" priority="1899" operator="containsText" text="Not Met">
      <formula>NOT(ISERROR(SEARCH("Not Met",BI113)))</formula>
    </cfRule>
  </conditionalFormatting>
  <conditionalFormatting sqref="BI118:BI123">
    <cfRule type="containsText" dxfId="893" priority="1887" operator="containsText" text="Not Met">
      <formula>NOT(ISERROR(SEARCH("Not Met",BI118)))</formula>
    </cfRule>
    <cfRule type="containsText" dxfId="892" priority="1888" operator="containsText" text="Met">
      <formula>NOT(ISERROR(SEARCH("Met",BI118)))</formula>
    </cfRule>
  </conditionalFormatting>
  <conditionalFormatting sqref="BI124">
    <cfRule type="containsText" dxfId="891" priority="1931" operator="containsText" text="Not Met">
      <formula>NOT(ISERROR(SEARCH("Not Met",BI124)))</formula>
    </cfRule>
  </conditionalFormatting>
  <conditionalFormatting sqref="BI124:BI126">
    <cfRule type="containsText" dxfId="890" priority="1932" operator="containsText" text="Met">
      <formula>NOT(ISERROR(SEARCH("Met",BI124)))</formula>
    </cfRule>
  </conditionalFormatting>
  <conditionalFormatting sqref="BI125:BI126">
    <cfRule type="containsText" dxfId="889" priority="1933" operator="containsText" text="Not Met">
      <formula>NOT(ISERROR(SEARCH("Not Met",BI125)))</formula>
    </cfRule>
  </conditionalFormatting>
  <conditionalFormatting sqref="BI128">
    <cfRule type="containsText" dxfId="888" priority="1934" operator="containsText" text="Not Met">
      <formula>NOT(ISERROR(SEARCH("Not Met",BI128)))</formula>
    </cfRule>
    <cfRule type="containsText" dxfId="887" priority="1935" operator="containsText" text="Met">
      <formula>NOT(ISERROR(SEARCH("Met",BI128)))</formula>
    </cfRule>
  </conditionalFormatting>
  <conditionalFormatting sqref="BI129:BI134">
    <cfRule type="containsText" dxfId="886" priority="1925" operator="containsText" text="Not Met">
      <formula>NOT(ISERROR(SEARCH("Not Met",BI129)))</formula>
    </cfRule>
    <cfRule type="containsText" dxfId="885" priority="1926" operator="containsText" text="Met">
      <formula>NOT(ISERROR(SEARCH("Met",BI129)))</formula>
    </cfRule>
  </conditionalFormatting>
  <conditionalFormatting sqref="BI135:BI146">
    <cfRule type="containsText" dxfId="884" priority="2413" operator="containsText" text="Not Met">
      <formula>NOT(ISERROR(SEARCH("Not Met",BI135)))</formula>
    </cfRule>
    <cfRule type="containsText" dxfId="883" priority="2415" operator="containsText" text="Not Met">
      <formula>NOT(ISERROR(SEARCH("Not Met",BI135)))</formula>
    </cfRule>
    <cfRule type="containsText" dxfId="882" priority="2414" operator="containsText" text="Met">
      <formula>NOT(ISERROR(SEARCH("Met",BI135)))</formula>
    </cfRule>
    <cfRule type="containsText" dxfId="881" priority="2416" operator="containsText" text="Met">
      <formula>NOT(ISERROR(SEARCH("Met",BI135)))</formula>
    </cfRule>
  </conditionalFormatting>
  <conditionalFormatting sqref="BI173">
    <cfRule type="containsText" dxfId="880" priority="1916" operator="containsText" text="Met">
      <formula>NOT(ISERROR(SEARCH("Met",BI173)))</formula>
    </cfRule>
    <cfRule type="containsText" dxfId="879" priority="1915" operator="containsText" text="Not Met">
      <formula>NOT(ISERROR(SEARCH("Not Met",BI173)))</formula>
    </cfRule>
  </conditionalFormatting>
  <conditionalFormatting sqref="BI176:BI181">
    <cfRule type="containsText" dxfId="878" priority="1908" operator="containsText" text="Met">
      <formula>NOT(ISERROR(SEARCH("Met",BI176)))</formula>
    </cfRule>
    <cfRule type="containsText" dxfId="877" priority="1907" operator="containsText" text="Not Met">
      <formula>NOT(ISERROR(SEARCH("Not Met",BI176)))</formula>
    </cfRule>
  </conditionalFormatting>
  <conditionalFormatting sqref="BI182:BI211">
    <cfRule type="containsText" dxfId="876" priority="2268" operator="containsText" text="Met">
      <formula>NOT(ISERROR(SEARCH("Met",BI182)))</formula>
    </cfRule>
  </conditionalFormatting>
  <conditionalFormatting sqref="BI186:BI187">
    <cfRule type="containsText" dxfId="875" priority="2264" operator="containsText" text="Met">
      <formula>NOT(ISERROR(SEARCH("Met",BI186)))</formula>
    </cfRule>
    <cfRule type="containsText" dxfId="874" priority="2254" operator="containsText" text="Met">
      <formula>NOT(ISERROR(SEARCH("Met",BI186)))</formula>
    </cfRule>
    <cfRule type="containsText" dxfId="873" priority="2253" operator="containsText" text="Not Met">
      <formula>NOT(ISERROR(SEARCH("Not Met",BI186)))</formula>
    </cfRule>
    <cfRule type="containsText" dxfId="872" priority="2265" operator="containsText" text="Not Met">
      <formula>NOT(ISERROR(SEARCH("Not Met",BI186)))</formula>
    </cfRule>
    <cfRule type="containsText" dxfId="871" priority="2266" operator="containsText" text="Met">
      <formula>NOT(ISERROR(SEARCH("Met",BI186)))</formula>
    </cfRule>
    <cfRule type="containsText" dxfId="870" priority="2267" operator="containsText" text="Not Met">
      <formula>NOT(ISERROR(SEARCH("Not Met",BI186)))</formula>
    </cfRule>
    <cfRule type="containsText" dxfId="869" priority="2262" operator="containsText" text="Met">
      <formula>NOT(ISERROR(SEARCH("Met",BI186)))</formula>
    </cfRule>
    <cfRule type="containsText" dxfId="868" priority="2261" operator="containsText" text="Not Met">
      <formula>NOT(ISERROR(SEARCH("Not Met",BI186)))</formula>
    </cfRule>
    <cfRule type="containsText" dxfId="867" priority="2260" operator="containsText" text="Met">
      <formula>NOT(ISERROR(SEARCH("Met",BI186)))</formula>
    </cfRule>
    <cfRule type="containsText" dxfId="866" priority="2263" operator="containsText" text="Not Met">
      <formula>NOT(ISERROR(SEARCH("Not Met",BI186)))</formula>
    </cfRule>
    <cfRule type="containsText" dxfId="865" priority="2259" operator="containsText" text="Not Met">
      <formula>NOT(ISERROR(SEARCH("Not Met",BI186)))</formula>
    </cfRule>
    <cfRule type="containsText" dxfId="864" priority="2258" operator="containsText" text="Met">
      <formula>NOT(ISERROR(SEARCH("Met",BI186)))</formula>
    </cfRule>
    <cfRule type="containsText" dxfId="863" priority="2257" operator="containsText" text="Not Met">
      <formula>NOT(ISERROR(SEARCH("Not Met",BI186)))</formula>
    </cfRule>
    <cfRule type="containsText" dxfId="862" priority="2256" operator="containsText" text="Met">
      <formula>NOT(ISERROR(SEARCH("Met",BI186)))</formula>
    </cfRule>
    <cfRule type="containsText" dxfId="861" priority="2255" operator="containsText" text="Not Met">
      <formula>NOT(ISERROR(SEARCH("Not Met",BI186)))</formula>
    </cfRule>
  </conditionalFormatting>
  <conditionalFormatting sqref="BI190:BI191">
    <cfRule type="containsText" dxfId="860" priority="2345" operator="containsText" text="Not Met">
      <formula>NOT(ISERROR(SEARCH("Not Met",BI190)))</formula>
    </cfRule>
  </conditionalFormatting>
  <conditionalFormatting sqref="BI212:BI228">
    <cfRule type="containsText" dxfId="859" priority="2408" operator="containsText" text="Met">
      <formula>NOT(ISERROR(SEARCH("Met",BI212)))</formula>
    </cfRule>
    <cfRule type="containsText" dxfId="858" priority="2407" operator="containsText" text="Not Met">
      <formula>NOT(ISERROR(SEARCH("Not Met",BI212)))</formula>
    </cfRule>
    <cfRule type="containsText" dxfId="857" priority="2406" operator="containsText" text="Met">
      <formula>NOT(ISERROR(SEARCH("Met",BI212)))</formula>
    </cfRule>
    <cfRule type="containsText" dxfId="856" priority="2405" operator="containsText" text="Not Met">
      <formula>NOT(ISERROR(SEARCH("Not Met",BI212)))</formula>
    </cfRule>
  </conditionalFormatting>
  <conditionalFormatting sqref="BI273:BI279">
    <cfRule type="containsText" dxfId="855" priority="2387" operator="containsText" text="Not Met">
      <formula>NOT(ISERROR(SEARCH("Not Met",BI273)))</formula>
    </cfRule>
    <cfRule type="containsText" dxfId="854" priority="2388" operator="containsText" text="Met">
      <formula>NOT(ISERROR(SEARCH("Met",BI273)))</formula>
    </cfRule>
    <cfRule type="containsText" dxfId="853" priority="2385" operator="containsText" text="Not Met">
      <formula>NOT(ISERROR(SEARCH("Not Met",BI273)))</formula>
    </cfRule>
    <cfRule type="containsText" dxfId="852" priority="2386" operator="containsText" text="Met">
      <formula>NOT(ISERROR(SEARCH("Met",BI273)))</formula>
    </cfRule>
  </conditionalFormatting>
  <conditionalFormatting sqref="BI288:BI294">
    <cfRule type="containsText" dxfId="851" priority="2377" operator="containsText" text="Not Met">
      <formula>NOT(ISERROR(SEARCH("Not Met",BI288)))</formula>
    </cfRule>
    <cfRule type="containsText" dxfId="850" priority="2378" operator="containsText" text="Met">
      <formula>NOT(ISERROR(SEARCH("Met",BI288)))</formula>
    </cfRule>
    <cfRule type="containsText" dxfId="849" priority="2379" operator="containsText" text="Not Met">
      <formula>NOT(ISERROR(SEARCH("Not Met",BI288)))</formula>
    </cfRule>
    <cfRule type="containsText" dxfId="848" priority="2380" operator="containsText" text="Met">
      <formula>NOT(ISERROR(SEARCH("Met",BI288)))</formula>
    </cfRule>
  </conditionalFormatting>
  <conditionalFormatting sqref="BI303:BI314">
    <cfRule type="containsText" dxfId="847" priority="2442" operator="containsText" text="Not Met">
      <formula>NOT(ISERROR(SEARCH("Not Met",BI303)))</formula>
    </cfRule>
    <cfRule type="containsText" dxfId="846" priority="2441" operator="containsText" text="Met">
      <formula>NOT(ISERROR(SEARCH("Met",BI303)))</formula>
    </cfRule>
    <cfRule type="containsText" dxfId="845" priority="2440" operator="containsText" text="Not Met">
      <formula>NOT(ISERROR(SEARCH("Not Met",BI303)))</formula>
    </cfRule>
    <cfRule type="containsText" dxfId="844" priority="2445" operator="containsText" text="Met">
      <formula>NOT(ISERROR(SEARCH("Met",BI303)))</formula>
    </cfRule>
    <cfRule type="containsText" dxfId="843" priority="2444" operator="containsText" text="Not Met">
      <formula>NOT(ISERROR(SEARCH("Not Met",BI303)))</formula>
    </cfRule>
    <cfRule type="containsText" dxfId="842" priority="2443" operator="containsText" text="Met">
      <formula>NOT(ISERROR(SEARCH("Met",BI303)))</formula>
    </cfRule>
  </conditionalFormatting>
  <conditionalFormatting sqref="BI318:BI331">
    <cfRule type="containsText" dxfId="841" priority="2119" operator="containsText" text="Met">
      <formula>NOT(ISERROR(SEARCH("Met",BI318)))</formula>
    </cfRule>
  </conditionalFormatting>
  <conditionalFormatting sqref="BI323:BI329">
    <cfRule type="containsText" dxfId="840" priority="2117" operator="containsText" text="Met">
      <formula>NOT(ISERROR(SEARCH("Met",BI323)))</formula>
    </cfRule>
    <cfRule type="containsText" dxfId="839" priority="2116" operator="containsText" text="Not Met">
      <formula>NOT(ISERROR(SEARCH("Not Met",BI323)))</formula>
    </cfRule>
    <cfRule type="containsText" dxfId="838" priority="2118" operator="containsText" text="Not Met">
      <formula>NOT(ISERROR(SEARCH("Not Met",BI323)))</formula>
    </cfRule>
  </conditionalFormatting>
  <conditionalFormatting sqref="BI330:BI337 BG332 BG336">
    <cfRule type="containsText" dxfId="837" priority="2240" operator="containsText" text="Not Met">
      <formula>NOT(ISERROR(SEARCH("Not Met",BG330)))</formula>
    </cfRule>
  </conditionalFormatting>
  <conditionalFormatting sqref="BI330:BI337">
    <cfRule type="containsText" dxfId="836" priority="2230" operator="containsText" text="Met">
      <formula>NOT(ISERROR(SEARCH("Met",BI330)))</formula>
    </cfRule>
  </conditionalFormatting>
  <conditionalFormatting sqref="BI333:BI335">
    <cfRule type="containsText" dxfId="835" priority="2228" operator="containsText" text="Met">
      <formula>NOT(ISERROR(SEARCH("Met",BI333)))</formula>
    </cfRule>
  </conditionalFormatting>
  <conditionalFormatting sqref="BI337 BG330:BG331 BI330:BI331 BG333:BG335 BI333:BI335">
    <cfRule type="containsText" dxfId="834" priority="2229" operator="containsText" text="Not Met">
      <formula>NOT(ISERROR(SEARCH("Not Met",BG330)))</formula>
    </cfRule>
  </conditionalFormatting>
  <conditionalFormatting sqref="BI337">
    <cfRule type="containsText" dxfId="833" priority="2218" operator="containsText" text="Met">
      <formula>NOT(ISERROR(SEARCH("Met",BI337)))</formula>
    </cfRule>
  </conditionalFormatting>
  <conditionalFormatting sqref="BI338:BI345 BG338:BG340 BG342 BG344:BG345">
    <cfRule type="containsText" dxfId="832" priority="2493" operator="containsText" text="Not Met">
      <formula>NOT(ISERROR(SEARCH("Not Met",BG338)))</formula>
    </cfRule>
    <cfRule type="containsText" dxfId="831" priority="2491" operator="containsText" text="Not Met">
      <formula>NOT(ISERROR(SEARCH("Not Met",BG338)))</formula>
    </cfRule>
  </conditionalFormatting>
  <conditionalFormatting sqref="BI436:BI452">
    <cfRule type="containsText" dxfId="830" priority="733" operator="containsText" text="Met">
      <formula>NOT(ISERROR(SEARCH("Met",BI436)))</formula>
    </cfRule>
  </conditionalFormatting>
  <conditionalFormatting sqref="BI444:BI452">
    <cfRule type="containsText" dxfId="829" priority="732" operator="containsText" text="Not Met">
      <formula>NOT(ISERROR(SEARCH("Not Met",BI444)))</formula>
    </cfRule>
  </conditionalFormatting>
  <conditionalFormatting sqref="BI453">
    <cfRule type="containsText" dxfId="828" priority="726" operator="containsText" text="Met">
      <formula>NOT(ISERROR(SEARCH("Met",BI453)))</formula>
    </cfRule>
    <cfRule type="containsText" dxfId="827" priority="725" operator="containsText" text="Not Met">
      <formula>NOT(ISERROR(SEARCH("Not Met",BI453)))</formula>
    </cfRule>
    <cfRule type="containsText" dxfId="826" priority="724" operator="containsText" text="Not Met">
      <formula>NOT(ISERROR(SEARCH("Not Met",BI453)))</formula>
    </cfRule>
  </conditionalFormatting>
  <conditionalFormatting sqref="BJ78 BJ80 BJ85:BJ86 BJ88 BJ160 BJ169 BJ185 BJ188 BJ282 BJ421 BJ423">
    <cfRule type="containsText" dxfId="825" priority="2096" operator="containsText" text="Not Met">
      <formula>NOT(ISERROR(SEARCH("Not Met",BJ78)))</formula>
    </cfRule>
    <cfRule type="containsText" dxfId="824" priority="2097" operator="containsText" text="Met">
      <formula>NOT(ISERROR(SEARCH("Met",BJ78)))</formula>
    </cfRule>
  </conditionalFormatting>
  <conditionalFormatting sqref="BJ444:BJ445 BJ451 BJ454">
    <cfRule type="containsText" dxfId="823" priority="720" operator="containsText" text="Met">
      <formula>NOT(ISERROR(SEARCH("Met",BJ444)))</formula>
    </cfRule>
    <cfRule type="containsText" dxfId="822" priority="719" operator="containsText" text="Not Met">
      <formula>NOT(ISERROR(SEARCH("Not Met",BJ444)))</formula>
    </cfRule>
  </conditionalFormatting>
  <conditionalFormatting sqref="BK444:BK457">
    <cfRule type="containsText" dxfId="821" priority="714" operator="containsText" text="Met">
      <formula>NOT(ISERROR(SEARCH("Met",BK444)))</formula>
    </cfRule>
    <cfRule type="containsText" dxfId="820" priority="713" operator="containsText" text="Not Met">
      <formula>NOT(ISERROR(SEARCH("Not Met",BK444)))</formula>
    </cfRule>
    <cfRule type="containsText" dxfId="819" priority="712" operator="containsText" text="Met">
      <formula>NOT(ISERROR(SEARCH("Met",BK444)))</formula>
    </cfRule>
    <cfRule type="containsText" dxfId="818" priority="711" operator="containsText" text="Not Met">
      <formula>NOT(ISERROR(SEARCH("Not Met",BK444)))</formula>
    </cfRule>
  </conditionalFormatting>
  <conditionalFormatting sqref="BM2:BM5">
    <cfRule type="containsText" dxfId="817" priority="1306" operator="containsText" text="Not Met">
      <formula>NOT(ISERROR(SEARCH("Not Met",BM2)))</formula>
    </cfRule>
    <cfRule type="containsText" dxfId="816" priority="1307" operator="containsText" text="Met">
      <formula>NOT(ISERROR(SEARCH("Met",BM2)))</formula>
    </cfRule>
  </conditionalFormatting>
  <conditionalFormatting sqref="BM5:BM6">
    <cfRule type="containsText" dxfId="815" priority="1309" operator="containsText" text="Met">
      <formula>NOT(ISERROR(SEARCH("Met",BM5)))</formula>
    </cfRule>
    <cfRule type="containsText" dxfId="814" priority="1308" operator="containsText" text="Not Met">
      <formula>NOT(ISERROR(SEARCH("Not Met",BM5)))</formula>
    </cfRule>
  </conditionalFormatting>
  <conditionalFormatting sqref="BM7:BM10 BM12">
    <cfRule type="containsText" dxfId="813" priority="1289" operator="containsText" text="Met">
      <formula>NOT(ISERROR(SEARCH("Met",BM7)))</formula>
    </cfRule>
  </conditionalFormatting>
  <conditionalFormatting sqref="BM11">
    <cfRule type="containsText" dxfId="812" priority="1278" operator="containsText" text="Not Met">
      <formula>NOT(ISERROR(SEARCH("Not Met",BM11)))</formula>
    </cfRule>
    <cfRule type="containsText" dxfId="811" priority="1279" operator="containsText" text="Met">
      <formula>NOT(ISERROR(SEARCH("Met",BM11)))</formula>
    </cfRule>
    <cfRule type="containsText" dxfId="810" priority="1280" operator="containsText" text="Not Met">
      <formula>NOT(ISERROR(SEARCH("Not Met",BM11)))</formula>
    </cfRule>
    <cfRule type="containsText" dxfId="809" priority="1281" operator="containsText" text="Met">
      <formula>NOT(ISERROR(SEARCH("Met",BM11)))</formula>
    </cfRule>
  </conditionalFormatting>
  <conditionalFormatting sqref="BM12 BM7:BM10">
    <cfRule type="containsText" dxfId="808" priority="1288" operator="containsText" text="Not Met">
      <formula>NOT(ISERROR(SEARCH("Not Met",BM7)))</formula>
    </cfRule>
  </conditionalFormatting>
  <conditionalFormatting sqref="BM12">
    <cfRule type="containsText" dxfId="807" priority="1286" operator="containsText" text="Not Met">
      <formula>NOT(ISERROR(SEARCH("Not Met",BM12)))</formula>
    </cfRule>
    <cfRule type="containsText" dxfId="806" priority="1287" operator="containsText" text="Met">
      <formula>NOT(ISERROR(SEARCH("Met",BM12)))</formula>
    </cfRule>
  </conditionalFormatting>
  <conditionalFormatting sqref="BM15:BM19">
    <cfRule type="containsText" dxfId="805" priority="1284" operator="containsText" text="Not Met">
      <formula>NOT(ISERROR(SEARCH("Not Met",BM15)))</formula>
    </cfRule>
    <cfRule type="containsText" dxfId="804" priority="1282" operator="containsText" text="Not Met">
      <formula>NOT(ISERROR(SEARCH("Not Met",BM15)))</formula>
    </cfRule>
    <cfRule type="containsText" dxfId="803" priority="1283" operator="containsText" text="Met">
      <formula>NOT(ISERROR(SEARCH("Met",BM15)))</formula>
    </cfRule>
    <cfRule type="containsText" dxfId="802" priority="1285" operator="containsText" text="Met">
      <formula>NOT(ISERROR(SEARCH("Met",BM15)))</formula>
    </cfRule>
  </conditionalFormatting>
  <conditionalFormatting sqref="BM34:BM41">
    <cfRule type="containsText" dxfId="801" priority="1251" operator="containsText" text="Met">
      <formula>NOT(ISERROR(SEARCH("Met",BM34)))</formula>
    </cfRule>
    <cfRule type="containsText" dxfId="800" priority="1250" operator="containsText" text="Not Met">
      <formula>NOT(ISERROR(SEARCH("Not Met",BM34)))</formula>
    </cfRule>
    <cfRule type="containsText" dxfId="799" priority="1249" operator="containsText" text="Met">
      <formula>NOT(ISERROR(SEARCH("Met",BM34)))</formula>
    </cfRule>
    <cfRule type="containsText" dxfId="798" priority="1248" operator="containsText" text="Not Met">
      <formula>NOT(ISERROR(SEARCH("Not Met",BM34)))</formula>
    </cfRule>
    <cfRule type="containsText" dxfId="797" priority="1253" operator="containsText" text="Met">
      <formula>NOT(ISERROR(SEARCH("Met",BM34)))</formula>
    </cfRule>
    <cfRule type="containsText" dxfId="796" priority="1252" operator="containsText" text="Not Met">
      <formula>NOT(ISERROR(SEARCH("Not Met",BM34)))</formula>
    </cfRule>
  </conditionalFormatting>
  <conditionalFormatting sqref="BM42:BM48">
    <cfRule type="containsText" dxfId="795" priority="1236" operator="containsText" text="Not Met">
      <formula>NOT(ISERROR(SEARCH("Not Met",BM42)))</formula>
    </cfRule>
    <cfRule type="containsText" dxfId="794" priority="1237" operator="containsText" text="Met">
      <formula>NOT(ISERROR(SEARCH("Met",BM42)))</formula>
    </cfRule>
    <cfRule type="containsText" dxfId="793" priority="1238" operator="containsText" text="Not Met">
      <formula>NOT(ISERROR(SEARCH("Not Met",BM42)))</formula>
    </cfRule>
    <cfRule type="containsText" dxfId="792" priority="1239" operator="containsText" text="Met">
      <formula>NOT(ISERROR(SEARCH("Met",BM42)))</formula>
    </cfRule>
  </conditionalFormatting>
  <conditionalFormatting sqref="BM49:BM50 BM52:BM53">
    <cfRule type="containsText" dxfId="791" priority="1226" operator="containsText" text="Not Met">
      <formula>NOT(ISERROR(SEARCH("Not Met",BM49)))</formula>
    </cfRule>
    <cfRule type="containsText" dxfId="790" priority="1227" operator="containsText" text="Met">
      <formula>NOT(ISERROR(SEARCH("Met",BM49)))</formula>
    </cfRule>
  </conditionalFormatting>
  <conditionalFormatting sqref="BM51">
    <cfRule type="containsText" dxfId="789" priority="1231" operator="containsText" text="Met">
      <formula>NOT(ISERROR(SEARCH("Met",BM51)))</formula>
    </cfRule>
    <cfRule type="containsText" dxfId="788" priority="1228" operator="containsText" text="Not Met">
      <formula>NOT(ISERROR(SEARCH("Not Met",BM51)))</formula>
    </cfRule>
    <cfRule type="containsText" dxfId="787" priority="1229" operator="containsText" text="Met">
      <formula>NOT(ISERROR(SEARCH("Met",BM51)))</formula>
    </cfRule>
    <cfRule type="containsText" dxfId="786" priority="1230" operator="containsText" text="Not Met">
      <formula>NOT(ISERROR(SEARCH("Not Met",BM51)))</formula>
    </cfRule>
  </conditionalFormatting>
  <conditionalFormatting sqref="BM54:BM69">
    <cfRule type="containsText" dxfId="785" priority="1206" operator="containsText" text="Not Met">
      <formula>NOT(ISERROR(SEARCH("Not Met",BM54)))</formula>
    </cfRule>
    <cfRule type="containsText" dxfId="784" priority="1208" operator="containsText" text="Not Met">
      <formula>NOT(ISERROR(SEARCH("Not Met",BM54)))</formula>
    </cfRule>
    <cfRule type="containsText" dxfId="783" priority="1210" operator="containsText" text="Not Met">
      <formula>NOT(ISERROR(SEARCH("Not Met",BM54)))</formula>
    </cfRule>
    <cfRule type="containsText" dxfId="782" priority="1211" operator="containsText" text="Met">
      <formula>NOT(ISERROR(SEARCH("Met",BM54)))</formula>
    </cfRule>
    <cfRule type="containsText" dxfId="781" priority="1207" operator="containsText" text="Met">
      <formula>NOT(ISERROR(SEARCH("Met",BM54)))</formula>
    </cfRule>
    <cfRule type="containsText" dxfId="780" priority="1209" operator="containsText" text="Met">
      <formula>NOT(ISERROR(SEARCH("Met",BM54)))</formula>
    </cfRule>
  </conditionalFormatting>
  <conditionalFormatting sqref="BM70">
    <cfRule type="containsText" dxfId="779" priority="1214" operator="containsText" text="Not Met">
      <formula>NOT(ISERROR(SEARCH("Not Met",BM70)))</formula>
    </cfRule>
    <cfRule type="containsText" dxfId="778" priority="1212" operator="containsText" text="Not Met">
      <formula>NOT(ISERROR(SEARCH("Not Met",BM70)))</formula>
    </cfRule>
    <cfRule type="containsText" dxfId="777" priority="1217" operator="containsText" text="Met">
      <formula>NOT(ISERROR(SEARCH("Met",BM70)))</formula>
    </cfRule>
    <cfRule type="containsText" dxfId="776" priority="1213" operator="containsText" text="Met">
      <formula>NOT(ISERROR(SEARCH("Met",BM70)))</formula>
    </cfRule>
    <cfRule type="containsText" dxfId="775" priority="1216" operator="containsText" text="Not Met">
      <formula>NOT(ISERROR(SEARCH("Not Met",BM70)))</formula>
    </cfRule>
    <cfRule type="containsText" dxfId="774" priority="1215" operator="containsText" text="Met">
      <formula>NOT(ISERROR(SEARCH("Met",BM70)))</formula>
    </cfRule>
  </conditionalFormatting>
  <conditionalFormatting sqref="BM71">
    <cfRule type="containsText" dxfId="773" priority="1218" operator="containsText" text="Not Met">
      <formula>NOT(ISERROR(SEARCH("Not Met",BM71)))</formula>
    </cfRule>
    <cfRule type="containsText" dxfId="772" priority="1219" operator="containsText" text="Met">
      <formula>NOT(ISERROR(SEARCH("Met",BM71)))</formula>
    </cfRule>
  </conditionalFormatting>
  <conditionalFormatting sqref="BM72:BM77">
    <cfRule type="containsText" dxfId="771" priority="1199" operator="containsText" text="Met">
      <formula>NOT(ISERROR(SEARCH("Met",BM72)))</formula>
    </cfRule>
    <cfRule type="containsText" dxfId="770" priority="1198" operator="containsText" text="Not Met">
      <formula>NOT(ISERROR(SEARCH("Not Met",BM72)))</formula>
    </cfRule>
    <cfRule type="containsText" dxfId="769" priority="1194" operator="containsText" text="Not Met">
      <formula>NOT(ISERROR(SEARCH("Not Met",BM72)))</formula>
    </cfRule>
    <cfRule type="containsText" dxfId="768" priority="1195" operator="containsText" text="Met">
      <formula>NOT(ISERROR(SEARCH("Met",BM72)))</formula>
    </cfRule>
    <cfRule type="containsText" dxfId="767" priority="1196" operator="containsText" text="Not Met">
      <formula>NOT(ISERROR(SEARCH("Not Met",BM72)))</formula>
    </cfRule>
    <cfRule type="containsText" dxfId="766" priority="1197" operator="containsText" text="Met">
      <formula>NOT(ISERROR(SEARCH("Met",BM72)))</formula>
    </cfRule>
  </conditionalFormatting>
  <conditionalFormatting sqref="BM78:BM81 BM83">
    <cfRule type="containsText" dxfId="765" priority="1193" operator="containsText" text="Not met">
      <formula>NOT(ISERROR(SEARCH("Not met",BM78)))</formula>
    </cfRule>
  </conditionalFormatting>
  <conditionalFormatting sqref="BM84:BM85">
    <cfRule type="containsText" dxfId="764" priority="1192" operator="containsText" text="Not met">
      <formula>NOT(ISERROR(SEARCH("Not met",BM84)))</formula>
    </cfRule>
  </conditionalFormatting>
  <conditionalFormatting sqref="BM86:BM89">
    <cfRule type="containsText" dxfId="763" priority="1191" operator="containsText" text="Not met">
      <formula>NOT(ISERROR(SEARCH("Not met",BM86)))</formula>
    </cfRule>
  </conditionalFormatting>
  <conditionalFormatting sqref="BM90">
    <cfRule type="containsText" dxfId="762" priority="888" operator="containsText" text="Not Met">
      <formula>NOT(ISERROR(SEARCH("Not Met",BM90)))</formula>
    </cfRule>
    <cfRule type="containsText" dxfId="761" priority="889" operator="containsText" text="Met">
      <formula>NOT(ISERROR(SEARCH("Met",BM90)))</formula>
    </cfRule>
    <cfRule type="containsText" dxfId="760" priority="886" operator="containsText" text="Not Met">
      <formula>NOT(ISERROR(SEARCH("Not Met",BM90)))</formula>
    </cfRule>
    <cfRule type="containsText" dxfId="759" priority="887" operator="containsText" text="Met">
      <formula>NOT(ISERROR(SEARCH("Met",BM90)))</formula>
    </cfRule>
  </conditionalFormatting>
  <conditionalFormatting sqref="BM91:BM96">
    <cfRule type="containsText" dxfId="758" priority="1185" operator="containsText" text="Met">
      <formula>NOT(ISERROR(SEARCH("Met",BM91)))</formula>
    </cfRule>
    <cfRule type="containsText" dxfId="757" priority="1187" operator="containsText" text="Met">
      <formula>NOT(ISERROR(SEARCH("Met",BM91)))</formula>
    </cfRule>
    <cfRule type="containsText" dxfId="756" priority="1186" operator="containsText" text="Not Met">
      <formula>NOT(ISERROR(SEARCH("Not Met",BM91)))</formula>
    </cfRule>
    <cfRule type="containsText" dxfId="755" priority="1184" operator="containsText" text="Not Met">
      <formula>NOT(ISERROR(SEARCH("Not Met",BM91)))</formula>
    </cfRule>
  </conditionalFormatting>
  <conditionalFormatting sqref="BM113:BM123">
    <cfRule type="containsText" dxfId="754" priority="1176" operator="containsText" text="Not Met">
      <formula>NOT(ISERROR(SEARCH("Not Met",BM113)))</formula>
    </cfRule>
    <cfRule type="containsText" dxfId="753" priority="1177" operator="containsText" text="Met">
      <formula>NOT(ISERROR(SEARCH("Met",BM113)))</formula>
    </cfRule>
  </conditionalFormatting>
  <conditionalFormatting sqref="BM124:BM134">
    <cfRule type="containsText" dxfId="752" priority="1179" operator="containsText" text="Met">
      <formula>NOT(ISERROR(SEARCH("Met",BM124)))</formula>
    </cfRule>
    <cfRule type="containsText" dxfId="751" priority="1178" operator="containsText" text="Not Met">
      <formula>NOT(ISERROR(SEARCH("Not Met",BM124)))</formula>
    </cfRule>
  </conditionalFormatting>
  <conditionalFormatting sqref="BM135:BM145">
    <cfRule type="containsText" dxfId="750" priority="1165" operator="containsText" text="Met">
      <formula>NOT(ISERROR(SEARCH("Met",BM135)))</formula>
    </cfRule>
    <cfRule type="containsText" dxfId="749" priority="1164" operator="containsText" text="Not Met">
      <formula>NOT(ISERROR(SEARCH("Not Met",BM135)))</formula>
    </cfRule>
    <cfRule type="containsText" dxfId="748" priority="1163" operator="containsText" text="Met">
      <formula>NOT(ISERROR(SEARCH("Met",BM135)))</formula>
    </cfRule>
    <cfRule type="containsText" dxfId="747" priority="1162" operator="containsText" text="Not Met">
      <formula>NOT(ISERROR(SEARCH("Not Met",BM135)))</formula>
    </cfRule>
  </conditionalFormatting>
  <conditionalFormatting sqref="BM146">
    <cfRule type="containsText" dxfId="746" priority="1169" operator="containsText" text="Met">
      <formula>NOT(ISERROR(SEARCH("Met",BM146)))</formula>
    </cfRule>
    <cfRule type="containsText" dxfId="745" priority="1167" operator="containsText" text="Met">
      <formula>NOT(ISERROR(SEARCH("Met",BM146)))</formula>
    </cfRule>
    <cfRule type="containsText" dxfId="744" priority="1166" operator="containsText" text="Not Met">
      <formula>NOT(ISERROR(SEARCH("Not Met",BM146)))</formula>
    </cfRule>
    <cfRule type="containsText" dxfId="743" priority="1168" operator="containsText" text="Not Met">
      <formula>NOT(ISERROR(SEARCH("Not Met",BM146)))</formula>
    </cfRule>
  </conditionalFormatting>
  <conditionalFormatting sqref="BM155:BM162">
    <cfRule type="containsText" dxfId="742" priority="1153" operator="containsText" text="Met">
      <formula>NOT(ISERROR(SEARCH("Met",BM155)))</formula>
    </cfRule>
    <cfRule type="containsText" dxfId="741" priority="1148" operator="containsText" text="Not Met">
      <formula>NOT(ISERROR(SEARCH("Not Met",BM155)))</formula>
    </cfRule>
    <cfRule type="containsText" dxfId="740" priority="1151" operator="containsText" text="Met">
      <formula>NOT(ISERROR(SEARCH("Met",BM155)))</formula>
    </cfRule>
    <cfRule type="containsText" dxfId="739" priority="1150" operator="containsText" text="Not Met">
      <formula>NOT(ISERROR(SEARCH("Not Met",BM155)))</formula>
    </cfRule>
    <cfRule type="containsText" dxfId="738" priority="1149" operator="containsText" text="Met">
      <formula>NOT(ISERROR(SEARCH("Met",BM155)))</formula>
    </cfRule>
    <cfRule type="containsText" dxfId="737" priority="1152" operator="containsText" text="Not Met">
      <formula>NOT(ISERROR(SEARCH("Not Met",BM155)))</formula>
    </cfRule>
  </conditionalFormatting>
  <conditionalFormatting sqref="BM171:BM181">
    <cfRule type="containsText" dxfId="736" priority="1143" operator="containsText" text="Met">
      <formula>NOT(ISERROR(SEARCH("Met",BM171)))</formula>
    </cfRule>
    <cfRule type="containsText" dxfId="735" priority="1142" operator="containsText" text="Not Met">
      <formula>NOT(ISERROR(SEARCH("Not Met",BM171)))</formula>
    </cfRule>
  </conditionalFormatting>
  <conditionalFormatting sqref="BM182:BM189">
    <cfRule type="containsText" dxfId="734" priority="1139" operator="containsText" text="Met">
      <formula>NOT(ISERROR(SEARCH("Met",BM182)))</formula>
    </cfRule>
    <cfRule type="containsText" dxfId="733" priority="1138" operator="containsText" text="Not Met">
      <formula>NOT(ISERROR(SEARCH("Not Met",BM182)))</formula>
    </cfRule>
  </conditionalFormatting>
  <conditionalFormatting sqref="BM190">
    <cfRule type="containsText" dxfId="732" priority="1126" operator="containsText" text="Not Met">
      <formula>NOT(ISERROR(SEARCH("Not Met",BM190)))</formula>
    </cfRule>
    <cfRule type="containsText" dxfId="731" priority="1118" operator="containsText" text="Not Met">
      <formula>NOT(ISERROR(SEARCH("Not Met",BM190)))</formula>
    </cfRule>
    <cfRule type="containsText" dxfId="730" priority="1133" operator="containsText" text="Met">
      <formula>NOT(ISERROR(SEARCH("Met",BM190)))</formula>
    </cfRule>
    <cfRule type="containsText" dxfId="729" priority="1132" operator="containsText" text="Not Met">
      <formula>NOT(ISERROR(SEARCH("Not Met",BM190)))</formula>
    </cfRule>
    <cfRule type="containsText" dxfId="728" priority="1131" operator="containsText" text="Met">
      <formula>NOT(ISERROR(SEARCH("Met",BM190)))</formula>
    </cfRule>
    <cfRule type="containsText" dxfId="727" priority="1130" operator="containsText" text="Not Met">
      <formula>NOT(ISERROR(SEARCH("Not Met",BM190)))</formula>
    </cfRule>
    <cfRule type="containsText" dxfId="726" priority="1129" operator="containsText" text="Met">
      <formula>NOT(ISERROR(SEARCH("Met",BM190)))</formula>
    </cfRule>
    <cfRule type="containsText" dxfId="725" priority="1128" operator="containsText" text="Not Met">
      <formula>NOT(ISERROR(SEARCH("Not Met",BM190)))</formula>
    </cfRule>
    <cfRule type="containsText" dxfId="724" priority="1125" operator="containsText" text="Met">
      <formula>NOT(ISERROR(SEARCH("Met",BM190)))</formula>
    </cfRule>
    <cfRule type="containsText" dxfId="723" priority="1127" operator="containsText" text="Met">
      <formula>NOT(ISERROR(SEARCH("Met",BM190)))</formula>
    </cfRule>
    <cfRule type="containsText" dxfId="722" priority="1119" operator="containsText" text="Met">
      <formula>NOT(ISERROR(SEARCH("Met",BM190)))</formula>
    </cfRule>
    <cfRule type="containsText" dxfId="721" priority="1120" operator="containsText" text="Not Met">
      <formula>NOT(ISERROR(SEARCH("Not Met",BM190)))</formula>
    </cfRule>
    <cfRule type="containsText" dxfId="720" priority="1121" operator="containsText" text="Met">
      <formula>NOT(ISERROR(SEARCH("Met",BM190)))</formula>
    </cfRule>
    <cfRule type="containsText" dxfId="719" priority="1122" operator="containsText" text="Not Met">
      <formula>NOT(ISERROR(SEARCH("Not Met",BM190)))</formula>
    </cfRule>
    <cfRule type="containsText" dxfId="718" priority="1123" operator="containsText" text="Met">
      <formula>NOT(ISERROR(SEARCH("Met",BM190)))</formula>
    </cfRule>
    <cfRule type="containsText" dxfId="717" priority="1124" operator="containsText" text="Not Met">
      <formula>NOT(ISERROR(SEARCH("Not Met",BM190)))</formula>
    </cfRule>
  </conditionalFormatting>
  <conditionalFormatting sqref="BM191">
    <cfRule type="containsText" dxfId="716" priority="1110" operator="containsText" text="Not Met">
      <formula>NOT(ISERROR(SEARCH("Not Met",BM191)))</formula>
    </cfRule>
    <cfRule type="containsText" dxfId="715" priority="1109" operator="containsText" text="Met">
      <formula>NOT(ISERROR(SEARCH("Met",BM191)))</formula>
    </cfRule>
    <cfRule type="containsText" dxfId="714" priority="1108" operator="containsText" text="Not Met">
      <formula>NOT(ISERROR(SEARCH("Not Met",BM191)))</formula>
    </cfRule>
    <cfRule type="containsText" dxfId="713" priority="1107" operator="containsText" text="Met">
      <formula>NOT(ISERROR(SEARCH("Met",BM191)))</formula>
    </cfRule>
    <cfRule type="containsText" dxfId="712" priority="1106" operator="containsText" text="Not Met">
      <formula>NOT(ISERROR(SEARCH("Not Met",BM191)))</formula>
    </cfRule>
    <cfRule type="containsText" dxfId="711" priority="1105" operator="containsText" text="Met">
      <formula>NOT(ISERROR(SEARCH("Met",BM191)))</formula>
    </cfRule>
    <cfRule type="containsText" dxfId="710" priority="1104" operator="containsText" text="Not Met">
      <formula>NOT(ISERROR(SEARCH("Not Met",BM191)))</formula>
    </cfRule>
    <cfRule type="containsText" dxfId="709" priority="1102" operator="containsText" text="Not Met">
      <formula>NOT(ISERROR(SEARCH("Not Met",BM191)))</formula>
    </cfRule>
    <cfRule type="containsText" dxfId="708" priority="1116" operator="containsText" text="Not Met">
      <formula>NOT(ISERROR(SEARCH("Not Met",BM191)))</formula>
    </cfRule>
    <cfRule type="containsText" dxfId="707" priority="1117" operator="containsText" text="Met">
      <formula>NOT(ISERROR(SEARCH("Met",BM191)))</formula>
    </cfRule>
    <cfRule type="containsText" dxfId="706" priority="1114" operator="containsText" text="Not Met">
      <formula>NOT(ISERROR(SEARCH("Not Met",BM191)))</formula>
    </cfRule>
    <cfRule type="containsText" dxfId="705" priority="1112" operator="containsText" text="Not Met">
      <formula>NOT(ISERROR(SEARCH("Not Met",BM191)))</formula>
    </cfRule>
    <cfRule type="containsText" dxfId="704" priority="1111" operator="containsText" text="Met">
      <formula>NOT(ISERROR(SEARCH("Met",BM191)))</formula>
    </cfRule>
    <cfRule type="containsText" dxfId="703" priority="1113" operator="containsText" text="Met">
      <formula>NOT(ISERROR(SEARCH("Met",BM191)))</formula>
    </cfRule>
    <cfRule type="containsText" dxfId="702" priority="1103" operator="containsText" text="Met">
      <formula>NOT(ISERROR(SEARCH("Met",BM191)))</formula>
    </cfRule>
    <cfRule type="containsText" dxfId="701" priority="1115" operator="containsText" text="Met">
      <formula>NOT(ISERROR(SEARCH("Met",BM191)))</formula>
    </cfRule>
  </conditionalFormatting>
  <conditionalFormatting sqref="BM192:BM211">
    <cfRule type="containsText" dxfId="700" priority="1137" operator="containsText" text="Met">
      <formula>NOT(ISERROR(SEARCH("Met",BM192)))</formula>
    </cfRule>
    <cfRule type="containsText" dxfId="699" priority="1134" operator="containsText" text="Not Met">
      <formula>NOT(ISERROR(SEARCH("Not Met",BM192)))</formula>
    </cfRule>
    <cfRule type="containsText" dxfId="698" priority="1136" operator="containsText" text="Not Met">
      <formula>NOT(ISERROR(SEARCH("Not Met",BM192)))</formula>
    </cfRule>
    <cfRule type="containsText" dxfId="697" priority="1135" operator="containsText" text="Met">
      <formula>NOT(ISERROR(SEARCH("Met",BM192)))</formula>
    </cfRule>
  </conditionalFormatting>
  <conditionalFormatting sqref="BM212:BM216 BM222:BM228">
    <cfRule type="containsText" dxfId="696" priority="1079" operator="containsText" text="Met">
      <formula>NOT(ISERROR(SEARCH("Met",BM212)))</formula>
    </cfRule>
    <cfRule type="containsText" dxfId="695" priority="1077" operator="containsText" text="Met">
      <formula>NOT(ISERROR(SEARCH("Met",BM212)))</formula>
    </cfRule>
  </conditionalFormatting>
  <conditionalFormatting sqref="BM217:BM221">
    <cfRule type="containsText" dxfId="694" priority="1074" operator="containsText" text="Not Met">
      <formula>NOT(ISERROR(SEARCH("Not Met",BM217)))</formula>
    </cfRule>
    <cfRule type="containsText" dxfId="693" priority="1073" operator="containsText" text="Met">
      <formula>NOT(ISERROR(SEARCH("Met",BM217)))</formula>
    </cfRule>
    <cfRule type="containsText" dxfId="692" priority="1075" operator="containsText" text="Met">
      <formula>NOT(ISERROR(SEARCH("Met",BM217)))</formula>
    </cfRule>
    <cfRule type="containsText" dxfId="691" priority="1072" operator="containsText" text="Not Met">
      <formula>NOT(ISERROR(SEARCH("Not Met",BM217)))</formula>
    </cfRule>
  </conditionalFormatting>
  <conditionalFormatting sqref="BM222:BM228 BM212:BM216">
    <cfRule type="containsText" dxfId="690" priority="1078" operator="containsText" text="Not Met">
      <formula>NOT(ISERROR(SEARCH("Not Met",BM212)))</formula>
    </cfRule>
    <cfRule type="containsText" dxfId="689" priority="1076" operator="containsText" text="Not Met">
      <formula>NOT(ISERROR(SEARCH("Not Met",BM212)))</formula>
    </cfRule>
  </conditionalFormatting>
  <conditionalFormatting sqref="BM229:BM230 BM232 BM234:BM235">
    <cfRule type="containsText" dxfId="688" priority="1067" operator="containsText" text="Met">
      <formula>NOT(ISERROR(SEARCH("Met",BM229)))</formula>
    </cfRule>
    <cfRule type="containsText" dxfId="687" priority="1066" operator="containsText" text="Not Met">
      <formula>NOT(ISERROR(SEARCH("Not Met",BM229)))</formula>
    </cfRule>
  </conditionalFormatting>
  <conditionalFormatting sqref="BM231:BM235">
    <cfRule type="containsText" dxfId="686" priority="1061" operator="containsText" text="Met">
      <formula>NOT(ISERROR(SEARCH("Met",BM231)))</formula>
    </cfRule>
    <cfRule type="containsText" dxfId="685" priority="1065" operator="containsText" text="Met">
      <formula>NOT(ISERROR(SEARCH("Met",BM231)))</formula>
    </cfRule>
    <cfRule type="containsText" dxfId="684" priority="1064" operator="containsText" text="Not Met">
      <formula>NOT(ISERROR(SEARCH("Not Met",BM231)))</formula>
    </cfRule>
    <cfRule type="containsText" dxfId="683" priority="1063" operator="containsText" text="Met">
      <formula>NOT(ISERROR(SEARCH("Met",BM231)))</formula>
    </cfRule>
    <cfRule type="containsText" dxfId="682" priority="1062" operator="containsText" text="Not Met">
      <formula>NOT(ISERROR(SEARCH("Not Met",BM231)))</formula>
    </cfRule>
    <cfRule type="containsText" dxfId="681" priority="1060" operator="containsText" text="Not Met">
      <formula>NOT(ISERROR(SEARCH("Not Met",BM231)))</formula>
    </cfRule>
  </conditionalFormatting>
  <conditionalFormatting sqref="BM236:BM242">
    <cfRule type="containsText" dxfId="680" priority="1053" operator="containsText" text="Met">
      <formula>NOT(ISERROR(SEARCH("Met",BM236)))</formula>
    </cfRule>
    <cfRule type="containsText" dxfId="679" priority="1055" operator="containsText" text="Met">
      <formula>NOT(ISERROR(SEARCH("Met",BM236)))</formula>
    </cfRule>
    <cfRule type="containsText" dxfId="678" priority="1054" operator="containsText" text="Not Met">
      <formula>NOT(ISERROR(SEARCH("Not Met",BM236)))</formula>
    </cfRule>
    <cfRule type="containsText" dxfId="677" priority="1056" operator="containsText" text="Not Met">
      <formula>NOT(ISERROR(SEARCH("Not Met",BM236)))</formula>
    </cfRule>
    <cfRule type="containsText" dxfId="676" priority="1057" operator="containsText" text="Met">
      <formula>NOT(ISERROR(SEARCH("Met",BM236)))</formula>
    </cfRule>
    <cfRule type="containsText" dxfId="675" priority="1052" operator="containsText" text="Not Met">
      <formula>NOT(ISERROR(SEARCH("Not Met",BM236)))</formula>
    </cfRule>
  </conditionalFormatting>
  <conditionalFormatting sqref="BM243:BM256">
    <cfRule type="containsText" dxfId="674" priority="1049" operator="containsText" text="Met">
      <formula>NOT(ISERROR(SEARCH("Met",BM243)))</formula>
    </cfRule>
    <cfRule type="containsText" dxfId="673" priority="1048" operator="containsText" text="Not Met">
      <formula>NOT(ISERROR(SEARCH("Not Met",BM243)))</formula>
    </cfRule>
    <cfRule type="containsText" dxfId="672" priority="1047" operator="containsText" text="Met">
      <formula>NOT(ISERROR(SEARCH("Met",BM243)))</formula>
    </cfRule>
    <cfRule type="containsText" dxfId="671" priority="1046" operator="containsText" text="Not Met">
      <formula>NOT(ISERROR(SEARCH("Not Met",BM243)))</formula>
    </cfRule>
  </conditionalFormatting>
  <conditionalFormatting sqref="BM257:BM259">
    <cfRule type="containsText" dxfId="670" priority="1041" operator="containsText" text="Met">
      <formula>NOT(ISERROR(SEARCH("Met",BM257)))</formula>
    </cfRule>
    <cfRule type="containsText" dxfId="669" priority="1040" operator="containsText" text="Not Met">
      <formula>NOT(ISERROR(SEARCH("Not Met",BM257)))</formula>
    </cfRule>
  </conditionalFormatting>
  <conditionalFormatting sqref="BM259:BM261 BM263:BM265">
    <cfRule type="containsText" dxfId="668" priority="1039" operator="containsText" text="Met">
      <formula>NOT(ISERROR(SEARCH("Met",BM259)))</formula>
    </cfRule>
    <cfRule type="containsText" dxfId="667" priority="1038" operator="containsText" text="Not Met">
      <formula>NOT(ISERROR(SEARCH("Not Met",BM259)))</formula>
    </cfRule>
  </conditionalFormatting>
  <conditionalFormatting sqref="BM261 BM263:BM264">
    <cfRule type="containsText" dxfId="666" priority="1037" operator="containsText" text="Met">
      <formula>NOT(ISERROR(SEARCH("Met",BM261)))</formula>
    </cfRule>
    <cfRule type="containsText" dxfId="665" priority="1036" operator="containsText" text="Not Met">
      <formula>NOT(ISERROR(SEARCH("Not Met",BM261)))</formula>
    </cfRule>
  </conditionalFormatting>
  <conditionalFormatting sqref="BM262">
    <cfRule type="containsText" dxfId="664" priority="1035" operator="containsText" text="Met">
      <formula>NOT(ISERROR(SEARCH("Met",BM262)))</formula>
    </cfRule>
    <cfRule type="containsText" dxfId="663" priority="1034" operator="containsText" text="Not Met">
      <formula>NOT(ISERROR(SEARCH("Not Met",BM262)))</formula>
    </cfRule>
  </conditionalFormatting>
  <conditionalFormatting sqref="BM266:BM272">
    <cfRule type="containsText" dxfId="662" priority="1338" operator="containsText" text="Not Met">
      <formula>NOT(ISERROR(SEARCH("Not Met",BM266)))</formula>
    </cfRule>
    <cfRule type="containsText" dxfId="661" priority="1339" operator="containsText" text="Met">
      <formula>NOT(ISERROR(SEARCH("Met",BM266)))</formula>
    </cfRule>
    <cfRule type="containsText" dxfId="660" priority="1340" operator="containsText" text="Not Met">
      <formula>NOT(ISERROR(SEARCH("Not Met",BM266)))</formula>
    </cfRule>
    <cfRule type="containsText" dxfId="659" priority="1341" operator="containsText" text="Met">
      <formula>NOT(ISERROR(SEARCH("Met",BM266)))</formula>
    </cfRule>
    <cfRule type="containsText" dxfId="658" priority="1342" operator="containsText" text="Not Met">
      <formula>NOT(ISERROR(SEARCH("Not Met",BM266)))</formula>
    </cfRule>
    <cfRule type="containsText" dxfId="657" priority="1343" operator="containsText" text="Met">
      <formula>NOT(ISERROR(SEARCH("Met",BM266)))</formula>
    </cfRule>
  </conditionalFormatting>
  <conditionalFormatting sqref="BM273:BM279">
    <cfRule type="containsText" dxfId="656" priority="1028" operator="containsText" text="Not Met">
      <formula>NOT(ISERROR(SEARCH("Not Met",BM273)))</formula>
    </cfRule>
    <cfRule type="containsText" dxfId="655" priority="1029" operator="containsText" text="Met">
      <formula>NOT(ISERROR(SEARCH("Met",BM273)))</formula>
    </cfRule>
    <cfRule type="containsText" dxfId="654" priority="1030" operator="containsText" text="Not Met">
      <formula>NOT(ISERROR(SEARCH("Not Met",BM273)))</formula>
    </cfRule>
    <cfRule type="containsText" dxfId="653" priority="1031" operator="containsText" text="Met">
      <formula>NOT(ISERROR(SEARCH("Met",BM273)))</formula>
    </cfRule>
  </conditionalFormatting>
  <conditionalFormatting sqref="BM280:BM283 BM285">
    <cfRule type="containsText" dxfId="652" priority="1026" operator="containsText" text="Not Met">
      <formula>NOT(ISERROR(SEARCH("Not Met",BM280)))</formula>
    </cfRule>
    <cfRule type="containsText" dxfId="651" priority="1027" operator="containsText" text="Met">
      <formula>NOT(ISERROR(SEARCH("Met",BM280)))</formula>
    </cfRule>
  </conditionalFormatting>
  <conditionalFormatting sqref="BM284 BM286">
    <cfRule type="containsText" dxfId="650" priority="1025" operator="containsText" text="Met">
      <formula>NOT(ISERROR(SEARCH("Met",BM284)))</formula>
    </cfRule>
    <cfRule type="containsText" dxfId="649" priority="1020" operator="containsText" text="Not Met">
      <formula>NOT(ISERROR(SEARCH("Not Met",BM284)))</formula>
    </cfRule>
    <cfRule type="containsText" dxfId="648" priority="1021" operator="containsText" text="Met">
      <formula>NOT(ISERROR(SEARCH("Met",BM284)))</formula>
    </cfRule>
    <cfRule type="containsText" dxfId="647" priority="1022" operator="containsText" text="Not Met">
      <formula>NOT(ISERROR(SEARCH("Not Met",BM284)))</formula>
    </cfRule>
    <cfRule type="containsText" dxfId="646" priority="1023" operator="containsText" text="Met">
      <formula>NOT(ISERROR(SEARCH("Met",BM284)))</formula>
    </cfRule>
    <cfRule type="containsText" dxfId="645" priority="1024" operator="containsText" text="Not Met">
      <formula>NOT(ISERROR(SEARCH("Not Met",BM284)))</formula>
    </cfRule>
  </conditionalFormatting>
  <conditionalFormatting sqref="BM303:BM304 BM306:BM309 BM313">
    <cfRule type="containsText" dxfId="644" priority="1014" operator="containsText" text="Not Met">
      <formula>NOT(ISERROR(SEARCH("Not Met",BM303)))</formula>
    </cfRule>
    <cfRule type="containsText" dxfId="643" priority="1015" operator="containsText" text="Met">
      <formula>NOT(ISERROR(SEARCH("Met",BM303)))</formula>
    </cfRule>
  </conditionalFormatting>
  <conditionalFormatting sqref="BM305 BM310">
    <cfRule type="containsText" dxfId="642" priority="1008" operator="containsText" text="Not Met">
      <formula>NOT(ISERROR(SEARCH("Not Met",BM305)))</formula>
    </cfRule>
    <cfRule type="containsText" dxfId="641" priority="1009" operator="containsText" text="Met">
      <formula>NOT(ISERROR(SEARCH("Met",BM305)))</formula>
    </cfRule>
    <cfRule type="containsText" dxfId="640" priority="1010" operator="containsText" text="Not Met">
      <formula>NOT(ISERROR(SEARCH("Not Met",BM305)))</formula>
    </cfRule>
    <cfRule type="containsText" dxfId="639" priority="1013" operator="containsText" text="Met">
      <formula>NOT(ISERROR(SEARCH("Met",BM305)))</formula>
    </cfRule>
    <cfRule type="containsText" dxfId="638" priority="1012" operator="containsText" text="Not Met">
      <formula>NOT(ISERROR(SEARCH("Not Met",BM305)))</formula>
    </cfRule>
    <cfRule type="containsText" dxfId="637" priority="1011" operator="containsText" text="Met">
      <formula>NOT(ISERROR(SEARCH("Met",BM305)))</formula>
    </cfRule>
  </conditionalFormatting>
  <conditionalFormatting sqref="BM311:BM312">
    <cfRule type="containsText" dxfId="636" priority="1005" operator="containsText" text="Met">
      <formula>NOT(ISERROR(SEARCH("Met",BM311)))</formula>
    </cfRule>
    <cfRule type="containsText" dxfId="635" priority="1007" operator="containsText" text="Met">
      <formula>NOT(ISERROR(SEARCH("Met",BM311)))</formula>
    </cfRule>
    <cfRule type="containsText" dxfId="634" priority="1006" operator="containsText" text="Not Met">
      <formula>NOT(ISERROR(SEARCH("Not Met",BM311)))</formula>
    </cfRule>
    <cfRule type="containsText" dxfId="633" priority="1004" operator="containsText" text="Not Met">
      <formula>NOT(ISERROR(SEARCH("Not Met",BM311)))</formula>
    </cfRule>
    <cfRule type="containsText" dxfId="632" priority="1003" operator="containsText" text="Met">
      <formula>NOT(ISERROR(SEARCH("Met",BM311)))</formula>
    </cfRule>
    <cfRule type="containsText" dxfId="631" priority="1002" operator="containsText" text="Not Met">
      <formula>NOT(ISERROR(SEARCH("Not Met",BM311)))</formula>
    </cfRule>
  </conditionalFormatting>
  <conditionalFormatting sqref="BM314">
    <cfRule type="containsText" dxfId="630" priority="996" operator="containsText" text="Not Met">
      <formula>NOT(ISERROR(SEARCH("Not Met",BM314)))</formula>
    </cfRule>
    <cfRule type="containsText" dxfId="629" priority="1001" operator="containsText" text="Met">
      <formula>NOT(ISERROR(SEARCH("Met",BM314)))</formula>
    </cfRule>
    <cfRule type="containsText" dxfId="628" priority="1000" operator="containsText" text="Not Met">
      <formula>NOT(ISERROR(SEARCH("Not Met",BM314)))</formula>
    </cfRule>
    <cfRule type="containsText" dxfId="627" priority="999" operator="containsText" text="Met">
      <formula>NOT(ISERROR(SEARCH("Met",BM314)))</formula>
    </cfRule>
    <cfRule type="containsText" dxfId="626" priority="998" operator="containsText" text="Not Met">
      <formula>NOT(ISERROR(SEARCH("Not Met",BM314)))</formula>
    </cfRule>
    <cfRule type="containsText" dxfId="625" priority="997" operator="containsText" text="Met">
      <formula>NOT(ISERROR(SEARCH("Met",BM314)))</formula>
    </cfRule>
  </conditionalFormatting>
  <conditionalFormatting sqref="BM323:BM329">
    <cfRule type="containsText" dxfId="624" priority="980" operator="containsText" text="Not Met">
      <formula>NOT(ISERROR(SEARCH("Not Met",BM323)))</formula>
    </cfRule>
    <cfRule type="containsText" dxfId="623" priority="981" operator="containsText" text="Met">
      <formula>NOT(ISERROR(SEARCH("Met",BM323)))</formula>
    </cfRule>
    <cfRule type="containsText" dxfId="622" priority="982" operator="containsText" text="Not Met">
      <formula>NOT(ISERROR(SEARCH("Not Met",BM323)))</formula>
    </cfRule>
    <cfRule type="containsText" dxfId="621" priority="983" operator="containsText" text="Met">
      <formula>NOT(ISERROR(SEARCH("Met",BM323)))</formula>
    </cfRule>
  </conditionalFormatting>
  <conditionalFormatting sqref="BM338:BM340">
    <cfRule type="containsText" dxfId="620" priority="970" operator="containsText" text="Not Met">
      <formula>NOT(ISERROR(SEARCH("Not Met",BM338)))</formula>
    </cfRule>
    <cfRule type="containsText" dxfId="619" priority="968" operator="containsText" text="Not Met">
      <formula>NOT(ISERROR(SEARCH("Not Met",BM338)))</formula>
    </cfRule>
    <cfRule type="containsText" dxfId="618" priority="969" operator="containsText" text="Met">
      <formula>NOT(ISERROR(SEARCH("Met",BM338)))</formula>
    </cfRule>
    <cfRule type="containsText" dxfId="617" priority="971" operator="containsText" text="Met">
      <formula>NOT(ISERROR(SEARCH("Met",BM338)))</formula>
    </cfRule>
    <cfRule type="containsText" dxfId="616" priority="972" operator="containsText" text="Not Met">
      <formula>NOT(ISERROR(SEARCH("Not Met",BM338)))</formula>
    </cfRule>
    <cfRule type="containsText" dxfId="615" priority="973" operator="containsText" text="Met">
      <formula>NOT(ISERROR(SEARCH("Met",BM338)))</formula>
    </cfRule>
  </conditionalFormatting>
  <conditionalFormatting sqref="BM341:BM343 BM345">
    <cfRule type="containsText" dxfId="614" priority="975" operator="containsText" text="Met">
      <formula>NOT(ISERROR(SEARCH("Met",BM341)))</formula>
    </cfRule>
    <cfRule type="containsText" dxfId="613" priority="974" operator="containsText" text="Not Met">
      <formula>NOT(ISERROR(SEARCH("Not Met",BM341)))</formula>
    </cfRule>
  </conditionalFormatting>
  <conditionalFormatting sqref="BM344">
    <cfRule type="containsText" dxfId="612" priority="965" operator="containsText" text="Met">
      <formula>NOT(ISERROR(SEARCH("Met",BM344)))</formula>
    </cfRule>
    <cfRule type="containsText" dxfId="611" priority="967" operator="containsText" text="Met">
      <formula>NOT(ISERROR(SEARCH("Met",BM344)))</formula>
    </cfRule>
    <cfRule type="containsText" dxfId="610" priority="966" operator="containsText" text="Not Met">
      <formula>NOT(ISERROR(SEARCH("Not Met",BM344)))</formula>
    </cfRule>
    <cfRule type="containsText" dxfId="609" priority="964" operator="containsText" text="Not Met">
      <formula>NOT(ISERROR(SEARCH("Not Met",BM344)))</formula>
    </cfRule>
  </conditionalFormatting>
  <conditionalFormatting sqref="BM353:BM359">
    <cfRule type="containsText" dxfId="608" priority="947" operator="containsText" text="Met">
      <formula>NOT(ISERROR(SEARCH("Met",BM353)))</formula>
    </cfRule>
    <cfRule type="containsText" dxfId="607" priority="946" operator="containsText" text="Not Met">
      <formula>NOT(ISERROR(SEARCH("Not Met",BM353)))</formula>
    </cfRule>
  </conditionalFormatting>
  <conditionalFormatting sqref="BM360:BM363">
    <cfRule type="containsText" dxfId="606" priority="944" operator="containsText" text="Not Met">
      <formula>NOT(ISERROR(SEARCH("Not Met",BM360)))</formula>
    </cfRule>
    <cfRule type="containsText" dxfId="605" priority="941" operator="containsText" text="Met">
      <formula>NOT(ISERROR(SEARCH("Met",BM360)))</formula>
    </cfRule>
    <cfRule type="containsText" dxfId="604" priority="942" operator="containsText" text="Not Met">
      <formula>NOT(ISERROR(SEARCH("Not Met",BM360)))</formula>
    </cfRule>
    <cfRule type="containsText" dxfId="603" priority="940" operator="containsText" text="Not Met">
      <formula>NOT(ISERROR(SEARCH("Not Met",BM360)))</formula>
    </cfRule>
    <cfRule type="containsText" dxfId="602" priority="943" operator="containsText" text="Met">
      <formula>NOT(ISERROR(SEARCH("Met",BM360)))</formula>
    </cfRule>
    <cfRule type="containsText" dxfId="601" priority="945" operator="containsText" text="Met">
      <formula>NOT(ISERROR(SEARCH("Met",BM360)))</formula>
    </cfRule>
  </conditionalFormatting>
  <conditionalFormatting sqref="BM364">
    <cfRule type="containsText" dxfId="600" priority="1334" operator="containsText" text="Not Met">
      <formula>NOT(ISERROR(SEARCH("Not Met",BM364)))</formula>
    </cfRule>
    <cfRule type="containsText" dxfId="599" priority="1332" operator="containsText" text="Not Met">
      <formula>NOT(ISERROR(SEARCH("Not Met",BM364)))</formula>
    </cfRule>
    <cfRule type="containsText" dxfId="598" priority="1331" operator="containsText" text="Met">
      <formula>NOT(ISERROR(SEARCH("Met",BM364)))</formula>
    </cfRule>
    <cfRule type="containsText" dxfId="597" priority="1330" operator="containsText" text="Not Met">
      <formula>NOT(ISERROR(SEARCH("Not Met",BM364)))</formula>
    </cfRule>
    <cfRule type="containsText" dxfId="596" priority="1335" operator="containsText" text="Met">
      <formula>NOT(ISERROR(SEARCH("Met",BM364)))</formula>
    </cfRule>
    <cfRule type="containsText" dxfId="595" priority="1333" operator="containsText" text="Met">
      <formula>NOT(ISERROR(SEARCH("Met",BM364)))</formula>
    </cfRule>
  </conditionalFormatting>
  <conditionalFormatting sqref="BM366:BM367">
    <cfRule type="containsText" dxfId="594" priority="1326" operator="containsText" text="Not Met">
      <formula>NOT(ISERROR(SEARCH("Not Met",BM366)))</formula>
    </cfRule>
    <cfRule type="containsText" dxfId="593" priority="1329" operator="containsText" text="Met">
      <formula>NOT(ISERROR(SEARCH("Met",BM366)))</formula>
    </cfRule>
    <cfRule type="containsText" dxfId="592" priority="1328" operator="containsText" text="Not Met">
      <formula>NOT(ISERROR(SEARCH("Not Met",BM366)))</formula>
    </cfRule>
    <cfRule type="containsText" dxfId="591" priority="1327" operator="containsText" text="Met">
      <formula>NOT(ISERROR(SEARCH("Met",BM366)))</formula>
    </cfRule>
    <cfRule type="containsText" dxfId="590" priority="1325" operator="containsText" text="Met">
      <formula>NOT(ISERROR(SEARCH("Met",BM366)))</formula>
    </cfRule>
    <cfRule type="containsText" dxfId="589" priority="1324" operator="containsText" text="Not Met">
      <formula>NOT(ISERROR(SEARCH("Not Met",BM366)))</formula>
    </cfRule>
  </conditionalFormatting>
  <conditionalFormatting sqref="BM368:BM377 BM382:BM383 BM385:BM397 BM399:BM400 BM403 BM405 BM410:BM411">
    <cfRule type="containsText" dxfId="588" priority="1323" operator="containsText" text="Met">
      <formula>NOT(ISERROR(SEARCH("Met",BM368)))</formula>
    </cfRule>
  </conditionalFormatting>
  <conditionalFormatting sqref="BM368:BM377 BM399:BM400 BM405 BM410:BM411 BM403 BM385:BM397 BM382:BM383">
    <cfRule type="containsText" dxfId="587" priority="1322" operator="containsText" text="Not Met">
      <formula>NOT(ISERROR(SEARCH("Not Met",BM368)))</formula>
    </cfRule>
  </conditionalFormatting>
  <conditionalFormatting sqref="BM416">
    <cfRule type="containsText" dxfId="586" priority="937" operator="containsText" text="Met">
      <formula>NOT(ISERROR(SEARCH("Met",BM416)))</formula>
    </cfRule>
    <cfRule type="containsText" dxfId="585" priority="936" operator="containsText" text="Not Met">
      <formula>NOT(ISERROR(SEARCH("Not Met",BM416)))</formula>
    </cfRule>
  </conditionalFormatting>
  <conditionalFormatting sqref="BM453">
    <cfRule type="containsText" dxfId="584" priority="723" operator="containsText" text="Met">
      <formula>NOT(ISERROR(SEARCH("Met",BM453)))</formula>
    </cfRule>
    <cfRule type="containsText" dxfId="583" priority="722" operator="containsText" text="Not Met">
      <formula>NOT(ISERROR(SEARCH("Not Met",BM453)))</formula>
    </cfRule>
    <cfRule type="containsText" dxfId="582" priority="721" operator="containsText" text="Not Met">
      <formula>NOT(ISERROR(SEARCH("Not Met",BM453)))</formula>
    </cfRule>
  </conditionalFormatting>
  <conditionalFormatting sqref="BM454:BM457">
    <cfRule type="containsText" dxfId="581" priority="740" operator="containsText" text="Not Met">
      <formula>NOT(ISERROR(SEARCH("Not Met",BM454)))</formula>
    </cfRule>
    <cfRule type="containsText" dxfId="580" priority="741" operator="containsText" text="Met">
      <formula>NOT(ISERROR(SEARCH("Met",BM454)))</formula>
    </cfRule>
  </conditionalFormatting>
  <conditionalFormatting sqref="BM458 BM460:BM466 BM469:BM471">
    <cfRule type="containsText" dxfId="579" priority="933" operator="containsText" text="Met">
      <formula>NOT(ISERROR(SEARCH("Met",BM458)))</formula>
    </cfRule>
    <cfRule type="containsText" dxfId="578" priority="932" operator="containsText" text="Not Met">
      <formula>NOT(ISERROR(SEARCH("Not Met",BM458)))</formula>
    </cfRule>
  </conditionalFormatting>
  <conditionalFormatting sqref="BM459 BM468">
    <cfRule type="containsText" dxfId="577" priority="927" operator="containsText" text="Met">
      <formula>NOT(ISERROR(SEARCH("Met",BM459)))</formula>
    </cfRule>
    <cfRule type="containsText" dxfId="576" priority="928" operator="containsText" text="Not Met">
      <formula>NOT(ISERROR(SEARCH("Not Met",BM459)))</formula>
    </cfRule>
    <cfRule type="containsText" dxfId="575" priority="929" operator="containsText" text="Met">
      <formula>NOT(ISERROR(SEARCH("Met",BM459)))</formula>
    </cfRule>
    <cfRule type="containsText" dxfId="574" priority="930" operator="containsText" text="Not Met">
      <formula>NOT(ISERROR(SEARCH("Not Met",BM459)))</formula>
    </cfRule>
    <cfRule type="containsText" dxfId="573" priority="931" operator="containsText" text="Met">
      <formula>NOT(ISERROR(SEARCH("Met",BM459)))</formula>
    </cfRule>
    <cfRule type="containsText" dxfId="572" priority="926" operator="containsText" text="Not Met">
      <formula>NOT(ISERROR(SEARCH("Not Met",BM459)))</formula>
    </cfRule>
  </conditionalFormatting>
  <conditionalFormatting sqref="BM467">
    <cfRule type="containsText" dxfId="571" priority="924" operator="containsText" text="Not Met">
      <formula>NOT(ISERROR(SEARCH("Not Met",BM467)))</formula>
    </cfRule>
    <cfRule type="containsText" dxfId="570" priority="925" operator="containsText" text="Met">
      <formula>NOT(ISERROR(SEARCH("Met",BM467)))</formula>
    </cfRule>
  </conditionalFormatting>
  <conditionalFormatting sqref="BM472:BM473 BM477 BM479 BM482">
    <cfRule type="containsText" dxfId="569" priority="917" operator="containsText" text="Met">
      <formula>NOT(ISERROR(SEARCH("Met",BM472)))</formula>
    </cfRule>
    <cfRule type="containsText" dxfId="568" priority="919" operator="containsText" text="Met">
      <formula>NOT(ISERROR(SEARCH("Met",BM472)))</formula>
    </cfRule>
    <cfRule type="containsText" dxfId="567" priority="921" operator="containsText" text="Met">
      <formula>NOT(ISERROR(SEARCH("Met",BM472)))</formula>
    </cfRule>
  </conditionalFormatting>
  <conditionalFormatting sqref="BM474:BM476 BM478 BM480 BM484:BM485">
    <cfRule type="containsText" dxfId="566" priority="922" operator="containsText" text="Not Met">
      <formula>NOT(ISERROR(SEARCH("Not Met",BM474)))</formula>
    </cfRule>
    <cfRule type="containsText" dxfId="565" priority="923" operator="containsText" text="Met">
      <formula>NOT(ISERROR(SEARCH("Met",BM474)))</formula>
    </cfRule>
  </conditionalFormatting>
  <conditionalFormatting sqref="BM477 BM479 BM482 BM472:BM473">
    <cfRule type="containsText" dxfId="564" priority="916" operator="containsText" text="Not Met">
      <formula>NOT(ISERROR(SEARCH("Not Met",BM472)))</formula>
    </cfRule>
    <cfRule type="containsText" dxfId="563" priority="918" operator="containsText" text="Not Met">
      <formula>NOT(ISERROR(SEARCH("Not Met",BM472)))</formula>
    </cfRule>
    <cfRule type="containsText" dxfId="562" priority="920" operator="containsText" text="Not Met">
      <formula>NOT(ISERROR(SEARCH("Not Met",BM472)))</formula>
    </cfRule>
  </conditionalFormatting>
  <conditionalFormatting sqref="BM481">
    <cfRule type="containsText" dxfId="561" priority="915" operator="containsText" text="Met">
      <formula>NOT(ISERROR(SEARCH("Met",BM481)))</formula>
    </cfRule>
    <cfRule type="containsText" dxfId="560" priority="914" operator="containsText" text="Not Met">
      <formula>NOT(ISERROR(SEARCH("Not Met",BM481)))</formula>
    </cfRule>
  </conditionalFormatting>
  <conditionalFormatting sqref="BM444:BN457">
    <cfRule type="containsText" dxfId="559" priority="731" operator="containsText" text="Met">
      <formula>NOT(ISERROR(SEARCH("Met",BM444)))</formula>
    </cfRule>
    <cfRule type="containsText" dxfId="558" priority="730" operator="containsText" text="Not Met">
      <formula>NOT(ISERROR(SEARCH("Not Met",BM444)))</formula>
    </cfRule>
  </conditionalFormatting>
  <conditionalFormatting sqref="BN444">
    <cfRule type="containsText" dxfId="557" priority="698" operator="containsText" text="Not Met">
      <formula>NOT(ISERROR(SEARCH("Not Met",BN444)))</formula>
    </cfRule>
    <cfRule type="containsText" dxfId="556" priority="699" operator="containsText" text="Met">
      <formula>NOT(ISERROR(SEARCH("Met",BN444)))</formula>
    </cfRule>
  </conditionalFormatting>
  <conditionalFormatting sqref="BN445 BN449 BN454">
    <cfRule type="containsText" dxfId="555" priority="758" operator="containsText" text="Not Met">
      <formula>NOT(ISERROR(SEARCH("Not Met",BN445)))</formula>
    </cfRule>
    <cfRule type="containsText" dxfId="554" priority="759" operator="containsText" text="Met">
      <formula>NOT(ISERROR(SEARCH("Met",BN445)))</formula>
    </cfRule>
  </conditionalFormatting>
  <conditionalFormatting sqref="BN446:BN448 BN450:BN453 BN455:BN457">
    <cfRule type="containsText" dxfId="553" priority="776" operator="containsText" text="Not Met">
      <formula>NOT(ISERROR(SEARCH("Not Met",BN446)))</formula>
    </cfRule>
    <cfRule type="containsText" dxfId="552" priority="777" operator="containsText" text="Met">
      <formula>NOT(ISERROR(SEARCH("Met",BN446)))</formula>
    </cfRule>
  </conditionalFormatting>
  <conditionalFormatting sqref="BO2:BO5">
    <cfRule type="containsText" dxfId="551" priority="359" operator="containsText" text="Not Met">
      <formula>NOT(ISERROR(SEARCH("Not Met",BO2)))</formula>
    </cfRule>
    <cfRule type="containsText" dxfId="550" priority="360" operator="containsText" text="Met">
      <formula>NOT(ISERROR(SEARCH("Met",BO2)))</formula>
    </cfRule>
  </conditionalFormatting>
  <conditionalFormatting sqref="BO5:BO6">
    <cfRule type="containsText" dxfId="549" priority="362" operator="containsText" text="Met">
      <formula>NOT(ISERROR(SEARCH("Met",BO5)))</formula>
    </cfRule>
    <cfRule type="containsText" dxfId="548" priority="361" operator="containsText" text="Not Met">
      <formula>NOT(ISERROR(SEARCH("Not Met",BO5)))</formula>
    </cfRule>
  </conditionalFormatting>
  <conditionalFormatting sqref="BO7">
    <cfRule type="containsText" dxfId="547" priority="444" operator="containsText" text="Not Met">
      <formula>NOT(ISERROR(SEARCH("Not Met",BO7)))</formula>
    </cfRule>
    <cfRule type="containsText" dxfId="546" priority="445" operator="containsText" text="Met">
      <formula>NOT(ISERROR(SEARCH("Met",BO7)))</formula>
    </cfRule>
    <cfRule type="containsText" dxfId="545" priority="447" operator="containsText" text="Met">
      <formula>NOT(ISERROR(SEARCH("Met",BO7)))</formula>
    </cfRule>
    <cfRule type="containsText" dxfId="544" priority="448" operator="containsText" text="Not Met">
      <formula>NOT(ISERROR(SEARCH("Not Met",BO7)))</formula>
    </cfRule>
    <cfRule type="containsText" dxfId="543" priority="446" operator="containsText" text="Not Met">
      <formula>NOT(ISERROR(SEARCH("Not Met",BO7)))</formula>
    </cfRule>
  </conditionalFormatting>
  <conditionalFormatting sqref="BO7:BO8">
    <cfRule type="containsText" dxfId="542" priority="449" operator="containsText" text="Not Met">
      <formula>NOT(ISERROR(SEARCH("Not Met",BO7)))</formula>
    </cfRule>
    <cfRule type="containsText" dxfId="541" priority="450" operator="containsText" text="Met">
      <formula>NOT(ISERROR(SEARCH("Met",BO7)))</formula>
    </cfRule>
  </conditionalFormatting>
  <conditionalFormatting sqref="BO8">
    <cfRule type="containsText" dxfId="540" priority="442" operator="containsText" text="Met">
      <formula>NOT(ISERROR(SEARCH("Met",BO8)))</formula>
    </cfRule>
    <cfRule type="containsText" dxfId="539" priority="441" operator="containsText" text="Not Met">
      <formula>NOT(ISERROR(SEARCH("Not Met",BO8)))</formula>
    </cfRule>
    <cfRule type="containsText" dxfId="538" priority="440" operator="containsText" text="Met">
      <formula>NOT(ISERROR(SEARCH("Met",BO8)))</formula>
    </cfRule>
    <cfRule type="containsText" dxfId="537" priority="439" operator="containsText" text="Not Met">
      <formula>NOT(ISERROR(SEARCH("Not Met",BO8)))</formula>
    </cfRule>
    <cfRule type="containsText" dxfId="536" priority="443" operator="containsText" text="Not Met">
      <formula>NOT(ISERROR(SEARCH("Not Met",BO8)))</formula>
    </cfRule>
  </conditionalFormatting>
  <conditionalFormatting sqref="BO10">
    <cfRule type="containsText" dxfId="535" priority="391" operator="containsText" text="Not Met">
      <formula>NOT(ISERROR(SEARCH("Not Met",BO10)))</formula>
    </cfRule>
    <cfRule type="containsText" dxfId="534" priority="392" operator="containsText" text="Met">
      <formula>NOT(ISERROR(SEARCH("Met",BO10)))</formula>
    </cfRule>
  </conditionalFormatting>
  <conditionalFormatting sqref="BO12">
    <cfRule type="containsText" dxfId="533" priority="410" operator="containsText" text="Met">
      <formula>NOT(ISERROR(SEARCH("Met",BO12)))</formula>
    </cfRule>
    <cfRule type="containsText" dxfId="532" priority="407" operator="containsText" text="Not Met">
      <formula>NOT(ISERROR(SEARCH("Not Met",BO12)))</formula>
    </cfRule>
    <cfRule type="containsText" dxfId="531" priority="405" operator="containsText" text="Not Met">
      <formula>NOT(ISERROR(SEARCH("Not Met",BO12)))</formula>
    </cfRule>
    <cfRule type="containsText" dxfId="530" priority="406" operator="containsText" text="Met">
      <formula>NOT(ISERROR(SEARCH("Met",BO12)))</formula>
    </cfRule>
    <cfRule type="containsText" dxfId="529" priority="408" operator="containsText" text="Met">
      <formula>NOT(ISERROR(SEARCH("Met",BO12)))</formula>
    </cfRule>
    <cfRule type="containsText" dxfId="528" priority="409" operator="containsText" text="Not Met">
      <formula>NOT(ISERROR(SEARCH("Not Met",BO12)))</formula>
    </cfRule>
  </conditionalFormatting>
  <conditionalFormatting sqref="BO15:BO19">
    <cfRule type="containsText" dxfId="527" priority="421" operator="containsText" text="Not Met">
      <formula>NOT(ISERROR(SEARCH("Not Met",BO15)))</formula>
    </cfRule>
    <cfRule type="containsText" dxfId="526" priority="422" operator="containsText" text="Met">
      <formula>NOT(ISERROR(SEARCH("Met",BO15)))</formula>
    </cfRule>
    <cfRule type="containsText" dxfId="525" priority="423" operator="containsText" text="Not Met">
      <formula>NOT(ISERROR(SEARCH("Not Met",BO15)))</formula>
    </cfRule>
    <cfRule type="containsText" dxfId="524" priority="424" operator="containsText" text="Met">
      <formula>NOT(ISERROR(SEARCH("Met",BO15)))</formula>
    </cfRule>
  </conditionalFormatting>
  <conditionalFormatting sqref="BO49:BO50 BO52:BO53">
    <cfRule type="containsText" dxfId="523" priority="363" operator="containsText" text="Not Met">
      <formula>NOT(ISERROR(SEARCH("Not Met",BO49)))</formula>
    </cfRule>
    <cfRule type="containsText" dxfId="522" priority="364" operator="containsText" text="Met">
      <formula>NOT(ISERROR(SEARCH("Met",BO49)))</formula>
    </cfRule>
  </conditionalFormatting>
  <conditionalFormatting sqref="BO51">
    <cfRule type="containsText" dxfId="521" priority="368" operator="containsText" text="Met">
      <formula>NOT(ISERROR(SEARCH("Met",BO51)))</formula>
    </cfRule>
    <cfRule type="containsText" dxfId="520" priority="366" operator="containsText" text="Met">
      <formula>NOT(ISERROR(SEARCH("Met",BO51)))</formula>
    </cfRule>
    <cfRule type="containsText" dxfId="519" priority="365" operator="containsText" text="Not Met">
      <formula>NOT(ISERROR(SEARCH("Not Met",BO51)))</formula>
    </cfRule>
    <cfRule type="containsText" dxfId="518" priority="367" operator="containsText" text="Not Met">
      <formula>NOT(ISERROR(SEARCH("Not Met",BO51)))</formula>
    </cfRule>
  </conditionalFormatting>
  <conditionalFormatting sqref="BO184:BO185">
    <cfRule type="containsText" dxfId="517" priority="374" operator="containsText" text="Met">
      <formula>NOT(ISERROR(SEARCH("Met",BO184)))</formula>
    </cfRule>
    <cfRule type="containsText" dxfId="516" priority="373" operator="containsText" text="Not Met">
      <formula>NOT(ISERROR(SEARCH("Not Met",BO184)))</formula>
    </cfRule>
  </conditionalFormatting>
  <conditionalFormatting sqref="BO192:BO211">
    <cfRule type="containsText" dxfId="515" priority="372" operator="containsText" text="Met">
      <formula>NOT(ISERROR(SEARCH("Met",BO192)))</formula>
    </cfRule>
    <cfRule type="containsText" dxfId="514" priority="369" operator="containsText" text="Not Met">
      <formula>NOT(ISERROR(SEARCH("Not Met",BO192)))</formula>
    </cfRule>
    <cfRule type="containsText" dxfId="513" priority="370" operator="containsText" text="Met">
      <formula>NOT(ISERROR(SEARCH("Met",BO192)))</formula>
    </cfRule>
    <cfRule type="containsText" dxfId="512" priority="371" operator="containsText" text="Not Met">
      <formula>NOT(ISERROR(SEARCH("Not Met",BO192)))</formula>
    </cfRule>
  </conditionalFormatting>
  <conditionalFormatting sqref="BO261">
    <cfRule type="containsText" dxfId="511" priority="458" operator="containsText" text="Met">
      <formula>NOT(ISERROR(SEARCH("Met",BO261)))</formula>
    </cfRule>
    <cfRule type="containsText" dxfId="510" priority="457" operator="containsText" text="Not Met">
      <formula>NOT(ISERROR(SEARCH("Not Met",BO261)))</formula>
    </cfRule>
  </conditionalFormatting>
  <conditionalFormatting sqref="BO263:BO264">
    <cfRule type="containsText" dxfId="509" priority="454" operator="containsText" text="Met">
      <formula>NOT(ISERROR(SEARCH("Met",BO263)))</formula>
    </cfRule>
    <cfRule type="containsText" dxfId="508" priority="453" operator="containsText" text="Not Met">
      <formula>NOT(ISERROR(SEARCH("Not Met",BO263)))</formula>
    </cfRule>
  </conditionalFormatting>
  <conditionalFormatting sqref="BO263:BO265">
    <cfRule type="containsText" dxfId="507" priority="456" operator="containsText" text="Met">
      <formula>NOT(ISERROR(SEARCH("Met",BO263)))</formula>
    </cfRule>
    <cfRule type="containsText" dxfId="506" priority="455" operator="containsText" text="Not Met">
      <formula>NOT(ISERROR(SEARCH("Not Met",BO263)))</formula>
    </cfRule>
  </conditionalFormatting>
  <conditionalFormatting sqref="BO280:BO286">
    <cfRule type="containsText" dxfId="505" priority="658" operator="containsText" text="Met">
      <formula>NOT(ISERROR(SEARCH("Met",BO280)))</formula>
    </cfRule>
    <cfRule type="containsText" dxfId="504" priority="657" operator="containsText" text="Not Met">
      <formula>NOT(ISERROR(SEARCH("Not Met",BO280)))</formula>
    </cfRule>
  </conditionalFormatting>
  <conditionalFormatting sqref="BO284 BO286">
    <cfRule type="containsText" dxfId="503" priority="651" operator="containsText" text="Not Met">
      <formula>NOT(ISERROR(SEARCH("Not Met",BO284)))</formula>
    </cfRule>
    <cfRule type="containsText" dxfId="502" priority="654" operator="containsText" text="Met">
      <formula>NOT(ISERROR(SEARCH("Met",BO284)))</formula>
    </cfRule>
    <cfRule type="containsText" dxfId="501" priority="652" operator="containsText" text="Met">
      <formula>NOT(ISERROR(SEARCH("Met",BO284)))</formula>
    </cfRule>
    <cfRule type="containsText" dxfId="500" priority="655" operator="containsText" text="Not Met">
      <formula>NOT(ISERROR(SEARCH("Not Met",BO284)))</formula>
    </cfRule>
    <cfRule type="containsText" dxfId="499" priority="653" operator="containsText" text="Not Met">
      <formula>NOT(ISERROR(SEARCH("Not Met",BO284)))</formula>
    </cfRule>
    <cfRule type="containsText" dxfId="498" priority="656" operator="containsText" text="Met">
      <formula>NOT(ISERROR(SEARCH("Met",BO284)))</formula>
    </cfRule>
  </conditionalFormatting>
  <conditionalFormatting sqref="BO303:BO304 BO313">
    <cfRule type="containsText" dxfId="497" priority="635" operator="containsText" text="Not Met">
      <formula>NOT(ISERROR(SEARCH("Not Met",BO303)))</formula>
    </cfRule>
    <cfRule type="containsText" dxfId="496" priority="636" operator="containsText" text="Met">
      <formula>NOT(ISERROR(SEARCH("Met",BO303)))</formula>
    </cfRule>
  </conditionalFormatting>
  <conditionalFormatting sqref="BO310">
    <cfRule type="containsText" dxfId="495" priority="629" operator="containsText" text="Not Met">
      <formula>NOT(ISERROR(SEARCH("Not Met",BO310)))</formula>
    </cfRule>
    <cfRule type="containsText" dxfId="494" priority="634" operator="containsText" text="Met">
      <formula>NOT(ISERROR(SEARCH("Met",BO310)))</formula>
    </cfRule>
    <cfRule type="containsText" dxfId="493" priority="632" operator="containsText" text="Met">
      <formula>NOT(ISERROR(SEARCH("Met",BO310)))</formula>
    </cfRule>
    <cfRule type="containsText" dxfId="492" priority="630" operator="containsText" text="Met">
      <formula>NOT(ISERROR(SEARCH("Met",BO310)))</formula>
    </cfRule>
    <cfRule type="containsText" dxfId="491" priority="631" operator="containsText" text="Not Met">
      <formula>NOT(ISERROR(SEARCH("Not Met",BO310)))</formula>
    </cfRule>
    <cfRule type="containsText" dxfId="490" priority="633" operator="containsText" text="Not Met">
      <formula>NOT(ISERROR(SEARCH("Not Met",BO310)))</formula>
    </cfRule>
  </conditionalFormatting>
  <conditionalFormatting sqref="BO311:BO312">
    <cfRule type="containsText" dxfId="489" priority="627" operator="containsText" text="Not Met">
      <formula>NOT(ISERROR(SEARCH("Not Met",BO311)))</formula>
    </cfRule>
    <cfRule type="containsText" dxfId="488" priority="628" operator="containsText" text="Met">
      <formula>NOT(ISERROR(SEARCH("Met",BO311)))</formula>
    </cfRule>
    <cfRule type="containsText" dxfId="487" priority="626" operator="containsText" text="Met">
      <formula>NOT(ISERROR(SEARCH("Met",BO311)))</formula>
    </cfRule>
    <cfRule type="containsText" dxfId="486" priority="624" operator="containsText" text="Met">
      <formula>NOT(ISERROR(SEARCH("Met",BO311)))</formula>
    </cfRule>
    <cfRule type="containsText" dxfId="485" priority="623" operator="containsText" text="Not Met">
      <formula>NOT(ISERROR(SEARCH("Not Met",BO311)))</formula>
    </cfRule>
    <cfRule type="containsText" dxfId="484" priority="625" operator="containsText" text="Not Met">
      <formula>NOT(ISERROR(SEARCH("Not Met",BO311)))</formula>
    </cfRule>
  </conditionalFormatting>
  <conditionalFormatting sqref="BO314">
    <cfRule type="containsText" dxfId="483" priority="622" operator="containsText" text="Met">
      <formula>NOT(ISERROR(SEARCH("Met",BO314)))</formula>
    </cfRule>
    <cfRule type="containsText" dxfId="482" priority="619" operator="containsText" text="Not Met">
      <formula>NOT(ISERROR(SEARCH("Not Met",BO314)))</formula>
    </cfRule>
    <cfRule type="containsText" dxfId="481" priority="620" operator="containsText" text="Met">
      <formula>NOT(ISERROR(SEARCH("Met",BO314)))</formula>
    </cfRule>
    <cfRule type="containsText" dxfId="480" priority="621" operator="containsText" text="Not Met">
      <formula>NOT(ISERROR(SEARCH("Not Met",BO314)))</formula>
    </cfRule>
    <cfRule type="containsText" dxfId="479" priority="617" operator="containsText" text="Not Met">
      <formula>NOT(ISERROR(SEARCH("Not Met",BO314)))</formula>
    </cfRule>
    <cfRule type="containsText" dxfId="478" priority="618" operator="containsText" text="Met">
      <formula>NOT(ISERROR(SEARCH("Met",BO314)))</formula>
    </cfRule>
  </conditionalFormatting>
  <conditionalFormatting sqref="BO338:BO340">
    <cfRule type="containsText" dxfId="477" priority="572" operator="containsText" text="Met">
      <formula>NOT(ISERROR(SEARCH("Met",BO338)))</formula>
    </cfRule>
    <cfRule type="containsText" dxfId="476" priority="571" operator="containsText" text="Not Met">
      <formula>NOT(ISERROR(SEARCH("Not Met",BO338)))</formula>
    </cfRule>
  </conditionalFormatting>
  <conditionalFormatting sqref="BO341:BO343 BO345">
    <cfRule type="containsText" dxfId="475" priority="579" operator="containsText" text="Not Met">
      <formula>NOT(ISERROR(SEARCH("Not Met",BO341)))</formula>
    </cfRule>
    <cfRule type="containsText" dxfId="474" priority="580" operator="containsText" text="Met">
      <formula>NOT(ISERROR(SEARCH("Met",BO341)))</formula>
    </cfRule>
  </conditionalFormatting>
  <conditionalFormatting sqref="BO341:BO343">
    <cfRule type="containsText" dxfId="473" priority="575" operator="containsText" text="Not Met">
      <formula>NOT(ISERROR(SEARCH("Not Met",BO341)))</formula>
    </cfRule>
    <cfRule type="containsText" dxfId="472" priority="578" operator="containsText" text="Met">
      <formula>NOT(ISERROR(SEARCH("Met",BO341)))</formula>
    </cfRule>
    <cfRule type="containsText" dxfId="471" priority="577" operator="containsText" text="Not Met">
      <formula>NOT(ISERROR(SEARCH("Not Met",BO341)))</formula>
    </cfRule>
    <cfRule type="containsText" dxfId="470" priority="576" operator="containsText" text="Met">
      <formula>NOT(ISERROR(SEARCH("Met",BO341)))</formula>
    </cfRule>
    <cfRule type="containsText" dxfId="469" priority="574" operator="containsText" text="Met">
      <formula>NOT(ISERROR(SEARCH("Met",BO341)))</formula>
    </cfRule>
    <cfRule type="containsText" dxfId="468" priority="573" operator="containsText" text="Not Met">
      <formula>NOT(ISERROR(SEARCH("Not Met",BO341)))</formula>
    </cfRule>
  </conditionalFormatting>
  <conditionalFormatting sqref="BO416">
    <cfRule type="containsText" dxfId="467" priority="537" operator="containsText" text="Not Met">
      <formula>NOT(ISERROR(SEARCH("Not Met",BO416)))</formula>
    </cfRule>
    <cfRule type="containsText" dxfId="466" priority="538" operator="containsText" text="Met">
      <formula>NOT(ISERROR(SEARCH("Met",BO416)))</formula>
    </cfRule>
  </conditionalFormatting>
  <conditionalFormatting sqref="BO458:BO466">
    <cfRule type="containsText" dxfId="465" priority="482" operator="containsText" text="Met">
      <formula>NOT(ISERROR(SEARCH("Met",BO458)))</formula>
    </cfRule>
    <cfRule type="containsText" dxfId="464" priority="481" operator="containsText" text="Not Met">
      <formula>NOT(ISERROR(SEARCH("Not Met",BO458)))</formula>
    </cfRule>
  </conditionalFormatting>
  <conditionalFormatting sqref="BO468:BO471 BO482:BO485">
    <cfRule type="containsText" dxfId="463" priority="532" operator="containsText" text="Met">
      <formula>NOT(ISERROR(SEARCH("Met",BO468)))</formula>
    </cfRule>
    <cfRule type="containsText" dxfId="462" priority="531" operator="containsText" text="Not Met">
      <formula>NOT(ISERROR(SEARCH("Not Met",BO468)))</formula>
    </cfRule>
  </conditionalFormatting>
  <conditionalFormatting sqref="BO472:BO480">
    <cfRule type="containsText" dxfId="461" priority="479" operator="containsText" text="Not Met">
      <formula>NOT(ISERROR(SEARCH("Not Met",BO472)))</formula>
    </cfRule>
    <cfRule type="containsText" dxfId="460" priority="480" operator="containsText" text="Met">
      <formula>NOT(ISERROR(SEARCH("Met",BO472)))</formula>
    </cfRule>
  </conditionalFormatting>
  <conditionalFormatting sqref="BO486">
    <cfRule type="containsText" dxfId="459" priority="525" operator="containsText" text="Not Met">
      <formula>NOT(ISERROR(SEARCH("Not Met",BO486)))</formula>
    </cfRule>
    <cfRule type="containsText" dxfId="458" priority="524" operator="containsText" text="Met">
      <formula>NOT(ISERROR(SEARCH("Met",BO486)))</formula>
    </cfRule>
    <cfRule type="containsText" dxfId="457" priority="523" operator="containsText" text="Not Met">
      <formula>NOT(ISERROR(SEARCH("Not Met",BO486)))</formula>
    </cfRule>
    <cfRule type="containsText" dxfId="456" priority="530" operator="containsText" text="Met">
      <formula>NOT(ISERROR(SEARCH("Met",BO486)))</formula>
    </cfRule>
    <cfRule type="containsText" dxfId="455" priority="529" operator="containsText" text="Not Met">
      <formula>NOT(ISERROR(SEARCH("Not Met",BO486)))</formula>
    </cfRule>
    <cfRule type="containsText" dxfId="454" priority="528" operator="containsText" text="Met">
      <formula>NOT(ISERROR(SEARCH("Met",BO486)))</formula>
    </cfRule>
    <cfRule type="containsText" dxfId="453" priority="527" operator="containsText" text="Not Met">
      <formula>NOT(ISERROR(SEARCH("Not Met",BO486)))</formula>
    </cfRule>
    <cfRule type="containsText" dxfId="452" priority="526" operator="containsText" text="Met">
      <formula>NOT(ISERROR(SEARCH("Met",BO486)))</formula>
    </cfRule>
  </conditionalFormatting>
  <conditionalFormatting sqref="BO487">
    <cfRule type="containsText" dxfId="451" priority="522" operator="containsText" text="Met">
      <formula>NOT(ISERROR(SEARCH("Met",BO487)))</formula>
    </cfRule>
    <cfRule type="containsText" dxfId="450" priority="516" operator="containsText" text="Met">
      <formula>NOT(ISERROR(SEARCH("Met",BO487)))</formula>
    </cfRule>
    <cfRule type="containsText" dxfId="449" priority="521" operator="containsText" text="Not Met">
      <formula>NOT(ISERROR(SEARCH("Not Met",BO487)))</formula>
    </cfRule>
    <cfRule type="containsText" dxfId="448" priority="520" operator="containsText" text="Met">
      <formula>NOT(ISERROR(SEARCH("Met",BO487)))</formula>
    </cfRule>
    <cfRule type="containsText" dxfId="447" priority="519" operator="containsText" text="Not Met">
      <formula>NOT(ISERROR(SEARCH("Not Met",BO487)))</formula>
    </cfRule>
    <cfRule type="containsText" dxfId="446" priority="517" operator="containsText" text="Not Met">
      <formula>NOT(ISERROR(SEARCH("Not Met",BO487)))</formula>
    </cfRule>
    <cfRule type="containsText" dxfId="445" priority="515" operator="containsText" text="Not Met">
      <formula>NOT(ISERROR(SEARCH("Not Met",BO487)))</formula>
    </cfRule>
    <cfRule type="containsText" dxfId="444" priority="518" operator="containsText" text="Met">
      <formula>NOT(ISERROR(SEARCH("Met",BO487)))</formula>
    </cfRule>
  </conditionalFormatting>
  <conditionalFormatting sqref="BO488">
    <cfRule type="containsText" dxfId="443" priority="508" operator="containsText" text="Met">
      <formula>NOT(ISERROR(SEARCH("Met",BO488)))</formula>
    </cfRule>
    <cfRule type="containsText" dxfId="442" priority="507" operator="containsText" text="Not Met">
      <formula>NOT(ISERROR(SEARCH("Not Met",BO488)))</formula>
    </cfRule>
    <cfRule type="containsText" dxfId="441" priority="509" operator="containsText" text="Not Met">
      <formula>NOT(ISERROR(SEARCH("Not Met",BO488)))</formula>
    </cfRule>
    <cfRule type="containsText" dxfId="440" priority="510" operator="containsText" text="Met">
      <formula>NOT(ISERROR(SEARCH("Met",BO488)))</formula>
    </cfRule>
    <cfRule type="containsText" dxfId="439" priority="511" operator="containsText" text="Not Met">
      <formula>NOT(ISERROR(SEARCH("Not Met",BO488)))</formula>
    </cfRule>
    <cfRule type="containsText" dxfId="438" priority="512" operator="containsText" text="Met">
      <formula>NOT(ISERROR(SEARCH("Met",BO488)))</formula>
    </cfRule>
    <cfRule type="containsText" dxfId="437" priority="513" operator="containsText" text="Not Met">
      <formula>NOT(ISERROR(SEARCH("Not Met",BO488)))</formula>
    </cfRule>
    <cfRule type="containsText" dxfId="436" priority="514" operator="containsText" text="Met">
      <formula>NOT(ISERROR(SEARCH("Met",BO488)))</formula>
    </cfRule>
  </conditionalFormatting>
  <conditionalFormatting sqref="BO489">
    <cfRule type="containsText" dxfId="435" priority="506" operator="containsText" text="Met">
      <formula>NOT(ISERROR(SEARCH("Met",BO489)))</formula>
    </cfRule>
    <cfRule type="containsText" dxfId="434" priority="505" operator="containsText" text="Not Met">
      <formula>NOT(ISERROR(SEARCH("Not Met",BO489)))</formula>
    </cfRule>
    <cfRule type="containsText" dxfId="433" priority="504" operator="containsText" text="Met">
      <formula>NOT(ISERROR(SEARCH("Met",BO489)))</formula>
    </cfRule>
    <cfRule type="containsText" dxfId="432" priority="503" operator="containsText" text="Not Met">
      <formula>NOT(ISERROR(SEARCH("Not Met",BO489)))</formula>
    </cfRule>
    <cfRule type="containsText" dxfId="431" priority="501" operator="containsText" text="Not Met">
      <formula>NOT(ISERROR(SEARCH("Not Met",BO489)))</formula>
    </cfRule>
    <cfRule type="containsText" dxfId="430" priority="499" operator="containsText" text="Not Met">
      <formula>NOT(ISERROR(SEARCH("Not Met",BO489)))</formula>
    </cfRule>
    <cfRule type="containsText" dxfId="429" priority="502" operator="containsText" text="Met">
      <formula>NOT(ISERROR(SEARCH("Met",BO489)))</formula>
    </cfRule>
    <cfRule type="containsText" dxfId="428" priority="500" operator="containsText" text="Met">
      <formula>NOT(ISERROR(SEARCH("Met",BO489)))</formula>
    </cfRule>
  </conditionalFormatting>
  <conditionalFormatting sqref="BO491">
    <cfRule type="containsText" dxfId="427" priority="491" operator="containsText" text="Not Met">
      <formula>NOT(ISERROR(SEARCH("Not Met",BO491)))</formula>
    </cfRule>
    <cfRule type="containsText" dxfId="426" priority="496" operator="containsText" text="Met">
      <formula>NOT(ISERROR(SEARCH("Met",BO491)))</formula>
    </cfRule>
    <cfRule type="containsText" dxfId="425" priority="497" operator="containsText" text="Not Met">
      <formula>NOT(ISERROR(SEARCH("Not Met",BO491)))</formula>
    </cfRule>
    <cfRule type="containsText" dxfId="424" priority="498" operator="containsText" text="Met">
      <formula>NOT(ISERROR(SEARCH("Met",BO491)))</formula>
    </cfRule>
    <cfRule type="containsText" dxfId="423" priority="492" operator="containsText" text="Met">
      <formula>NOT(ISERROR(SEARCH("Met",BO491)))</formula>
    </cfRule>
    <cfRule type="containsText" dxfId="422" priority="495" operator="containsText" text="Not Met">
      <formula>NOT(ISERROR(SEARCH("Not Met",BO491)))</formula>
    </cfRule>
    <cfRule type="containsText" dxfId="421" priority="493" operator="containsText" text="Not Met">
      <formula>NOT(ISERROR(SEARCH("Not Met",BO491)))</formula>
    </cfRule>
    <cfRule type="containsText" dxfId="420" priority="494" operator="containsText" text="Met">
      <formula>NOT(ISERROR(SEARCH("Met",BO491)))</formula>
    </cfRule>
  </conditionalFormatting>
  <conditionalFormatting sqref="BO492">
    <cfRule type="containsText" dxfId="419" priority="483" operator="containsText" text="Not Met">
      <formula>NOT(ISERROR(SEARCH("Not Met",BO492)))</formula>
    </cfRule>
    <cfRule type="containsText" dxfId="418" priority="485" operator="containsText" text="Not Met">
      <formula>NOT(ISERROR(SEARCH("Not Met",BO492)))</formula>
    </cfRule>
    <cfRule type="containsText" dxfId="417" priority="486" operator="containsText" text="Met">
      <formula>NOT(ISERROR(SEARCH("Met",BO492)))</formula>
    </cfRule>
    <cfRule type="containsText" dxfId="416" priority="487" operator="containsText" text="Not Met">
      <formula>NOT(ISERROR(SEARCH("Not Met",BO492)))</formula>
    </cfRule>
    <cfRule type="containsText" dxfId="415" priority="488" operator="containsText" text="Met">
      <formula>NOT(ISERROR(SEARCH("Met",BO492)))</formula>
    </cfRule>
    <cfRule type="containsText" dxfId="414" priority="489" operator="containsText" text="Not Met">
      <formula>NOT(ISERROR(SEARCH("Not Met",BO492)))</formula>
    </cfRule>
    <cfRule type="containsText" dxfId="413" priority="490" operator="containsText" text="Met">
      <formula>NOT(ISERROR(SEARCH("Met",BO492)))</formula>
    </cfRule>
    <cfRule type="containsText" dxfId="412" priority="484" operator="containsText" text="Met">
      <formula>NOT(ISERROR(SEARCH("Met",BO492)))</formula>
    </cfRule>
  </conditionalFormatting>
  <conditionalFormatting sqref="BQ2:BQ5">
    <cfRule type="containsText" dxfId="411" priority="355" operator="containsText" text="Not Met">
      <formula>NOT(ISERROR(SEARCH("Not Met",BQ2)))</formula>
    </cfRule>
    <cfRule type="containsText" dxfId="410" priority="356" operator="containsText" text="Met">
      <formula>NOT(ISERROR(SEARCH("Met",BQ2)))</formula>
    </cfRule>
  </conditionalFormatting>
  <conditionalFormatting sqref="BQ5:BQ6">
    <cfRule type="containsText" dxfId="409" priority="357" operator="containsText" text="Not Met">
      <formula>NOT(ISERROR(SEARCH("Not Met",BQ5)))</formula>
    </cfRule>
    <cfRule type="containsText" dxfId="408" priority="358" operator="containsText" text="Met">
      <formula>NOT(ISERROR(SEARCH("Met",BQ5)))</formula>
    </cfRule>
  </conditionalFormatting>
  <conditionalFormatting sqref="BQ7">
    <cfRule type="containsText" dxfId="407" priority="435" operator="containsText" text="Met">
      <formula>NOT(ISERROR(SEARCH("Met",BQ7)))</formula>
    </cfRule>
    <cfRule type="containsText" dxfId="406" priority="436" operator="containsText" text="Not Met">
      <formula>NOT(ISERROR(SEARCH("Not Met",BQ7)))</formula>
    </cfRule>
    <cfRule type="containsText" dxfId="405" priority="434" operator="containsText" text="Not Met">
      <formula>NOT(ISERROR(SEARCH("Not Met",BQ7)))</formula>
    </cfRule>
    <cfRule type="containsText" dxfId="404" priority="433" operator="containsText" text="Met">
      <formula>NOT(ISERROR(SEARCH("Met",BQ7)))</formula>
    </cfRule>
    <cfRule type="containsText" dxfId="403" priority="432" operator="containsText" text="Not Met">
      <formula>NOT(ISERROR(SEARCH("Not Met",BQ7)))</formula>
    </cfRule>
  </conditionalFormatting>
  <conditionalFormatting sqref="BQ7:BQ8">
    <cfRule type="containsText" dxfId="402" priority="438" operator="containsText" text="Met">
      <formula>NOT(ISERROR(SEARCH("Met",BQ7)))</formula>
    </cfRule>
    <cfRule type="containsText" dxfId="401" priority="437" operator="containsText" text="Not Met">
      <formula>NOT(ISERROR(SEARCH("Not Met",BQ7)))</formula>
    </cfRule>
  </conditionalFormatting>
  <conditionalFormatting sqref="BQ8">
    <cfRule type="containsText" dxfId="400" priority="427" operator="containsText" text="Not Met">
      <formula>NOT(ISERROR(SEARCH("Not Met",BQ8)))</formula>
    </cfRule>
    <cfRule type="containsText" dxfId="399" priority="431" operator="containsText" text="Not Met">
      <formula>NOT(ISERROR(SEARCH("Not Met",BQ8)))</formula>
    </cfRule>
    <cfRule type="containsText" dxfId="398" priority="430" operator="containsText" text="Met">
      <formula>NOT(ISERROR(SEARCH("Met",BQ8)))</formula>
    </cfRule>
    <cfRule type="containsText" dxfId="397" priority="429" operator="containsText" text="Not Met">
      <formula>NOT(ISERROR(SEARCH("Not Met",BQ8)))</formula>
    </cfRule>
    <cfRule type="containsText" dxfId="396" priority="428" operator="containsText" text="Met">
      <formula>NOT(ISERROR(SEARCH("Met",BQ8)))</formula>
    </cfRule>
  </conditionalFormatting>
  <conditionalFormatting sqref="BQ10">
    <cfRule type="containsText" dxfId="395" priority="390" operator="containsText" text="Met">
      <formula>NOT(ISERROR(SEARCH("Met",BQ10)))</formula>
    </cfRule>
    <cfRule type="containsText" dxfId="394" priority="389" operator="containsText" text="Not Met">
      <formula>NOT(ISERROR(SEARCH("Not Met",BQ10)))</formula>
    </cfRule>
  </conditionalFormatting>
  <conditionalFormatting sqref="BQ12">
    <cfRule type="containsText" dxfId="393" priority="400" operator="containsText" text="Met">
      <formula>NOT(ISERROR(SEARCH("Met",BQ12)))</formula>
    </cfRule>
    <cfRule type="containsText" dxfId="392" priority="399" operator="containsText" text="Not Met">
      <formula>NOT(ISERROR(SEARCH("Not Met",BQ12)))</formula>
    </cfRule>
    <cfRule type="containsText" dxfId="391" priority="402" operator="containsText" text="Met">
      <formula>NOT(ISERROR(SEARCH("Met",BQ12)))</formula>
    </cfRule>
    <cfRule type="containsText" dxfId="390" priority="404" operator="containsText" text="Met">
      <formula>NOT(ISERROR(SEARCH("Met",BQ12)))</formula>
    </cfRule>
    <cfRule type="containsText" dxfId="389" priority="403" operator="containsText" text="Not Met">
      <formula>NOT(ISERROR(SEARCH("Not Met",BQ12)))</formula>
    </cfRule>
    <cfRule type="containsText" dxfId="388" priority="401" operator="containsText" text="Not Met">
      <formula>NOT(ISERROR(SEARCH("Not Met",BQ12)))</formula>
    </cfRule>
  </conditionalFormatting>
  <conditionalFormatting sqref="BQ15:BQ19">
    <cfRule type="containsText" dxfId="387" priority="417" operator="containsText" text="Not Met">
      <formula>NOT(ISERROR(SEARCH("Not Met",BQ15)))</formula>
    </cfRule>
    <cfRule type="containsText" dxfId="386" priority="420" operator="containsText" text="Met">
      <formula>NOT(ISERROR(SEARCH("Met",BQ15)))</formula>
    </cfRule>
    <cfRule type="containsText" dxfId="385" priority="419" operator="containsText" text="Not Met">
      <formula>NOT(ISERROR(SEARCH("Not Met",BQ15)))</formula>
    </cfRule>
    <cfRule type="containsText" dxfId="384" priority="418" operator="containsText" text="Met">
      <formula>NOT(ISERROR(SEARCH("Met",BQ15)))</formula>
    </cfRule>
  </conditionalFormatting>
  <conditionalFormatting sqref="BQ280:BQ281">
    <cfRule type="containsText" dxfId="383" priority="642" operator="containsText" text="Met">
      <formula>NOT(ISERROR(SEARCH("Met",BQ280)))</formula>
    </cfRule>
    <cfRule type="containsText" dxfId="382" priority="641" operator="containsText" text="Not Met">
      <formula>NOT(ISERROR(SEARCH("Not Met",BQ280)))</formula>
    </cfRule>
  </conditionalFormatting>
  <conditionalFormatting sqref="BQ303">
    <cfRule type="containsText" dxfId="381" priority="599" operator="containsText" text="Not Met">
      <formula>NOT(ISERROR(SEARCH("Not Met",BQ303)))</formula>
    </cfRule>
    <cfRule type="containsText" dxfId="380" priority="600" operator="containsText" text="Met">
      <formula>NOT(ISERROR(SEARCH("Met",BQ303)))</formula>
    </cfRule>
  </conditionalFormatting>
  <conditionalFormatting sqref="BQ304 BQ311:BQ312">
    <cfRule type="containsText" dxfId="379" priority="601" operator="containsText" text="Not Met">
      <formula>NOT(ISERROR(SEARCH("Not Met",BQ304)))</formula>
    </cfRule>
    <cfRule type="containsText" dxfId="378" priority="602" operator="containsText" text="Met">
      <formula>NOT(ISERROR(SEARCH("Met",BQ304)))</formula>
    </cfRule>
  </conditionalFormatting>
  <conditionalFormatting sqref="BQ310">
    <cfRule type="containsText" dxfId="377" priority="615" operator="containsText" text="Not Met">
      <formula>NOT(ISERROR(SEARCH("Not Met",BQ310)))</formula>
    </cfRule>
    <cfRule type="containsText" dxfId="376" priority="616" operator="containsText" text="Met">
      <formula>NOT(ISERROR(SEARCH("Met",BQ310)))</formula>
    </cfRule>
    <cfRule type="containsText" dxfId="375" priority="611" operator="containsText" text="Not Met">
      <formula>NOT(ISERROR(SEARCH("Not Met",BQ310)))</formula>
    </cfRule>
    <cfRule type="containsText" dxfId="374" priority="612" operator="containsText" text="Met">
      <formula>NOT(ISERROR(SEARCH("Met",BQ310)))</formula>
    </cfRule>
    <cfRule type="containsText" dxfId="373" priority="613" operator="containsText" text="Not Met">
      <formula>NOT(ISERROR(SEARCH("Not Met",BQ310)))</formula>
    </cfRule>
    <cfRule type="containsText" dxfId="372" priority="614" operator="containsText" text="Met">
      <formula>NOT(ISERROR(SEARCH("Met",BQ310)))</formula>
    </cfRule>
  </conditionalFormatting>
  <conditionalFormatting sqref="BQ311:BQ312">
    <cfRule type="containsText" dxfId="371" priority="605" operator="containsText" text="Not Met">
      <formula>NOT(ISERROR(SEARCH("Not Met",BQ311)))</formula>
    </cfRule>
    <cfRule type="containsText" dxfId="370" priority="607" operator="containsText" text="Not Met">
      <formula>NOT(ISERROR(SEARCH("Not Met",BQ311)))</formula>
    </cfRule>
    <cfRule type="containsText" dxfId="369" priority="606" operator="containsText" text="Met">
      <formula>NOT(ISERROR(SEARCH("Met",BQ311)))</formula>
    </cfRule>
    <cfRule type="containsText" dxfId="368" priority="608" operator="containsText" text="Met">
      <formula>NOT(ISERROR(SEARCH("Met",BQ311)))</formula>
    </cfRule>
    <cfRule type="containsText" dxfId="367" priority="609" operator="containsText" text="Not Met">
      <formula>NOT(ISERROR(SEARCH("Not Met",BQ311)))</formula>
    </cfRule>
    <cfRule type="containsText" dxfId="366" priority="610" operator="containsText" text="Met">
      <formula>NOT(ISERROR(SEARCH("Met",BQ311)))</formula>
    </cfRule>
  </conditionalFormatting>
  <conditionalFormatting sqref="BQ313">
    <cfRule type="containsText" dxfId="365" priority="603" operator="containsText" text="Not Met">
      <formula>NOT(ISERROR(SEARCH("Not Met",BQ313)))</formula>
    </cfRule>
    <cfRule type="containsText" dxfId="364" priority="604" operator="containsText" text="Met">
      <formula>NOT(ISERROR(SEARCH("Met",BQ313)))</formula>
    </cfRule>
  </conditionalFormatting>
  <conditionalFormatting sqref="BQ314">
    <cfRule type="containsText" dxfId="363" priority="593" operator="containsText" text="Not Met">
      <formula>NOT(ISERROR(SEARCH("Not Met",BQ314)))</formula>
    </cfRule>
    <cfRule type="containsText" dxfId="362" priority="598" operator="containsText" text="Met">
      <formula>NOT(ISERROR(SEARCH("Met",BQ314)))</formula>
    </cfRule>
    <cfRule type="containsText" dxfId="361" priority="597" operator="containsText" text="Not Met">
      <formula>NOT(ISERROR(SEARCH("Not Met",BQ314)))</formula>
    </cfRule>
    <cfRule type="containsText" dxfId="360" priority="596" operator="containsText" text="Met">
      <formula>NOT(ISERROR(SEARCH("Met",BQ314)))</formula>
    </cfRule>
    <cfRule type="containsText" dxfId="359" priority="595" operator="containsText" text="Not Met">
      <formula>NOT(ISERROR(SEARCH("Not Met",BQ314)))</formula>
    </cfRule>
    <cfRule type="containsText" dxfId="358" priority="594" operator="containsText" text="Met">
      <formula>NOT(ISERROR(SEARCH("Met",BQ314)))</formula>
    </cfRule>
  </conditionalFormatting>
  <conditionalFormatting sqref="BQ338">
    <cfRule type="containsText" dxfId="357" priority="566" operator="containsText" text="Met">
      <formula>NOT(ISERROR(SEARCH("Met",BQ338)))</formula>
    </cfRule>
    <cfRule type="containsText" dxfId="356" priority="565" operator="containsText" text="Not Met">
      <formula>NOT(ISERROR(SEARCH("Not Met",BQ338)))</formula>
    </cfRule>
  </conditionalFormatting>
  <conditionalFormatting sqref="BQ339 BQ341:BQ343">
    <cfRule type="containsText" dxfId="355" priority="568" operator="containsText" text="Met">
      <formula>NOT(ISERROR(SEARCH("Met",BQ339)))</formula>
    </cfRule>
    <cfRule type="containsText" dxfId="354" priority="567" operator="containsText" text="Not Met">
      <formula>NOT(ISERROR(SEARCH("Not Met",BQ339)))</formula>
    </cfRule>
  </conditionalFormatting>
  <conditionalFormatting sqref="BQ340">
    <cfRule type="containsText" dxfId="353" priority="564" operator="containsText" text="Met">
      <formula>NOT(ISERROR(SEARCH("Met",BQ340)))</formula>
    </cfRule>
    <cfRule type="containsText" dxfId="352" priority="563" operator="containsText" text="Not Met">
      <formula>NOT(ISERROR(SEARCH("Not Met",BQ340)))</formula>
    </cfRule>
  </conditionalFormatting>
  <conditionalFormatting sqref="BQ344">
    <cfRule type="containsText" dxfId="351" priority="562" operator="containsText" text="Met">
      <formula>NOT(ISERROR(SEARCH("Met",BQ344)))</formula>
    </cfRule>
    <cfRule type="containsText" dxfId="350" priority="561" operator="containsText" text="Not Met">
      <formula>NOT(ISERROR(SEARCH("Not Met",BQ344)))</formula>
    </cfRule>
    <cfRule type="containsText" dxfId="349" priority="560" operator="containsText" text="Met">
      <formula>NOT(ISERROR(SEARCH("Met",BQ344)))</formula>
    </cfRule>
    <cfRule type="containsText" dxfId="348" priority="559" operator="containsText" text="Not Met">
      <formula>NOT(ISERROR(SEARCH("Not Met",BQ344)))</formula>
    </cfRule>
    <cfRule type="containsText" dxfId="347" priority="558" operator="containsText" text="Met">
      <formula>NOT(ISERROR(SEARCH("Met",BQ344)))</formula>
    </cfRule>
    <cfRule type="containsText" dxfId="346" priority="557" operator="containsText" text="Not Met">
      <formula>NOT(ISERROR(SEARCH("Not Met",BQ344)))</formula>
    </cfRule>
    <cfRule type="containsText" dxfId="345" priority="556" operator="containsText" text="Met">
      <formula>NOT(ISERROR(SEARCH("Met",BQ344)))</formula>
    </cfRule>
    <cfRule type="containsText" dxfId="344" priority="555" operator="containsText" text="Not Met">
      <formula>NOT(ISERROR(SEARCH("Not Met",BQ344)))</formula>
    </cfRule>
  </conditionalFormatting>
  <conditionalFormatting sqref="BQ345">
    <cfRule type="containsText" dxfId="343" priority="570" operator="containsText" text="Met">
      <formula>NOT(ISERROR(SEARCH("Met",BQ345)))</formula>
    </cfRule>
    <cfRule type="containsText" dxfId="342" priority="569" operator="containsText" text="Not Met">
      <formula>NOT(ISERROR(SEARCH("Not Met",BQ345)))</formula>
    </cfRule>
  </conditionalFormatting>
  <conditionalFormatting sqref="BQ416">
    <cfRule type="containsText" dxfId="341" priority="536" operator="containsText" text="Met">
      <formula>NOT(ISERROR(SEARCH("Met",BQ416)))</formula>
    </cfRule>
    <cfRule type="containsText" dxfId="340" priority="535" operator="containsText" text="Not Met">
      <formula>NOT(ISERROR(SEARCH("Not Met",BQ416)))</formula>
    </cfRule>
  </conditionalFormatting>
  <conditionalFormatting sqref="BQ458:BQ466">
    <cfRule type="containsText" dxfId="339" priority="478" operator="containsText" text="Met">
      <formula>NOT(ISERROR(SEARCH("Met",BQ458)))</formula>
    </cfRule>
    <cfRule type="containsText" dxfId="338" priority="477" operator="containsText" text="Not Met">
      <formula>NOT(ISERROR(SEARCH("Not Met",BQ458)))</formula>
    </cfRule>
  </conditionalFormatting>
  <conditionalFormatting sqref="BQ472:BQ480">
    <cfRule type="containsText" dxfId="337" priority="475" operator="containsText" text="Not Met">
      <formula>NOT(ISERROR(SEARCH("Not Met",BQ472)))</formula>
    </cfRule>
    <cfRule type="containsText" dxfId="336" priority="476" operator="containsText" text="Met">
      <formula>NOT(ISERROR(SEARCH("Met",BQ472)))</formula>
    </cfRule>
  </conditionalFormatting>
  <conditionalFormatting sqref="BS2:BS5">
    <cfRule type="containsText" dxfId="335" priority="331" operator="containsText" text="Not Met">
      <formula>NOT(ISERROR(SEARCH("Not Met",BS2)))</formula>
    </cfRule>
    <cfRule type="containsText" dxfId="334" priority="332" operator="containsText" text="Met">
      <formula>NOT(ISERROR(SEARCH("Met",BS2)))</formula>
    </cfRule>
  </conditionalFormatting>
  <conditionalFormatting sqref="BS5:BS6">
    <cfRule type="containsText" dxfId="333" priority="333" operator="containsText" text="Not Met">
      <formula>NOT(ISERROR(SEARCH("Not Met",BS5)))</formula>
    </cfRule>
    <cfRule type="containsText" dxfId="332" priority="334" operator="containsText" text="Met">
      <formula>NOT(ISERROR(SEARCH("Met",BS5)))</formula>
    </cfRule>
  </conditionalFormatting>
  <conditionalFormatting sqref="BS7:BS10 BS12:BS15">
    <cfRule type="containsText" dxfId="331" priority="336" operator="containsText" text="Met">
      <formula>NOT(ISERROR(SEARCH("Met",BS7)))</formula>
    </cfRule>
    <cfRule type="containsText" dxfId="330" priority="335" operator="containsText" text="Not Met">
      <formula>NOT(ISERROR(SEARCH("Not Met",BS7)))</formula>
    </cfRule>
  </conditionalFormatting>
  <conditionalFormatting sqref="BS16:BS19">
    <cfRule type="containsText" dxfId="329" priority="2" operator="containsText" text="Met">
      <formula>NOT(ISERROR(SEARCH("Met",BS16)))</formula>
    </cfRule>
    <cfRule type="containsText" dxfId="328" priority="3" operator="containsText" text="Not Met">
      <formula>NOT(ISERROR(SEARCH("Not Met",BS16)))</formula>
    </cfRule>
    <cfRule type="containsText" dxfId="327" priority="1" operator="containsText" text="Not Met">
      <formula>NOT(ISERROR(SEARCH("Not Met",BS16)))</formula>
    </cfRule>
    <cfRule type="containsText" dxfId="326" priority="4" operator="containsText" text="Met">
      <formula>NOT(ISERROR(SEARCH("Met",BS16)))</formula>
    </cfRule>
  </conditionalFormatting>
  <conditionalFormatting sqref="BS20:BS25">
    <cfRule type="containsText" dxfId="325" priority="338" operator="containsText" text="Met">
      <formula>NOT(ISERROR(SEARCH("Met",BS20)))</formula>
    </cfRule>
    <cfRule type="containsText" dxfId="324" priority="337" operator="containsText" text="Not Met">
      <formula>NOT(ISERROR(SEARCH("Not Met",BS20)))</formula>
    </cfRule>
  </conditionalFormatting>
  <conditionalFormatting sqref="BS27:BS33">
    <cfRule type="containsText" dxfId="323" priority="339" operator="containsText" text="Not Met">
      <formula>NOT(ISERROR(SEARCH("Not Met",BS27)))</formula>
    </cfRule>
    <cfRule type="containsText" dxfId="322" priority="340" operator="containsText" text="Met">
      <formula>NOT(ISERROR(SEARCH("Met",BS27)))</formula>
    </cfRule>
  </conditionalFormatting>
  <conditionalFormatting sqref="BS34:BS41">
    <cfRule type="containsText" dxfId="321" priority="327" operator="containsText" text="Not Met">
      <formula>NOT(ISERROR(SEARCH("Not Met",BS34)))</formula>
    </cfRule>
    <cfRule type="containsText" dxfId="320" priority="328" operator="containsText" text="Met">
      <formula>NOT(ISERROR(SEARCH("Met",BS34)))</formula>
    </cfRule>
    <cfRule type="containsText" dxfId="319" priority="329" operator="containsText" text="Not Met">
      <formula>NOT(ISERROR(SEARCH("Not Met",BS34)))</formula>
    </cfRule>
    <cfRule type="containsText" dxfId="318" priority="330" operator="containsText" text="Met">
      <formula>NOT(ISERROR(SEARCH("Met",BS34)))</formula>
    </cfRule>
  </conditionalFormatting>
  <conditionalFormatting sqref="BS42:BS47">
    <cfRule type="containsText" dxfId="317" priority="318" operator="containsText" text="Met">
      <formula>NOT(ISERROR(SEARCH("Met",BS42)))</formula>
    </cfRule>
    <cfRule type="containsText" dxfId="316" priority="317" operator="containsText" text="Not Met">
      <formula>NOT(ISERROR(SEARCH("Not Met",BS42)))</formula>
    </cfRule>
    <cfRule type="containsText" dxfId="315" priority="316" operator="containsText" text="Met">
      <formula>NOT(ISERROR(SEARCH("Met",BS42)))</formula>
    </cfRule>
    <cfRule type="containsText" dxfId="314" priority="315" operator="containsText" text="Not Met">
      <formula>NOT(ISERROR(SEARCH("Not Met",BS42)))</formula>
    </cfRule>
  </conditionalFormatting>
  <conditionalFormatting sqref="BS48">
    <cfRule type="containsText" dxfId="313" priority="314" operator="containsText" text="Met">
      <formula>NOT(ISERROR(SEARCH("Met",BS48)))</formula>
    </cfRule>
    <cfRule type="containsText" dxfId="312" priority="313" operator="containsText" text="Not Met">
      <formula>NOT(ISERROR(SEARCH("Not Met",BS48)))</formula>
    </cfRule>
    <cfRule type="containsText" dxfId="311" priority="312" operator="containsText" text="Met">
      <formula>NOT(ISERROR(SEARCH("Met",BS48)))</formula>
    </cfRule>
    <cfRule type="containsText" dxfId="310" priority="311" operator="containsText" text="Not Met">
      <formula>NOT(ISERROR(SEARCH("Not Met",BS48)))</formula>
    </cfRule>
  </conditionalFormatting>
  <conditionalFormatting sqref="BS49:BS53">
    <cfRule type="containsText" dxfId="309" priority="325" operator="containsText" text="Not Met">
      <formula>NOT(ISERROR(SEARCH("Not Met",BS49)))</formula>
    </cfRule>
    <cfRule type="containsText" dxfId="308" priority="326" operator="containsText" text="Met">
      <formula>NOT(ISERROR(SEARCH("Met",BS49)))</formula>
    </cfRule>
  </conditionalFormatting>
  <conditionalFormatting sqref="BS54:BS69 BS72:BS89">
    <cfRule type="containsText" dxfId="307" priority="319" operator="containsText" text="Not Met">
      <formula>NOT(ISERROR(SEARCH("Not Met",BS54)))</formula>
    </cfRule>
    <cfRule type="containsText" dxfId="306" priority="322" operator="containsText" text="Met">
      <formula>NOT(ISERROR(SEARCH("Met",BS54)))</formula>
    </cfRule>
    <cfRule type="containsText" dxfId="305" priority="320" operator="containsText" text="Met">
      <formula>NOT(ISERROR(SEARCH("Met",BS54)))</formula>
    </cfRule>
    <cfRule type="containsText" dxfId="304" priority="321" operator="containsText" text="Not Met">
      <formula>NOT(ISERROR(SEARCH("Not Met",BS54)))</formula>
    </cfRule>
  </conditionalFormatting>
  <conditionalFormatting sqref="BS70:BS71">
    <cfRule type="containsText" dxfId="303" priority="323" operator="containsText" text="Not Met">
      <formula>NOT(ISERROR(SEARCH("Not Met",BS70)))</formula>
    </cfRule>
    <cfRule type="containsText" dxfId="302" priority="324" operator="containsText" text="Met">
      <formula>NOT(ISERROR(SEARCH("Met",BS70)))</formula>
    </cfRule>
  </conditionalFormatting>
  <conditionalFormatting sqref="BS89">
    <cfRule type="containsText" dxfId="301" priority="310" operator="containsText" text="Met">
      <formula>NOT(ISERROR(SEARCH("Met",BS89)))</formula>
    </cfRule>
    <cfRule type="containsText" dxfId="300" priority="309" operator="containsText" text="Not Met">
      <formula>NOT(ISERROR(SEARCH("Not Met",BS89)))</formula>
    </cfRule>
    <cfRule type="containsText" dxfId="299" priority="307" operator="containsText" text="Not Met">
      <formula>NOT(ISERROR(SEARCH("Not Met",BS89)))</formula>
    </cfRule>
    <cfRule type="containsText" dxfId="298" priority="308" operator="containsText" text="Met">
      <formula>NOT(ISERROR(SEARCH("Met",BS89)))</formula>
    </cfRule>
  </conditionalFormatting>
  <conditionalFormatting sqref="BS90:BS96">
    <cfRule type="containsText" dxfId="297" priority="306" operator="containsText" text="Met">
      <formula>NOT(ISERROR(SEARCH("Met",BS90)))</formula>
    </cfRule>
    <cfRule type="containsText" dxfId="296" priority="305" operator="containsText" text="Not Met">
      <formula>NOT(ISERROR(SEARCH("Not Met",BS90)))</formula>
    </cfRule>
    <cfRule type="containsText" dxfId="295" priority="304" operator="containsText" text="Met">
      <formula>NOT(ISERROR(SEARCH("Met",BS90)))</formula>
    </cfRule>
    <cfRule type="containsText" dxfId="294" priority="303" operator="containsText" text="Not Met">
      <formula>NOT(ISERROR(SEARCH("Not Met",BS90)))</formula>
    </cfRule>
  </conditionalFormatting>
  <conditionalFormatting sqref="BS97:BS104">
    <cfRule type="containsText" dxfId="293" priority="302" operator="containsText" text="Met">
      <formula>NOT(ISERROR(SEARCH("Met",BS97)))</formula>
    </cfRule>
    <cfRule type="containsText" dxfId="292" priority="301" operator="containsText" text="Not Met">
      <formula>NOT(ISERROR(SEARCH("Not Met",BS97)))</formula>
    </cfRule>
  </conditionalFormatting>
  <conditionalFormatting sqref="BS113:BS123">
    <cfRule type="containsText" dxfId="291" priority="284" operator="containsText" text="Met">
      <formula>NOT(ISERROR(SEARCH("Met",BS113)))</formula>
    </cfRule>
    <cfRule type="containsText" dxfId="290" priority="283" operator="containsText" text="Not Met">
      <formula>NOT(ISERROR(SEARCH("Not Met",BS113)))</formula>
    </cfRule>
  </conditionalFormatting>
  <conditionalFormatting sqref="BS124:BS128">
    <cfRule type="containsText" dxfId="289" priority="291" operator="containsText" text="Not Met">
      <formula>NOT(ISERROR(SEARCH("Not Met",BS124)))</formula>
    </cfRule>
    <cfRule type="containsText" dxfId="288" priority="292" operator="containsText" text="Met">
      <formula>NOT(ISERROR(SEARCH("Met",BS124)))</formula>
    </cfRule>
  </conditionalFormatting>
  <conditionalFormatting sqref="BS129">
    <cfRule type="containsText" dxfId="287" priority="289" operator="containsText" text="Not Met">
      <formula>NOT(ISERROR(SEARCH("Not Met",BS129)))</formula>
    </cfRule>
    <cfRule type="containsText" dxfId="286" priority="290" operator="containsText" text="Met">
      <formula>NOT(ISERROR(SEARCH("Met",BS129)))</formula>
    </cfRule>
  </conditionalFormatting>
  <conditionalFormatting sqref="BS130:BS134">
    <cfRule type="containsText" dxfId="285" priority="294" operator="containsText" text="Met">
      <formula>NOT(ISERROR(SEARCH("Met",BS130)))</formula>
    </cfRule>
    <cfRule type="containsText" dxfId="284" priority="293" operator="containsText" text="Not Met">
      <formula>NOT(ISERROR(SEARCH("Not Met",BS130)))</formula>
    </cfRule>
  </conditionalFormatting>
  <conditionalFormatting sqref="BS135:BS141">
    <cfRule type="containsText" dxfId="283" priority="270" operator="containsText" text="Met">
      <formula>NOT(ISERROR(SEARCH("Met",BS135)))</formula>
    </cfRule>
    <cfRule type="containsText" dxfId="282" priority="269" operator="containsText" text="Not Met">
      <formula>NOT(ISERROR(SEARCH("Not Met",BS135)))</formula>
    </cfRule>
    <cfRule type="containsText" dxfId="281" priority="268" operator="containsText" text="Met">
      <formula>NOT(ISERROR(SEARCH("Met",BS135)))</formula>
    </cfRule>
    <cfRule type="containsText" dxfId="280" priority="267" operator="containsText" text="Not Met">
      <formula>NOT(ISERROR(SEARCH("Not Met",BS135)))</formula>
    </cfRule>
  </conditionalFormatting>
  <conditionalFormatting sqref="BS142:BS146">
    <cfRule type="containsText" dxfId="279" priority="274" operator="containsText" text="Met">
      <formula>NOT(ISERROR(SEARCH("Met",BS142)))</formula>
    </cfRule>
    <cfRule type="containsText" dxfId="278" priority="273" operator="containsText" text="Not Met">
      <formula>NOT(ISERROR(SEARCH("Not Met",BS142)))</formula>
    </cfRule>
    <cfRule type="containsText" dxfId="277" priority="272" operator="containsText" text="Met">
      <formula>NOT(ISERROR(SEARCH("Met",BS142)))</formula>
    </cfRule>
    <cfRule type="containsText" dxfId="276" priority="271" operator="containsText" text="Not Met">
      <formula>NOT(ISERROR(SEARCH("Not Met",BS142)))</formula>
    </cfRule>
  </conditionalFormatting>
  <conditionalFormatting sqref="BS147:BS154">
    <cfRule type="containsText" dxfId="275" priority="300" operator="containsText" text="Met">
      <formula>NOT(ISERROR(SEARCH("Met",BS147)))</formula>
    </cfRule>
    <cfRule type="containsText" dxfId="274" priority="299" operator="containsText" text="Not Met">
      <formula>NOT(ISERROR(SEARCH("Not Met",BS147)))</formula>
    </cfRule>
  </conditionalFormatting>
  <conditionalFormatting sqref="BS155:BS162">
    <cfRule type="containsText" dxfId="273" priority="266" operator="containsText" text="Met">
      <formula>NOT(ISERROR(SEARCH("Met",BS155)))</formula>
    </cfRule>
    <cfRule type="containsText" dxfId="272" priority="265" operator="containsText" text="Not Met">
      <formula>NOT(ISERROR(SEARCH("Not Met",BS155)))</formula>
    </cfRule>
  </conditionalFormatting>
  <conditionalFormatting sqref="BS171:BS175 BS177:BS180">
    <cfRule type="containsText" dxfId="271" priority="286" operator="containsText" text="Met">
      <formula>NOT(ISERROR(SEARCH("Met",BS171)))</formula>
    </cfRule>
    <cfRule type="containsText" dxfId="270" priority="285" operator="containsText" text="Not Met">
      <formula>NOT(ISERROR(SEARCH("Not Met",BS171)))</formula>
    </cfRule>
  </conditionalFormatting>
  <conditionalFormatting sqref="BS176 BS181">
    <cfRule type="containsText" dxfId="269" priority="288" operator="containsText" text="Met">
      <formula>NOT(ISERROR(SEARCH("Met",BS176)))</formula>
    </cfRule>
    <cfRule type="containsText" dxfId="268" priority="287" operator="containsText" text="Not Met">
      <formula>NOT(ISERROR(SEARCH("Not Met",BS176)))</formula>
    </cfRule>
  </conditionalFormatting>
  <conditionalFormatting sqref="BS182:BS191">
    <cfRule type="containsText" dxfId="267" priority="298" operator="containsText" text="Met">
      <formula>NOT(ISERROR(SEARCH("Met",BS182)))</formula>
    </cfRule>
    <cfRule type="containsText" dxfId="266" priority="297" operator="containsText" text="Not Met">
      <formula>NOT(ISERROR(SEARCH("Not Met",BS182)))</formula>
    </cfRule>
  </conditionalFormatting>
  <conditionalFormatting sqref="BS212:BS228">
    <cfRule type="containsText" dxfId="265" priority="282" operator="containsText" text="Met">
      <formula>NOT(ISERROR(SEARCH("Met",BS212)))</formula>
    </cfRule>
    <cfRule type="containsText" dxfId="264" priority="280" operator="containsText" text="Met">
      <formula>NOT(ISERROR(SEARCH("Met",BS212)))</formula>
    </cfRule>
    <cfRule type="containsText" dxfId="263" priority="279" operator="containsText" text="Not Met">
      <formula>NOT(ISERROR(SEARCH("Not Met",BS212)))</formula>
    </cfRule>
    <cfRule type="containsText" dxfId="262" priority="281" operator="containsText" text="Not Met">
      <formula>NOT(ISERROR(SEARCH("Not Met",BS212)))</formula>
    </cfRule>
  </conditionalFormatting>
  <conditionalFormatting sqref="BS229:BS242">
    <cfRule type="containsText" dxfId="261" priority="295" operator="containsText" text="Not Met">
      <formula>NOT(ISERROR(SEARCH("Not Met",BS229)))</formula>
    </cfRule>
    <cfRule type="containsText" dxfId="260" priority="296" operator="containsText" text="Met">
      <formula>NOT(ISERROR(SEARCH("Met",BS229)))</formula>
    </cfRule>
  </conditionalFormatting>
  <conditionalFormatting sqref="BS243:BS256">
    <cfRule type="containsText" dxfId="259" priority="277" operator="containsText" text="Not Met">
      <formula>NOT(ISERROR(SEARCH("Not Met",BS243)))</formula>
    </cfRule>
    <cfRule type="containsText" dxfId="258" priority="278" operator="containsText" text="Met">
      <formula>NOT(ISERROR(SEARCH("Met",BS243)))</formula>
    </cfRule>
    <cfRule type="containsText" dxfId="257" priority="275" operator="containsText" text="Not Met">
      <formula>NOT(ISERROR(SEARCH("Not Met",BS243)))</formula>
    </cfRule>
    <cfRule type="containsText" dxfId="256" priority="276" operator="containsText" text="Met">
      <formula>NOT(ISERROR(SEARCH("Met",BS243)))</formula>
    </cfRule>
  </conditionalFormatting>
  <conditionalFormatting sqref="BS257:BS265">
    <cfRule type="containsText" dxfId="255" priority="241" operator="containsText" text="Not Met">
      <formula>NOT(ISERROR(SEARCH("Not Met",BS257)))</formula>
    </cfRule>
    <cfRule type="containsText" dxfId="254" priority="242" operator="containsText" text="Met">
      <formula>NOT(ISERROR(SEARCH("Met",BS257)))</formula>
    </cfRule>
  </conditionalFormatting>
  <conditionalFormatting sqref="BS262">
    <cfRule type="containsText" dxfId="253" priority="240" operator="containsText" text="Met">
      <formula>NOT(ISERROR(SEARCH("Met",BS262)))</formula>
    </cfRule>
    <cfRule type="containsText" dxfId="252" priority="239" operator="containsText" text="Not Met">
      <formula>NOT(ISERROR(SEARCH("Not Met",BS262)))</formula>
    </cfRule>
    <cfRule type="containsText" dxfId="251" priority="238" operator="containsText" text="Met">
      <formula>NOT(ISERROR(SEARCH("Met",BS262)))</formula>
    </cfRule>
    <cfRule type="containsText" dxfId="250" priority="237" operator="containsText" text="Not Met">
      <formula>NOT(ISERROR(SEARCH("Not Met",BS262)))</formula>
    </cfRule>
    <cfRule type="containsText" dxfId="249" priority="236" operator="containsText" text="Met">
      <formula>NOT(ISERROR(SEARCH("Met",BS262)))</formula>
    </cfRule>
    <cfRule type="containsText" dxfId="248" priority="235" operator="containsText" text="Not Met">
      <formula>NOT(ISERROR(SEARCH("Not Met",BS262)))</formula>
    </cfRule>
  </conditionalFormatting>
  <conditionalFormatting sqref="BS266:BS272 BS304:BS310">
    <cfRule type="containsText" dxfId="247" priority="262" operator="containsText" text="Met">
      <formula>NOT(ISERROR(SEARCH("Met",BS266)))</formula>
    </cfRule>
  </conditionalFormatting>
  <conditionalFormatting sqref="BS273:BS279 BS288:BS294">
    <cfRule type="containsText" dxfId="246" priority="234" operator="containsText" text="Met">
      <formula>NOT(ISERROR(SEARCH("Met",BS273)))</formula>
    </cfRule>
    <cfRule type="containsText" dxfId="245" priority="232" operator="containsText" text="Met">
      <formula>NOT(ISERROR(SEARCH("Met",BS273)))</formula>
    </cfRule>
  </conditionalFormatting>
  <conditionalFormatting sqref="BS280:BS286 BS313">
    <cfRule type="containsText" dxfId="244" priority="264" operator="containsText" text="Met">
      <formula>NOT(ISERROR(SEARCH("Met",BS280)))</formula>
    </cfRule>
    <cfRule type="containsText" dxfId="243" priority="263" operator="containsText" text="Not Met">
      <formula>NOT(ISERROR(SEARCH("Not Met",BS280)))</formula>
    </cfRule>
  </conditionalFormatting>
  <conditionalFormatting sqref="BS288:BS294 BS273:BS279">
    <cfRule type="containsText" dxfId="242" priority="233" operator="containsText" text="Not Met">
      <formula>NOT(ISERROR(SEARCH("Not Met",BS273)))</formula>
    </cfRule>
    <cfRule type="containsText" dxfId="241" priority="231" operator="containsText" text="Not Met">
      <formula>NOT(ISERROR(SEARCH("Not Met",BS273)))</formula>
    </cfRule>
  </conditionalFormatting>
  <conditionalFormatting sqref="BS295:BS302">
    <cfRule type="containsText" dxfId="240" priority="244" operator="containsText" text="Met">
      <formula>NOT(ISERROR(SEARCH("Met",BS295)))</formula>
    </cfRule>
    <cfRule type="containsText" dxfId="239" priority="243" operator="containsText" text="Not Met">
      <formula>NOT(ISERROR(SEARCH("Not Met",BS295)))</formula>
    </cfRule>
  </conditionalFormatting>
  <conditionalFormatting sqref="BS303">
    <cfRule type="containsText" dxfId="238" priority="257" operator="containsText" text="Not Met">
      <formula>NOT(ISERROR(SEARCH("Not Met",BS303)))</formula>
    </cfRule>
    <cfRule type="containsText" dxfId="237" priority="258" operator="containsText" text="Met">
      <formula>NOT(ISERROR(SEARCH("Met",BS303)))</formula>
    </cfRule>
  </conditionalFormatting>
  <conditionalFormatting sqref="BS304:BS310 BS266:BS272">
    <cfRule type="containsText" dxfId="236" priority="261" operator="containsText" text="Not Met">
      <formula>NOT(ISERROR(SEARCH("Not Met",BS266)))</formula>
    </cfRule>
  </conditionalFormatting>
  <conditionalFormatting sqref="BS311:BS312">
    <cfRule type="containsText" dxfId="235" priority="253" operator="containsText" text="Not Met">
      <formula>NOT(ISERROR(SEARCH("Not Met",BS311)))</formula>
    </cfRule>
    <cfRule type="containsText" dxfId="234" priority="254" operator="containsText" text="Met">
      <formula>NOT(ISERROR(SEARCH("Met",BS311)))</formula>
    </cfRule>
    <cfRule type="containsText" dxfId="233" priority="255" operator="containsText" text="Not Met">
      <formula>NOT(ISERROR(SEARCH("Not Met",BS311)))</formula>
    </cfRule>
    <cfRule type="containsText" dxfId="232" priority="256" operator="containsText" text="Met">
      <formula>NOT(ISERROR(SEARCH("Met",BS311)))</formula>
    </cfRule>
  </conditionalFormatting>
  <conditionalFormatting sqref="BS314">
    <cfRule type="containsText" dxfId="231" priority="250" operator="containsText" text="Met">
      <formula>NOT(ISERROR(SEARCH("Met",BS314)))</formula>
    </cfRule>
    <cfRule type="containsText" dxfId="230" priority="249" operator="containsText" text="Not Met">
      <formula>NOT(ISERROR(SEARCH("Not Met",BS314)))</formula>
    </cfRule>
    <cfRule type="containsText" dxfId="229" priority="252" operator="containsText" text="Met">
      <formula>NOT(ISERROR(SEARCH("Met",BS314)))</formula>
    </cfRule>
    <cfRule type="containsText" dxfId="228" priority="251" operator="containsText" text="Not Met">
      <formula>NOT(ISERROR(SEARCH("Not Met",BS314)))</formula>
    </cfRule>
  </conditionalFormatting>
  <conditionalFormatting sqref="BS323:BS329">
    <cfRule type="containsText" dxfId="227" priority="245" operator="containsText" text="Not Met">
      <formula>NOT(ISERROR(SEARCH("Not Met",BS323)))</formula>
    </cfRule>
    <cfRule type="containsText" dxfId="226" priority="246" operator="containsText" text="Met">
      <formula>NOT(ISERROR(SEARCH("Met",BS323)))</formula>
    </cfRule>
    <cfRule type="containsText" dxfId="225" priority="247" operator="containsText" text="Not Met">
      <formula>NOT(ISERROR(SEARCH("Not Met",BS323)))</formula>
    </cfRule>
    <cfRule type="containsText" dxfId="224" priority="248" operator="containsText" text="Met">
      <formula>NOT(ISERROR(SEARCH("Met",BS323)))</formula>
    </cfRule>
  </conditionalFormatting>
  <conditionalFormatting sqref="BS330:BS337">
    <cfRule type="containsText" dxfId="223" priority="230" operator="containsText" text="Not Met">
      <formula>NOT(ISERROR(SEARCH("Not Met",BS330)))</formula>
    </cfRule>
    <cfRule type="containsText" dxfId="222" priority="229" operator="containsText" text="Met">
      <formula>NOT(ISERROR(SEARCH("Met",BS330)))</formula>
    </cfRule>
  </conditionalFormatting>
  <conditionalFormatting sqref="BS338:BS344">
    <cfRule type="containsText" dxfId="221" priority="260" operator="containsText" text="Met">
      <formula>NOT(ISERROR(SEARCH("Met",BS338)))</formula>
    </cfRule>
    <cfRule type="containsText" dxfId="220" priority="259" operator="containsText" text="Not Met">
      <formula>NOT(ISERROR(SEARCH("Not Met",BS338)))</formula>
    </cfRule>
  </conditionalFormatting>
  <conditionalFormatting sqref="BS346:BS352">
    <cfRule type="containsText" dxfId="219" priority="228" operator="containsText" text="Met">
      <formula>NOT(ISERROR(SEARCH("Met",BS346)))</formula>
    </cfRule>
    <cfRule type="containsText" dxfId="218" priority="227" operator="containsText" text="Not Met">
      <formula>NOT(ISERROR(SEARCH("Not Met",BS346)))</formula>
    </cfRule>
  </conditionalFormatting>
  <conditionalFormatting sqref="BS364:BS412">
    <cfRule type="containsText" dxfId="217" priority="225" operator="containsText" text="Not Met">
      <formula>NOT(ISERROR(SEARCH("Not Met",BS364)))</formula>
    </cfRule>
    <cfRule type="containsText" dxfId="216" priority="226" operator="containsText" text="Met">
      <formula>NOT(ISERROR(SEARCH("Met",BS364)))</formula>
    </cfRule>
  </conditionalFormatting>
  <conditionalFormatting sqref="BS416">
    <cfRule type="containsText" dxfId="215" priority="223" operator="containsText" text="Not Met">
      <formula>NOT(ISERROR(SEARCH("Not Met",BS416)))</formula>
    </cfRule>
    <cfRule type="containsText" dxfId="214" priority="224" operator="containsText" text="Met">
      <formula>NOT(ISERROR(SEARCH("Met",BS416)))</formula>
    </cfRule>
  </conditionalFormatting>
  <conditionalFormatting sqref="BS444:BS457">
    <cfRule type="containsText" dxfId="213" priority="220" operator="containsText" text="Met">
      <formula>NOT(ISERROR(SEARCH("Met",BS444)))</formula>
    </cfRule>
    <cfRule type="containsText" dxfId="212" priority="219" operator="containsText" text="Not Met">
      <formula>NOT(ISERROR(SEARCH("Not Met",BS444)))</formula>
    </cfRule>
  </conditionalFormatting>
  <conditionalFormatting sqref="BS458:BS466">
    <cfRule type="containsText" dxfId="211" priority="198" operator="containsText" text="Met">
      <formula>NOT(ISERROR(SEARCH("Met",BS458)))</formula>
    </cfRule>
    <cfRule type="containsText" dxfId="210" priority="197" operator="containsText" text="Not Met">
      <formula>NOT(ISERROR(SEARCH("Not Met",BS458)))</formula>
    </cfRule>
  </conditionalFormatting>
  <conditionalFormatting sqref="BS468">
    <cfRule type="containsText" dxfId="209" priority="217" operator="containsText" text="Not Met">
      <formula>NOT(ISERROR(SEARCH("Not Met",BS468)))</formula>
    </cfRule>
    <cfRule type="containsText" dxfId="208" priority="218" operator="containsText" text="Met">
      <formula>NOT(ISERROR(SEARCH("Met",BS468)))</formula>
    </cfRule>
  </conditionalFormatting>
  <conditionalFormatting sqref="BS469:BS472">
    <cfRule type="containsText" dxfId="207" priority="216" operator="containsText" text="Met">
      <formula>NOT(ISERROR(SEARCH("Met",BS469)))</formula>
    </cfRule>
    <cfRule type="containsText" dxfId="206" priority="215" operator="containsText" text="Not Met">
      <formula>NOT(ISERROR(SEARCH("Not Met",BS469)))</formula>
    </cfRule>
  </conditionalFormatting>
  <conditionalFormatting sqref="BS473">
    <cfRule type="containsText" dxfId="205" priority="214" operator="containsText" text="Met">
      <formula>NOT(ISERROR(SEARCH("Met",BS473)))</formula>
    </cfRule>
    <cfRule type="containsText" dxfId="204" priority="213" operator="containsText" text="Not Met">
      <formula>NOT(ISERROR(SEARCH("Not Met",BS473)))</formula>
    </cfRule>
  </conditionalFormatting>
  <conditionalFormatting sqref="BS474:BS476">
    <cfRule type="containsText" dxfId="203" priority="212" operator="containsText" text="Met">
      <formula>NOT(ISERROR(SEARCH("Met",BS474)))</formula>
    </cfRule>
    <cfRule type="containsText" dxfId="202" priority="211" operator="containsText" text="Not Met">
      <formula>NOT(ISERROR(SEARCH("Not Met",BS474)))</formula>
    </cfRule>
  </conditionalFormatting>
  <conditionalFormatting sqref="BS477">
    <cfRule type="containsText" dxfId="201" priority="210" operator="containsText" text="Met">
      <formula>NOT(ISERROR(SEARCH("Met",BS477)))</formula>
    </cfRule>
    <cfRule type="containsText" dxfId="200" priority="209" operator="containsText" text="Not Met">
      <formula>NOT(ISERROR(SEARCH("Not Met",BS477)))</formula>
    </cfRule>
  </conditionalFormatting>
  <conditionalFormatting sqref="BS478">
    <cfRule type="containsText" dxfId="199" priority="208" operator="containsText" text="Met">
      <formula>NOT(ISERROR(SEARCH("Met",BS478)))</formula>
    </cfRule>
    <cfRule type="containsText" dxfId="198" priority="207" operator="containsText" text="Not Met">
      <formula>NOT(ISERROR(SEARCH("Not Met",BS478)))</formula>
    </cfRule>
  </conditionalFormatting>
  <conditionalFormatting sqref="BS479">
    <cfRule type="containsText" dxfId="197" priority="206" operator="containsText" text="Met">
      <formula>NOT(ISERROR(SEARCH("Met",BS479)))</formula>
    </cfRule>
    <cfRule type="containsText" dxfId="196" priority="205" operator="containsText" text="Not Met">
      <formula>NOT(ISERROR(SEARCH("Not Met",BS479)))</formula>
    </cfRule>
  </conditionalFormatting>
  <conditionalFormatting sqref="BS480">
    <cfRule type="containsText" dxfId="195" priority="204" operator="containsText" text="Met">
      <formula>NOT(ISERROR(SEARCH("Met",BS480)))</formula>
    </cfRule>
    <cfRule type="containsText" dxfId="194" priority="203" operator="containsText" text="Not Met">
      <formula>NOT(ISERROR(SEARCH("Not Met",BS480)))</formula>
    </cfRule>
  </conditionalFormatting>
  <conditionalFormatting sqref="BS481">
    <cfRule type="containsText" dxfId="193" priority="196" operator="containsText" text="Met">
      <formula>NOT(ISERROR(SEARCH("Met",BS481)))</formula>
    </cfRule>
    <cfRule type="containsText" dxfId="192" priority="195" operator="containsText" text="Not Met">
      <formula>NOT(ISERROR(SEARCH("Not Met",BS481)))</formula>
    </cfRule>
  </conditionalFormatting>
  <conditionalFormatting sqref="BS482">
    <cfRule type="containsText" dxfId="191" priority="202" operator="containsText" text="Met">
      <formula>NOT(ISERROR(SEARCH("Met",BS482)))</formula>
    </cfRule>
    <cfRule type="containsText" dxfId="190" priority="201" operator="containsText" text="Not Met">
      <formula>NOT(ISERROR(SEARCH("Not Met",BS482)))</formula>
    </cfRule>
  </conditionalFormatting>
  <conditionalFormatting sqref="BS484:BS485">
    <cfRule type="containsText" dxfId="189" priority="199" operator="containsText" text="Not Met">
      <formula>NOT(ISERROR(SEARCH("Not Met",BS484)))</formula>
    </cfRule>
    <cfRule type="containsText" dxfId="188" priority="200" operator="containsText" text="Met">
      <formula>NOT(ISERROR(SEARCH("Met",BS484)))</formula>
    </cfRule>
  </conditionalFormatting>
  <conditionalFormatting sqref="BU2:BU5">
    <cfRule type="containsText" dxfId="187" priority="191" operator="containsText" text="Not Met">
      <formula>NOT(ISERROR(SEARCH("Not Met",BU2)))</formula>
    </cfRule>
    <cfRule type="containsText" dxfId="186" priority="192" operator="containsText" text="Met">
      <formula>NOT(ISERROR(SEARCH("Met",BU2)))</formula>
    </cfRule>
  </conditionalFormatting>
  <conditionalFormatting sqref="BU5:BU6 BU51">
    <cfRule type="containsText" dxfId="185" priority="193" operator="containsText" text="Not Met">
      <formula>NOT(ISERROR(SEARCH("Not Met",BU5)))</formula>
    </cfRule>
    <cfRule type="containsText" dxfId="184" priority="194" operator="containsText" text="Met">
      <formula>NOT(ISERROR(SEARCH("Met",BU5)))</formula>
    </cfRule>
  </conditionalFormatting>
  <conditionalFormatting sqref="BU7:BU10 BU12:BU15 BU49:BU50 BU52:BU53 BU78:BU89">
    <cfRule type="containsText" dxfId="183" priority="150" operator="containsText" text="Met">
      <formula>NOT(ISERROR(SEARCH("Met",BU7)))</formula>
    </cfRule>
  </conditionalFormatting>
  <conditionalFormatting sqref="BU11 BU16:BU19">
    <cfRule type="containsText" dxfId="182" priority="168" operator="containsText" text="Met">
      <formula>NOT(ISERROR(SEARCH("Met",BU11)))</formula>
    </cfRule>
    <cfRule type="containsText" dxfId="181" priority="167" operator="containsText" text="Not Met">
      <formula>NOT(ISERROR(SEARCH("Not Met",BU11)))</formula>
    </cfRule>
  </conditionalFormatting>
  <conditionalFormatting sqref="BU11">
    <cfRule type="containsText" dxfId="180" priority="169" operator="containsText" text="Not Met">
      <formula>NOT(ISERROR(SEARCH("Not Met",BU11)))</formula>
    </cfRule>
    <cfRule type="containsText" dxfId="179" priority="170" operator="containsText" text="Met">
      <formula>NOT(ISERROR(SEARCH("Met",BU11)))</formula>
    </cfRule>
  </conditionalFormatting>
  <conditionalFormatting sqref="BU16:BU19">
    <cfRule type="containsText" dxfId="178" priority="166" operator="containsText" text="Met">
      <formula>NOT(ISERROR(SEARCH("Met",BU16)))</formula>
    </cfRule>
    <cfRule type="containsText" dxfId="177" priority="165" operator="containsText" text="Not Met">
      <formula>NOT(ISERROR(SEARCH("Not Met",BU16)))</formula>
    </cfRule>
  </conditionalFormatting>
  <conditionalFormatting sqref="BU20:BU25 BU27:BU41 BU54:BU59">
    <cfRule type="containsText" dxfId="176" priority="188" operator="containsText" text="Met">
      <formula>NOT(ISERROR(SEARCH("Met",BU20)))</formula>
    </cfRule>
  </conditionalFormatting>
  <conditionalFormatting sqref="BU31">
    <cfRule type="containsText" dxfId="175" priority="151" operator="containsText" text="Not Met">
      <formula>NOT(ISERROR(SEARCH("Not Met",BU31)))</formula>
    </cfRule>
    <cfRule type="containsText" dxfId="174" priority="152" operator="containsText" text="Met">
      <formula>NOT(ISERROR(SEARCH("Met",BU31)))</formula>
    </cfRule>
  </conditionalFormatting>
  <conditionalFormatting sqref="BU33">
    <cfRule type="containsText" dxfId="173" priority="184" operator="containsText" text="Met">
      <formula>NOT(ISERROR(SEARCH("Met",BU33)))</formula>
    </cfRule>
    <cfRule type="containsText" dxfId="172" priority="183" operator="containsText" text="Not Met">
      <formula>NOT(ISERROR(SEARCH("Not Met",BU33)))</formula>
    </cfRule>
    <cfRule type="containsText" dxfId="171" priority="186" operator="containsText" text="Met">
      <formula>NOT(ISERROR(SEARCH("Met",BU33)))</formula>
    </cfRule>
    <cfRule type="containsText" dxfId="170" priority="185" operator="containsText" text="Not Met">
      <formula>NOT(ISERROR(SEARCH("Not Met",BU33)))</formula>
    </cfRule>
  </conditionalFormatting>
  <conditionalFormatting sqref="BU42:BU48">
    <cfRule type="containsText" dxfId="169" priority="155" operator="containsText" text="Not Met">
      <formula>NOT(ISERROR(SEARCH("Not Met",BU42)))</formula>
    </cfRule>
    <cfRule type="containsText" dxfId="168" priority="156" operator="containsText" text="Met">
      <formula>NOT(ISERROR(SEARCH("Met",BU42)))</formula>
    </cfRule>
    <cfRule type="containsText" dxfId="167" priority="153" operator="containsText" text="Not Met">
      <formula>NOT(ISERROR(SEARCH("Not Met",BU42)))</formula>
    </cfRule>
    <cfRule type="containsText" dxfId="166" priority="154" operator="containsText" text="Met">
      <formula>NOT(ISERROR(SEARCH("Met",BU42)))</formula>
    </cfRule>
  </conditionalFormatting>
  <conditionalFormatting sqref="BU51">
    <cfRule type="containsText" dxfId="165" priority="190" operator="containsText" text="Met">
      <formula>NOT(ISERROR(SEARCH("Met",BU51)))</formula>
    </cfRule>
    <cfRule type="containsText" dxfId="164" priority="189" operator="containsText" text="Not Met">
      <formula>NOT(ISERROR(SEARCH("Not Met",BU51)))</formula>
    </cfRule>
  </conditionalFormatting>
  <conditionalFormatting sqref="BU54:BU59 BU27:BU41 BU20:BU25">
    <cfRule type="containsText" dxfId="163" priority="187" operator="containsText" text="Not Met">
      <formula>NOT(ISERROR(SEARCH("Not Met",BU20)))</formula>
    </cfRule>
  </conditionalFormatting>
  <conditionalFormatting sqref="BU60:BU61">
    <cfRule type="containsText" dxfId="162" priority="181" operator="containsText" text="Not Met">
      <formula>NOT(ISERROR(SEARCH("Not Met",BU60)))</formula>
    </cfRule>
    <cfRule type="containsText" dxfId="161" priority="182" operator="containsText" text="Met">
      <formula>NOT(ISERROR(SEARCH("Met",BU60)))</formula>
    </cfRule>
  </conditionalFormatting>
  <conditionalFormatting sqref="BU62:BU68">
    <cfRule type="containsText" dxfId="160" priority="163" operator="containsText" text="Not Met">
      <formula>NOT(ISERROR(SEARCH("Not Met",BU62)))</formula>
    </cfRule>
    <cfRule type="containsText" dxfId="159" priority="164" operator="containsText" text="Met">
      <formula>NOT(ISERROR(SEARCH("Met",BU62)))</formula>
    </cfRule>
  </conditionalFormatting>
  <conditionalFormatting sqref="BU69">
    <cfRule type="containsText" dxfId="158" priority="162" operator="containsText" text="Met">
      <formula>NOT(ISERROR(SEARCH("Met",BU69)))</formula>
    </cfRule>
    <cfRule type="containsText" dxfId="157" priority="158" operator="containsText" text="Met">
      <formula>NOT(ISERROR(SEARCH("Met",BU69)))</formula>
    </cfRule>
    <cfRule type="containsText" dxfId="156" priority="161" operator="containsText" text="Not Met">
      <formula>NOT(ISERROR(SEARCH("Not Met",BU69)))</formula>
    </cfRule>
    <cfRule type="containsText" dxfId="155" priority="160" operator="containsText" text="Met">
      <formula>NOT(ISERROR(SEARCH("Met",BU69)))</formula>
    </cfRule>
    <cfRule type="containsText" dxfId="154" priority="159" operator="containsText" text="Not Met">
      <formula>NOT(ISERROR(SEARCH("Not Met",BU69)))</formula>
    </cfRule>
    <cfRule type="containsText" dxfId="153" priority="157" operator="containsText" text="Not Met">
      <formula>NOT(ISERROR(SEARCH("Not Met",BU69)))</formula>
    </cfRule>
  </conditionalFormatting>
  <conditionalFormatting sqref="BU72:BU74 BU76:BU77">
    <cfRule type="containsText" dxfId="152" priority="180" operator="containsText" text="Met">
      <formula>NOT(ISERROR(SEARCH("Met",BU72)))</formula>
    </cfRule>
    <cfRule type="containsText" dxfId="151" priority="175" operator="containsText" text="Not Met">
      <formula>NOT(ISERROR(SEARCH("Not Met",BU72)))</formula>
    </cfRule>
    <cfRule type="containsText" dxfId="150" priority="178" operator="containsText" text="Met">
      <formula>NOT(ISERROR(SEARCH("Met",BU72)))</formula>
    </cfRule>
    <cfRule type="containsText" dxfId="149" priority="179" operator="containsText" text="Not Met">
      <formula>NOT(ISERROR(SEARCH("Not Met",BU72)))</formula>
    </cfRule>
    <cfRule type="containsText" dxfId="148" priority="177" operator="containsText" text="Not Met">
      <formula>NOT(ISERROR(SEARCH("Not Met",BU72)))</formula>
    </cfRule>
    <cfRule type="containsText" dxfId="147" priority="176" operator="containsText" text="Met">
      <formula>NOT(ISERROR(SEARCH("Met",BU72)))</formula>
    </cfRule>
  </conditionalFormatting>
  <conditionalFormatting sqref="BU75">
    <cfRule type="containsText" dxfId="146" priority="174" operator="containsText" text="Met">
      <formula>NOT(ISERROR(SEARCH("Met",BU75)))</formula>
    </cfRule>
    <cfRule type="containsText" dxfId="145" priority="173" operator="containsText" text="Not Met">
      <formula>NOT(ISERROR(SEARCH("Not Met",BU75)))</formula>
    </cfRule>
    <cfRule type="containsText" dxfId="144" priority="172" operator="containsText" text="Met">
      <formula>NOT(ISERROR(SEARCH("Met",BU75)))</formula>
    </cfRule>
    <cfRule type="containsText" dxfId="143" priority="171" operator="containsText" text="Not Met">
      <formula>NOT(ISERROR(SEARCH("Not Met",BU75)))</formula>
    </cfRule>
  </conditionalFormatting>
  <conditionalFormatting sqref="BU78:BU89 BU52:BU53 BU49:BU50 BU12:BU15 BU7:BU10">
    <cfRule type="containsText" dxfId="142" priority="149" operator="containsText" text="Not Met">
      <formula>NOT(ISERROR(SEARCH("Not Met",BU7)))</formula>
    </cfRule>
  </conditionalFormatting>
  <conditionalFormatting sqref="BU90:BU96 BU135:BU146 BU212:BU228 BU243:BU256 BU273:BU279 BU288:BU302 BU323:BU329">
    <cfRule type="containsText" dxfId="141" priority="140" operator="containsText" text="Met">
      <formula>NOT(ISERROR(SEARCH("Met",BU90)))</formula>
    </cfRule>
  </conditionalFormatting>
  <conditionalFormatting sqref="BU90:BU96 BU288:BU294">
    <cfRule type="containsText" dxfId="140" priority="137" operator="containsText" text="Not Met">
      <formula>NOT(ISERROR(SEARCH("Not Met",BU90)))</formula>
    </cfRule>
    <cfRule type="containsText" dxfId="139" priority="138" operator="containsText" text="Met">
      <formula>NOT(ISERROR(SEARCH("Met",BU90)))</formula>
    </cfRule>
  </conditionalFormatting>
  <conditionalFormatting sqref="BU90:BU96 BU288:BU302 BU135:BU146 BU212:BU228 BU243:BU256 BU273:BU279 BU323:BU329">
    <cfRule type="containsText" dxfId="138" priority="139" operator="containsText" text="Not Met">
      <formula>NOT(ISERROR(SEARCH("Not Met",BU90)))</formula>
    </cfRule>
  </conditionalFormatting>
  <conditionalFormatting sqref="BU97:BU104">
    <cfRule type="containsText" dxfId="137" priority="47" operator="containsText" text="Met">
      <formula>NOT(ISERROR(SEARCH("Met",BU97)))</formula>
    </cfRule>
    <cfRule type="containsText" dxfId="136" priority="46" operator="containsText" text="Not Met">
      <formula>NOT(ISERROR(SEARCH("Not Met",BU97)))</formula>
    </cfRule>
  </conditionalFormatting>
  <conditionalFormatting sqref="BU113">
    <cfRule type="containsText" dxfId="135" priority="35" operator="containsText" text="Not Met">
      <formula>NOT(ISERROR(SEARCH("Not Met",BU113)))</formula>
    </cfRule>
    <cfRule type="containsText" dxfId="134" priority="36" operator="containsText" text="Met">
      <formula>NOT(ISERROR(SEARCH("Met",BU113)))</formula>
    </cfRule>
  </conditionalFormatting>
  <conditionalFormatting sqref="BU118:BU123">
    <cfRule type="containsText" dxfId="133" priority="33" operator="containsText" text="Not Met">
      <formula>NOT(ISERROR(SEARCH("Not Met",BU118)))</formula>
    </cfRule>
    <cfRule type="containsText" dxfId="132" priority="34" operator="containsText" text="Met">
      <formula>NOT(ISERROR(SEARCH("Met",BU118)))</formula>
    </cfRule>
  </conditionalFormatting>
  <conditionalFormatting sqref="BU124">
    <cfRule type="containsText" dxfId="131" priority="45" operator="containsText" text="Met">
      <formula>NOT(ISERROR(SEARCH("Met",BU124)))</formula>
    </cfRule>
  </conditionalFormatting>
  <conditionalFormatting sqref="BU124:BU126">
    <cfRule type="containsText" dxfId="130" priority="44" operator="containsText" text="Not Met">
      <formula>NOT(ISERROR(SEARCH("Not Met",BU124)))</formula>
    </cfRule>
  </conditionalFormatting>
  <conditionalFormatting sqref="BU125:BU126">
    <cfRule type="containsText" dxfId="129" priority="43" operator="containsText" text="Met">
      <formula>NOT(ISERROR(SEARCH("Met",BU125)))</formula>
    </cfRule>
  </conditionalFormatting>
  <conditionalFormatting sqref="BU128:BU134">
    <cfRule type="containsText" dxfId="128" priority="41" operator="containsText" text="Not Met">
      <formula>NOT(ISERROR(SEARCH("Not Met",BU128)))</formula>
    </cfRule>
    <cfRule type="containsText" dxfId="127" priority="42" operator="containsText" text="Met">
      <formula>NOT(ISERROR(SEARCH("Met",BU128)))</formula>
    </cfRule>
  </conditionalFormatting>
  <conditionalFormatting sqref="BU135:BU146">
    <cfRule type="containsText" dxfId="126" priority="129" operator="containsText" text="Met">
      <formula>NOT(ISERROR(SEARCH("Met",BU135)))</formula>
    </cfRule>
    <cfRule type="containsText" dxfId="125" priority="128" operator="containsText" text="Not Met">
      <formula>NOT(ISERROR(SEARCH("Not Met",BU135)))</formula>
    </cfRule>
  </conditionalFormatting>
  <conditionalFormatting sqref="BU147:BU148 BU152">
    <cfRule type="containsText" dxfId="124" priority="141" operator="containsText" text="Not Met">
      <formula>NOT(ISERROR(SEARCH("Not Met",BU147)))</formula>
    </cfRule>
  </conditionalFormatting>
  <conditionalFormatting sqref="BU147:BU148">
    <cfRule type="containsText" dxfId="123" priority="121" operator="containsText" text="Not Met">
      <formula>NOT(ISERROR(SEARCH("Not Met",BU147)))</formula>
    </cfRule>
    <cfRule type="containsText" dxfId="122" priority="120" operator="containsText" text="Not Met">
      <formula>NOT(ISERROR(SEARCH("Not Met",BU147)))</formula>
    </cfRule>
  </conditionalFormatting>
  <conditionalFormatting sqref="BU149:BU151 BU153:BU154 BU346:BU352">
    <cfRule type="containsText" dxfId="121" priority="126" operator="containsText" text="Not Met">
      <formula>NOT(ISERROR(SEARCH("Not Met",BU149)))</formula>
    </cfRule>
  </conditionalFormatting>
  <conditionalFormatting sqref="BU149:BU154 BU346:BU352">
    <cfRule type="containsText" dxfId="120" priority="127" operator="containsText" text="Met">
      <formula>NOT(ISERROR(SEARCH("Met",BU149)))</formula>
    </cfRule>
  </conditionalFormatting>
  <conditionalFormatting sqref="BU150">
    <cfRule type="containsText" dxfId="119" priority="90" operator="containsText" text="Met">
      <formula>NOT(ISERROR(SEARCH("Met",BU150)))</formula>
    </cfRule>
    <cfRule type="containsText" dxfId="118" priority="89" operator="containsText" text="Not Met">
      <formula>NOT(ISERROR(SEARCH("Not Met",BU150)))</formula>
    </cfRule>
  </conditionalFormatting>
  <conditionalFormatting sqref="BU151">
    <cfRule type="containsText" dxfId="117" priority="87" operator="containsText" text="Not Met">
      <formula>NOT(ISERROR(SEARCH("Not Met",BU151)))</formula>
    </cfRule>
    <cfRule type="containsText" dxfId="116" priority="88" operator="containsText" text="Met">
      <formula>NOT(ISERROR(SEARCH("Met",BU151)))</formula>
    </cfRule>
  </conditionalFormatting>
  <conditionalFormatting sqref="BU152 BU147:BU148">
    <cfRule type="containsText" dxfId="115" priority="123" operator="containsText" text="Met">
      <formula>NOT(ISERROR(SEARCH("Met",BU147)))</formula>
    </cfRule>
  </conditionalFormatting>
  <conditionalFormatting sqref="BU152">
    <cfRule type="containsText" dxfId="114" priority="122" operator="containsText" text="Not Met">
      <formula>NOT(ISERROR(SEARCH("Not Met",BU152)))</formula>
    </cfRule>
    <cfRule type="containsText" dxfId="113" priority="124" operator="containsText" text="Not Met">
      <formula>NOT(ISERROR(SEARCH("Not Met",BU152)))</formula>
    </cfRule>
    <cfRule type="containsText" dxfId="112" priority="125" operator="containsText" text="Met">
      <formula>NOT(ISERROR(SEARCH("Met",BU152)))</formula>
    </cfRule>
  </conditionalFormatting>
  <conditionalFormatting sqref="BU155:BU158">
    <cfRule type="containsText" dxfId="111" priority="95" operator="containsText" text="Not Met">
      <formula>NOT(ISERROR(SEARCH("Not Met",BU155)))</formula>
    </cfRule>
    <cfRule type="containsText" dxfId="110" priority="96" operator="containsText" text="Met">
      <formula>NOT(ISERROR(SEARCH("Met",BU155)))</formula>
    </cfRule>
  </conditionalFormatting>
  <conditionalFormatting sqref="BU155:BU162">
    <cfRule type="containsText" dxfId="109" priority="93" operator="containsText" text="Not Met">
      <formula>NOT(ISERROR(SEARCH("Not Met",BU155)))</formula>
    </cfRule>
    <cfRule type="containsText" dxfId="108" priority="94" operator="containsText" text="Met">
      <formula>NOT(ISERROR(SEARCH("Met",BU155)))</formula>
    </cfRule>
  </conditionalFormatting>
  <conditionalFormatting sqref="BU173">
    <cfRule type="containsText" dxfId="107" priority="40" operator="containsText" text="Met">
      <formula>NOT(ISERROR(SEARCH("Met",BU173)))</formula>
    </cfRule>
    <cfRule type="containsText" dxfId="106" priority="39" operator="containsText" text="Not Met">
      <formula>NOT(ISERROR(SEARCH("Not Met",BU173)))</formula>
    </cfRule>
  </conditionalFormatting>
  <conditionalFormatting sqref="BU176:BU181">
    <cfRule type="containsText" dxfId="105" priority="37" operator="containsText" text="Not Met">
      <formula>NOT(ISERROR(SEARCH("Not Met",BU176)))</formula>
    </cfRule>
    <cfRule type="containsText" dxfId="104" priority="38" operator="containsText" text="Met">
      <formula>NOT(ISERROR(SEARCH("Met",BU176)))</formula>
    </cfRule>
  </conditionalFormatting>
  <conditionalFormatting sqref="BU182:BU183 BU186:BU191">
    <cfRule type="containsText" dxfId="103" priority="114" operator="containsText" text="Met">
      <formula>NOT(ISERROR(SEARCH("Met",BU182)))</formula>
    </cfRule>
    <cfRule type="containsText" dxfId="102" priority="113" operator="containsText" text="Not Met">
      <formula>NOT(ISERROR(SEARCH("Not Met",BU182)))</formula>
    </cfRule>
    <cfRule type="containsText" dxfId="101" priority="105" operator="containsText" text="Not Met">
      <formula>NOT(ISERROR(SEARCH("Not Met",BU182)))</formula>
    </cfRule>
    <cfRule type="containsText" dxfId="100" priority="112" operator="containsText" text="Met">
      <formula>NOT(ISERROR(SEARCH("Met",BU182)))</formula>
    </cfRule>
    <cfRule type="containsText" dxfId="99" priority="111" operator="containsText" text="Not Met">
      <formula>NOT(ISERROR(SEARCH("Not Met",BU182)))</formula>
    </cfRule>
    <cfRule type="containsText" dxfId="98" priority="110" operator="containsText" text="Met">
      <formula>NOT(ISERROR(SEARCH("Met",BU182)))</formula>
    </cfRule>
    <cfRule type="containsText" dxfId="97" priority="109" operator="containsText" text="Not Met">
      <formula>NOT(ISERROR(SEARCH("Not Met",BU182)))</formula>
    </cfRule>
    <cfRule type="containsText" dxfId="96" priority="108" operator="containsText" text="Met">
      <formula>NOT(ISERROR(SEARCH("Met",BU182)))</formula>
    </cfRule>
    <cfRule type="containsText" dxfId="95" priority="99" operator="containsText" text="Not Met">
      <formula>NOT(ISERROR(SEARCH("Not Met",BU182)))</formula>
    </cfRule>
    <cfRule type="containsText" dxfId="94" priority="106" operator="containsText" text="Met">
      <formula>NOT(ISERROR(SEARCH("Met",BU182)))</formula>
    </cfRule>
    <cfRule type="containsText" dxfId="93" priority="104" operator="containsText" text="Met">
      <formula>NOT(ISERROR(SEARCH("Met",BU182)))</formula>
    </cfRule>
    <cfRule type="containsText" dxfId="92" priority="103" operator="containsText" text="Not Met">
      <formula>NOT(ISERROR(SEARCH("Not Met",BU182)))</formula>
    </cfRule>
    <cfRule type="containsText" dxfId="91" priority="102" operator="containsText" text="Met">
      <formula>NOT(ISERROR(SEARCH("Met",BU182)))</formula>
    </cfRule>
    <cfRule type="containsText" dxfId="90" priority="101" operator="containsText" text="Not Met">
      <formula>NOT(ISERROR(SEARCH("Not Met",BU182)))</formula>
    </cfRule>
    <cfRule type="containsText" dxfId="89" priority="107" operator="containsText" text="Not Met">
      <formula>NOT(ISERROR(SEARCH("Not Met",BU182)))</formula>
    </cfRule>
    <cfRule type="containsText" dxfId="88" priority="100" operator="containsText" text="Met">
      <formula>NOT(ISERROR(SEARCH("Met",BU182)))</formula>
    </cfRule>
  </conditionalFormatting>
  <conditionalFormatting sqref="BU184:BU185">
    <cfRule type="containsText" dxfId="87" priority="91" operator="containsText" text="Met">
      <formula>NOT(ISERROR(SEARCH("Met",BU184)))</formula>
    </cfRule>
    <cfRule type="containsText" dxfId="86" priority="92" operator="containsText" text="Not Met">
      <formula>NOT(ISERROR(SEARCH("Not Met",BU184)))</formula>
    </cfRule>
  </conditionalFormatting>
  <conditionalFormatting sqref="BU192:BU211">
    <cfRule type="containsText" dxfId="85" priority="117" operator="containsText" text="Not Met">
      <formula>NOT(ISERROR(SEARCH("Not Met",BU192)))</formula>
    </cfRule>
    <cfRule type="containsText" dxfId="84" priority="118" operator="containsText" text="Met">
      <formula>NOT(ISERROR(SEARCH("Met",BU192)))</formula>
    </cfRule>
    <cfRule type="containsText" dxfId="83" priority="115" operator="containsText" text="Not Met">
      <formula>NOT(ISERROR(SEARCH("Not Met",BU192)))</formula>
    </cfRule>
    <cfRule type="containsText" dxfId="82" priority="116" operator="containsText" text="Met">
      <formula>NOT(ISERROR(SEARCH("Met",BU192)))</formula>
    </cfRule>
  </conditionalFormatting>
  <conditionalFormatting sqref="BU212:BU235">
    <cfRule type="containsText" dxfId="81" priority="132" operator="containsText" text="Not Met">
      <formula>NOT(ISERROR(SEARCH("Not Met",BU212)))</formula>
    </cfRule>
    <cfRule type="containsText" dxfId="80" priority="133" operator="containsText" text="Met">
      <formula>NOT(ISERROR(SEARCH("Met",BU212)))</formula>
    </cfRule>
  </conditionalFormatting>
  <conditionalFormatting sqref="BU236:BU242">
    <cfRule type="containsText" dxfId="79" priority="26" operator="containsText" text="Met">
      <formula>NOT(ISERROR(SEARCH("Met",BU236)))</formula>
    </cfRule>
    <cfRule type="containsText" dxfId="78" priority="25" operator="containsText" text="Not Met">
      <formula>NOT(ISERROR(SEARCH("Not Met",BU236)))</formula>
    </cfRule>
  </conditionalFormatting>
  <conditionalFormatting sqref="BU243:BU256 BU266:BU279">
    <cfRule type="containsText" dxfId="77" priority="134" operator="containsText" text="Not Met">
      <formula>NOT(ISERROR(SEARCH("Not Met",BU243)))</formula>
    </cfRule>
  </conditionalFormatting>
  <conditionalFormatting sqref="BU243:BU256">
    <cfRule type="containsText" dxfId="76" priority="136" operator="containsText" text="Met">
      <formula>NOT(ISERROR(SEARCH("Met",BU243)))</formula>
    </cfRule>
  </conditionalFormatting>
  <conditionalFormatting sqref="BU257:BU265">
    <cfRule type="containsText" dxfId="75" priority="31" operator="containsText" text="Not Met">
      <formula>NOT(ISERROR(SEARCH("Not Met",BU257)))</formula>
    </cfRule>
    <cfRule type="containsText" dxfId="74" priority="28" operator="containsText" text="Met">
      <formula>NOT(ISERROR(SEARCH("Met",BU257)))</formula>
    </cfRule>
    <cfRule type="containsText" dxfId="73" priority="27" operator="containsText" text="Not Met">
      <formula>NOT(ISERROR(SEARCH("Not Met",BU257)))</formula>
    </cfRule>
    <cfRule type="containsText" dxfId="72" priority="29" operator="containsText" text="Not Met">
      <formula>NOT(ISERROR(SEARCH("Not Met",BU257)))</formula>
    </cfRule>
    <cfRule type="containsText" dxfId="71" priority="30" operator="containsText" text="Met">
      <formula>NOT(ISERROR(SEARCH("Met",BU257)))</formula>
    </cfRule>
    <cfRule type="containsText" dxfId="70" priority="32" operator="containsText" text="Met">
      <formula>NOT(ISERROR(SEARCH("Met",BU257)))</formula>
    </cfRule>
  </conditionalFormatting>
  <conditionalFormatting sqref="BU266:BU279">
    <cfRule type="containsText" dxfId="69" priority="135" operator="containsText" text="Met">
      <formula>NOT(ISERROR(SEARCH("Met",BU266)))</formula>
    </cfRule>
  </conditionalFormatting>
  <conditionalFormatting sqref="BU280:BU281 BU283:BU286">
    <cfRule type="containsText" dxfId="68" priority="86" operator="containsText" text="Met">
      <formula>NOT(ISERROR(SEARCH("Met",BU280)))</formula>
    </cfRule>
    <cfRule type="containsText" dxfId="67" priority="85" operator="containsText" text="Not Met">
      <formula>NOT(ISERROR(SEARCH("Not Met",BU280)))</formula>
    </cfRule>
  </conditionalFormatting>
  <conditionalFormatting sqref="BU282">
    <cfRule type="containsText" dxfId="66" priority="56" operator="containsText" text="Met">
      <formula>NOT(ISERROR(SEARCH("Met",BU282)))</formula>
    </cfRule>
    <cfRule type="containsText" dxfId="65" priority="55" operator="containsText" text="Not Met">
      <formula>NOT(ISERROR(SEARCH("Not Met",BU282)))</formula>
    </cfRule>
  </conditionalFormatting>
  <conditionalFormatting sqref="BU304">
    <cfRule type="containsText" dxfId="64" priority="63" operator="containsText" text="Not Met">
      <formula>NOT(ISERROR(SEARCH("Not Met",BU304)))</formula>
    </cfRule>
    <cfRule type="containsText" dxfId="63" priority="64" operator="containsText" text="Met">
      <formula>NOT(ISERROR(SEARCH("Met",BU304)))</formula>
    </cfRule>
  </conditionalFormatting>
  <conditionalFormatting sqref="BU310">
    <cfRule type="containsText" dxfId="62" priority="50" operator="containsText" text="Not Met">
      <formula>NOT(ISERROR(SEARCH("Not Met",BU310)))</formula>
    </cfRule>
    <cfRule type="containsText" dxfId="61" priority="51" operator="containsText" text="Met">
      <formula>NOT(ISERROR(SEARCH("Met",BU310)))</formula>
    </cfRule>
  </conditionalFormatting>
  <conditionalFormatting sqref="BU311:BU312 BU314">
    <cfRule type="containsText" dxfId="60" priority="70" operator="containsText" text="Met">
      <formula>NOT(ISERROR(SEARCH("Met",BU311)))</formula>
    </cfRule>
    <cfRule type="containsText" dxfId="59" priority="69" operator="containsText" text="Not Met">
      <formula>NOT(ISERROR(SEARCH("Not Met",BU311)))</formula>
    </cfRule>
  </conditionalFormatting>
  <conditionalFormatting sqref="BU311:BU312">
    <cfRule type="containsText" dxfId="58" priority="67" operator="containsText" text="Not Met">
      <formula>NOT(ISERROR(SEARCH("Not Met",BU311)))</formula>
    </cfRule>
    <cfRule type="containsText" dxfId="57" priority="68" operator="containsText" text="Met">
      <formula>NOT(ISERROR(SEARCH("Met",BU311)))</formula>
    </cfRule>
  </conditionalFormatting>
  <conditionalFormatting sqref="BU313">
    <cfRule type="containsText" dxfId="56" priority="61" operator="containsText" text="Not Met">
      <formula>NOT(ISERROR(SEARCH("Not Met",BU313)))</formula>
    </cfRule>
    <cfRule type="containsText" dxfId="55" priority="62" operator="containsText" text="Met">
      <formula>NOT(ISERROR(SEARCH("Met",BU313)))</formula>
    </cfRule>
  </conditionalFormatting>
  <conditionalFormatting sqref="BU314">
    <cfRule type="containsText" dxfId="54" priority="66" operator="containsText" text="Met">
      <formula>NOT(ISERROR(SEARCH("Met",BU314)))</formula>
    </cfRule>
    <cfRule type="containsText" dxfId="53" priority="65" operator="containsText" text="Not Met">
      <formula>NOT(ISERROR(SEARCH("Not Met",BU314)))</formula>
    </cfRule>
  </conditionalFormatting>
  <conditionalFormatting sqref="BU323:BU329">
    <cfRule type="containsText" dxfId="52" priority="130" operator="containsText" text="Not Met">
      <formula>NOT(ISERROR(SEARCH("Not Met",BU323)))</formula>
    </cfRule>
    <cfRule type="containsText" dxfId="51" priority="131" operator="containsText" text="Met">
      <formula>NOT(ISERROR(SEARCH("Met",BU323)))</formula>
    </cfRule>
  </conditionalFormatting>
  <conditionalFormatting sqref="BU330:BU337 BU436:BU443">
    <cfRule type="containsText" dxfId="50" priority="22" operator="containsText" text="Met">
      <formula>NOT(ISERROR(SEARCH("Met",BU330)))</formula>
    </cfRule>
  </conditionalFormatting>
  <conditionalFormatting sqref="BU332 BU336">
    <cfRule type="containsText" dxfId="49" priority="98" operator="containsText" text="Not Met">
      <formula>NOT(ISERROR(SEARCH("Not Met",BU332)))</formula>
    </cfRule>
  </conditionalFormatting>
  <conditionalFormatting sqref="BU338:BU339">
    <cfRule type="containsText" dxfId="48" priority="75" operator="containsText" text="Not Met">
      <formula>NOT(ISERROR(SEARCH("Not Met",BU338)))</formula>
    </cfRule>
    <cfRule type="containsText" dxfId="47" priority="76" operator="containsText" text="Met">
      <formula>NOT(ISERROR(SEARCH("Met",BU338)))</formula>
    </cfRule>
  </conditionalFormatting>
  <conditionalFormatting sqref="BU340">
    <cfRule type="containsText" dxfId="46" priority="54" operator="containsText" text="Met">
      <formula>NOT(ISERROR(SEARCH("Met",BU340)))</formula>
    </cfRule>
    <cfRule type="containsText" dxfId="45" priority="53" operator="containsText" text="Not Met">
      <formula>NOT(ISERROR(SEARCH("Not Met",BU340)))</formula>
    </cfRule>
  </conditionalFormatting>
  <conditionalFormatting sqref="BU341 BU343:BU344">
    <cfRule type="containsText" dxfId="44" priority="80" operator="containsText" text="Met">
      <formula>NOT(ISERROR(SEARCH("Met",BU341)))</formula>
    </cfRule>
    <cfRule type="containsText" dxfId="43" priority="79" operator="containsText" text="Not Met">
      <formula>NOT(ISERROR(SEARCH("Not Met",BU341)))</formula>
    </cfRule>
  </conditionalFormatting>
  <conditionalFormatting sqref="BU344">
    <cfRule type="containsText" dxfId="42" priority="84" operator="containsText" text="Met">
      <formula>NOT(ISERROR(SEARCH("Met",BU344)))</formula>
    </cfRule>
    <cfRule type="containsText" dxfId="41" priority="78" operator="containsText" text="Met">
      <formula>NOT(ISERROR(SEARCH("Met",BU344)))</formula>
    </cfRule>
    <cfRule type="containsText" dxfId="40" priority="83" operator="containsText" text="Not Met">
      <formula>NOT(ISERROR(SEARCH("Not Met",BU344)))</formula>
    </cfRule>
    <cfRule type="containsText" dxfId="39" priority="82" operator="containsText" text="Met">
      <formula>NOT(ISERROR(SEARCH("Met",BU344)))</formula>
    </cfRule>
    <cfRule type="containsText" dxfId="38" priority="81" operator="containsText" text="Not Met">
      <formula>NOT(ISERROR(SEARCH("Not Met",BU344)))</formula>
    </cfRule>
    <cfRule type="containsText" dxfId="37" priority="77" operator="containsText" text="Not Met">
      <formula>NOT(ISERROR(SEARCH("Not Met",BU344)))</formula>
    </cfRule>
  </conditionalFormatting>
  <conditionalFormatting sqref="BU345">
    <cfRule type="containsText" dxfId="36" priority="72" operator="containsText" text="Met">
      <formula>NOT(ISERROR(SEARCH("Met",BU345)))</formula>
    </cfRule>
    <cfRule type="containsText" dxfId="35" priority="74" operator="containsText" text="Met">
      <formula>NOT(ISERROR(SEARCH("Met",BU345)))</formula>
    </cfRule>
    <cfRule type="containsText" dxfId="34" priority="73" operator="containsText" text="Not Met">
      <formula>NOT(ISERROR(SEARCH("Not Met",BU345)))</formula>
    </cfRule>
    <cfRule type="containsText" dxfId="33" priority="71" operator="containsText" text="Not Met">
      <formula>NOT(ISERROR(SEARCH("Not Met",BU345)))</formula>
    </cfRule>
  </conditionalFormatting>
  <conditionalFormatting sqref="BU353:BU363">
    <cfRule type="containsText" dxfId="32" priority="23" operator="containsText" text="Not Met">
      <formula>NOT(ISERROR(SEARCH("Not Met",BU353)))</formula>
    </cfRule>
    <cfRule type="containsText" dxfId="31" priority="24" operator="containsText" text="Met">
      <formula>NOT(ISERROR(SEARCH("Met",BU353)))</formula>
    </cfRule>
  </conditionalFormatting>
  <conditionalFormatting sqref="BU364:BU377">
    <cfRule type="containsText" dxfId="30" priority="58" operator="containsText" text="Met">
      <formula>NOT(ISERROR(SEARCH("Met",BU364)))</formula>
    </cfRule>
    <cfRule type="containsText" dxfId="29" priority="57" operator="containsText" text="Not Met">
      <formula>NOT(ISERROR(SEARCH("Not Met",BU364)))</formula>
    </cfRule>
  </conditionalFormatting>
  <conditionalFormatting sqref="BU381:BU382 BU389 BU396 BU403">
    <cfRule type="containsText" dxfId="28" priority="60" operator="containsText" text="Met">
      <formula>NOT(ISERROR(SEARCH("Met",BU381)))</formula>
    </cfRule>
    <cfRule type="containsText" dxfId="27" priority="59" operator="containsText" text="Not Met">
      <formula>NOT(ISERROR(SEARCH("Not Met",BU381)))</formula>
    </cfRule>
  </conditionalFormatting>
  <conditionalFormatting sqref="BU416">
    <cfRule type="containsText" dxfId="26" priority="49" operator="containsText" text="Met">
      <formula>NOT(ISERROR(SEARCH("Met",BU416)))</formula>
    </cfRule>
    <cfRule type="containsText" dxfId="25" priority="48" operator="containsText" text="Not Met">
      <formula>NOT(ISERROR(SEARCH("Not Met",BU416)))</formula>
    </cfRule>
  </conditionalFormatting>
  <conditionalFormatting sqref="BU436:BU441 BU337 BU333:BU335 BU330:BU331">
    <cfRule type="containsText" dxfId="24" priority="21" operator="containsText" text="Not Met">
      <formula>NOT(ISERROR(SEARCH("Not Met",BU330)))</formula>
    </cfRule>
  </conditionalFormatting>
  <conditionalFormatting sqref="BU442:BU443">
    <cfRule type="containsText" dxfId="23" priority="119" operator="containsText" text="Not Met">
      <formula>NOT(ISERROR(SEARCH("Not Met",BU442)))</formula>
    </cfRule>
  </conditionalFormatting>
  <conditionalFormatting sqref="BU444:BU452">
    <cfRule type="containsText" dxfId="22" priority="146" operator="containsText" text="Met">
      <formula>NOT(ISERROR(SEARCH("Met",BU444)))</formula>
    </cfRule>
    <cfRule type="containsText" dxfId="21" priority="145" operator="containsText" text="Not Met">
      <formula>NOT(ISERROR(SEARCH("Not Met",BU444)))</formula>
    </cfRule>
  </conditionalFormatting>
  <conditionalFormatting sqref="BU453">
    <cfRule type="containsText" dxfId="20" priority="144" operator="containsText" text="Met">
      <formula>NOT(ISERROR(SEARCH("Met",BU453)))</formula>
    </cfRule>
    <cfRule type="containsText" dxfId="19" priority="142" operator="containsText" text="Not Met">
      <formula>NOT(ISERROR(SEARCH("Not Met",BU453)))</formula>
    </cfRule>
    <cfRule type="containsText" dxfId="18" priority="143" operator="containsText" text="Not Met">
      <formula>NOT(ISERROR(SEARCH("Not Met",BU453)))</formula>
    </cfRule>
  </conditionalFormatting>
  <conditionalFormatting sqref="BU454:BU457">
    <cfRule type="containsText" dxfId="17" priority="148" operator="containsText" text="Met">
      <formula>NOT(ISERROR(SEARCH("Met",BU454)))</formula>
    </cfRule>
    <cfRule type="containsText" dxfId="16" priority="147" operator="containsText" text="Not Met">
      <formula>NOT(ISERROR(SEARCH("Not Met",BU454)))</formula>
    </cfRule>
  </conditionalFormatting>
  <conditionalFormatting sqref="BU458:BU466">
    <cfRule type="containsText" dxfId="15" priority="13" operator="containsText" text="Not Met">
      <formula>NOT(ISERROR(SEARCH("Not Met",BU458)))</formula>
    </cfRule>
    <cfRule type="containsText" dxfId="14" priority="14" operator="containsText" text="Met">
      <formula>NOT(ISERROR(SEARCH("Met",BU458)))</formula>
    </cfRule>
  </conditionalFormatting>
  <conditionalFormatting sqref="BU472:BU480">
    <cfRule type="containsText" dxfId="13" priority="16" operator="containsText" text="Met">
      <formula>NOT(ISERROR(SEARCH("Met",BU472)))</formula>
    </cfRule>
    <cfRule type="containsText" dxfId="12" priority="15" operator="containsText" text="Not Met">
      <formula>NOT(ISERROR(SEARCH("Not Met",BU472)))</formula>
    </cfRule>
  </conditionalFormatting>
  <conditionalFormatting sqref="BU481">
    <cfRule type="containsText" dxfId="11" priority="17" operator="containsText" text="Not Met">
      <formula>NOT(ISERROR(SEARCH("Not Met",BU481)))</formula>
    </cfRule>
    <cfRule type="containsText" dxfId="10" priority="18" operator="containsText" text="Met">
      <formula>NOT(ISERROR(SEARCH("Met",BU481)))</formula>
    </cfRule>
  </conditionalFormatting>
  <conditionalFormatting sqref="BU484:BU485">
    <cfRule type="containsText" dxfId="9" priority="20" operator="containsText" text="Met">
      <formula>NOT(ISERROR(SEARCH("Met",BU484)))</formula>
    </cfRule>
    <cfRule type="containsText" dxfId="8" priority="19" operator="containsText" text="Not Met">
      <formula>NOT(ISERROR(SEARCH("Not Met",BU484)))</formula>
    </cfRule>
  </conditionalFormatting>
  <conditionalFormatting sqref="XDQ458:XDV458">
    <cfRule type="containsText" dxfId="7" priority="1650" operator="containsText" text="Not Met">
      <formula>NOT(ISERROR(SEARCH("Not Met",XDQ458)))</formula>
    </cfRule>
    <cfRule type="containsText" dxfId="6" priority="1651" operator="containsText" text="Met">
      <formula>NOT(ISERROR(SEARCH("Met",XDQ458)))</formula>
    </cfRule>
  </conditionalFormatting>
  <conditionalFormatting sqref="XDR458 B458:B471">
    <cfRule type="containsText" dxfId="5" priority="1663" operator="containsText" text="Met">
      <formula>NOT(ISERROR(SEARCH("Met",B458)))</formula>
    </cfRule>
    <cfRule type="containsText" dxfId="4" priority="1662" operator="containsText" text="Not Met">
      <formula>NOT(ISERROR(SEARCH("Not Met",B458)))</formula>
    </cfRule>
  </conditionalFormatting>
  <conditionalFormatting sqref="XDW458:XDX458 G458:H458">
    <cfRule type="containsText" dxfId="3" priority="1660" operator="containsText" text="Not Met">
      <formula>NOT(ISERROR(SEARCH("Not Met",G458)))</formula>
    </cfRule>
    <cfRule type="containsText" dxfId="2" priority="1664" operator="containsText" text="Not Met">
      <formula>NOT(ISERROR(SEARCH("Not Met",G458)))</formula>
    </cfRule>
  </conditionalFormatting>
  <conditionalFormatting sqref="XEA303:XED303">
    <cfRule type="containsText" dxfId="1" priority="2547" operator="containsText" text="Not Met">
      <formula>NOT(ISERROR(SEARCH("Not Met",XEA303)))</formula>
    </cfRule>
    <cfRule type="containsText" dxfId="0" priority="2548" operator="containsText" text="Met">
      <formula>NOT(ISERROR(SEARCH("Met",XEA303)))</formula>
    </cfRule>
  </conditionalFormatting>
  <dataValidations disablePrompts="1" count="7">
    <dataValidation allowBlank="1" showInputMessage="1" showErrorMessage="1" prompt="Not Validated" sqref="AG358:AG359 AG335 AG330" xr:uid="{883228BE-7F8B-4DA4-916D-6380452E4A8D}"/>
    <dataValidation allowBlank="1" showInputMessage="1" showErrorMessage="1" prompt="Validated" sqref="AG353:AG357 AG337 AG121:AG134 AG295:AG302 AG360:AG363 AG171:AG181 AG331 AG333:AG334 AG113:AG119" xr:uid="{97D1DFFF-77E2-4D89-BCF5-D9E6A973A9BF}"/>
    <dataValidation allowBlank="1" showInputMessage="1" showErrorMessage="1" prompt="validated_x000a_" sqref="AG120" xr:uid="{5A9B07B4-185E-404F-BC92-D1242013732D}"/>
    <dataValidation allowBlank="1" showInputMessage="1" showErrorMessage="1" promptTitle="Validated" prompt="Validated" sqref="AI147:AI154 AK147:AK154 AM360:AM363 AO132 AM297 AK337 AK335 AI335 AI337 AK297 AI297 AI300:AI302 AK300:AK302 AM113:AM114 AI295 AM132 AM128 AI134 AI132 AI128 AO128 AI123:AI126 AO134 AU116 AO360:AO363 AM134 AI181 AI179 AI175 AI171:AI173 AI121 AI117 AI113:AI115 AO121 AM181 AM179 AO181 AK360:AK363 AI360:AI363 AM334:AM335 AM300:AM302 AM295 AM121 AM116 AO116 AM175 AM123:AM126 AM171:AM173 AM147:AM154 AO175 AO113:AO114 AO123:AO126 AO171:AO173 AM337 AO300:AO302 AO179 AP362 AQ179 AQ134 AQ181 AQ121 AQ175 AQ116 AQ360:AQ363 AQ123:AQ126 AQ132 AS360:AS363 AQ128 AQ113:AQ114 AQ171:AQ173" xr:uid="{22557F6F-0A5D-499D-917D-DF9C4EF44470}"/>
    <dataValidation allowBlank="1" showInputMessage="1" showErrorMessage="1" promptTitle="Status" prompt="Validated" sqref="AO414:AO416 AS414:AS416 AQ414:AQ416" xr:uid="{6CB40276-E5B5-4A18-AF20-B50E0E673653}"/>
    <dataValidation allowBlank="1" showInputMessage="1" showErrorMessage="1" promptTitle="Validation Status" prompt="Validated" sqref="AO110:AO112 AO108 AS333:AS335 AQ320:AQ322 AS320:AS322 AS108:AS110 AS112 AQ108:AQ112 AS337 AQ337 AQ333:AQ335" xr:uid="{320BACD6-A2FC-45CD-8E6B-58F1DCD64BB8}"/>
    <dataValidation allowBlank="1" showInputMessage="1" showErrorMessage="1" promptTitle="Status" prompt="Not Validated" sqref="AO330:AO337 AO315:AO322" xr:uid="{93138B96-C192-4616-8628-B6BFDB6F95F9}"/>
  </dataValidations>
  <pageMargins left="0.7" right="0.7" top="0.75" bottom="0.75" header="0.3" footer="0.3"/>
  <pageSetup paperSize="9" orientation="portrait" r:id="rId1"/>
  <ignoredErrors>
    <ignoredError sqref="BN2:BN14 BN458:BN507 BN16:BN89 BN91:BN443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CA30-9EB6-4001-A7D4-D40335B341AC}">
  <dimension ref="A1:J55"/>
  <sheetViews>
    <sheetView workbookViewId="0">
      <selection activeCell="D1" sqref="D1"/>
    </sheetView>
  </sheetViews>
  <sheetFormatPr defaultRowHeight="15" x14ac:dyDescent="0.25"/>
  <sheetData>
    <row r="1" spans="1:5" x14ac:dyDescent="0.25">
      <c r="A1" s="26">
        <v>14</v>
      </c>
      <c r="B1">
        <f>A1+1</f>
        <v>15</v>
      </c>
      <c r="E1" t="str">
        <f>IF(A2&gt;$L$2,"Not Met","Met")</f>
        <v>Not Met</v>
      </c>
    </row>
    <row r="2" spans="1:5" x14ac:dyDescent="0.25">
      <c r="A2" s="26">
        <v>29</v>
      </c>
      <c r="B2">
        <f t="shared" ref="B2:B55" si="0">A2+1</f>
        <v>30</v>
      </c>
      <c r="E2" t="str">
        <f>IF(A3&gt;$L$3,"Not Met","Met")</f>
        <v>Not Met</v>
      </c>
    </row>
    <row r="3" spans="1:5" x14ac:dyDescent="0.25">
      <c r="A3" s="26">
        <v>36</v>
      </c>
      <c r="B3">
        <f t="shared" si="0"/>
        <v>37</v>
      </c>
      <c r="E3" t="str">
        <f>IF(A4&gt;$L$4,"Not Met","Met")</f>
        <v>Not Met</v>
      </c>
    </row>
    <row r="4" spans="1:5" x14ac:dyDescent="0.25">
      <c r="A4" s="26">
        <v>41</v>
      </c>
      <c r="B4">
        <f t="shared" si="0"/>
        <v>42</v>
      </c>
      <c r="E4" t="str">
        <f>IF(A5&gt;$L$5,"Not Met","Met")</f>
        <v>Not Met</v>
      </c>
    </row>
    <row r="5" spans="1:5" x14ac:dyDescent="0.25">
      <c r="A5" s="77">
        <v>69</v>
      </c>
      <c r="B5">
        <f t="shared" si="0"/>
        <v>70</v>
      </c>
      <c r="E5" t="str">
        <f>IF(A6&gt;$L$6,"Not Met","Met")</f>
        <v>Not Met</v>
      </c>
    </row>
    <row r="6" spans="1:5" x14ac:dyDescent="0.25">
      <c r="A6" s="26">
        <v>71</v>
      </c>
      <c r="B6">
        <f t="shared" si="0"/>
        <v>72</v>
      </c>
      <c r="E6" t="str">
        <f>IF(A7&gt;$L$7,"Not Met","Met")</f>
        <v>Not Met</v>
      </c>
    </row>
    <row r="7" spans="1:5" x14ac:dyDescent="0.25">
      <c r="A7" s="26">
        <v>77</v>
      </c>
      <c r="B7">
        <f t="shared" si="0"/>
        <v>78</v>
      </c>
      <c r="E7" t="str">
        <f>IF(A8&gt;$L$8,"Not Met","Met")</f>
        <v>Not Met</v>
      </c>
    </row>
    <row r="8" spans="1:5" x14ac:dyDescent="0.25">
      <c r="A8" s="26">
        <v>78</v>
      </c>
      <c r="B8">
        <f t="shared" si="0"/>
        <v>79</v>
      </c>
      <c r="E8" t="str">
        <f>IF(A9&gt;$L$9,"Not Met","Met")</f>
        <v>Not Met</v>
      </c>
    </row>
    <row r="9" spans="1:5" x14ac:dyDescent="0.25">
      <c r="A9" s="26">
        <v>79</v>
      </c>
      <c r="B9">
        <f t="shared" si="0"/>
        <v>80</v>
      </c>
      <c r="E9" t="str">
        <f>IF(A10&gt;$L$10,"Not Met","Met")</f>
        <v>Not Met</v>
      </c>
    </row>
    <row r="10" spans="1:5" x14ac:dyDescent="0.25">
      <c r="A10" s="26">
        <v>97</v>
      </c>
      <c r="B10">
        <f t="shared" si="0"/>
        <v>98</v>
      </c>
      <c r="E10" t="str">
        <f>IF(A11&gt;$L$11,"Not Met","Met")</f>
        <v>Not Met</v>
      </c>
    </row>
    <row r="11" spans="1:5" x14ac:dyDescent="0.25">
      <c r="A11" s="26">
        <v>103</v>
      </c>
      <c r="B11">
        <f t="shared" si="0"/>
        <v>104</v>
      </c>
      <c r="E11" t="str">
        <f>IF(A12&gt;$L$12,"Not Met","Met")</f>
        <v>Not Met</v>
      </c>
    </row>
    <row r="12" spans="1:5" x14ac:dyDescent="0.25">
      <c r="A12" s="26">
        <v>112</v>
      </c>
      <c r="B12">
        <f t="shared" si="0"/>
        <v>113</v>
      </c>
      <c r="E12" t="str">
        <f>IF(A13&gt;$L$13,"Not Met","Met")</f>
        <v>Not Met</v>
      </c>
    </row>
    <row r="13" spans="1:5" x14ac:dyDescent="0.25">
      <c r="A13" s="26">
        <v>118</v>
      </c>
      <c r="B13">
        <f t="shared" si="0"/>
        <v>119</v>
      </c>
      <c r="E13" t="str">
        <f>IF(A14&gt;$L$14,"Not Met","Met")</f>
        <v>Not Met</v>
      </c>
    </row>
    <row r="14" spans="1:5" x14ac:dyDescent="0.25">
      <c r="A14" s="26">
        <v>126</v>
      </c>
      <c r="B14">
        <f t="shared" si="0"/>
        <v>127</v>
      </c>
      <c r="E14" t="str">
        <f>IF(A15&gt;$L$15,"Not Met","Met")</f>
        <v>Not Met</v>
      </c>
    </row>
    <row r="15" spans="1:5" x14ac:dyDescent="0.25">
      <c r="A15" s="26">
        <v>137</v>
      </c>
      <c r="B15">
        <f t="shared" si="0"/>
        <v>138</v>
      </c>
      <c r="E15" t="str">
        <f>IF(A16&gt;$L$16,"Not Met","Met")</f>
        <v>Not Met</v>
      </c>
    </row>
    <row r="16" spans="1:5" x14ac:dyDescent="0.25">
      <c r="A16" s="26">
        <v>149</v>
      </c>
      <c r="B16">
        <f t="shared" si="0"/>
        <v>150</v>
      </c>
      <c r="E16" t="str">
        <f>IF(A17&gt;$L$17,"Not Met","Met")</f>
        <v>Not Met</v>
      </c>
    </row>
    <row r="17" spans="1:5" x14ac:dyDescent="0.25">
      <c r="A17" s="26">
        <v>156</v>
      </c>
      <c r="B17">
        <f t="shared" si="0"/>
        <v>157</v>
      </c>
      <c r="E17" t="str">
        <f>IF(A18&gt;$L$18,"Not Met","Met")</f>
        <v>Not Met</v>
      </c>
    </row>
    <row r="18" spans="1:5" x14ac:dyDescent="0.25">
      <c r="A18" s="26">
        <v>163</v>
      </c>
      <c r="B18">
        <f t="shared" si="0"/>
        <v>164</v>
      </c>
      <c r="E18" t="str">
        <f>IF(A19&gt;$L$19,"Not Met","Met")</f>
        <v>Not Met</v>
      </c>
    </row>
    <row r="19" spans="1:5" x14ac:dyDescent="0.25">
      <c r="A19" s="26">
        <v>172</v>
      </c>
      <c r="B19">
        <f t="shared" si="0"/>
        <v>173</v>
      </c>
      <c r="E19" t="str">
        <f>IF(A20&gt;$L$20,"Not Met","Met")</f>
        <v>Not Met</v>
      </c>
    </row>
    <row r="20" spans="1:5" x14ac:dyDescent="0.25">
      <c r="A20" s="26">
        <v>176</v>
      </c>
      <c r="B20">
        <f t="shared" si="0"/>
        <v>177</v>
      </c>
      <c r="E20" t="str">
        <f>IF(A21&gt;$L$21,"Not Met","Met")</f>
        <v>Not Met</v>
      </c>
    </row>
    <row r="21" spans="1:5" x14ac:dyDescent="0.25">
      <c r="A21" s="26">
        <v>184</v>
      </c>
      <c r="B21">
        <f t="shared" si="0"/>
        <v>185</v>
      </c>
      <c r="E21" t="str">
        <f>IF(A22&gt;$L$22,"Not Met","Met")</f>
        <v>Not Met</v>
      </c>
    </row>
    <row r="22" spans="1:5" ht="14.45" x14ac:dyDescent="0.35">
      <c r="A22" s="26">
        <v>215</v>
      </c>
      <c r="B22">
        <f t="shared" si="0"/>
        <v>216</v>
      </c>
      <c r="E22" t="str">
        <f>IF(A23&gt;$L$23,"Not Met","Met")</f>
        <v>Not Met</v>
      </c>
    </row>
    <row r="23" spans="1:5" ht="14.45" x14ac:dyDescent="0.35">
      <c r="A23" s="26">
        <v>216</v>
      </c>
      <c r="B23">
        <f t="shared" si="0"/>
        <v>217</v>
      </c>
      <c r="E23" t="str">
        <f>IF(A24&gt;$L$24,"Not Met","Met")</f>
        <v>Not Met</v>
      </c>
    </row>
    <row r="24" spans="1:5" ht="14.45" x14ac:dyDescent="0.35">
      <c r="A24" s="26">
        <v>235</v>
      </c>
      <c r="B24">
        <f t="shared" si="0"/>
        <v>236</v>
      </c>
      <c r="E24" t="str">
        <f>IF(A25&gt;$L$25,"Not Met","Met")</f>
        <v>Not Met</v>
      </c>
    </row>
    <row r="25" spans="1:5" ht="14.45" x14ac:dyDescent="0.35">
      <c r="A25" s="26">
        <v>242</v>
      </c>
      <c r="B25">
        <f t="shared" si="0"/>
        <v>243</v>
      </c>
      <c r="E25" t="str">
        <f>IF(A26&gt;$L$26,"Not Met","Met")</f>
        <v>Not Met</v>
      </c>
    </row>
    <row r="26" spans="1:5" ht="14.45" x14ac:dyDescent="0.35">
      <c r="A26" s="26">
        <v>253</v>
      </c>
      <c r="B26">
        <f t="shared" si="0"/>
        <v>254</v>
      </c>
      <c r="E26" t="str">
        <f>IF(A27&gt;$L$27,"Not Met","Met")</f>
        <v>Not Met</v>
      </c>
    </row>
    <row r="27" spans="1:5" ht="14.45" x14ac:dyDescent="0.35">
      <c r="A27" s="26">
        <v>256</v>
      </c>
      <c r="B27">
        <f t="shared" si="0"/>
        <v>257</v>
      </c>
      <c r="E27" t="str">
        <f>IF(A28&gt;$L$28,"Not Met","Met")</f>
        <v>Not Met</v>
      </c>
    </row>
    <row r="28" spans="1:5" ht="14.45" x14ac:dyDescent="0.35">
      <c r="A28" s="26">
        <v>257</v>
      </c>
      <c r="B28">
        <f t="shared" si="0"/>
        <v>258</v>
      </c>
      <c r="E28" t="str">
        <f>IF(A29&gt;$L$29,"Not Met","Met")</f>
        <v>Not Met</v>
      </c>
    </row>
    <row r="29" spans="1:5" ht="14.45" x14ac:dyDescent="0.35">
      <c r="A29" s="26">
        <v>258</v>
      </c>
      <c r="B29">
        <f t="shared" si="0"/>
        <v>259</v>
      </c>
      <c r="E29" t="str">
        <f>IF(A30&gt;$L$30,"Not Met","Met")</f>
        <v>Not Met</v>
      </c>
    </row>
    <row r="30" spans="1:5" ht="14.45" x14ac:dyDescent="0.35">
      <c r="A30" s="26">
        <v>271</v>
      </c>
      <c r="B30">
        <f t="shared" si="0"/>
        <v>272</v>
      </c>
      <c r="E30" t="str">
        <f>IF(A31&gt;$L$31,"Not Met","Met")</f>
        <v>Not Met</v>
      </c>
    </row>
    <row r="31" spans="1:5" ht="14.45" x14ac:dyDescent="0.35">
      <c r="A31" s="26">
        <v>280</v>
      </c>
      <c r="B31">
        <f t="shared" si="0"/>
        <v>281</v>
      </c>
      <c r="E31" t="str">
        <f>IF(A32&gt;$L$32,"Not Met","Met")</f>
        <v>Not Met</v>
      </c>
    </row>
    <row r="32" spans="1:5" ht="14.45" x14ac:dyDescent="0.35">
      <c r="A32" s="26">
        <v>290</v>
      </c>
      <c r="B32">
        <f t="shared" si="0"/>
        <v>291</v>
      </c>
      <c r="E32" t="str">
        <f>IF(A33&gt;$L$33,"Not Met","Met")</f>
        <v>Not Met</v>
      </c>
    </row>
    <row r="33" spans="1:5" ht="14.45" x14ac:dyDescent="0.35">
      <c r="A33" s="26">
        <v>293</v>
      </c>
      <c r="B33">
        <f t="shared" si="0"/>
        <v>294</v>
      </c>
      <c r="E33" t="str">
        <f>IF(A34&gt;$L$34,"Not Met","Met")</f>
        <v>Not Met</v>
      </c>
    </row>
    <row r="34" spans="1:5" ht="14.45" x14ac:dyDescent="0.35">
      <c r="A34" s="26">
        <v>304</v>
      </c>
      <c r="B34">
        <f t="shared" si="0"/>
        <v>305</v>
      </c>
      <c r="E34" t="str">
        <f>IF(A35&gt;$L$35,"Not Met","Met")</f>
        <v>Not Met</v>
      </c>
    </row>
    <row r="35" spans="1:5" ht="14.45" x14ac:dyDescent="0.35">
      <c r="A35" s="26">
        <v>308</v>
      </c>
      <c r="B35">
        <f t="shared" si="0"/>
        <v>309</v>
      </c>
      <c r="E35" t="str">
        <f>IF(A36&gt;$L$36,"Not Met","Met")</f>
        <v>Not Met</v>
      </c>
    </row>
    <row r="36" spans="1:5" ht="14.45" x14ac:dyDescent="0.35">
      <c r="A36" s="26">
        <v>316</v>
      </c>
      <c r="B36">
        <f t="shared" si="0"/>
        <v>317</v>
      </c>
      <c r="E36" t="str">
        <f>IF(A37&gt;$L$37,"Not Met","Met")</f>
        <v>Not Met</v>
      </c>
    </row>
    <row r="37" spans="1:5" ht="14.45" x14ac:dyDescent="0.35">
      <c r="A37" s="26">
        <v>328</v>
      </c>
      <c r="B37">
        <f t="shared" si="0"/>
        <v>329</v>
      </c>
      <c r="E37" t="str">
        <f>IF(A38&gt;$L$38,"Not Met","Met")</f>
        <v>Not Met</v>
      </c>
    </row>
    <row r="38" spans="1:5" ht="14.45" x14ac:dyDescent="0.35">
      <c r="A38" s="26">
        <v>336</v>
      </c>
      <c r="B38">
        <f t="shared" si="0"/>
        <v>337</v>
      </c>
      <c r="E38" t="str">
        <f>IF(A39&gt;$L$39,"Not Met","Met")</f>
        <v>Not Met</v>
      </c>
    </row>
    <row r="39" spans="1:5" ht="14.45" x14ac:dyDescent="0.35">
      <c r="A39" s="26">
        <v>343</v>
      </c>
      <c r="B39">
        <f t="shared" si="0"/>
        <v>344</v>
      </c>
      <c r="E39" t="str">
        <f>IF(A40&gt;$L$40,"Not Met","Met")</f>
        <v>Not Met</v>
      </c>
    </row>
    <row r="40" spans="1:5" ht="14.45" x14ac:dyDescent="0.35">
      <c r="A40" s="26">
        <v>351</v>
      </c>
      <c r="B40">
        <f t="shared" si="0"/>
        <v>352</v>
      </c>
      <c r="E40" t="str">
        <f>IF(A41&gt;$L$41,"Not Met","Met")</f>
        <v>Not Met</v>
      </c>
    </row>
    <row r="41" spans="1:5" ht="14.45" x14ac:dyDescent="0.35">
      <c r="A41" s="26">
        <v>359</v>
      </c>
      <c r="B41">
        <f t="shared" si="0"/>
        <v>360</v>
      </c>
      <c r="E41" t="str">
        <f>IF(A42&gt;$L$42,"Not Met","Met")</f>
        <v>Not Met</v>
      </c>
    </row>
    <row r="42" spans="1:5" ht="14.45" x14ac:dyDescent="0.35">
      <c r="A42" s="26">
        <v>366</v>
      </c>
      <c r="B42">
        <f t="shared" si="0"/>
        <v>367</v>
      </c>
      <c r="E42" t="str">
        <f>IF(A43&gt;$L$43,"Not Met","Met")</f>
        <v>Not Met</v>
      </c>
    </row>
    <row r="43" spans="1:5" ht="14.45" x14ac:dyDescent="0.35">
      <c r="A43" s="26">
        <v>367</v>
      </c>
      <c r="B43">
        <f t="shared" si="0"/>
        <v>368</v>
      </c>
      <c r="E43" t="str">
        <f>IF(A44&gt;$L$44,"Not Met","Met")</f>
        <v>Not Met</v>
      </c>
    </row>
    <row r="44" spans="1:5" ht="14.45" x14ac:dyDescent="0.35">
      <c r="A44" s="26">
        <v>377</v>
      </c>
      <c r="B44">
        <f t="shared" si="0"/>
        <v>378</v>
      </c>
      <c r="E44" t="str">
        <f>IF(A45&gt;$L$45,"Not Met","Met")</f>
        <v>Not Met</v>
      </c>
    </row>
    <row r="45" spans="1:5" ht="14.45" x14ac:dyDescent="0.35">
      <c r="A45" s="26">
        <v>378</v>
      </c>
      <c r="B45">
        <f t="shared" si="0"/>
        <v>379</v>
      </c>
      <c r="E45" t="str">
        <f>IF(A46&gt;$L$46,"Not Met","Met")</f>
        <v>Not Met</v>
      </c>
    </row>
    <row r="46" spans="1:5" ht="14.45" x14ac:dyDescent="0.35">
      <c r="A46" s="26">
        <v>379</v>
      </c>
      <c r="B46">
        <f t="shared" si="0"/>
        <v>380</v>
      </c>
      <c r="E46" t="str">
        <f>IF(A47&gt;$L$47,"Not Met","Met")</f>
        <v>Not Met</v>
      </c>
    </row>
    <row r="47" spans="1:5" ht="14.45" x14ac:dyDescent="0.35">
      <c r="A47" s="26">
        <v>380</v>
      </c>
      <c r="B47">
        <f t="shared" si="0"/>
        <v>381</v>
      </c>
      <c r="E47" t="str">
        <f>IF(A48&gt;$L$48,"Not Met","Met")</f>
        <v>Not Met</v>
      </c>
    </row>
    <row r="48" spans="1:5" ht="14.45" x14ac:dyDescent="0.35">
      <c r="A48" s="26">
        <v>381</v>
      </c>
      <c r="B48">
        <f t="shared" si="0"/>
        <v>382</v>
      </c>
      <c r="E48" t="str">
        <f>IF(A49&gt;$L$49,"Not Met","Met")</f>
        <v>Not Met</v>
      </c>
    </row>
    <row r="49" spans="1:10" ht="14.45" x14ac:dyDescent="0.35">
      <c r="A49" s="26">
        <v>382</v>
      </c>
      <c r="B49">
        <f t="shared" si="0"/>
        <v>383</v>
      </c>
      <c r="E49" t="str">
        <f>IF(A50&gt;$L$50,"Not Met","Met")</f>
        <v>Not Met</v>
      </c>
    </row>
    <row r="50" spans="1:10" ht="14.45" x14ac:dyDescent="0.35">
      <c r="A50" s="26">
        <v>383</v>
      </c>
      <c r="B50">
        <f t="shared" si="0"/>
        <v>384</v>
      </c>
      <c r="E50" t="str">
        <f>IF(A51&gt;$L$51,"Not Met","Met")</f>
        <v>Not Met</v>
      </c>
    </row>
    <row r="51" spans="1:10" ht="14.45" x14ac:dyDescent="0.35">
      <c r="A51" s="26">
        <v>426</v>
      </c>
      <c r="B51">
        <f t="shared" si="0"/>
        <v>427</v>
      </c>
      <c r="E51" t="str">
        <f>IF(A52&gt;$L$52,"Not Met","Met")</f>
        <v>Not Met</v>
      </c>
      <c r="J51" s="13"/>
    </row>
    <row r="52" spans="1:10" ht="14.45" x14ac:dyDescent="0.35">
      <c r="A52" s="26">
        <v>434</v>
      </c>
      <c r="B52">
        <f t="shared" si="0"/>
        <v>435</v>
      </c>
      <c r="E52" t="str">
        <f>IF(A53&gt;$L$53,"Not Met","Met")</f>
        <v>Not Met</v>
      </c>
      <c r="I52" t="str">
        <f>IF(I51="NA","NA",IF(I51="Not Reported","Not Reported",IF(I51&lt;$L$283,"Not Met","Met")))</f>
        <v>Met</v>
      </c>
    </row>
    <row r="53" spans="1:10" ht="14.45" x14ac:dyDescent="0.35">
      <c r="A53" s="77">
        <v>449</v>
      </c>
      <c r="B53">
        <f t="shared" si="0"/>
        <v>450</v>
      </c>
      <c r="E53" t="str">
        <f>IF(A54&gt;$L$54,"Not Met","Met")</f>
        <v>Not Met</v>
      </c>
    </row>
    <row r="54" spans="1:10" ht="14.45" x14ac:dyDescent="0.35">
      <c r="A54" s="26">
        <v>465</v>
      </c>
      <c r="B54">
        <f t="shared" si="0"/>
        <v>466</v>
      </c>
      <c r="E54" t="str">
        <f>IF(A55&gt;$L$55,"Not Met","Met")</f>
        <v>Not Met</v>
      </c>
    </row>
    <row r="55" spans="1:10" ht="14.45" x14ac:dyDescent="0.35">
      <c r="A55" s="26">
        <v>479</v>
      </c>
      <c r="B55">
        <f t="shared" si="0"/>
        <v>480</v>
      </c>
    </row>
  </sheetData>
  <conditionalFormatting sqref="A1:A34">
    <cfRule type="containsText" dxfId="4349" priority="1" operator="containsText" text="Not Met">
      <formula>NOT(ISERROR(SEARCH("Not Met",A1)))</formula>
    </cfRule>
  </conditionalFormatting>
  <conditionalFormatting sqref="A1:A34">
    <cfRule type="containsText" dxfId="4348" priority="2" operator="containsText" text="Met">
      <formula>NOT(ISERROR(SEARCH("Met",A1)))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Timelines</vt:lpstr>
      <vt:lpstr>RAG Logics</vt:lpstr>
      <vt:lpstr>Region Summary</vt:lpstr>
      <vt:lpstr>Account Summary</vt:lpstr>
      <vt:lpstr>Base File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Chopra</dc:creator>
  <cp:keywords/>
  <dc:description/>
  <cp:lastModifiedBy>Rishab Jha</cp:lastModifiedBy>
  <cp:revision/>
  <dcterms:created xsi:type="dcterms:W3CDTF">2023-02-09T19:03:22Z</dcterms:created>
  <dcterms:modified xsi:type="dcterms:W3CDTF">2026-03-16T15:18:24Z</dcterms:modified>
  <cp:category/>
  <cp:contentStatus/>
</cp:coreProperties>
</file>