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avigg\Pictures\Desktop\"/>
    </mc:Choice>
  </mc:AlternateContent>
  <xr:revisionPtr revIDLastSave="0" documentId="13_ncr:1_{AA0EB708-7FB0-4310-A6ED-7873839B54D1}" xr6:coauthVersionLast="47" xr6:coauthVersionMax="47" xr10:uidLastSave="{00000000-0000-0000-0000-000000000000}"/>
  <bookViews>
    <workbookView xWindow="-108" yWindow="-108" windowWidth="23256" windowHeight="12456" firstSheet="5" activeTab="13" xr2:uid="{6F3688C4-1F5E-7E43-B686-456278FD08A5}"/>
  </bookViews>
  <sheets>
    <sheet name="Exercise" sheetId="16" r:id="rId1"/>
    <sheet name="1.Input --&gt;" sheetId="4" r:id="rId2"/>
    <sheet name="P&amp;L assumptions" sheetId="2" r:id="rId3"/>
    <sheet name="BS assumptions" sheetId="3" r:id="rId4"/>
    <sheet name="2.Output--&gt;" sheetId="5" r:id="rId5"/>
    <sheet name="P&amp;L" sheetId="6" r:id="rId6"/>
    <sheet name="BS" sheetId="7" r:id="rId7"/>
    <sheet name="Cash Flow" sheetId="8" r:id="rId8"/>
    <sheet name="DCF valuation" sheetId="9" r:id="rId9"/>
    <sheet name="WACC" sheetId="15" r:id="rId10"/>
    <sheet name="3.Sources --&gt;" sheetId="10" r:id="rId11"/>
    <sheet name="P&amp;L Source" sheetId="13" r:id="rId12"/>
    <sheet name="BS Source " sheetId="14" r:id="rId13"/>
    <sheet name="AI in EXCEL" sheetId="17" r:id="rId14"/>
  </sheets>
  <externalReferences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9" l="1"/>
  <c r="C26" i="9"/>
  <c r="C27" i="9"/>
  <c r="C28" i="9"/>
  <c r="C29" i="9"/>
  <c r="B26" i="9"/>
  <c r="B27" i="9"/>
  <c r="B28" i="9"/>
  <c r="B29" i="9"/>
  <c r="B25" i="9"/>
  <c r="C25" i="9"/>
  <c r="C24" i="9"/>
  <c r="B24" i="9"/>
  <c r="C23" i="9"/>
  <c r="C18" i="9"/>
  <c r="C19" i="9"/>
  <c r="C20" i="9"/>
  <c r="C21" i="9"/>
  <c r="C22" i="9"/>
  <c r="C17" i="9"/>
  <c r="B18" i="9"/>
  <c r="B19" i="9"/>
  <c r="B20" i="9"/>
  <c r="B21" i="9"/>
  <c r="B22" i="9"/>
  <c r="B23" i="9"/>
  <c r="B17" i="9"/>
  <c r="C15" i="9"/>
  <c r="C29" i="15"/>
  <c r="C27" i="15"/>
  <c r="C5" i="15" s="1"/>
  <c r="C6" i="15" s="1"/>
  <c r="C10" i="15"/>
  <c r="C12" i="15" s="1"/>
  <c r="I5" i="15"/>
  <c r="J5" i="15"/>
  <c r="I6" i="15"/>
  <c r="J6" i="15"/>
  <c r="I7" i="15"/>
  <c r="J7" i="15"/>
  <c r="I8" i="15"/>
  <c r="J8" i="15"/>
  <c r="I9" i="15"/>
  <c r="J9" i="15"/>
  <c r="I10" i="15"/>
  <c r="J10" i="15"/>
  <c r="I11" i="15"/>
  <c r="J11" i="15"/>
  <c r="I12" i="15"/>
  <c r="J12" i="15"/>
  <c r="I13" i="15"/>
  <c r="J13" i="15"/>
  <c r="I14" i="15"/>
  <c r="J14" i="15"/>
  <c r="I15" i="15"/>
  <c r="J15" i="15"/>
  <c r="I16" i="15"/>
  <c r="J16" i="15"/>
  <c r="I17" i="15"/>
  <c r="J17" i="15"/>
  <c r="I18" i="15"/>
  <c r="J18" i="15"/>
  <c r="I19" i="15"/>
  <c r="J19" i="15"/>
  <c r="I20" i="15"/>
  <c r="J20" i="15"/>
  <c r="I21" i="15"/>
  <c r="J21" i="15"/>
  <c r="I22" i="15"/>
  <c r="J22" i="15"/>
  <c r="I23" i="15"/>
  <c r="J23" i="15"/>
  <c r="I24" i="15"/>
  <c r="J24" i="15"/>
  <c r="I25" i="15"/>
  <c r="J25" i="15"/>
  <c r="I26" i="15"/>
  <c r="J26" i="15"/>
  <c r="I27" i="15"/>
  <c r="J27" i="15"/>
  <c r="I28" i="15"/>
  <c r="J28" i="15"/>
  <c r="I29" i="15"/>
  <c r="J29" i="15"/>
  <c r="I30" i="15"/>
  <c r="J30" i="15"/>
  <c r="I31" i="15"/>
  <c r="J31" i="15"/>
  <c r="I32" i="15"/>
  <c r="J32" i="15"/>
  <c r="I33" i="15"/>
  <c r="J33" i="15"/>
  <c r="I34" i="15"/>
  <c r="J34" i="15"/>
  <c r="I35" i="15"/>
  <c r="J35" i="15"/>
  <c r="I36" i="15"/>
  <c r="J36" i="15"/>
  <c r="I37" i="15"/>
  <c r="J37" i="15"/>
  <c r="I38" i="15"/>
  <c r="J38" i="15"/>
  <c r="I39" i="15"/>
  <c r="J39" i="15"/>
  <c r="I40" i="15"/>
  <c r="J40" i="15"/>
  <c r="I41" i="15"/>
  <c r="J41" i="15"/>
  <c r="I42" i="15"/>
  <c r="J42" i="15"/>
  <c r="I43" i="15"/>
  <c r="J43" i="15"/>
  <c r="I44" i="15"/>
  <c r="J44" i="15"/>
  <c r="I45" i="15"/>
  <c r="J45" i="15"/>
  <c r="I46" i="15"/>
  <c r="J46" i="15"/>
  <c r="I47" i="15"/>
  <c r="J47" i="15"/>
  <c r="I48" i="15"/>
  <c r="J48" i="15"/>
  <c r="I49" i="15"/>
  <c r="J49" i="15"/>
  <c r="I50" i="15"/>
  <c r="J50" i="15"/>
  <c r="I51" i="15"/>
  <c r="J51" i="15"/>
  <c r="I52" i="15"/>
  <c r="J52" i="15"/>
  <c r="I53" i="15"/>
  <c r="J53" i="15"/>
  <c r="I54" i="15"/>
  <c r="J54" i="15"/>
  <c r="I55" i="15"/>
  <c r="J55" i="15"/>
  <c r="I56" i="15"/>
  <c r="J56" i="15"/>
  <c r="I57" i="15"/>
  <c r="J57" i="15"/>
  <c r="I58" i="15"/>
  <c r="J58" i="15"/>
  <c r="I59" i="15"/>
  <c r="J59" i="15"/>
  <c r="I60" i="15"/>
  <c r="J60" i="15"/>
  <c r="I61" i="15"/>
  <c r="J61" i="15"/>
  <c r="I62" i="15"/>
  <c r="J62" i="15"/>
  <c r="J4" i="15"/>
  <c r="I4" i="15"/>
  <c r="C15" i="15"/>
  <c r="C16" i="15" s="1"/>
  <c r="C20" i="15" l="1"/>
  <c r="H9" i="7"/>
  <c r="J29" i="2"/>
  <c r="K29" i="2"/>
  <c r="L29" i="2"/>
  <c r="M29" i="2"/>
  <c r="I29" i="2"/>
  <c r="I43" i="2"/>
  <c r="C22" i="2"/>
  <c r="B28" i="2"/>
  <c r="I49" i="2"/>
  <c r="I14" i="6" s="1"/>
  <c r="B9" i="6"/>
  <c r="B8" i="6"/>
  <c r="D14" i="6"/>
  <c r="E14" i="6"/>
  <c r="F14" i="6"/>
  <c r="G14" i="6"/>
  <c r="H14" i="6"/>
  <c r="C14" i="6"/>
  <c r="E4" i="6"/>
  <c r="D15" i="3"/>
  <c r="D7" i="7" s="1"/>
  <c r="E4" i="7" s="1"/>
  <c r="E15" i="3"/>
  <c r="F15" i="3"/>
  <c r="F7" i="7" s="1"/>
  <c r="G4" i="7" s="1"/>
  <c r="G15" i="3"/>
  <c r="G7" i="7" s="1"/>
  <c r="H15" i="3"/>
  <c r="H7" i="7" s="1"/>
  <c r="C15" i="3"/>
  <c r="B15" i="3"/>
  <c r="D10" i="3"/>
  <c r="E10" i="3"/>
  <c r="F10" i="3"/>
  <c r="F10" i="7" s="1"/>
  <c r="G10" i="3"/>
  <c r="G10" i="7" s="1"/>
  <c r="H10" i="3"/>
  <c r="C10" i="3"/>
  <c r="D7" i="3"/>
  <c r="D11" i="7" s="1"/>
  <c r="E7" i="3"/>
  <c r="E11" i="7" s="1"/>
  <c r="F7" i="3"/>
  <c r="G7" i="3"/>
  <c r="H7" i="3"/>
  <c r="H11" i="7" s="1"/>
  <c r="C7" i="3"/>
  <c r="C11" i="7" s="1"/>
  <c r="D4" i="3"/>
  <c r="E4" i="3"/>
  <c r="E9" i="7" s="1"/>
  <c r="F4" i="3"/>
  <c r="F9" i="7" s="1"/>
  <c r="G4" i="3"/>
  <c r="G5" i="3" s="1"/>
  <c r="H4" i="3"/>
  <c r="C4" i="3"/>
  <c r="J49" i="2"/>
  <c r="J14" i="6" s="1"/>
  <c r="K49" i="2"/>
  <c r="K14" i="6" s="1"/>
  <c r="L49" i="2"/>
  <c r="L14" i="6" s="1"/>
  <c r="M49" i="2"/>
  <c r="M14" i="6" s="1"/>
  <c r="J43" i="2"/>
  <c r="K43" i="2"/>
  <c r="L43" i="2"/>
  <c r="M43" i="2"/>
  <c r="D42" i="2"/>
  <c r="E42" i="2"/>
  <c r="E11" i="6" s="1"/>
  <c r="D5" i="8" s="1"/>
  <c r="C42" i="2"/>
  <c r="C11" i="6" s="1"/>
  <c r="B42" i="2"/>
  <c r="J36" i="2"/>
  <c r="K36" i="2"/>
  <c r="L36" i="2"/>
  <c r="M36" i="2"/>
  <c r="I36" i="2"/>
  <c r="C35" i="2"/>
  <c r="B35" i="2"/>
  <c r="D28" i="2"/>
  <c r="E28" i="2"/>
  <c r="E8" i="6" s="1"/>
  <c r="H28" i="2"/>
  <c r="C28" i="2"/>
  <c r="C8" i="6" s="1"/>
  <c r="J22" i="2"/>
  <c r="K22" i="2"/>
  <c r="L22" i="2"/>
  <c r="M22" i="2"/>
  <c r="I22" i="2"/>
  <c r="B21" i="2"/>
  <c r="D21" i="2"/>
  <c r="E21" i="2"/>
  <c r="E7" i="6" s="1"/>
  <c r="C21" i="2"/>
  <c r="C7" i="6" s="1"/>
  <c r="I15" i="2"/>
  <c r="M15" i="2"/>
  <c r="L15" i="2"/>
  <c r="K15" i="2"/>
  <c r="J15" i="2"/>
  <c r="J8" i="2"/>
  <c r="K8" i="2"/>
  <c r="L8" i="2"/>
  <c r="M8" i="2"/>
  <c r="I8" i="2"/>
  <c r="D7" i="2"/>
  <c r="D4" i="6" s="1"/>
  <c r="E7" i="2"/>
  <c r="F7" i="2"/>
  <c r="G7" i="2"/>
  <c r="G4" i="6" s="1"/>
  <c r="H7" i="2"/>
  <c r="H4" i="6" s="1"/>
  <c r="C7" i="2"/>
  <c r="C4" i="6" s="1"/>
  <c r="H57" i="14"/>
  <c r="E57" i="14"/>
  <c r="D57" i="14"/>
  <c r="C57" i="14"/>
  <c r="G52" i="14"/>
  <c r="G57" i="14" s="1"/>
  <c r="F52" i="14"/>
  <c r="F57" i="14" s="1"/>
  <c r="H47" i="14"/>
  <c r="G47" i="14"/>
  <c r="F47" i="14"/>
  <c r="E47" i="14"/>
  <c r="E58" i="14" s="1"/>
  <c r="D47" i="14"/>
  <c r="D58" i="14" s="1"/>
  <c r="C47" i="14"/>
  <c r="C58" i="14" s="1"/>
  <c r="H31" i="14"/>
  <c r="G31" i="14"/>
  <c r="F31" i="14"/>
  <c r="E31" i="14"/>
  <c r="D31" i="14"/>
  <c r="C31" i="14"/>
  <c r="H18" i="14"/>
  <c r="G18" i="14"/>
  <c r="F18" i="14"/>
  <c r="E18" i="14"/>
  <c r="E32" i="14" s="1"/>
  <c r="D18" i="14"/>
  <c r="C18" i="14"/>
  <c r="H21" i="13"/>
  <c r="G21" i="13"/>
  <c r="F21" i="13"/>
  <c r="H16" i="13"/>
  <c r="G16" i="13"/>
  <c r="F16" i="13"/>
  <c r="H13" i="13"/>
  <c r="H42" i="2" s="1"/>
  <c r="G13" i="13"/>
  <c r="G42" i="2" s="1"/>
  <c r="F13" i="13"/>
  <c r="F42" i="2" s="1"/>
  <c r="H10" i="13"/>
  <c r="H35" i="2" s="1"/>
  <c r="H36" i="2" s="1"/>
  <c r="G10" i="13"/>
  <c r="G35" i="2" s="1"/>
  <c r="G9" i="6" s="1"/>
  <c r="F10" i="13"/>
  <c r="F35" i="2" s="1"/>
  <c r="E10" i="13"/>
  <c r="E35" i="2" s="1"/>
  <c r="D10" i="13"/>
  <c r="D35" i="2" s="1"/>
  <c r="D36" i="2" s="1"/>
  <c r="H9" i="13"/>
  <c r="G9" i="13"/>
  <c r="G28" i="2" s="1"/>
  <c r="F9" i="13"/>
  <c r="F28" i="2" s="1"/>
  <c r="F8" i="6" s="1"/>
  <c r="H8" i="13"/>
  <c r="H21" i="2" s="1"/>
  <c r="G8" i="13"/>
  <c r="G21" i="2" s="1"/>
  <c r="F8" i="13"/>
  <c r="F21" i="2" s="1"/>
  <c r="F22" i="2" s="1"/>
  <c r="H7" i="13"/>
  <c r="G7" i="13"/>
  <c r="G11" i="13" s="1"/>
  <c r="G12" i="13" s="1"/>
  <c r="G14" i="13" s="1"/>
  <c r="G20" i="13" s="1"/>
  <c r="G22" i="13" s="1"/>
  <c r="F7" i="13"/>
  <c r="F14" i="2" s="1"/>
  <c r="F5" i="6" s="1"/>
  <c r="E7" i="13"/>
  <c r="D7" i="13"/>
  <c r="D14" i="2" s="1"/>
  <c r="C7" i="13"/>
  <c r="C11" i="13" s="1"/>
  <c r="C12" i="13" s="1"/>
  <c r="C14" i="13" s="1"/>
  <c r="C20" i="13" s="1"/>
  <c r="C22" i="13" s="1"/>
  <c r="G32" i="14" l="1"/>
  <c r="G11" i="3"/>
  <c r="G16" i="3"/>
  <c r="E22" i="2"/>
  <c r="C8" i="3"/>
  <c r="I7" i="2"/>
  <c r="J7" i="2" s="1"/>
  <c r="D43" i="2"/>
  <c r="E8" i="3"/>
  <c r="D11" i="6"/>
  <c r="C5" i="8" s="1"/>
  <c r="C32" i="14"/>
  <c r="D32" i="14"/>
  <c r="H32" i="14"/>
  <c r="H58" i="14"/>
  <c r="E8" i="2"/>
  <c r="H5" i="3"/>
  <c r="D5" i="3"/>
  <c r="F8" i="3"/>
  <c r="D9" i="7"/>
  <c r="F5" i="7"/>
  <c r="F11" i="6"/>
  <c r="E5" i="8" s="1"/>
  <c r="F43" i="2"/>
  <c r="H7" i="6"/>
  <c r="H22" i="2"/>
  <c r="C5" i="3"/>
  <c r="C9" i="7"/>
  <c r="C11" i="3"/>
  <c r="C10" i="7"/>
  <c r="E7" i="7"/>
  <c r="E16" i="3"/>
  <c r="G7" i="6"/>
  <c r="G22" i="2"/>
  <c r="F8" i="2"/>
  <c r="F4" i="6"/>
  <c r="F29" i="2"/>
  <c r="G36" i="2"/>
  <c r="G5" i="7"/>
  <c r="G6" i="7" s="1"/>
  <c r="F7" i="8" s="1"/>
  <c r="G43" i="2"/>
  <c r="G11" i="6"/>
  <c r="F5" i="8" s="1"/>
  <c r="I5" i="3"/>
  <c r="I4" i="3" s="1"/>
  <c r="I9" i="7" s="1"/>
  <c r="H11" i="3"/>
  <c r="I11" i="3" s="1"/>
  <c r="J11" i="3" s="1"/>
  <c r="K11" i="3" s="1"/>
  <c r="L11" i="3" s="1"/>
  <c r="M11" i="3" s="1"/>
  <c r="D11" i="3"/>
  <c r="I4" i="7"/>
  <c r="F9" i="6"/>
  <c r="F36" i="2"/>
  <c r="E9" i="6"/>
  <c r="E36" i="2"/>
  <c r="E11" i="3"/>
  <c r="E10" i="7"/>
  <c r="E12" i="7" s="1"/>
  <c r="C7" i="7"/>
  <c r="D4" i="7" s="1"/>
  <c r="C16" i="3"/>
  <c r="H43" i="2"/>
  <c r="H5" i="7"/>
  <c r="F15" i="2"/>
  <c r="D7" i="6"/>
  <c r="D22" i="2"/>
  <c r="H8" i="6"/>
  <c r="H29" i="2"/>
  <c r="E5" i="3"/>
  <c r="F7" i="6"/>
  <c r="H9" i="6"/>
  <c r="F6" i="6"/>
  <c r="G8" i="6"/>
  <c r="G29" i="2"/>
  <c r="D8" i="6"/>
  <c r="D29" i="2"/>
  <c r="G8" i="3"/>
  <c r="G13" i="3" s="1"/>
  <c r="G11" i="7"/>
  <c r="D5" i="6"/>
  <c r="D6" i="6" s="1"/>
  <c r="D15" i="2"/>
  <c r="H14" i="2"/>
  <c r="H5" i="6" s="1"/>
  <c r="H6" i="6" s="1"/>
  <c r="H11" i="13"/>
  <c r="H12" i="13" s="1"/>
  <c r="H14" i="13" s="1"/>
  <c r="H20" i="13" s="1"/>
  <c r="H22" i="13" s="1"/>
  <c r="D11" i="13"/>
  <c r="D12" i="13" s="1"/>
  <c r="D14" i="13" s="1"/>
  <c r="D20" i="13" s="1"/>
  <c r="D22" i="13" s="1"/>
  <c r="C9" i="6"/>
  <c r="C36" i="2"/>
  <c r="H11" i="6"/>
  <c r="G5" i="8" s="1"/>
  <c r="D9" i="6"/>
  <c r="F58" i="14"/>
  <c r="C14" i="2"/>
  <c r="C29" i="2"/>
  <c r="E29" i="2"/>
  <c r="F5" i="3"/>
  <c r="F13" i="3" s="1"/>
  <c r="H8" i="3"/>
  <c r="I8" i="3" s="1"/>
  <c r="J8" i="3" s="1"/>
  <c r="K8" i="3" s="1"/>
  <c r="L8" i="3" s="1"/>
  <c r="M8" i="3" s="1"/>
  <c r="D8" i="3"/>
  <c r="F11" i="3"/>
  <c r="F16" i="3"/>
  <c r="G14" i="2"/>
  <c r="G15" i="2" s="1"/>
  <c r="H4" i="7"/>
  <c r="C5" i="7"/>
  <c r="E5" i="7"/>
  <c r="F11" i="7"/>
  <c r="F12" i="7" s="1"/>
  <c r="G9" i="7"/>
  <c r="G12" i="7" s="1"/>
  <c r="H10" i="7"/>
  <c r="H12" i="7" s="1"/>
  <c r="D10" i="7"/>
  <c r="D12" i="7" s="1"/>
  <c r="E11" i="13"/>
  <c r="E12" i="13" s="1"/>
  <c r="E14" i="13" s="1"/>
  <c r="E20" i="13" s="1"/>
  <c r="E22" i="13" s="1"/>
  <c r="F11" i="13"/>
  <c r="F12" i="13" s="1"/>
  <c r="F14" i="13" s="1"/>
  <c r="F20" i="13" s="1"/>
  <c r="F22" i="13" s="1"/>
  <c r="F32" i="14"/>
  <c r="C43" i="2"/>
  <c r="E43" i="2"/>
  <c r="D5" i="7"/>
  <c r="G58" i="14"/>
  <c r="G8" i="2"/>
  <c r="H16" i="3"/>
  <c r="D16" i="3"/>
  <c r="E14" i="2"/>
  <c r="F4" i="7"/>
  <c r="F6" i="7" s="1"/>
  <c r="E7" i="8" s="1"/>
  <c r="J28" i="2"/>
  <c r="J8" i="6" s="1"/>
  <c r="I42" i="2"/>
  <c r="H15" i="2"/>
  <c r="G5" i="6"/>
  <c r="G6" i="6" s="1"/>
  <c r="G10" i="6" s="1"/>
  <c r="G12" i="6" s="1"/>
  <c r="J42" i="2"/>
  <c r="I35" i="2"/>
  <c r="J35" i="2"/>
  <c r="J9" i="6" s="1"/>
  <c r="I4" i="6"/>
  <c r="J4" i="6"/>
  <c r="I15" i="3"/>
  <c r="I7" i="7" s="1"/>
  <c r="J4" i="7" s="1"/>
  <c r="J15" i="3"/>
  <c r="J7" i="7" s="1"/>
  <c r="K4" i="7" s="1"/>
  <c r="I28" i="2"/>
  <c r="I8" i="6" s="1"/>
  <c r="J14" i="2"/>
  <c r="I14" i="2"/>
  <c r="H8" i="2"/>
  <c r="K7" i="2"/>
  <c r="K42" i="2" s="1"/>
  <c r="K5" i="7" s="1"/>
  <c r="E13" i="7" l="1"/>
  <c r="D8" i="8" s="1"/>
  <c r="F10" i="6"/>
  <c r="F12" i="6" s="1"/>
  <c r="F13" i="6" s="1"/>
  <c r="F15" i="6" s="1"/>
  <c r="E4" i="8" s="1"/>
  <c r="E6" i="8" s="1"/>
  <c r="E9" i="8" s="1"/>
  <c r="F7" i="9" s="1"/>
  <c r="H6" i="7"/>
  <c r="G7" i="8" s="1"/>
  <c r="D10" i="6"/>
  <c r="D12" i="6" s="1"/>
  <c r="D13" i="6" s="1"/>
  <c r="D15" i="6" s="1"/>
  <c r="C4" i="8" s="1"/>
  <c r="C6" i="8" s="1"/>
  <c r="D13" i="3"/>
  <c r="F13" i="7"/>
  <c r="E8" i="8" s="1"/>
  <c r="G13" i="7"/>
  <c r="F8" i="8" s="1"/>
  <c r="D13" i="7"/>
  <c r="C8" i="8" s="1"/>
  <c r="E15" i="2"/>
  <c r="E5" i="6"/>
  <c r="E6" i="6" s="1"/>
  <c r="E10" i="6" s="1"/>
  <c r="E12" i="6" s="1"/>
  <c r="H13" i="7"/>
  <c r="G8" i="8" s="1"/>
  <c r="J11" i="6"/>
  <c r="I5" i="8" s="1"/>
  <c r="J5" i="7"/>
  <c r="J6" i="7" s="1"/>
  <c r="I7" i="8" s="1"/>
  <c r="H10" i="6"/>
  <c r="H12" i="6" s="1"/>
  <c r="H13" i="6" s="1"/>
  <c r="H15" i="6" s="1"/>
  <c r="G4" i="8" s="1"/>
  <c r="G6" i="8" s="1"/>
  <c r="D6" i="7"/>
  <c r="C7" i="8" s="1"/>
  <c r="H13" i="3"/>
  <c r="E6" i="7"/>
  <c r="D7" i="8" s="1"/>
  <c r="C13" i="3"/>
  <c r="I11" i="6"/>
  <c r="H5" i="8" s="1"/>
  <c r="I5" i="7"/>
  <c r="I6" i="7" s="1"/>
  <c r="H7" i="8" s="1"/>
  <c r="C15" i="2"/>
  <c r="C5" i="6"/>
  <c r="C6" i="6" s="1"/>
  <c r="C10" i="6" s="1"/>
  <c r="C12" i="6" s="1"/>
  <c r="E13" i="3"/>
  <c r="I13" i="3"/>
  <c r="J5" i="3"/>
  <c r="C12" i="7"/>
  <c r="C19" i="15"/>
  <c r="C22" i="15" s="1"/>
  <c r="K28" i="2"/>
  <c r="K8" i="6" s="1"/>
  <c r="G13" i="6"/>
  <c r="G15" i="6" s="1"/>
  <c r="F4" i="8" s="1"/>
  <c r="F6" i="8" s="1"/>
  <c r="F9" i="8" s="1"/>
  <c r="G7" i="9" s="1"/>
  <c r="K35" i="2"/>
  <c r="K9" i="6" s="1"/>
  <c r="I21" i="2"/>
  <c r="I5" i="6"/>
  <c r="I6" i="6" s="1"/>
  <c r="I10" i="3"/>
  <c r="I10" i="7" s="1"/>
  <c r="I7" i="3"/>
  <c r="I11" i="7" s="1"/>
  <c r="J21" i="2"/>
  <c r="J7" i="6" s="1"/>
  <c r="J5" i="6"/>
  <c r="J6" i="6" s="1"/>
  <c r="J10" i="3"/>
  <c r="J10" i="7" s="1"/>
  <c r="J7" i="3"/>
  <c r="J11" i="7" s="1"/>
  <c r="K11" i="6"/>
  <c r="J5" i="8" s="1"/>
  <c r="L7" i="2"/>
  <c r="K4" i="6"/>
  <c r="K15" i="3"/>
  <c r="K7" i="7" s="1"/>
  <c r="L4" i="7" s="1"/>
  <c r="K14" i="2"/>
  <c r="K8" i="9" l="1"/>
  <c r="I8" i="9"/>
  <c r="M8" i="9"/>
  <c r="L8" i="9"/>
  <c r="J8" i="9"/>
  <c r="C9" i="8"/>
  <c r="D7" i="9" s="1"/>
  <c r="G9" i="8"/>
  <c r="H7" i="9" s="1"/>
  <c r="I12" i="7"/>
  <c r="I13" i="7" s="1"/>
  <c r="H8" i="8" s="1"/>
  <c r="K5" i="3"/>
  <c r="J13" i="3"/>
  <c r="J4" i="3"/>
  <c r="J9" i="7" s="1"/>
  <c r="J10" i="6"/>
  <c r="J12" i="6" s="1"/>
  <c r="J13" i="6" s="1"/>
  <c r="J15" i="6" s="1"/>
  <c r="I4" i="8" s="1"/>
  <c r="I6" i="8" s="1"/>
  <c r="I9" i="8" s="1"/>
  <c r="J7" i="9" s="1"/>
  <c r="E13" i="6"/>
  <c r="E15" i="6" s="1"/>
  <c r="D4" i="8" s="1"/>
  <c r="D6" i="8" s="1"/>
  <c r="D9" i="8" s="1"/>
  <c r="E7" i="9" s="1"/>
  <c r="J12" i="7"/>
  <c r="C13" i="6"/>
  <c r="C15" i="6" s="1"/>
  <c r="K6" i="7"/>
  <c r="J7" i="8" s="1"/>
  <c r="L42" i="2"/>
  <c r="L5" i="7" s="1"/>
  <c r="L28" i="2"/>
  <c r="L8" i="6" s="1"/>
  <c r="L14" i="2"/>
  <c r="L7" i="3" s="1"/>
  <c r="L11" i="7" s="1"/>
  <c r="I9" i="6"/>
  <c r="I7" i="6"/>
  <c r="K21" i="2"/>
  <c r="K7" i="6" s="1"/>
  <c r="K5" i="6"/>
  <c r="K6" i="6" s="1"/>
  <c r="K10" i="3"/>
  <c r="K10" i="7" s="1"/>
  <c r="K7" i="3"/>
  <c r="K11" i="7" s="1"/>
  <c r="M7" i="2"/>
  <c r="M28" i="2" s="1"/>
  <c r="L15" i="3"/>
  <c r="L7" i="7" s="1"/>
  <c r="L4" i="6"/>
  <c r="L35" i="2"/>
  <c r="L9" i="6" s="1"/>
  <c r="B7" i="9"/>
  <c r="B7" i="6"/>
  <c r="J13" i="7" l="1"/>
  <c r="I8" i="8" s="1"/>
  <c r="L11" i="6"/>
  <c r="K5" i="8" s="1"/>
  <c r="L6" i="7"/>
  <c r="K7" i="8" s="1"/>
  <c r="M4" i="7"/>
  <c r="L5" i="3"/>
  <c r="K13" i="3"/>
  <c r="K4" i="3"/>
  <c r="K9" i="7" s="1"/>
  <c r="K12" i="7" s="1"/>
  <c r="K13" i="7" s="1"/>
  <c r="J8" i="8" s="1"/>
  <c r="L10" i="3"/>
  <c r="L10" i="7" s="1"/>
  <c r="L5" i="6"/>
  <c r="L6" i="6" s="1"/>
  <c r="L21" i="2"/>
  <c r="L7" i="6" s="1"/>
  <c r="M8" i="6"/>
  <c r="M42" i="2"/>
  <c r="I10" i="6"/>
  <c r="I12" i="6" s="1"/>
  <c r="I13" i="6" s="1"/>
  <c r="I15" i="6" s="1"/>
  <c r="H4" i="8" s="1"/>
  <c r="H6" i="8" s="1"/>
  <c r="H9" i="8" s="1"/>
  <c r="I7" i="9" s="1"/>
  <c r="K10" i="6"/>
  <c r="K12" i="6" s="1"/>
  <c r="K13" i="6" s="1"/>
  <c r="K15" i="6" s="1"/>
  <c r="J4" i="8" s="1"/>
  <c r="J6" i="8" s="1"/>
  <c r="J9" i="8" s="1"/>
  <c r="K7" i="9" s="1"/>
  <c r="M14" i="2"/>
  <c r="M15" i="3"/>
  <c r="M7" i="7" s="1"/>
  <c r="M4" i="6"/>
  <c r="M35" i="2"/>
  <c r="M9" i="6" s="1"/>
  <c r="M11" i="6" l="1"/>
  <c r="L5" i="8" s="1"/>
  <c r="M5" i="7"/>
  <c r="M6" i="7" s="1"/>
  <c r="L7" i="8" s="1"/>
  <c r="M5" i="3"/>
  <c r="L13" i="3"/>
  <c r="L4" i="3"/>
  <c r="L9" i="7" s="1"/>
  <c r="L12" i="7" s="1"/>
  <c r="L13" i="7" s="1"/>
  <c r="K8" i="8" s="1"/>
  <c r="L10" i="6"/>
  <c r="L12" i="6" s="1"/>
  <c r="L13" i="6" s="1"/>
  <c r="L15" i="6" s="1"/>
  <c r="K4" i="8" s="1"/>
  <c r="K6" i="8" s="1"/>
  <c r="K9" i="8" s="1"/>
  <c r="L7" i="9" s="1"/>
  <c r="M21" i="2"/>
  <c r="M7" i="6" s="1"/>
  <c r="M10" i="3"/>
  <c r="M10" i="7" s="1"/>
  <c r="M7" i="3"/>
  <c r="M11" i="7" s="1"/>
  <c r="M5" i="6"/>
  <c r="M6" i="6" s="1"/>
  <c r="M13" i="3" l="1"/>
  <c r="M4" i="3"/>
  <c r="M9" i="7" s="1"/>
  <c r="M12" i="7" s="1"/>
  <c r="M13" i="7" s="1"/>
  <c r="L8" i="8" s="1"/>
  <c r="M10" i="6"/>
  <c r="M12" i="6" s="1"/>
  <c r="M13" i="6" s="1"/>
  <c r="M15" i="6" s="1"/>
  <c r="L4" i="8" s="1"/>
  <c r="L6" i="8" s="1"/>
  <c r="L9" i="8" s="1"/>
  <c r="M7" i="9" s="1"/>
  <c r="C12" i="9" l="1"/>
  <c r="C13" i="9" s="1"/>
  <c r="M9" i="9"/>
  <c r="I9" i="9"/>
  <c r="J9" i="9" l="1"/>
  <c r="K9" i="9" l="1"/>
  <c r="L9" i="9" l="1"/>
  <c r="C11" i="9" l="1"/>
  <c r="C14" i="9" l="1"/>
  <c r="C30" i="9" s="1"/>
  <c r="D13" i="9" l="1"/>
  <c r="F13" i="9"/>
  <c r="D11" i="9"/>
</calcChain>
</file>

<file path=xl/sharedStrings.xml><?xml version="1.0" encoding="utf-8"?>
<sst xmlns="http://schemas.openxmlformats.org/spreadsheetml/2006/main" count="402" uniqueCount="262">
  <si>
    <t>P&amp;L assumptions</t>
  </si>
  <si>
    <t>FY16
Actual</t>
  </si>
  <si>
    <t>FY17
Actual</t>
  </si>
  <si>
    <t>FY18
Actual</t>
  </si>
  <si>
    <t>FY20
Forecast</t>
  </si>
  <si>
    <t>FY21
Forecast</t>
  </si>
  <si>
    <t>FY22
Forecast</t>
  </si>
  <si>
    <t>FY23
Forecast</t>
  </si>
  <si>
    <t>Rs in Crores</t>
  </si>
  <si>
    <t>BS assumptions</t>
  </si>
  <si>
    <t>1.Input --&gt;</t>
  </si>
  <si>
    <t>2.Output --&gt;</t>
  </si>
  <si>
    <t>P&amp;L</t>
  </si>
  <si>
    <t>Note</t>
  </si>
  <si>
    <t>Revenues</t>
  </si>
  <si>
    <t>Cost of goods sold</t>
  </si>
  <si>
    <t>Gross Margin</t>
  </si>
  <si>
    <t>EBITDA</t>
  </si>
  <si>
    <t>D&amp;A</t>
  </si>
  <si>
    <t>EBIT</t>
  </si>
  <si>
    <t>Taxes</t>
  </si>
  <si>
    <t>Tax rate</t>
  </si>
  <si>
    <t xml:space="preserve"> </t>
  </si>
  <si>
    <t>Balance Sheet</t>
  </si>
  <si>
    <t>Inventory</t>
  </si>
  <si>
    <t>Trade receivable</t>
  </si>
  <si>
    <t>Trade payable</t>
  </si>
  <si>
    <t>Cash Flow</t>
  </si>
  <si>
    <t>DCF Valuation</t>
  </si>
  <si>
    <t>Income Statement</t>
  </si>
  <si>
    <t>INR (cr)</t>
  </si>
  <si>
    <t>Particulars</t>
  </si>
  <si>
    <t>Property, plant and equipment</t>
  </si>
  <si>
    <t>INR in Crores</t>
  </si>
  <si>
    <t>FY15
Actual</t>
  </si>
  <si>
    <t>FY14
Actual</t>
  </si>
  <si>
    <t>Net Operating Profit After Taxes (NOPAT)</t>
  </si>
  <si>
    <t>Capex</t>
  </si>
  <si>
    <t>Working Capital</t>
  </si>
  <si>
    <t>3.Sources --&gt;</t>
  </si>
  <si>
    <t>Selected case</t>
  </si>
  <si>
    <t>Case 1</t>
  </si>
  <si>
    <t>Case 2</t>
  </si>
  <si>
    <t>Case 3</t>
  </si>
  <si>
    <t>Scenarios:</t>
  </si>
  <si>
    <t>NOPAT</t>
  </si>
  <si>
    <t>Add: Deprecitaion &amp; Amortization</t>
  </si>
  <si>
    <t>Gross Cash Flow</t>
  </si>
  <si>
    <t>Less: Capex</t>
  </si>
  <si>
    <t>Less: Investment in working capital</t>
  </si>
  <si>
    <t>Net Cash Flow</t>
  </si>
  <si>
    <t>WACC</t>
  </si>
  <si>
    <t>Growth</t>
  </si>
  <si>
    <t>Date</t>
  </si>
  <si>
    <t>NSE500</t>
  </si>
  <si>
    <t>Discount factor</t>
  </si>
  <si>
    <t>Present value</t>
  </si>
  <si>
    <t>DCF value</t>
  </si>
  <si>
    <t>Continuing Value</t>
  </si>
  <si>
    <t>Enterprise value</t>
  </si>
  <si>
    <t>Less:Debt</t>
  </si>
  <si>
    <t>Add:</t>
  </si>
  <si>
    <t>PV of Continuing value</t>
  </si>
  <si>
    <t>1. Calculate NOPAT in P&amp;L output sheet (2014-2023)</t>
  </si>
  <si>
    <t>2. Calculate Capex and Working Capital needs from 2019-2023</t>
  </si>
  <si>
    <t>3. Calculate Net Cash Flow (2014-2023)</t>
  </si>
  <si>
    <t>4. Apply 'goal seek' to find out terminal growth based on what market is expecting</t>
  </si>
  <si>
    <t>Given the P&amp;L and Balance Sheet assumptions, calculate the following:</t>
  </si>
  <si>
    <t>revenue from operations</t>
  </si>
  <si>
    <t>operating item</t>
  </si>
  <si>
    <t>operating expenses</t>
  </si>
  <si>
    <t>cost of materials consumed</t>
  </si>
  <si>
    <t>excise duty on sale of goods</t>
  </si>
  <si>
    <t>employee benefits expenses</t>
  </si>
  <si>
    <t>other expenses</t>
  </si>
  <si>
    <t>total operating expenses</t>
  </si>
  <si>
    <t>depreciation and amortisation exp.</t>
  </si>
  <si>
    <t>other income</t>
  </si>
  <si>
    <t>non-operating item</t>
  </si>
  <si>
    <t>finance costs</t>
  </si>
  <si>
    <t>share in profit/loss of associates,net of tax</t>
  </si>
  <si>
    <t>gain on dillution of interest in an associate</t>
  </si>
  <si>
    <t>minority interest profit/loss</t>
  </si>
  <si>
    <t>profit before tax</t>
  </si>
  <si>
    <t>tax expense</t>
  </si>
  <si>
    <t>profit after tax/net profit</t>
  </si>
  <si>
    <t>assets</t>
  </si>
  <si>
    <t>non - current assets</t>
  </si>
  <si>
    <t>property,plant,and equipment</t>
  </si>
  <si>
    <t>capital work in progress</t>
  </si>
  <si>
    <t>intangible assets</t>
  </si>
  <si>
    <t>intagible assets under development</t>
  </si>
  <si>
    <t>equity accounted investments in associates</t>
  </si>
  <si>
    <t>financial assets</t>
  </si>
  <si>
    <t>loan to enployees</t>
  </si>
  <si>
    <t>deferred tax assets(net)</t>
  </si>
  <si>
    <t>security deposits</t>
  </si>
  <si>
    <t>income tax assets(net)</t>
  </si>
  <si>
    <t>other non current assets</t>
  </si>
  <si>
    <t>total non current assets</t>
  </si>
  <si>
    <t>current assets</t>
  </si>
  <si>
    <t>inventories</t>
  </si>
  <si>
    <t>investments</t>
  </si>
  <si>
    <t>trade reeceivables</t>
  </si>
  <si>
    <t>cash and cash equi..</t>
  </si>
  <si>
    <t>bank balances</t>
  </si>
  <si>
    <t>loans to employees</t>
  </si>
  <si>
    <t>other financial asssets</t>
  </si>
  <si>
    <t>other current assets</t>
  </si>
  <si>
    <t>total current assets</t>
  </si>
  <si>
    <t>total assets</t>
  </si>
  <si>
    <t>liabilities</t>
  </si>
  <si>
    <t>non-current liablilites</t>
  </si>
  <si>
    <t>equity share capital</t>
  </si>
  <si>
    <t>other equity</t>
  </si>
  <si>
    <t>non controlling interest</t>
  </si>
  <si>
    <t>lt debt</t>
  </si>
  <si>
    <t>other long term liabilities</t>
  </si>
  <si>
    <t>employee benefits</t>
  </si>
  <si>
    <t>warrenties</t>
  </si>
  <si>
    <t>deferred tax liabilities (net)</t>
  </si>
  <si>
    <t>total non current liabilites</t>
  </si>
  <si>
    <t>current liabilites</t>
  </si>
  <si>
    <t>st debt</t>
  </si>
  <si>
    <t>trade payables</t>
  </si>
  <si>
    <t>other financial liabilitiess</t>
  </si>
  <si>
    <t>security deposits dealers and others</t>
  </si>
  <si>
    <t>other current liabilities</t>
  </si>
  <si>
    <t>total current liabilites</t>
  </si>
  <si>
    <t>total liabilites</t>
  </si>
  <si>
    <t>FY19
Actual</t>
  </si>
  <si>
    <t>FY24
Forecast</t>
  </si>
  <si>
    <t>revenue</t>
  </si>
  <si>
    <t>revenue growth%</t>
  </si>
  <si>
    <t>Base(historical value)</t>
  </si>
  <si>
    <t>Worst(worse than historical value)</t>
  </si>
  <si>
    <t>cost of material consumed</t>
  </si>
  <si>
    <t>sales%</t>
  </si>
  <si>
    <t>tax%</t>
  </si>
  <si>
    <t>accounts receivable</t>
  </si>
  <si>
    <t>DSO</t>
  </si>
  <si>
    <t xml:space="preserve">accounts payable </t>
  </si>
  <si>
    <t>DPO</t>
  </si>
  <si>
    <t>DIO</t>
  </si>
  <si>
    <t>CCC</t>
  </si>
  <si>
    <t>Optimistic(higher than historical value)</t>
  </si>
  <si>
    <t>Depreciation &amp; amort. Expense</t>
  </si>
  <si>
    <t>Ending Value(PPE)</t>
  </si>
  <si>
    <t>Changes in working capital</t>
  </si>
  <si>
    <t>cost if capital</t>
  </si>
  <si>
    <t>key inputs :</t>
  </si>
  <si>
    <t>total equity to capital</t>
  </si>
  <si>
    <t>net debt to capital</t>
  </si>
  <si>
    <t>calculations :</t>
  </si>
  <si>
    <t>risk free rate</t>
  </si>
  <si>
    <t>equity beta</t>
  </si>
  <si>
    <t>market risk premium</t>
  </si>
  <si>
    <t>cost of equity</t>
  </si>
  <si>
    <t>pre-tax cost of debt</t>
  </si>
  <si>
    <t>marginal tax rate</t>
  </si>
  <si>
    <t>cost of debt</t>
  </si>
  <si>
    <t>weighted cost of equity</t>
  </si>
  <si>
    <t>weigthted cost of debt</t>
  </si>
  <si>
    <t>weighted average cost of capital</t>
  </si>
  <si>
    <t>hero motorcorp share price</t>
  </si>
  <si>
    <t>Hero motorcorp monthly return</t>
  </si>
  <si>
    <t>Sep 1, 2014</t>
  </si>
  <si>
    <t>Oct 1, 2014</t>
  </si>
  <si>
    <t>Nov 1, 2014</t>
  </si>
  <si>
    <t>Dec 1, 2014</t>
  </si>
  <si>
    <t>Jan 1, 2015</t>
  </si>
  <si>
    <t>Feb 1, 2015</t>
  </si>
  <si>
    <t>Mar 1, 2015</t>
  </si>
  <si>
    <t>Apr 1, 2015</t>
  </si>
  <si>
    <t>May 1, 2015</t>
  </si>
  <si>
    <t>Jun 1, 2015</t>
  </si>
  <si>
    <t>Jul 1, 2015</t>
  </si>
  <si>
    <t>Aug 1, 2015</t>
  </si>
  <si>
    <t>Sep 1, 2015</t>
  </si>
  <si>
    <t>Oct 1, 2015</t>
  </si>
  <si>
    <t>Nov 1, 2015</t>
  </si>
  <si>
    <t>Dec 1, 2015</t>
  </si>
  <si>
    <t>Jan 1, 2016</t>
  </si>
  <si>
    <t>Feb 1, 2016</t>
  </si>
  <si>
    <t>Mar 1, 2016</t>
  </si>
  <si>
    <t>Apr 1, 2016</t>
  </si>
  <si>
    <t>May 1, 2016</t>
  </si>
  <si>
    <t>Jun 1, 2016</t>
  </si>
  <si>
    <t>Jul 1, 2016</t>
  </si>
  <si>
    <t>Aug 1, 2016</t>
  </si>
  <si>
    <t>Sep 1, 2016</t>
  </si>
  <si>
    <t>Oct 1, 2016</t>
  </si>
  <si>
    <t>Nov 1, 2016</t>
  </si>
  <si>
    <t>Dec 1, 2016</t>
  </si>
  <si>
    <t>Jan 1, 2017</t>
  </si>
  <si>
    <t>Feb 1, 2017</t>
  </si>
  <si>
    <t>Mar 1, 2017</t>
  </si>
  <si>
    <t>Apr 1, 2017</t>
  </si>
  <si>
    <t>May 1, 2017</t>
  </si>
  <si>
    <t>Jun 1, 2017</t>
  </si>
  <si>
    <t>Jul 1, 2017</t>
  </si>
  <si>
    <t>Aug 1, 2017</t>
  </si>
  <si>
    <t>Sep 1, 2017</t>
  </si>
  <si>
    <t>Oct 1, 2017</t>
  </si>
  <si>
    <t>Nov 1, 2017</t>
  </si>
  <si>
    <t>Dec 1, 2017</t>
  </si>
  <si>
    <t>Jan 1, 2018</t>
  </si>
  <si>
    <t>Feb 1, 2018</t>
  </si>
  <si>
    <t>Mar 1, 2018</t>
  </si>
  <si>
    <t>Apr 1, 2018</t>
  </si>
  <si>
    <t>May 1, 2018</t>
  </si>
  <si>
    <t>Jun 1, 2018</t>
  </si>
  <si>
    <t>Jul 1, 2018</t>
  </si>
  <si>
    <t>Aug 1, 2018</t>
  </si>
  <si>
    <t>Sep 1, 2018</t>
  </si>
  <si>
    <t>Oct 1, 2018</t>
  </si>
  <si>
    <t>Nov 1, 2018</t>
  </si>
  <si>
    <t>Dec 1, 2018</t>
  </si>
  <si>
    <t>Jan 1, 2019</t>
  </si>
  <si>
    <t>Feb 1, 2019</t>
  </si>
  <si>
    <t>Mar 1, 2019</t>
  </si>
  <si>
    <t>Apr 1, 2019</t>
  </si>
  <si>
    <t>May 1, 2019</t>
  </si>
  <si>
    <t>Jun 1, 2019</t>
  </si>
  <si>
    <t>Jul 1, 2019</t>
  </si>
  <si>
    <t>Aug 1, 2019</t>
  </si>
  <si>
    <t>share outstanding</t>
  </si>
  <si>
    <t>share price</t>
  </si>
  <si>
    <t>market cap</t>
  </si>
  <si>
    <t>debt</t>
  </si>
  <si>
    <t>equity value</t>
  </si>
  <si>
    <t>using AI Flashfill tool</t>
  </si>
  <si>
    <t>name</t>
  </si>
  <si>
    <t xml:space="preserve">first name </t>
  </si>
  <si>
    <t>reverse name</t>
  </si>
  <si>
    <t>ian turner</t>
  </si>
  <si>
    <t>sarah carraghar</t>
  </si>
  <si>
    <t>jeff button</t>
  </si>
  <si>
    <t>karen smith</t>
  </si>
  <si>
    <t>madison donald</t>
  </si>
  <si>
    <t>referance</t>
  </si>
  <si>
    <t>date</t>
  </si>
  <si>
    <t>219/thg/4</t>
  </si>
  <si>
    <t>88/dcna/01</t>
  </si>
  <si>
    <t>366/fad/9</t>
  </si>
  <si>
    <t>1035/jlz/219</t>
  </si>
  <si>
    <t>12/uarr/3</t>
  </si>
  <si>
    <t>ian</t>
  </si>
  <si>
    <t>sarah</t>
  </si>
  <si>
    <t>karen</t>
  </si>
  <si>
    <t>jeff</t>
  </si>
  <si>
    <t>madison</t>
  </si>
  <si>
    <t>turner,ian</t>
  </si>
  <si>
    <t>carraghar,sarah</t>
  </si>
  <si>
    <t>smith,karen</t>
  </si>
  <si>
    <t>button,jeff</t>
  </si>
  <si>
    <t>donald,madison</t>
  </si>
  <si>
    <t>thg</t>
  </si>
  <si>
    <t>dcna</t>
  </si>
  <si>
    <t>fad</t>
  </si>
  <si>
    <t>jlz</t>
  </si>
  <si>
    <t>uarr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</si>
</sst>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_(* #,##0.0_);_(* \(#,##0.0\);_(* &quot;-&quot;?_);@_)"/>
    <numFmt numFmtId="166" formatCode="_(* #,##0_);_(* \(#,##0\);_(* &quot;-&quot;?_);@_)"/>
    <numFmt numFmtId="167" formatCode="0.0%"/>
    <numFmt numFmtId="168" formatCode="_(* #,##0_);_(* \(#,##0\);_(* &quot;-&quot;??_);_(@_)"/>
    <numFmt numFmtId="169" formatCode="_(* #,##0.0_);_(* \(#,##0.0\);_(* &quot;-&quot;?_);@_l"/>
    <numFmt numFmtId="170" formatCode="_(* #,##0.0_);_(* \(#,##0.0\);_(* &quot;-&quot;??_);_(@_)"/>
    <numFmt numFmtId="171" formatCode="_ * #,##0_ ;_ * \-#,##0_ ;_ * &quot;-&quot;??_ ;_ @_ "/>
    <numFmt numFmtId="172" formatCode="_ * #,##0.0_ ;_ * \-#,##0.0_ ;_ * &quot;-&quot;??_ ;_ @_ "/>
    <numFmt numFmtId="173" formatCode="0;\(0\)"/>
    <numFmt numFmtId="174" formatCode="#,##0;\(#,##0\)"/>
    <numFmt numFmtId="175" formatCode="_(* #,##0_);_(* \(#,##0\);_(* &quot;-&quot;?_);@_l"/>
  </numFmts>
  <fonts count="3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40"/>
      <color rgb="FF002060"/>
      <name val="Arial"/>
      <family val="2"/>
    </font>
    <font>
      <b/>
      <sz val="40"/>
      <color rgb="FF002060"/>
      <name val="Calibri"/>
      <family val="2"/>
    </font>
    <font>
      <b/>
      <sz val="14"/>
      <color rgb="FF002060"/>
      <name val="Calibri"/>
      <family val="2"/>
    </font>
    <font>
      <sz val="14"/>
      <color theme="1"/>
      <name val="Calibri"/>
      <family val="2"/>
    </font>
    <font>
      <i/>
      <sz val="14"/>
      <color theme="1"/>
      <name val="Calibri"/>
      <family val="2"/>
    </font>
    <font>
      <b/>
      <sz val="14"/>
      <color theme="0"/>
      <name val="Calibri"/>
      <family val="2"/>
    </font>
    <font>
      <b/>
      <sz val="14"/>
      <color theme="1"/>
      <name val="Calibri"/>
      <family val="2"/>
    </font>
    <font>
      <sz val="14"/>
      <color theme="0"/>
      <name val="Calibri"/>
      <family val="2"/>
    </font>
    <font>
      <sz val="10"/>
      <name val="Arial"/>
      <family val="2"/>
    </font>
    <font>
      <b/>
      <sz val="14"/>
      <color indexed="9"/>
      <name val="Arial"/>
      <family val="2"/>
    </font>
    <font>
      <sz val="14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i/>
      <sz val="14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rgb="FF00B0F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rgb="FFC00000"/>
      <name val="Calibri"/>
      <family val="2"/>
    </font>
    <font>
      <b/>
      <sz val="14"/>
      <color theme="8"/>
      <name val="Calibri"/>
      <family val="2"/>
    </font>
    <font>
      <b/>
      <sz val="14"/>
      <color rgb="FF00B050"/>
      <name val="Calibri"/>
      <family val="2"/>
    </font>
    <font>
      <sz val="14"/>
      <name val="Calibri"/>
      <family val="2"/>
      <scheme val="minor"/>
    </font>
    <font>
      <b/>
      <i/>
      <sz val="20"/>
      <color theme="4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mediumGray">
        <bgColor theme="0"/>
      </patternFill>
    </fill>
    <fill>
      <patternFill patternType="solid">
        <fgColor theme="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/>
      <top/>
      <bottom/>
      <diagonal/>
    </border>
    <border>
      <left/>
      <right style="medium">
        <color indexed="55"/>
      </right>
      <top/>
      <bottom/>
      <diagonal/>
    </border>
    <border>
      <left style="medium">
        <color indexed="55"/>
      </left>
      <right/>
      <top style="thin">
        <color auto="1"/>
      </top>
      <bottom/>
      <diagonal/>
    </border>
    <border>
      <left/>
      <right style="medium">
        <color indexed="55"/>
      </right>
      <top style="thin">
        <color auto="1"/>
      </top>
      <bottom/>
      <diagonal/>
    </border>
    <border>
      <left style="medium">
        <color indexed="55"/>
      </left>
      <right/>
      <top style="thin">
        <color auto="1"/>
      </top>
      <bottom style="double">
        <color auto="1"/>
      </bottom>
      <diagonal/>
    </border>
    <border>
      <left/>
      <right style="medium">
        <color indexed="55"/>
      </right>
      <top style="thin">
        <color auto="1"/>
      </top>
      <bottom style="double">
        <color auto="1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 style="hair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002060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161">
    <xf numFmtId="0" fontId="0" fillId="0" borderId="0" xfId="0"/>
    <xf numFmtId="0" fontId="3" fillId="2" borderId="0" xfId="3" applyFont="1" applyFill="1"/>
    <xf numFmtId="0" fontId="4" fillId="2" borderId="0" xfId="3" applyFont="1" applyFill="1"/>
    <xf numFmtId="0" fontId="5" fillId="2" borderId="0" xfId="3" applyFont="1" applyFill="1"/>
    <xf numFmtId="0" fontId="6" fillId="2" borderId="0" xfId="3" applyFont="1" applyFill="1"/>
    <xf numFmtId="165" fontId="7" fillId="2" borderId="0" xfId="3" applyNumberFormat="1" applyFont="1" applyFill="1"/>
    <xf numFmtId="165" fontId="8" fillId="2" borderId="0" xfId="3" applyNumberFormat="1" applyFont="1" applyFill="1"/>
    <xf numFmtId="165" fontId="7" fillId="2" borderId="1" xfId="3" applyNumberFormat="1" applyFont="1" applyFill="1" applyBorder="1"/>
    <xf numFmtId="165" fontId="7" fillId="2" borderId="1" xfId="3" applyNumberFormat="1" applyFont="1" applyFill="1" applyBorder="1" applyAlignment="1">
      <alignment horizontal="right" wrapText="1"/>
    </xf>
    <xf numFmtId="165" fontId="7" fillId="2" borderId="0" xfId="3" applyNumberFormat="1" applyFont="1" applyFill="1" applyAlignment="1">
      <alignment horizontal="right" wrapText="1"/>
    </xf>
    <xf numFmtId="165" fontId="7" fillId="3" borderId="1" xfId="3" applyNumberFormat="1" applyFont="1" applyFill="1" applyBorder="1" applyAlignment="1">
      <alignment horizontal="right" wrapText="1"/>
    </xf>
    <xf numFmtId="166" fontId="8" fillId="2" borderId="0" xfId="3" applyNumberFormat="1" applyFont="1" applyFill="1"/>
    <xf numFmtId="166" fontId="8" fillId="3" borderId="0" xfId="3" applyNumberFormat="1" applyFont="1" applyFill="1"/>
    <xf numFmtId="167" fontId="8" fillId="2" borderId="0" xfId="4" applyNumberFormat="1" applyFont="1" applyFill="1"/>
    <xf numFmtId="9" fontId="8" fillId="3" borderId="0" xfId="4" applyFont="1" applyFill="1"/>
    <xf numFmtId="165" fontId="9" fillId="2" borderId="0" xfId="3" applyNumberFormat="1" applyFont="1" applyFill="1"/>
    <xf numFmtId="165" fontId="9" fillId="3" borderId="0" xfId="3" applyNumberFormat="1" applyFont="1" applyFill="1"/>
    <xf numFmtId="165" fontId="8" fillId="3" borderId="0" xfId="3" applyNumberFormat="1" applyFont="1" applyFill="1"/>
    <xf numFmtId="167" fontId="9" fillId="2" borderId="0" xfId="4" applyNumberFormat="1" applyFont="1" applyFill="1"/>
    <xf numFmtId="167" fontId="9" fillId="3" borderId="0" xfId="4" applyNumberFormat="1" applyFont="1" applyFill="1"/>
    <xf numFmtId="165" fontId="7" fillId="2" borderId="1" xfId="3" applyNumberFormat="1" applyFont="1" applyFill="1" applyBorder="1" applyAlignment="1">
      <alignment wrapText="1"/>
    </xf>
    <xf numFmtId="165" fontId="7" fillId="2" borderId="2" xfId="3" applyNumberFormat="1" applyFont="1" applyFill="1" applyBorder="1"/>
    <xf numFmtId="166" fontId="7" fillId="2" borderId="2" xfId="3" applyNumberFormat="1" applyFont="1" applyFill="1" applyBorder="1"/>
    <xf numFmtId="9" fontId="8" fillId="2" borderId="0" xfId="4" applyFont="1" applyFill="1"/>
    <xf numFmtId="165" fontId="10" fillId="4" borderId="0" xfId="3" applyNumberFormat="1" applyFont="1" applyFill="1"/>
    <xf numFmtId="166" fontId="10" fillId="4" borderId="0" xfId="3" applyNumberFormat="1" applyFont="1" applyFill="1"/>
    <xf numFmtId="165" fontId="7" fillId="2" borderId="3" xfId="3" applyNumberFormat="1" applyFont="1" applyFill="1" applyBorder="1"/>
    <xf numFmtId="166" fontId="7" fillId="2" borderId="3" xfId="3" applyNumberFormat="1" applyFont="1" applyFill="1" applyBorder="1"/>
    <xf numFmtId="166" fontId="7" fillId="3" borderId="3" xfId="3" applyNumberFormat="1" applyFont="1" applyFill="1" applyBorder="1"/>
    <xf numFmtId="169" fontId="7" fillId="2" borderId="0" xfId="3" applyNumberFormat="1" applyFont="1" applyFill="1"/>
    <xf numFmtId="169" fontId="8" fillId="2" borderId="0" xfId="3" applyNumberFormat="1" applyFont="1" applyFill="1"/>
    <xf numFmtId="165" fontId="7" fillId="2" borderId="0" xfId="3" applyNumberFormat="1" applyFont="1" applyFill="1" applyBorder="1"/>
    <xf numFmtId="166" fontId="7" fillId="2" borderId="0" xfId="3" applyNumberFormat="1" applyFont="1" applyFill="1" applyBorder="1"/>
    <xf numFmtId="9" fontId="8" fillId="3" borderId="0" xfId="2" applyFont="1" applyFill="1"/>
    <xf numFmtId="166" fontId="10" fillId="5" borderId="0" xfId="3" applyNumberFormat="1" applyFont="1" applyFill="1"/>
    <xf numFmtId="165" fontId="8" fillId="6" borderId="0" xfId="3" applyNumberFormat="1" applyFont="1" applyFill="1"/>
    <xf numFmtId="9" fontId="8" fillId="2" borderId="0" xfId="2" applyFont="1" applyFill="1"/>
    <xf numFmtId="170" fontId="8" fillId="3" borderId="0" xfId="1" applyNumberFormat="1" applyFont="1" applyFill="1"/>
    <xf numFmtId="168" fontId="8" fillId="3" borderId="0" xfId="1" applyNumberFormat="1" applyFont="1" applyFill="1"/>
    <xf numFmtId="166" fontId="8" fillId="3" borderId="0" xfId="3" applyNumberFormat="1" applyFont="1" applyFill="1" applyBorder="1"/>
    <xf numFmtId="165" fontId="8" fillId="2" borderId="0" xfId="3" applyNumberFormat="1" applyFont="1" applyFill="1" applyBorder="1"/>
    <xf numFmtId="166" fontId="11" fillId="3" borderId="2" xfId="3" applyNumberFormat="1" applyFont="1" applyFill="1" applyBorder="1"/>
    <xf numFmtId="166" fontId="8" fillId="2" borderId="0" xfId="3" applyNumberFormat="1" applyFont="1" applyFill="1" applyBorder="1"/>
    <xf numFmtId="164" fontId="8" fillId="2" borderId="0" xfId="1" applyFont="1" applyFill="1"/>
    <xf numFmtId="168" fontId="8" fillId="2" borderId="0" xfId="1" applyNumberFormat="1" applyFont="1" applyFill="1"/>
    <xf numFmtId="165" fontId="11" fillId="2" borderId="0" xfId="3" applyNumberFormat="1" applyFont="1" applyFill="1"/>
    <xf numFmtId="165" fontId="7" fillId="2" borderId="6" xfId="3" applyNumberFormat="1" applyFont="1" applyFill="1" applyBorder="1"/>
    <xf numFmtId="166" fontId="7" fillId="2" borderId="6" xfId="3" applyNumberFormat="1" applyFont="1" applyFill="1" applyBorder="1"/>
    <xf numFmtId="0" fontId="15" fillId="0" borderId="0" xfId="0" applyFont="1"/>
    <xf numFmtId="0" fontId="16" fillId="0" borderId="9" xfId="3" applyFont="1" applyBorder="1" applyAlignment="1">
      <alignment horizontal="centerContinuous"/>
    </xf>
    <xf numFmtId="0" fontId="16" fillId="0" borderId="10" xfId="3" applyFont="1" applyBorder="1" applyAlignment="1">
      <alignment horizontal="centerContinuous"/>
    </xf>
    <xf numFmtId="0" fontId="17" fillId="0" borderId="9" xfId="3" applyFont="1" applyBorder="1" applyAlignment="1">
      <alignment horizontal="left" indent="1"/>
    </xf>
    <xf numFmtId="0" fontId="15" fillId="0" borderId="10" xfId="3" applyFont="1" applyBorder="1" applyAlignment="1">
      <alignment horizontal="right" indent="1"/>
    </xf>
    <xf numFmtId="0" fontId="17" fillId="0" borderId="10" xfId="3" applyFont="1" applyBorder="1" applyAlignment="1">
      <alignment horizontal="right" indent="1"/>
    </xf>
    <xf numFmtId="167" fontId="17" fillId="0" borderId="10" xfId="6" applyNumberFormat="1" applyFont="1" applyBorder="1" applyAlignment="1">
      <alignment horizontal="right" indent="1"/>
    </xf>
    <xf numFmtId="167" fontId="17" fillId="0" borderId="10" xfId="3" applyNumberFormat="1" applyFont="1" applyBorder="1" applyAlignment="1">
      <alignment horizontal="right" indent="1"/>
    </xf>
    <xf numFmtId="0" fontId="17" fillId="0" borderId="9" xfId="3" applyFont="1" applyBorder="1"/>
    <xf numFmtId="0" fontId="17" fillId="0" borderId="10" xfId="3" applyFont="1" applyBorder="1"/>
    <xf numFmtId="0" fontId="16" fillId="0" borderId="11" xfId="3" applyFont="1" applyBorder="1" applyAlignment="1">
      <alignment horizontal="left" indent="1"/>
    </xf>
    <xf numFmtId="167" fontId="16" fillId="0" borderId="12" xfId="3" applyNumberFormat="1" applyFont="1" applyBorder="1" applyAlignment="1">
      <alignment horizontal="right" indent="1"/>
    </xf>
    <xf numFmtId="0" fontId="16" fillId="0" borderId="9" xfId="3" applyFont="1" applyBorder="1" applyAlignment="1">
      <alignment horizontal="left" indent="1"/>
    </xf>
    <xf numFmtId="167" fontId="16" fillId="0" borderId="10" xfId="3" applyNumberFormat="1" applyFont="1" applyBorder="1" applyAlignment="1">
      <alignment horizontal="right" indent="1"/>
    </xf>
    <xf numFmtId="0" fontId="16" fillId="0" borderId="13" xfId="3" applyFont="1" applyBorder="1" applyAlignment="1">
      <alignment horizontal="left" indent="1"/>
    </xf>
    <xf numFmtId="167" fontId="16" fillId="0" borderId="14" xfId="3" applyNumberFormat="1" applyFont="1" applyBorder="1" applyAlignment="1">
      <alignment horizontal="right" indent="1"/>
    </xf>
    <xf numFmtId="0" fontId="15" fillId="0" borderId="15" xfId="3" applyFont="1" applyBorder="1" applyAlignment="1">
      <alignment horizontal="left" indent="1"/>
    </xf>
    <xf numFmtId="0" fontId="15" fillId="0" borderId="16" xfId="3" applyFont="1" applyBorder="1" applyAlignment="1">
      <alignment horizontal="right" indent="1"/>
    </xf>
    <xf numFmtId="165" fontId="11" fillId="2" borderId="6" xfId="3" applyNumberFormat="1" applyFont="1" applyFill="1" applyBorder="1"/>
    <xf numFmtId="0" fontId="15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14" fontId="15" fillId="0" borderId="0" xfId="0" applyNumberFormat="1" applyFont="1" applyAlignment="1">
      <alignment horizontal="left"/>
    </xf>
    <xf numFmtId="164" fontId="15" fillId="0" borderId="0" xfId="1" applyFont="1"/>
    <xf numFmtId="2" fontId="17" fillId="0" borderId="10" xfId="6" applyNumberFormat="1" applyFont="1" applyBorder="1" applyAlignment="1">
      <alignment horizontal="right" indent="1"/>
    </xf>
    <xf numFmtId="3" fontId="15" fillId="0" borderId="0" xfId="0" applyNumberFormat="1" applyFont="1"/>
    <xf numFmtId="167" fontId="12" fillId="7" borderId="18" xfId="2" applyNumberFormat="1" applyFont="1" applyFill="1" applyBorder="1"/>
    <xf numFmtId="167" fontId="12" fillId="7" borderId="19" xfId="2" applyNumberFormat="1" applyFont="1" applyFill="1" applyBorder="1"/>
    <xf numFmtId="167" fontId="8" fillId="2" borderId="0" xfId="2" applyNumberFormat="1" applyFont="1" applyFill="1"/>
    <xf numFmtId="165" fontId="8" fillId="2" borderId="0" xfId="3" applyNumberFormat="1" applyFont="1" applyFill="1" applyAlignment="1"/>
    <xf numFmtId="0" fontId="15" fillId="0" borderId="0" xfId="0" applyFont="1" applyBorder="1"/>
    <xf numFmtId="0" fontId="15" fillId="0" borderId="17" xfId="0" applyFont="1" applyBorder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8" fillId="0" borderId="4" xfId="0" applyFont="1" applyBorder="1"/>
    <xf numFmtId="17" fontId="18" fillId="0" borderId="4" xfId="0" applyNumberFormat="1" applyFont="1" applyBorder="1"/>
    <xf numFmtId="168" fontId="19" fillId="0" borderId="0" xfId="1" applyNumberFormat="1" applyFont="1"/>
    <xf numFmtId="168" fontId="19" fillId="0" borderId="0" xfId="0" applyNumberFormat="1" applyFont="1"/>
    <xf numFmtId="0" fontId="17" fillId="0" borderId="20" xfId="3" applyFont="1" applyBorder="1" applyAlignment="1">
      <alignment horizontal="left" indent="1"/>
    </xf>
    <xf numFmtId="167" fontId="17" fillId="0" borderId="21" xfId="6" applyNumberFormat="1" applyFont="1" applyBorder="1" applyAlignment="1">
      <alignment horizontal="right" indent="1"/>
    </xf>
    <xf numFmtId="0" fontId="17" fillId="0" borderId="22" xfId="3" applyFont="1" applyBorder="1" applyAlignment="1">
      <alignment horizontal="left" indent="1"/>
    </xf>
    <xf numFmtId="167" fontId="17" fillId="0" borderId="23" xfId="3" applyNumberFormat="1" applyFont="1" applyBorder="1" applyAlignment="1">
      <alignment horizontal="right" indent="1"/>
    </xf>
    <xf numFmtId="0" fontId="17" fillId="0" borderId="22" xfId="3" applyFont="1" applyBorder="1"/>
    <xf numFmtId="0" fontId="17" fillId="0" borderId="23" xfId="3" applyFont="1" applyBorder="1"/>
    <xf numFmtId="0" fontId="16" fillId="0" borderId="24" xfId="3" applyFont="1" applyBorder="1" applyAlignment="1">
      <alignment horizontal="left" indent="1"/>
    </xf>
    <xf numFmtId="0" fontId="17" fillId="0" borderId="25" xfId="3" applyFont="1" applyBorder="1" applyAlignment="1">
      <alignment horizontal="right" indent="1"/>
    </xf>
    <xf numFmtId="9" fontId="9" fillId="2" borderId="0" xfId="2" applyFont="1" applyFill="1"/>
    <xf numFmtId="9" fontId="9" fillId="3" borderId="0" xfId="2" applyFont="1" applyFill="1"/>
    <xf numFmtId="0" fontId="21" fillId="0" borderId="0" xfId="0" applyFont="1"/>
    <xf numFmtId="0" fontId="22" fillId="0" borderId="0" xfId="0" applyFont="1"/>
    <xf numFmtId="171" fontId="1" fillId="0" borderId="5" xfId="1" applyNumberFormat="1" applyFont="1" applyFill="1" applyBorder="1"/>
    <xf numFmtId="3" fontId="23" fillId="0" borderId="5" xfId="0" applyNumberFormat="1" applyFont="1" applyBorder="1"/>
    <xf numFmtId="171" fontId="23" fillId="0" borderId="5" xfId="1" applyNumberFormat="1" applyFont="1" applyBorder="1"/>
    <xf numFmtId="172" fontId="24" fillId="0" borderId="0" xfId="1" applyNumberFormat="1" applyFont="1"/>
    <xf numFmtId="171" fontId="25" fillId="0" borderId="0" xfId="1" applyNumberFormat="1" applyFont="1" applyFill="1" applyBorder="1"/>
    <xf numFmtId="171" fontId="1" fillId="0" borderId="0" xfId="1" applyNumberFormat="1" applyFont="1" applyBorder="1"/>
    <xf numFmtId="172" fontId="1" fillId="0" borderId="0" xfId="1" applyNumberFormat="1" applyFont="1"/>
    <xf numFmtId="171" fontId="26" fillId="0" borderId="0" xfId="1" applyNumberFormat="1" applyFont="1" applyFill="1" applyBorder="1"/>
    <xf numFmtId="173" fontId="1" fillId="9" borderId="0" xfId="0" applyNumberFormat="1" applyFont="1" applyFill="1"/>
    <xf numFmtId="173" fontId="1" fillId="0" borderId="0" xfId="0" applyNumberFormat="1" applyFont="1"/>
    <xf numFmtId="174" fontId="1" fillId="0" borderId="0" xfId="1" applyNumberFormat="1" applyFont="1" applyBorder="1"/>
    <xf numFmtId="168" fontId="0" fillId="0" borderId="0" xfId="1" applyNumberFormat="1" applyFont="1"/>
    <xf numFmtId="171" fontId="1" fillId="0" borderId="0" xfId="1" applyNumberFormat="1" applyFont="1" applyFill="1" applyBorder="1"/>
    <xf numFmtId="173" fontId="1" fillId="0" borderId="0" xfId="1" applyNumberFormat="1" applyFont="1" applyBorder="1"/>
    <xf numFmtId="171" fontId="23" fillId="0" borderId="5" xfId="1" applyNumberFormat="1" applyFont="1" applyFill="1" applyBorder="1"/>
    <xf numFmtId="0" fontId="1" fillId="0" borderId="0" xfId="0" applyFont="1"/>
    <xf numFmtId="171" fontId="26" fillId="0" borderId="2" xfId="1" applyNumberFormat="1" applyFont="1" applyFill="1" applyBorder="1"/>
    <xf numFmtId="171" fontId="23" fillId="0" borderId="4" xfId="1" applyNumberFormat="1" applyFont="1" applyFill="1" applyBorder="1"/>
    <xf numFmtId="171" fontId="23" fillId="0" borderId="4" xfId="1" applyNumberFormat="1" applyFont="1" applyBorder="1"/>
    <xf numFmtId="1" fontId="1" fillId="0" borderId="0" xfId="0" applyNumberFormat="1" applyFont="1"/>
    <xf numFmtId="1" fontId="1" fillId="9" borderId="0" xfId="0" applyNumberFormat="1" applyFont="1" applyFill="1"/>
    <xf numFmtId="171" fontId="1" fillId="0" borderId="2" xfId="1" applyNumberFormat="1" applyFont="1" applyBorder="1"/>
    <xf numFmtId="1" fontId="0" fillId="0" borderId="0" xfId="0" applyNumberFormat="1"/>
    <xf numFmtId="171" fontId="1" fillId="0" borderId="5" xfId="1" applyNumberFormat="1" applyFont="1" applyBorder="1"/>
    <xf numFmtId="173" fontId="1" fillId="0" borderId="0" xfId="1" applyNumberFormat="1" applyFont="1"/>
    <xf numFmtId="174" fontId="1" fillId="0" borderId="5" xfId="1" applyNumberFormat="1" applyFont="1" applyBorder="1"/>
    <xf numFmtId="171" fontId="23" fillId="0" borderId="6" xfId="1" applyNumberFormat="1" applyFont="1" applyFill="1" applyBorder="1"/>
    <xf numFmtId="171" fontId="23" fillId="0" borderId="6" xfId="1" applyNumberFormat="1" applyFont="1" applyBorder="1"/>
    <xf numFmtId="172" fontId="27" fillId="0" borderId="0" xfId="1" applyNumberFormat="1" applyFont="1"/>
    <xf numFmtId="172" fontId="15" fillId="0" borderId="0" xfId="1" applyNumberFormat="1" applyFont="1"/>
    <xf numFmtId="172" fontId="28" fillId="0" borderId="0" xfId="1" applyNumberFormat="1" applyFont="1"/>
    <xf numFmtId="171" fontId="15" fillId="0" borderId="0" xfId="1" applyNumberFormat="1" applyFont="1"/>
    <xf numFmtId="4" fontId="0" fillId="0" borderId="0" xfId="0" applyNumberFormat="1"/>
    <xf numFmtId="172" fontId="29" fillId="0" borderId="0" xfId="1" applyNumberFormat="1" applyFont="1"/>
    <xf numFmtId="172" fontId="30" fillId="0" borderId="0" xfId="1" applyNumberFormat="1" applyFont="1"/>
    <xf numFmtId="172" fontId="28" fillId="0" borderId="5" xfId="1" applyNumberFormat="1" applyFont="1" applyBorder="1"/>
    <xf numFmtId="172" fontId="15" fillId="0" borderId="5" xfId="1" applyNumberFormat="1" applyFont="1" applyBorder="1"/>
    <xf numFmtId="172" fontId="30" fillId="0" borderId="5" xfId="1" applyNumberFormat="1" applyFont="1" applyBorder="1"/>
    <xf numFmtId="172" fontId="27" fillId="10" borderId="5" xfId="1" applyNumberFormat="1" applyFont="1" applyFill="1" applyBorder="1"/>
    <xf numFmtId="172" fontId="27" fillId="0" borderId="4" xfId="1" applyNumberFormat="1" applyFont="1" applyBorder="1"/>
    <xf numFmtId="165" fontId="32" fillId="0" borderId="0" xfId="3" applyNumberFormat="1" applyFont="1" applyFill="1"/>
    <xf numFmtId="165" fontId="31" fillId="0" borderId="0" xfId="3" applyNumberFormat="1" applyFont="1" applyFill="1"/>
    <xf numFmtId="165" fontId="33" fillId="0" borderId="0" xfId="3" applyNumberFormat="1" applyFont="1" applyFill="1" applyBorder="1"/>
    <xf numFmtId="165" fontId="31" fillId="0" borderId="0" xfId="3" applyNumberFormat="1" applyFont="1" applyFill="1" applyBorder="1"/>
    <xf numFmtId="171" fontId="34" fillId="0" borderId="0" xfId="1" applyNumberFormat="1" applyFont="1" applyFill="1" applyBorder="1"/>
    <xf numFmtId="165" fontId="8" fillId="3" borderId="0" xfId="3" applyNumberFormat="1" applyFont="1" applyFill="1" applyBorder="1"/>
    <xf numFmtId="165" fontId="7" fillId="2" borderId="26" xfId="3" applyNumberFormat="1" applyFont="1" applyFill="1" applyBorder="1"/>
    <xf numFmtId="166" fontId="7" fillId="2" borderId="26" xfId="3" applyNumberFormat="1" applyFont="1" applyFill="1" applyBorder="1"/>
    <xf numFmtId="166" fontId="7" fillId="3" borderId="26" xfId="3" applyNumberFormat="1" applyFont="1" applyFill="1" applyBorder="1"/>
    <xf numFmtId="165" fontId="7" fillId="2" borderId="27" xfId="3" applyNumberFormat="1" applyFont="1" applyFill="1" applyBorder="1"/>
    <xf numFmtId="166" fontId="7" fillId="2" borderId="27" xfId="3" applyNumberFormat="1" applyFont="1" applyFill="1" applyBorder="1"/>
    <xf numFmtId="166" fontId="7" fillId="3" borderId="27" xfId="3" applyNumberFormat="1" applyFont="1" applyFill="1" applyBorder="1"/>
    <xf numFmtId="175" fontId="8" fillId="2" borderId="0" xfId="3" applyNumberFormat="1" applyFont="1" applyFill="1"/>
    <xf numFmtId="9" fontId="15" fillId="0" borderId="0" xfId="2" applyFont="1"/>
    <xf numFmtId="168" fontId="15" fillId="0" borderId="0" xfId="1" applyNumberFormat="1" applyFont="1"/>
    <xf numFmtId="166" fontId="11" fillId="2" borderId="0" xfId="3" applyNumberFormat="1" applyFont="1" applyFill="1"/>
    <xf numFmtId="166" fontId="11" fillId="2" borderId="6" xfId="3" applyNumberFormat="1" applyFont="1" applyFill="1" applyBorder="1"/>
    <xf numFmtId="0" fontId="35" fillId="0" borderId="0" xfId="0" applyFont="1"/>
    <xf numFmtId="14" fontId="0" fillId="0" borderId="0" xfId="0" applyNumberFormat="1"/>
    <xf numFmtId="0" fontId="25" fillId="11" borderId="28" xfId="0" applyFont="1" applyFill="1" applyBorder="1" applyAlignment="1">
      <alignment wrapText="1"/>
    </xf>
    <xf numFmtId="0" fontId="25" fillId="12" borderId="28" xfId="0" applyFont="1" applyFill="1" applyBorder="1" applyAlignment="1">
      <alignment wrapText="1"/>
    </xf>
    <xf numFmtId="0" fontId="14" fillId="8" borderId="7" xfId="3" applyFont="1" applyFill="1" applyBorder="1" applyAlignment="1">
      <alignment horizontal="center"/>
    </xf>
    <xf numFmtId="0" fontId="14" fillId="8" borderId="8" xfId="3" applyFont="1" applyFill="1" applyBorder="1" applyAlignment="1">
      <alignment horizontal="center"/>
    </xf>
  </cellXfs>
  <cellStyles count="7">
    <cellStyle name="Comma" xfId="1" builtinId="3"/>
    <cellStyle name="Comma 2" xfId="5" xr:uid="{2D1030D7-1FCB-0742-BF56-34FAA4048672}"/>
    <cellStyle name="Normal" xfId="0" builtinId="0"/>
    <cellStyle name="Normal 2" xfId="3" xr:uid="{FB85B521-459F-7B48-98D4-2748708EABF5}"/>
    <cellStyle name="Per cent 2" xfId="4" xr:uid="{7BBDC1E2-28B3-4C4C-AC08-E2E5B6939D3B}"/>
    <cellStyle name="Percent" xfId="2" builtinId="5"/>
    <cellStyle name="Percent 2" xfId="6" xr:uid="{55357F02-2759-9A42-B3FB-D29436F0C326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927100</xdr:colOff>
      <xdr:row>10</xdr:row>
      <xdr:rowOff>215900</xdr:rowOff>
    </xdr:from>
    <xdr:to>
      <xdr:col>10</xdr:col>
      <xdr:colOff>825500</xdr:colOff>
      <xdr:row>11</xdr:row>
      <xdr:rowOff>228600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4B2EF4D-58FB-A04A-AF5C-98BEFEF5DF4B}"/>
            </a:ext>
          </a:extLst>
        </xdr:cNvPr>
        <xdr:cNvSpPr/>
      </xdr:nvSpPr>
      <xdr:spPr>
        <a:xfrm>
          <a:off x="7175500" y="2933700"/>
          <a:ext cx="459740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Growth</a:t>
          </a:r>
        </a:p>
      </xdr:txBody>
    </xdr:sp>
    <xdr:clientData/>
  </xdr:twoCellAnchor>
  <xdr:twoCellAnchor>
    <xdr:from>
      <xdr:col>5</xdr:col>
      <xdr:colOff>95250</xdr:colOff>
      <xdr:row>13</xdr:row>
      <xdr:rowOff>82550</xdr:rowOff>
    </xdr:from>
    <xdr:to>
      <xdr:col>5</xdr:col>
      <xdr:colOff>355600</xdr:colOff>
      <xdr:row>18</xdr:row>
      <xdr:rowOff>12700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DC1E31C-C094-4945-89B3-7D06600F20DE}"/>
            </a:ext>
          </a:extLst>
        </xdr:cNvPr>
        <xdr:cNvSpPr/>
      </xdr:nvSpPr>
      <xdr:spPr>
        <a:xfrm rot="16200000">
          <a:off x="5905500" y="3962400"/>
          <a:ext cx="113665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WACC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wnloads%20from%20Ms%20browser\%23004ASSIGNMENTS\M5%20Assignment_20200515%20(MODULE)%20VALU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rcise"/>
      <sheetName val="1.Input --&gt;"/>
      <sheetName val="P&amp;L assumptions"/>
      <sheetName val="BS assumptions"/>
      <sheetName val="2.Output--&gt;"/>
      <sheetName val="P&amp;L"/>
      <sheetName val="BS"/>
      <sheetName val="Cash Flow"/>
      <sheetName val="DCF valuation"/>
      <sheetName val="WACC"/>
      <sheetName val="3.Sources --&gt;"/>
      <sheetName val="P&amp;L Source"/>
      <sheetName val="BS Source "/>
    </sheetNames>
    <sheetDataSet>
      <sheetData sheetId="0"/>
      <sheetData sheetId="1"/>
      <sheetData sheetId="2">
        <row r="36">
          <cell r="I36">
            <v>0.35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66C9-DE59-474B-AB9E-3CFDE717B348}">
  <dimension ref="B2:B7"/>
  <sheetViews>
    <sheetView showGridLines="0" workbookViewId="0"/>
  </sheetViews>
  <sheetFormatPr defaultColWidth="11" defaultRowHeight="15.6" x14ac:dyDescent="0.3"/>
  <cols>
    <col min="1" max="1" width="3.59765625" customWidth="1"/>
  </cols>
  <sheetData>
    <row r="2" spans="2:2" ht="21" x14ac:dyDescent="0.4">
      <c r="B2" s="97" t="s">
        <v>67</v>
      </c>
    </row>
    <row r="4" spans="2:2" ht="21" x14ac:dyDescent="0.4">
      <c r="B4" s="96" t="s">
        <v>63</v>
      </c>
    </row>
    <row r="5" spans="2:2" ht="21" x14ac:dyDescent="0.4">
      <c r="B5" s="96" t="s">
        <v>64</v>
      </c>
    </row>
    <row r="6" spans="2:2" ht="21" x14ac:dyDescent="0.4">
      <c r="B6" s="96" t="s">
        <v>65</v>
      </c>
    </row>
    <row r="7" spans="2:2" ht="21" x14ac:dyDescent="0.4">
      <c r="B7" s="9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01FD-7F32-964D-A32A-75EC15FABFE6}">
  <sheetPr>
    <tabColor rgb="FF002060"/>
  </sheetPr>
  <dimension ref="B1:B11"/>
  <sheetViews>
    <sheetView workbookViewId="0">
      <selection activeCell="E24" sqref="E24"/>
    </sheetView>
  </sheetViews>
  <sheetFormatPr defaultColWidth="9.09765625" defaultRowHeight="11.4" x14ac:dyDescent="0.2"/>
  <cols>
    <col min="1" max="1" width="2" style="2" customWidth="1"/>
    <col min="2" max="16384" width="9.09765625" style="2"/>
  </cols>
  <sheetData>
    <row r="1" spans="2:2" ht="15.6" x14ac:dyDescent="0.3">
      <c r="B1" s="1"/>
    </row>
    <row r="11" spans="2:2" ht="51.6" x14ac:dyDescent="0.95">
      <c r="B11" s="4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A0E8A-86B8-A049-8B02-3FEB30937523}">
  <dimension ref="B1:P53"/>
  <sheetViews>
    <sheetView zoomScale="90" zoomScaleNormal="90" workbookViewId="0">
      <pane ySplit="6" topLeftCell="A34" activePane="bottomLeft" state="frozen"/>
      <selection pane="bottomLeft" activeCell="C5" sqref="C5"/>
    </sheetView>
  </sheetViews>
  <sheetFormatPr defaultColWidth="9.09765625" defaultRowHeight="18" x14ac:dyDescent="0.35"/>
  <cols>
    <col min="1" max="1" width="2" style="6" customWidth="1"/>
    <col min="2" max="2" width="42.8984375" style="6" customWidth="1"/>
    <col min="3" max="7" width="14.59765625" style="6" customWidth="1"/>
    <col min="8" max="8" width="13.8984375" style="6" customWidth="1"/>
    <col min="9" max="13" width="14.59765625" style="6" customWidth="1"/>
    <col min="14" max="14" width="9.09765625" style="6"/>
    <col min="15" max="15" width="22.09765625" style="6" bestFit="1" customWidth="1"/>
    <col min="16" max="16384" width="9.09765625" style="6"/>
  </cols>
  <sheetData>
    <row r="1" spans="2:16" ht="18" customHeight="1" x14ac:dyDescent="0.35">
      <c r="B1" s="5" t="s">
        <v>0</v>
      </c>
      <c r="G1" s="6" t="s">
        <v>44</v>
      </c>
    </row>
    <row r="2" spans="2:16" ht="18" customHeight="1" x14ac:dyDescent="0.35">
      <c r="B2" s="5"/>
      <c r="G2" s="6" t="s">
        <v>41</v>
      </c>
      <c r="I2" s="138" t="s">
        <v>145</v>
      </c>
      <c r="J2" s="138"/>
      <c r="K2" s="138"/>
    </row>
    <row r="3" spans="2:16" ht="18" customHeight="1" x14ac:dyDescent="0.35">
      <c r="G3" s="6" t="s">
        <v>42</v>
      </c>
      <c r="I3" s="140" t="s">
        <v>134</v>
      </c>
      <c r="J3" s="140"/>
      <c r="K3" s="141"/>
    </row>
    <row r="4" spans="2:16" ht="18" customHeight="1" x14ac:dyDescent="0.35">
      <c r="B4" s="5" t="s">
        <v>40</v>
      </c>
      <c r="C4" s="34">
        <v>1</v>
      </c>
      <c r="G4" s="6" t="s">
        <v>43</v>
      </c>
      <c r="I4" s="139" t="s">
        <v>135</v>
      </c>
      <c r="J4" s="139"/>
      <c r="K4" s="139"/>
    </row>
    <row r="6" spans="2:16" ht="36.6" thickBot="1" x14ac:dyDescent="0.4">
      <c r="B6" s="7" t="s">
        <v>33</v>
      </c>
      <c r="C6" s="8" t="s">
        <v>35</v>
      </c>
      <c r="D6" s="8" t="s">
        <v>34</v>
      </c>
      <c r="E6" s="8" t="s">
        <v>1</v>
      </c>
      <c r="F6" s="8" t="s">
        <v>2</v>
      </c>
      <c r="G6" s="8" t="s">
        <v>3</v>
      </c>
      <c r="H6" s="8" t="s">
        <v>130</v>
      </c>
      <c r="I6" s="10" t="s">
        <v>4</v>
      </c>
      <c r="J6" s="10" t="s">
        <v>5</v>
      </c>
      <c r="K6" s="10" t="s">
        <v>6</v>
      </c>
      <c r="L6" s="10" t="s">
        <v>7</v>
      </c>
      <c r="M6" s="10" t="s">
        <v>131</v>
      </c>
    </row>
    <row r="7" spans="2:16" x14ac:dyDescent="0.35">
      <c r="B7" s="6" t="s">
        <v>132</v>
      </c>
      <c r="C7" s="11">
        <f>'P&amp;L Source'!C5</f>
        <v>27005.26</v>
      </c>
      <c r="D7" s="11">
        <f>'P&amp;L Source'!D5</f>
        <v>29020.98</v>
      </c>
      <c r="E7" s="11">
        <f>'P&amp;L Source'!E5</f>
        <v>30715.33</v>
      </c>
      <c r="F7" s="11">
        <f>'P&amp;L Source'!F5</f>
        <v>30983.66</v>
      </c>
      <c r="G7" s="11">
        <f>'P&amp;L Source'!G5</f>
        <v>33100.94</v>
      </c>
      <c r="H7" s="11">
        <f>'P&amp;L Source'!H5</f>
        <v>33972.230000000003</v>
      </c>
      <c r="I7" s="12">
        <f>H7*(1+I8)</f>
        <v>36350.286100000005</v>
      </c>
      <c r="J7" s="12">
        <f t="shared" ref="J7:M7" si="0">I7*(1+J8)</f>
        <v>38894.806127000011</v>
      </c>
      <c r="K7" s="12">
        <f t="shared" si="0"/>
        <v>41617.442555890011</v>
      </c>
      <c r="L7" s="12">
        <f t="shared" si="0"/>
        <v>44530.663534802312</v>
      </c>
      <c r="M7" s="12">
        <f t="shared" si="0"/>
        <v>47647.809982238476</v>
      </c>
      <c r="P7" s="9"/>
    </row>
    <row r="8" spans="2:16" x14ac:dyDescent="0.35">
      <c r="B8" s="15" t="s">
        <v>133</v>
      </c>
      <c r="C8" s="13"/>
      <c r="D8" s="13"/>
      <c r="E8" s="13">
        <f>E7/D7-1</f>
        <v>5.838362453645618E-2</v>
      </c>
      <c r="F8" s="13">
        <f t="shared" ref="F8:H8" si="1">F7/E7-1</f>
        <v>8.7360285564244133E-3</v>
      </c>
      <c r="G8" s="13">
        <f t="shared" si="1"/>
        <v>6.8335374194010701E-2</v>
      </c>
      <c r="H8" s="13">
        <f t="shared" si="1"/>
        <v>2.6322213206029899E-2</v>
      </c>
      <c r="I8" s="14">
        <f>CHOOSE($C$4,I10,I11,I12)</f>
        <v>7.0000000000000007E-2</v>
      </c>
      <c r="J8" s="14">
        <f t="shared" ref="J8:M8" si="2">CHOOSE($C$4,J10,J11,J12)</f>
        <v>7.0000000000000007E-2</v>
      </c>
      <c r="K8" s="14">
        <f t="shared" si="2"/>
        <v>7.0000000000000007E-2</v>
      </c>
      <c r="L8" s="14">
        <f t="shared" si="2"/>
        <v>7.0000000000000007E-2</v>
      </c>
      <c r="M8" s="14">
        <f t="shared" si="2"/>
        <v>7.0000000000000007E-2</v>
      </c>
    </row>
    <row r="9" spans="2:16" x14ac:dyDescent="0.35">
      <c r="I9" s="14"/>
      <c r="J9" s="14"/>
      <c r="K9" s="14"/>
      <c r="L9" s="14"/>
      <c r="M9" s="14"/>
    </row>
    <row r="10" spans="2:16" x14ac:dyDescent="0.35">
      <c r="B10" s="6" t="s">
        <v>41</v>
      </c>
      <c r="C10" s="35"/>
      <c r="D10" s="35"/>
      <c r="E10" s="35"/>
      <c r="F10" s="35"/>
      <c r="G10" s="35"/>
      <c r="H10" s="35"/>
      <c r="I10" s="14">
        <v>7.0000000000000007E-2</v>
      </c>
      <c r="J10" s="14">
        <v>7.0000000000000007E-2</v>
      </c>
      <c r="K10" s="14">
        <v>7.0000000000000007E-2</v>
      </c>
      <c r="L10" s="14">
        <v>7.0000000000000007E-2</v>
      </c>
      <c r="M10" s="14">
        <v>7.0000000000000007E-2</v>
      </c>
    </row>
    <row r="11" spans="2:16" x14ac:dyDescent="0.35">
      <c r="B11" s="6" t="s">
        <v>42</v>
      </c>
      <c r="C11" s="35"/>
      <c r="D11" s="35"/>
      <c r="E11" s="35"/>
      <c r="F11" s="35"/>
      <c r="G11" s="35"/>
      <c r="H11" s="35"/>
      <c r="I11" s="14">
        <v>0.05</v>
      </c>
      <c r="J11" s="14">
        <v>0.05</v>
      </c>
      <c r="K11" s="14">
        <v>0.05</v>
      </c>
      <c r="L11" s="14">
        <v>0.05</v>
      </c>
      <c r="M11" s="14">
        <v>0.05</v>
      </c>
    </row>
    <row r="12" spans="2:16" x14ac:dyDescent="0.35">
      <c r="B12" s="6" t="s">
        <v>43</v>
      </c>
      <c r="C12" s="35"/>
      <c r="D12" s="35"/>
      <c r="E12" s="35"/>
      <c r="F12" s="35"/>
      <c r="G12" s="35"/>
      <c r="H12" s="35"/>
      <c r="I12" s="33">
        <v>0.03</v>
      </c>
      <c r="J12" s="33">
        <v>0.03</v>
      </c>
      <c r="K12" s="33">
        <v>0.03</v>
      </c>
      <c r="L12" s="33">
        <v>0.03</v>
      </c>
      <c r="M12" s="33">
        <v>0.03</v>
      </c>
    </row>
    <row r="13" spans="2:16" x14ac:dyDescent="0.35">
      <c r="I13" s="12"/>
      <c r="J13" s="12"/>
      <c r="K13" s="12"/>
      <c r="L13" s="12"/>
      <c r="M13" s="12"/>
    </row>
    <row r="14" spans="2:16" x14ac:dyDescent="0.35">
      <c r="B14" s="6" t="s">
        <v>136</v>
      </c>
      <c r="C14" s="6">
        <f>'P&amp;L Source'!C7</f>
        <v>-18229.89</v>
      </c>
      <c r="D14" s="6">
        <f>'P&amp;L Source'!D7</f>
        <v>-19715.300000000003</v>
      </c>
      <c r="E14" s="6">
        <f>'P&amp;L Source'!E7</f>
        <v>-19308.099999999999</v>
      </c>
      <c r="F14" s="6">
        <f>'P&amp;L Source'!F7</f>
        <v>-19116.080000000002</v>
      </c>
      <c r="G14" s="6">
        <f>'P&amp;L Source'!G7</f>
        <v>-21885.82</v>
      </c>
      <c r="H14" s="6">
        <f>'P&amp;L Source'!H7</f>
        <v>-23444.42</v>
      </c>
      <c r="I14" s="38">
        <f>-I15*I7</f>
        <v>-22537.177382000002</v>
      </c>
      <c r="J14" s="38">
        <f t="shared" ref="J14:M14" si="3">-J15*J7</f>
        <v>-24114.779798740008</v>
      </c>
      <c r="K14" s="38">
        <f t="shared" si="3"/>
        <v>-25802.814384651807</v>
      </c>
      <c r="L14" s="38">
        <f t="shared" si="3"/>
        <v>-27609.011391577435</v>
      </c>
      <c r="M14" s="38">
        <f t="shared" si="3"/>
        <v>-29541.642188987855</v>
      </c>
    </row>
    <row r="15" spans="2:16" x14ac:dyDescent="0.35">
      <c r="B15" s="15" t="s">
        <v>137</v>
      </c>
      <c r="C15" s="36">
        <f>-C14/C7</f>
        <v>0.67504960144801418</v>
      </c>
      <c r="D15" s="36">
        <f t="shared" ref="D15:H15" si="4">-D14/D7</f>
        <v>0.67934645900999913</v>
      </c>
      <c r="E15" s="36">
        <f t="shared" si="4"/>
        <v>0.6286144410624922</v>
      </c>
      <c r="F15" s="36">
        <f t="shared" si="4"/>
        <v>0.61697294638528832</v>
      </c>
      <c r="G15" s="36">
        <f t="shared" si="4"/>
        <v>0.66118424431451184</v>
      </c>
      <c r="H15" s="36">
        <f t="shared" si="4"/>
        <v>0.6901054184550145</v>
      </c>
      <c r="I15" s="33">
        <f>CHOOSE($C$4,I17,I18,I19)</f>
        <v>0.62</v>
      </c>
      <c r="J15" s="33">
        <f t="shared" ref="J15:M15" si="5">CHOOSE($C$4,J17,J18,J19)</f>
        <v>0.62</v>
      </c>
      <c r="K15" s="33">
        <f t="shared" si="5"/>
        <v>0.62</v>
      </c>
      <c r="L15" s="33">
        <f t="shared" si="5"/>
        <v>0.62</v>
      </c>
      <c r="M15" s="33">
        <f t="shared" si="5"/>
        <v>0.62</v>
      </c>
    </row>
    <row r="16" spans="2:16" x14ac:dyDescent="0.35">
      <c r="I16" s="14"/>
      <c r="J16" s="14"/>
      <c r="K16" s="14"/>
      <c r="L16" s="14"/>
      <c r="M16" s="14"/>
    </row>
    <row r="17" spans="2:13" x14ac:dyDescent="0.35">
      <c r="B17" s="6" t="s">
        <v>41</v>
      </c>
      <c r="C17" s="35"/>
      <c r="D17" s="35"/>
      <c r="E17" s="35"/>
      <c r="F17" s="35"/>
      <c r="G17" s="35"/>
      <c r="H17" s="35"/>
      <c r="I17" s="14">
        <v>0.62</v>
      </c>
      <c r="J17" s="14">
        <v>0.62</v>
      </c>
      <c r="K17" s="14">
        <v>0.62</v>
      </c>
      <c r="L17" s="14">
        <v>0.62</v>
      </c>
      <c r="M17" s="14">
        <v>0.62</v>
      </c>
    </row>
    <row r="18" spans="2:13" x14ac:dyDescent="0.35">
      <c r="B18" s="6" t="s">
        <v>42</v>
      </c>
      <c r="C18" s="35"/>
      <c r="D18" s="35"/>
      <c r="E18" s="35"/>
      <c r="F18" s="35"/>
      <c r="G18" s="35"/>
      <c r="H18" s="35"/>
      <c r="I18" s="33">
        <v>0.66</v>
      </c>
      <c r="J18" s="33">
        <v>0.66</v>
      </c>
      <c r="K18" s="33">
        <v>0.66</v>
      </c>
      <c r="L18" s="33">
        <v>0.66</v>
      </c>
      <c r="M18" s="33">
        <v>0.66</v>
      </c>
    </row>
    <row r="19" spans="2:13" x14ac:dyDescent="0.35">
      <c r="B19" s="6" t="s">
        <v>43</v>
      </c>
      <c r="C19" s="35"/>
      <c r="D19" s="35"/>
      <c r="E19" s="35"/>
      <c r="F19" s="35"/>
      <c r="G19" s="35"/>
      <c r="H19" s="35"/>
      <c r="I19" s="14">
        <v>0.69</v>
      </c>
      <c r="J19" s="14">
        <v>0.69</v>
      </c>
      <c r="K19" s="14">
        <v>0.69</v>
      </c>
      <c r="L19" s="14">
        <v>0.69</v>
      </c>
      <c r="M19" s="14">
        <v>0.69</v>
      </c>
    </row>
    <row r="20" spans="2:13" x14ac:dyDescent="0.35">
      <c r="I20" s="14"/>
      <c r="J20" s="14"/>
      <c r="K20" s="14"/>
      <c r="L20" s="14"/>
      <c r="M20" s="14"/>
    </row>
    <row r="21" spans="2:13" x14ac:dyDescent="0.35">
      <c r="B21" s="142" t="str">
        <f>'P&amp;L Source'!B8</f>
        <v>excise duty on sale of goods</v>
      </c>
      <c r="C21" s="6">
        <f>'P&amp;L Source'!C8</f>
        <v>-1880.35</v>
      </c>
      <c r="D21" s="6">
        <f>'P&amp;L Source'!D8</f>
        <v>-1717.65</v>
      </c>
      <c r="E21" s="6">
        <f>'P&amp;L Source'!E8</f>
        <v>-2258.21</v>
      </c>
      <c r="F21" s="6">
        <f>'P&amp;L Source'!F8</f>
        <v>-2373.23</v>
      </c>
      <c r="G21" s="6">
        <f>'P&amp;L Source'!G8</f>
        <v>-642.57000000000005</v>
      </c>
      <c r="H21" s="6">
        <f>'P&amp;L Source'!H8</f>
        <v>-1.41</v>
      </c>
      <c r="I21" s="38">
        <f>-I22*I14</f>
        <v>0</v>
      </c>
      <c r="J21" s="38">
        <f t="shared" ref="J21:M21" si="6">-J22*J14</f>
        <v>0</v>
      </c>
      <c r="K21" s="38">
        <f t="shared" si="6"/>
        <v>0</v>
      </c>
      <c r="L21" s="38">
        <f t="shared" si="6"/>
        <v>0</v>
      </c>
      <c r="M21" s="38">
        <f t="shared" si="6"/>
        <v>0</v>
      </c>
    </row>
    <row r="22" spans="2:13" x14ac:dyDescent="0.35">
      <c r="B22" s="15" t="s">
        <v>137</v>
      </c>
      <c r="C22" s="36">
        <f>-C21/C7</f>
        <v>6.962902782643085E-2</v>
      </c>
      <c r="D22" s="36">
        <f t="shared" ref="D22:H22" si="7">-D21/D7</f>
        <v>5.9186491979250876E-2</v>
      </c>
      <c r="E22" s="36">
        <f t="shared" si="7"/>
        <v>7.3520616578106116E-2</v>
      </c>
      <c r="F22" s="36">
        <f t="shared" si="7"/>
        <v>7.6596180051033358E-2</v>
      </c>
      <c r="G22" s="36">
        <f t="shared" si="7"/>
        <v>1.9412439646729066E-2</v>
      </c>
      <c r="H22" s="36">
        <f t="shared" si="7"/>
        <v>4.1504487635930869E-5</v>
      </c>
      <c r="I22" s="33">
        <f>CHOOSE($C$4,I24,I25,I26)</f>
        <v>0</v>
      </c>
      <c r="J22" s="33">
        <f t="shared" ref="J22:M22" si="8">CHOOSE($C$4,J24,J25,J26)</f>
        <v>0</v>
      </c>
      <c r="K22" s="33">
        <f t="shared" si="8"/>
        <v>0</v>
      </c>
      <c r="L22" s="33">
        <f t="shared" si="8"/>
        <v>0</v>
      </c>
      <c r="M22" s="33">
        <f t="shared" si="8"/>
        <v>0</v>
      </c>
    </row>
    <row r="23" spans="2:13" x14ac:dyDescent="0.35">
      <c r="I23" s="14"/>
      <c r="J23" s="14"/>
      <c r="K23" s="14"/>
      <c r="L23" s="14"/>
      <c r="M23" s="14"/>
    </row>
    <row r="24" spans="2:13" x14ac:dyDescent="0.35">
      <c r="B24" s="6" t="s">
        <v>41</v>
      </c>
      <c r="C24" s="35"/>
      <c r="D24" s="35"/>
      <c r="E24" s="35"/>
      <c r="F24" s="35"/>
      <c r="G24" s="35"/>
      <c r="H24" s="35"/>
      <c r="I24" s="14">
        <v>0</v>
      </c>
      <c r="J24" s="14">
        <v>0</v>
      </c>
      <c r="K24" s="14">
        <v>0</v>
      </c>
      <c r="L24" s="14">
        <v>0</v>
      </c>
      <c r="M24" s="14">
        <v>0</v>
      </c>
    </row>
    <row r="25" spans="2:13" x14ac:dyDescent="0.35">
      <c r="B25" s="6" t="s">
        <v>42</v>
      </c>
      <c r="C25" s="35"/>
      <c r="D25" s="35"/>
      <c r="E25" s="35"/>
      <c r="F25" s="35"/>
      <c r="G25" s="35"/>
      <c r="H25" s="35"/>
      <c r="I25" s="14">
        <v>0</v>
      </c>
      <c r="J25" s="14">
        <v>0</v>
      </c>
      <c r="K25" s="14">
        <v>0</v>
      </c>
      <c r="L25" s="14">
        <v>0</v>
      </c>
      <c r="M25" s="14">
        <v>0</v>
      </c>
    </row>
    <row r="26" spans="2:13" x14ac:dyDescent="0.35">
      <c r="B26" s="6" t="s">
        <v>43</v>
      </c>
      <c r="C26" s="35"/>
      <c r="D26" s="35"/>
      <c r="E26" s="35"/>
      <c r="F26" s="35"/>
      <c r="G26" s="35"/>
      <c r="H26" s="35"/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 spans="2:13" x14ac:dyDescent="0.35">
      <c r="I27" s="14"/>
      <c r="J27" s="14"/>
      <c r="K27" s="14"/>
      <c r="L27" s="14"/>
      <c r="M27" s="14"/>
    </row>
    <row r="28" spans="2:13" x14ac:dyDescent="0.35">
      <c r="B28" s="6" t="str">
        <f>'P&amp;L Source'!B9</f>
        <v>employee benefits expenses</v>
      </c>
      <c r="C28" s="11">
        <f>'P&amp;L Source'!C9</f>
        <v>-930.35</v>
      </c>
      <c r="D28" s="11">
        <f>'P&amp;L Source'!D9</f>
        <v>-1178.72</v>
      </c>
      <c r="E28" s="11">
        <f>'P&amp;L Source'!E9</f>
        <v>-1339.46</v>
      </c>
      <c r="F28" s="11">
        <f>'P&amp;L Source'!F9</f>
        <v>-1432.49</v>
      </c>
      <c r="G28" s="11">
        <f>'P&amp;L Source'!G9</f>
        <v>-1583.71</v>
      </c>
      <c r="H28" s="11">
        <f>'P&amp;L Source'!H9</f>
        <v>-1778.03</v>
      </c>
      <c r="I28" s="37">
        <f>-I29*I7</f>
        <v>-1090.508583</v>
      </c>
      <c r="J28" s="37">
        <f t="shared" ref="J28:M28" si="9">-J29*J7</f>
        <v>-1166.8441838100002</v>
      </c>
      <c r="K28" s="37">
        <f t="shared" si="9"/>
        <v>-1248.5232766767003</v>
      </c>
      <c r="L28" s="37">
        <f t="shared" si="9"/>
        <v>-1335.9199060440694</v>
      </c>
      <c r="M28" s="37">
        <f t="shared" si="9"/>
        <v>-1429.4342994671542</v>
      </c>
    </row>
    <row r="29" spans="2:13" x14ac:dyDescent="0.35">
      <c r="B29" s="15" t="s">
        <v>137</v>
      </c>
      <c r="C29" s="36">
        <f>-C28/C7</f>
        <v>3.4450695901465128E-2</v>
      </c>
      <c r="D29" s="36">
        <f t="shared" ref="D29:H29" si="10">-D28/D7</f>
        <v>4.0616133569576218E-2</v>
      </c>
      <c r="E29" s="36">
        <f t="shared" si="10"/>
        <v>4.3608842880737402E-2</v>
      </c>
      <c r="F29" s="36">
        <f t="shared" si="10"/>
        <v>4.6233724485745066E-2</v>
      </c>
      <c r="G29" s="36">
        <f t="shared" si="10"/>
        <v>4.7844864828612117E-2</v>
      </c>
      <c r="H29" s="36">
        <f t="shared" si="10"/>
        <v>5.2337747625045512E-2</v>
      </c>
      <c r="I29" s="33">
        <f>CHOOSE($C$4,I31,I32,I33)</f>
        <v>0.03</v>
      </c>
      <c r="J29" s="33">
        <f t="shared" ref="J29:M29" si="11">CHOOSE($C$4,J31,J32,J33)</f>
        <v>0.03</v>
      </c>
      <c r="K29" s="33">
        <f t="shared" si="11"/>
        <v>0.03</v>
      </c>
      <c r="L29" s="33">
        <f t="shared" si="11"/>
        <v>0.03</v>
      </c>
      <c r="M29" s="33">
        <f t="shared" si="11"/>
        <v>0.03</v>
      </c>
    </row>
    <row r="30" spans="2:13" x14ac:dyDescent="0.35">
      <c r="I30" s="14"/>
      <c r="J30" s="14"/>
      <c r="K30" s="14"/>
      <c r="L30" s="14"/>
      <c r="M30" s="14"/>
    </row>
    <row r="31" spans="2:13" x14ac:dyDescent="0.35">
      <c r="B31" s="6" t="s">
        <v>41</v>
      </c>
      <c r="C31" s="35"/>
      <c r="D31" s="35"/>
      <c r="E31" s="35"/>
      <c r="F31" s="35"/>
      <c r="G31" s="35"/>
      <c r="H31" s="35"/>
      <c r="I31" s="14">
        <v>0.03</v>
      </c>
      <c r="J31" s="14">
        <v>0.03</v>
      </c>
      <c r="K31" s="14">
        <v>0.03</v>
      </c>
      <c r="L31" s="14">
        <v>0.03</v>
      </c>
      <c r="M31" s="14">
        <v>0.03</v>
      </c>
    </row>
    <row r="32" spans="2:13" x14ac:dyDescent="0.35">
      <c r="B32" s="6" t="s">
        <v>42</v>
      </c>
      <c r="C32" s="35"/>
      <c r="D32" s="35"/>
      <c r="E32" s="35"/>
      <c r="F32" s="35"/>
      <c r="G32" s="35"/>
      <c r="H32" s="35"/>
      <c r="I32" s="14">
        <v>0.04</v>
      </c>
      <c r="J32" s="14">
        <v>0.04</v>
      </c>
      <c r="K32" s="14">
        <v>0.04</v>
      </c>
      <c r="L32" s="14">
        <v>0.04</v>
      </c>
      <c r="M32" s="14">
        <v>0.04</v>
      </c>
    </row>
    <row r="33" spans="2:13" x14ac:dyDescent="0.35">
      <c r="B33" s="6" t="s">
        <v>43</v>
      </c>
      <c r="C33" s="35"/>
      <c r="D33" s="35"/>
      <c r="E33" s="35"/>
      <c r="F33" s="35"/>
      <c r="G33" s="35"/>
      <c r="H33" s="35"/>
      <c r="I33" s="14">
        <v>0.05</v>
      </c>
      <c r="J33" s="14">
        <v>0.05</v>
      </c>
      <c r="K33" s="14">
        <v>0.05</v>
      </c>
      <c r="L33" s="14">
        <v>0.05</v>
      </c>
      <c r="M33" s="14">
        <v>0.05</v>
      </c>
    </row>
    <row r="34" spans="2:13" x14ac:dyDescent="0.35">
      <c r="I34" s="14"/>
      <c r="J34" s="14"/>
      <c r="K34" s="14"/>
      <c r="L34" s="14"/>
      <c r="M34" s="14"/>
    </row>
    <row r="35" spans="2:13" x14ac:dyDescent="0.35">
      <c r="B35" s="6" t="str">
        <f>'P&amp;L Source'!B10</f>
        <v>other expenses</v>
      </c>
      <c r="C35" s="11">
        <f>'P&amp;L Source'!C10</f>
        <v>-2426.13</v>
      </c>
      <c r="D35" s="11">
        <f>'P&amp;L Source'!D10</f>
        <v>-2913.28</v>
      </c>
      <c r="E35" s="11">
        <f>'P&amp;L Source'!E10</f>
        <v>-3411.86</v>
      </c>
      <c r="F35" s="11">
        <f>'P&amp;L Source'!F10</f>
        <v>-3485.89</v>
      </c>
      <c r="G35" s="11">
        <f>'P&amp;L Source'!G10</f>
        <v>-3663.79</v>
      </c>
      <c r="H35" s="11">
        <f>'P&amp;L Source'!H10</f>
        <v>-3729.94</v>
      </c>
      <c r="I35" s="37">
        <f>-I36*I7</f>
        <v>-3271.5257490000004</v>
      </c>
      <c r="J35" s="37">
        <f t="shared" ref="J35:M35" si="12">-J36*J7</f>
        <v>-3500.5325514300007</v>
      </c>
      <c r="K35" s="37">
        <f t="shared" si="12"/>
        <v>-3745.569830030101</v>
      </c>
      <c r="L35" s="37">
        <f t="shared" si="12"/>
        <v>-4007.759718132208</v>
      </c>
      <c r="M35" s="37">
        <f t="shared" si="12"/>
        <v>-4288.3028984014627</v>
      </c>
    </row>
    <row r="36" spans="2:13" x14ac:dyDescent="0.35">
      <c r="B36" s="15" t="s">
        <v>137</v>
      </c>
      <c r="C36" s="36">
        <f>-C35/C7</f>
        <v>8.983916466643907E-2</v>
      </c>
      <c r="D36" s="36">
        <f t="shared" ref="D36:H36" si="13">-D35/D7</f>
        <v>0.10038530745688121</v>
      </c>
      <c r="E36" s="36">
        <f t="shared" si="13"/>
        <v>0.11108003723222247</v>
      </c>
      <c r="F36" s="36">
        <f t="shared" si="13"/>
        <v>0.11250736678623506</v>
      </c>
      <c r="G36" s="36">
        <f t="shared" si="13"/>
        <v>0.11068537630653388</v>
      </c>
      <c r="H36" s="36">
        <f t="shared" si="13"/>
        <v>0.10979379334238581</v>
      </c>
      <c r="I36" s="33">
        <f>CHOOSE($C$4,I38,I39,I40)</f>
        <v>0.09</v>
      </c>
      <c r="J36" s="33">
        <f t="shared" ref="J36:M36" si="14">CHOOSE($C$4,J38,J39,J40)</f>
        <v>0.09</v>
      </c>
      <c r="K36" s="33">
        <f t="shared" si="14"/>
        <v>0.09</v>
      </c>
      <c r="L36" s="33">
        <f t="shared" si="14"/>
        <v>0.09</v>
      </c>
      <c r="M36" s="33">
        <f t="shared" si="14"/>
        <v>0.09</v>
      </c>
    </row>
    <row r="37" spans="2:13" x14ac:dyDescent="0.35">
      <c r="I37" s="14"/>
      <c r="J37" s="14"/>
      <c r="K37" s="14"/>
      <c r="L37" s="14"/>
      <c r="M37" s="14"/>
    </row>
    <row r="38" spans="2:13" x14ac:dyDescent="0.35">
      <c r="B38" s="6" t="s">
        <v>41</v>
      </c>
      <c r="C38" s="35"/>
      <c r="D38" s="35"/>
      <c r="E38" s="35"/>
      <c r="F38" s="35"/>
      <c r="G38" s="35"/>
      <c r="H38" s="35"/>
      <c r="I38" s="14">
        <v>0.09</v>
      </c>
      <c r="J38" s="14">
        <v>0.09</v>
      </c>
      <c r="K38" s="14">
        <v>0.09</v>
      </c>
      <c r="L38" s="14">
        <v>0.09</v>
      </c>
      <c r="M38" s="14">
        <v>0.09</v>
      </c>
    </row>
    <row r="39" spans="2:13" x14ac:dyDescent="0.35">
      <c r="B39" s="6" t="s">
        <v>42</v>
      </c>
      <c r="C39" s="35"/>
      <c r="D39" s="35"/>
      <c r="E39" s="35"/>
      <c r="F39" s="35"/>
      <c r="G39" s="35"/>
      <c r="H39" s="35"/>
      <c r="I39" s="14">
        <v>0.11</v>
      </c>
      <c r="J39" s="14">
        <v>0.11</v>
      </c>
      <c r="K39" s="14">
        <v>0.11</v>
      </c>
      <c r="L39" s="14">
        <v>0.11</v>
      </c>
      <c r="M39" s="14">
        <v>0.11</v>
      </c>
    </row>
    <row r="40" spans="2:13" x14ac:dyDescent="0.35">
      <c r="B40" s="6" t="s">
        <v>43</v>
      </c>
      <c r="C40" s="35"/>
      <c r="D40" s="35"/>
      <c r="E40" s="35"/>
      <c r="F40" s="35"/>
      <c r="G40" s="35"/>
      <c r="H40" s="35"/>
      <c r="I40" s="14">
        <v>0.11</v>
      </c>
      <c r="J40" s="14">
        <v>0.11</v>
      </c>
      <c r="K40" s="14">
        <v>0.11</v>
      </c>
      <c r="L40" s="14">
        <v>0.11</v>
      </c>
      <c r="M40" s="14">
        <v>0.11</v>
      </c>
    </row>
    <row r="41" spans="2:13" x14ac:dyDescent="0.35">
      <c r="I41" s="14"/>
      <c r="J41" s="14"/>
      <c r="K41" s="14"/>
      <c r="L41" s="14"/>
      <c r="M41" s="14"/>
    </row>
    <row r="42" spans="2:13" x14ac:dyDescent="0.35">
      <c r="B42" s="6" t="str">
        <f>'P&amp;L Source'!B13</f>
        <v>depreciation and amortisation exp.</v>
      </c>
      <c r="C42" s="6">
        <f>'P&amp;L Source'!C13</f>
        <v>-1107.3699999999999</v>
      </c>
      <c r="D42" s="6">
        <f>'P&amp;L Source'!D13</f>
        <v>-540.45000000000005</v>
      </c>
      <c r="E42" s="6">
        <f>'P&amp;L Source'!E13</f>
        <v>-443.25</v>
      </c>
      <c r="F42" s="6">
        <f>'P&amp;L Source'!F13</f>
        <v>-502.25</v>
      </c>
      <c r="G42" s="6">
        <f>'P&amp;L Source'!G13</f>
        <v>-574.98</v>
      </c>
      <c r="H42" s="6">
        <f>'P&amp;L Source'!H13</f>
        <v>-624.44000000000005</v>
      </c>
      <c r="I42" s="17">
        <f>-I43*I7</f>
        <v>-363.50286100000005</v>
      </c>
      <c r="J42" s="17">
        <f t="shared" ref="J42:M42" si="15">-J43*J7</f>
        <v>-388.9480612700001</v>
      </c>
      <c r="K42" s="17">
        <f t="shared" si="15"/>
        <v>-416.17442555890011</v>
      </c>
      <c r="L42" s="17">
        <f t="shared" si="15"/>
        <v>-445.30663534802312</v>
      </c>
      <c r="M42" s="17">
        <f t="shared" si="15"/>
        <v>-476.47809982238476</v>
      </c>
    </row>
    <row r="43" spans="2:13" x14ac:dyDescent="0.35">
      <c r="B43" s="15" t="s">
        <v>137</v>
      </c>
      <c r="C43" s="36">
        <f>-C42/C7</f>
        <v>4.1005715182893997E-2</v>
      </c>
      <c r="D43" s="36">
        <f t="shared" ref="D43:H43" si="16">-D42/D7</f>
        <v>1.8622734311522216E-2</v>
      </c>
      <c r="E43" s="36">
        <f t="shared" si="16"/>
        <v>1.4430904698077474E-2</v>
      </c>
      <c r="F43" s="36">
        <f t="shared" si="16"/>
        <v>1.6210157224808175E-2</v>
      </c>
      <c r="G43" s="36">
        <f t="shared" si="16"/>
        <v>1.7370503677539065E-2</v>
      </c>
      <c r="H43" s="36">
        <f t="shared" si="16"/>
        <v>1.8380895219418918E-2</v>
      </c>
      <c r="I43" s="33">
        <f>CHOOSE($C$4,I45,I46,I47)</f>
        <v>0.01</v>
      </c>
      <c r="J43" s="33">
        <f t="shared" ref="J43:M43" si="17">CHOOSE($C$4,J45,J46,J47)</f>
        <v>0.01</v>
      </c>
      <c r="K43" s="33">
        <f t="shared" si="17"/>
        <v>0.01</v>
      </c>
      <c r="L43" s="33">
        <f t="shared" si="17"/>
        <v>0.01</v>
      </c>
      <c r="M43" s="33">
        <f t="shared" si="17"/>
        <v>0.01</v>
      </c>
    </row>
    <row r="44" spans="2:13" x14ac:dyDescent="0.35">
      <c r="I44" s="14"/>
      <c r="J44" s="14"/>
      <c r="K44" s="14"/>
      <c r="L44" s="14"/>
      <c r="M44" s="14"/>
    </row>
    <row r="45" spans="2:13" x14ac:dyDescent="0.35">
      <c r="B45" s="6" t="s">
        <v>41</v>
      </c>
      <c r="C45" s="35"/>
      <c r="D45" s="35"/>
      <c r="E45" s="35"/>
      <c r="F45" s="35"/>
      <c r="G45" s="35"/>
      <c r="H45" s="35"/>
      <c r="I45" s="14">
        <v>0.01</v>
      </c>
      <c r="J45" s="14">
        <v>0.01</v>
      </c>
      <c r="K45" s="14">
        <v>0.01</v>
      </c>
      <c r="L45" s="14">
        <v>0.01</v>
      </c>
      <c r="M45" s="14">
        <v>0.01</v>
      </c>
    </row>
    <row r="46" spans="2:13" x14ac:dyDescent="0.35">
      <c r="B46" s="6" t="s">
        <v>42</v>
      </c>
      <c r="C46" s="35"/>
      <c r="D46" s="35"/>
      <c r="E46" s="35"/>
      <c r="F46" s="35"/>
      <c r="G46" s="35"/>
      <c r="H46" s="35"/>
      <c r="I46" s="14">
        <v>0.02</v>
      </c>
      <c r="J46" s="14">
        <v>0.02</v>
      </c>
      <c r="K46" s="14">
        <v>0.02</v>
      </c>
      <c r="L46" s="14">
        <v>0.02</v>
      </c>
      <c r="M46" s="14">
        <v>0.02</v>
      </c>
    </row>
    <row r="47" spans="2:13" x14ac:dyDescent="0.35">
      <c r="B47" s="6" t="s">
        <v>43</v>
      </c>
      <c r="C47" s="35"/>
      <c r="D47" s="35"/>
      <c r="E47" s="35"/>
      <c r="F47" s="35"/>
      <c r="G47" s="35"/>
      <c r="H47" s="35"/>
      <c r="I47" s="14">
        <v>0.04</v>
      </c>
      <c r="J47" s="14">
        <v>0.04</v>
      </c>
      <c r="K47" s="14">
        <v>0.04</v>
      </c>
      <c r="L47" s="14">
        <v>0.04</v>
      </c>
      <c r="M47" s="14">
        <v>0.04</v>
      </c>
    </row>
    <row r="48" spans="2:13" x14ac:dyDescent="0.35">
      <c r="I48" s="14"/>
      <c r="J48" s="14"/>
      <c r="K48" s="14"/>
      <c r="L48" s="14"/>
      <c r="M48" s="14"/>
    </row>
    <row r="49" spans="2:13" x14ac:dyDescent="0.35">
      <c r="B49" s="6" t="s">
        <v>138</v>
      </c>
      <c r="C49" s="75">
        <v>0.33989999999999998</v>
      </c>
      <c r="D49" s="75">
        <v>0.34610000000000002</v>
      </c>
      <c r="E49" s="75">
        <v>0.34610000000000002</v>
      </c>
      <c r="F49" s="75">
        <v>0.34610000000000002</v>
      </c>
      <c r="G49" s="75">
        <v>0.35</v>
      </c>
      <c r="H49" s="75">
        <v>0.35</v>
      </c>
      <c r="I49" s="33">
        <f>CHOOSE($C$4,I51,I52,I53)</f>
        <v>0.3</v>
      </c>
      <c r="J49" s="33">
        <f t="shared" ref="J49:M49" si="18">CHOOSE($C$4,J51,J52,J53)</f>
        <v>0.3</v>
      </c>
      <c r="K49" s="33">
        <f t="shared" si="18"/>
        <v>0.3</v>
      </c>
      <c r="L49" s="33">
        <f t="shared" si="18"/>
        <v>0.3</v>
      </c>
      <c r="M49" s="33">
        <f t="shared" si="18"/>
        <v>0.3</v>
      </c>
    </row>
    <row r="50" spans="2:13" x14ac:dyDescent="0.35">
      <c r="I50" s="14"/>
      <c r="J50" s="14"/>
      <c r="K50" s="14"/>
      <c r="L50" s="14"/>
      <c r="M50" s="14"/>
    </row>
    <row r="51" spans="2:13" x14ac:dyDescent="0.35">
      <c r="B51" s="6" t="s">
        <v>41</v>
      </c>
      <c r="C51" s="35"/>
      <c r="D51" s="35"/>
      <c r="E51" s="35"/>
      <c r="F51" s="35"/>
      <c r="G51" s="35"/>
      <c r="H51" s="35"/>
      <c r="I51" s="14">
        <v>0.3</v>
      </c>
      <c r="J51" s="14">
        <v>0.3</v>
      </c>
      <c r="K51" s="14">
        <v>0.3</v>
      </c>
      <c r="L51" s="14">
        <v>0.3</v>
      </c>
      <c r="M51" s="14">
        <v>0.3</v>
      </c>
    </row>
    <row r="52" spans="2:13" x14ac:dyDescent="0.35">
      <c r="B52" s="6" t="s">
        <v>42</v>
      </c>
      <c r="C52" s="35"/>
      <c r="D52" s="35"/>
      <c r="E52" s="35"/>
      <c r="F52" s="35"/>
      <c r="G52" s="35"/>
      <c r="H52" s="35"/>
      <c r="I52" s="14">
        <v>0.35</v>
      </c>
      <c r="J52" s="14">
        <v>0.35</v>
      </c>
      <c r="K52" s="14">
        <v>0.35</v>
      </c>
      <c r="L52" s="14">
        <v>0.35</v>
      </c>
      <c r="M52" s="14">
        <v>0.35</v>
      </c>
    </row>
    <row r="53" spans="2:13" x14ac:dyDescent="0.35">
      <c r="B53" s="6" t="s">
        <v>43</v>
      </c>
      <c r="C53" s="35"/>
      <c r="D53" s="35"/>
      <c r="E53" s="35"/>
      <c r="F53" s="35"/>
      <c r="G53" s="35"/>
      <c r="H53" s="35"/>
      <c r="I53" s="14">
        <v>0.35</v>
      </c>
      <c r="J53" s="14">
        <v>0.35</v>
      </c>
      <c r="K53" s="14">
        <v>0.35</v>
      </c>
      <c r="L53" s="14">
        <v>0.35</v>
      </c>
      <c r="M53" s="14">
        <v>0.35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B177-F282-C340-870D-A7369CF669F0}">
  <dimension ref="B1:M16"/>
  <sheetViews>
    <sheetView zoomScaleNormal="100" workbookViewId="0">
      <selection activeCell="C20" sqref="C20"/>
    </sheetView>
  </sheetViews>
  <sheetFormatPr defaultColWidth="9.09765625" defaultRowHeight="18" x14ac:dyDescent="0.35"/>
  <cols>
    <col min="1" max="1" width="2" style="6" customWidth="1"/>
    <col min="2" max="2" width="39.09765625" style="6" customWidth="1"/>
    <col min="3" max="12" width="12.59765625" style="6" customWidth="1"/>
    <col min="13" max="13" width="10.69921875" style="6" bestFit="1" customWidth="1"/>
    <col min="14" max="16384" width="9.09765625" style="6"/>
  </cols>
  <sheetData>
    <row r="1" spans="2:13" x14ac:dyDescent="0.35">
      <c r="B1" s="5" t="s">
        <v>9</v>
      </c>
    </row>
    <row r="3" spans="2:13" ht="36.6" thickBot="1" x14ac:dyDescent="0.4">
      <c r="B3" s="7" t="s">
        <v>33</v>
      </c>
      <c r="C3" s="8" t="s">
        <v>35</v>
      </c>
      <c r="D3" s="8" t="s">
        <v>34</v>
      </c>
      <c r="E3" s="8" t="s">
        <v>1</v>
      </c>
      <c r="F3" s="8" t="s">
        <v>2</v>
      </c>
      <c r="G3" s="8" t="s">
        <v>3</v>
      </c>
      <c r="H3" s="8" t="s">
        <v>130</v>
      </c>
      <c r="I3" s="10" t="s">
        <v>4</v>
      </c>
      <c r="J3" s="10" t="s">
        <v>5</v>
      </c>
      <c r="K3" s="10" t="s">
        <v>6</v>
      </c>
      <c r="L3" s="10" t="s">
        <v>7</v>
      </c>
      <c r="M3" s="10" t="s">
        <v>131</v>
      </c>
    </row>
    <row r="4" spans="2:13" x14ac:dyDescent="0.35">
      <c r="B4" s="6" t="s">
        <v>139</v>
      </c>
      <c r="C4" s="11">
        <f>'BS Source '!C24</f>
        <v>920.58</v>
      </c>
      <c r="D4" s="11">
        <f>'BS Source '!D24</f>
        <v>1371.82</v>
      </c>
      <c r="E4" s="11">
        <f>'BS Source '!E24</f>
        <v>1282.07</v>
      </c>
      <c r="F4" s="11">
        <f>'BS Source '!F24</f>
        <v>1551.75</v>
      </c>
      <c r="G4" s="11">
        <f>'BS Source '!G24</f>
        <v>1426.97</v>
      </c>
      <c r="H4" s="11">
        <f>'BS Source '!H24</f>
        <v>2745.11</v>
      </c>
      <c r="I4" s="12">
        <f>I5*'P&amp;L assumptions'!I7/365</f>
        <v>2937.2677000000003</v>
      </c>
      <c r="J4" s="12">
        <f>J5*'P&amp;L assumptions'!J7/365</f>
        <v>3142.8764390000001</v>
      </c>
      <c r="K4" s="12">
        <f>K5*'P&amp;L assumptions'!K7/365</f>
        <v>3362.8777897300001</v>
      </c>
      <c r="L4" s="12">
        <f>L5*'P&amp;L assumptions'!L7/365</f>
        <v>3598.2792350111008</v>
      </c>
      <c r="M4" s="12">
        <f>M5*'P&amp;L assumptions'!M7/365</f>
        <v>3850.1587814618774</v>
      </c>
    </row>
    <row r="5" spans="2:13" x14ac:dyDescent="0.35">
      <c r="B5" s="15" t="s">
        <v>140</v>
      </c>
      <c r="C5" s="15">
        <f>C4/'P&amp;L assumptions'!C7*365</f>
        <v>12.44245380344422</v>
      </c>
      <c r="D5" s="15">
        <f>D4/'P&amp;L assumptions'!D7*365</f>
        <v>17.253528309519528</v>
      </c>
      <c r="E5" s="15">
        <f>E4/'P&amp;L assumptions'!E7*365</f>
        <v>15.235244094724033</v>
      </c>
      <c r="F5" s="15">
        <f>F4/'P&amp;L assumptions'!F7*365</f>
        <v>18.28024029440034</v>
      </c>
      <c r="G5" s="15">
        <f>G4/'P&amp;L assumptions'!G7*365</f>
        <v>15.735022932883476</v>
      </c>
      <c r="H5" s="15">
        <f>H4/'P&amp;L assumptions'!H7*365</f>
        <v>29.493652609793347</v>
      </c>
      <c r="I5" s="16">
        <f>H5</f>
        <v>29.493652609793347</v>
      </c>
      <c r="J5" s="16">
        <f t="shared" ref="J5:M5" si="0">I5</f>
        <v>29.493652609793347</v>
      </c>
      <c r="K5" s="16">
        <f t="shared" si="0"/>
        <v>29.493652609793347</v>
      </c>
      <c r="L5" s="16">
        <f t="shared" si="0"/>
        <v>29.493652609793347</v>
      </c>
      <c r="M5" s="16">
        <f t="shared" si="0"/>
        <v>29.493652609793347</v>
      </c>
    </row>
    <row r="6" spans="2:13" x14ac:dyDescent="0.35">
      <c r="C6" s="11"/>
      <c r="D6" s="11"/>
      <c r="E6" s="11"/>
      <c r="F6" s="11"/>
      <c r="G6" s="11"/>
      <c r="H6" s="11"/>
      <c r="I6" s="17"/>
      <c r="J6" s="17"/>
      <c r="K6" s="17"/>
      <c r="L6" s="17"/>
      <c r="M6" s="17"/>
    </row>
    <row r="7" spans="2:13" x14ac:dyDescent="0.35">
      <c r="B7" s="6" t="s">
        <v>141</v>
      </c>
      <c r="C7" s="11">
        <f>'BS Source '!C51</f>
        <v>2291</v>
      </c>
      <c r="D7" s="11">
        <f>'BS Source '!D51</f>
        <v>2713.1</v>
      </c>
      <c r="E7" s="11">
        <f>'BS Source '!E51</f>
        <v>2791.7</v>
      </c>
      <c r="F7" s="11">
        <f>'BS Source '!F51</f>
        <v>3266.2</v>
      </c>
      <c r="G7" s="11">
        <f>'BS Source '!G51</f>
        <v>3375.26</v>
      </c>
      <c r="H7" s="11">
        <f>'BS Source '!H51</f>
        <v>3438.24</v>
      </c>
      <c r="I7" s="12">
        <f>-I8*'P&amp;L assumptions'!I14/365</f>
        <v>3305.1883886181736</v>
      </c>
      <c r="J7" s="12">
        <f>-J8*'P&amp;L assumptions'!J14/365</f>
        <v>3536.5515758214469</v>
      </c>
      <c r="K7" s="12">
        <f>-K8*'P&amp;L assumptions'!K14/365</f>
        <v>3784.1101861289471</v>
      </c>
      <c r="L7" s="12">
        <f>-L8*'P&amp;L assumptions'!L14/365</f>
        <v>4048.9978991579742</v>
      </c>
      <c r="M7" s="12">
        <f>-M8*'P&amp;L assumptions'!M14/365</f>
        <v>4332.4277520990327</v>
      </c>
    </row>
    <row r="8" spans="2:13" x14ac:dyDescent="0.35">
      <c r="B8" s="15" t="s">
        <v>142</v>
      </c>
      <c r="C8" s="15">
        <f>-C7/'P&amp;L Source'!C7*365</f>
        <v>45.870545571037454</v>
      </c>
      <c r="D8" s="15">
        <f>-D7/'P&amp;L Source'!D7*365</f>
        <v>50.229086039776206</v>
      </c>
      <c r="E8" s="15">
        <f>-E7/'P&amp;L Source'!E7*365</f>
        <v>52.774250185155452</v>
      </c>
      <c r="F8" s="15">
        <f>-F7/'P&amp;L Source'!F7*365</f>
        <v>62.364407347113001</v>
      </c>
      <c r="G8" s="15">
        <f>-G7/'P&amp;L Source'!G7*365</f>
        <v>56.290780971423509</v>
      </c>
      <c r="H8" s="15">
        <f>-H7/'P&amp;L Source'!H7*365</f>
        <v>53.529052968680816</v>
      </c>
      <c r="I8" s="16">
        <f>H8</f>
        <v>53.529052968680816</v>
      </c>
      <c r="J8" s="16">
        <f t="shared" ref="J8:M8" si="1">I8</f>
        <v>53.529052968680816</v>
      </c>
      <c r="K8" s="16">
        <f t="shared" si="1"/>
        <v>53.529052968680816</v>
      </c>
      <c r="L8" s="16">
        <f t="shared" si="1"/>
        <v>53.529052968680816</v>
      </c>
      <c r="M8" s="16">
        <f t="shared" si="1"/>
        <v>53.529052968680816</v>
      </c>
    </row>
    <row r="9" spans="2:13" x14ac:dyDescent="0.35">
      <c r="C9" s="11"/>
      <c r="D9" s="11"/>
      <c r="E9" s="11"/>
      <c r="F9" s="11"/>
      <c r="G9" s="11"/>
      <c r="H9" s="11"/>
      <c r="I9" s="17"/>
      <c r="J9" s="17"/>
      <c r="K9" s="17"/>
      <c r="L9" s="17"/>
      <c r="M9" s="17"/>
    </row>
    <row r="10" spans="2:13" x14ac:dyDescent="0.35">
      <c r="B10" s="6" t="s">
        <v>24</v>
      </c>
      <c r="C10" s="11">
        <f>'BS Source '!C22</f>
        <v>669.55</v>
      </c>
      <c r="D10" s="11">
        <f>'BS Source '!D22</f>
        <v>861.0200000000001</v>
      </c>
      <c r="E10" s="11">
        <f>'BS Source '!E22</f>
        <v>761.99</v>
      </c>
      <c r="F10" s="11">
        <f>'BS Source '!F22</f>
        <v>708.58</v>
      </c>
      <c r="G10" s="11">
        <f>'BS Source '!G22</f>
        <v>962.68</v>
      </c>
      <c r="H10" s="11">
        <f>'BS Source '!H22</f>
        <v>1249.53</v>
      </c>
      <c r="I10" s="12">
        <f>-I11*'P&amp;L assumptions'!I14/365</f>
        <v>1201.1761969001777</v>
      </c>
      <c r="J10" s="12">
        <f>-J11*'P&amp;L assumptions'!J14/365</f>
        <v>1285.2585306831904</v>
      </c>
      <c r="K10" s="12">
        <f>-K11*'P&amp;L assumptions'!K14/365</f>
        <v>1375.2266278310137</v>
      </c>
      <c r="L10" s="12">
        <f>-L11*'P&amp;L assumptions'!L14/365</f>
        <v>1471.4924917791845</v>
      </c>
      <c r="M10" s="12">
        <f>-M11*'P&amp;L assumptions'!M14/365</f>
        <v>1574.4969662037277</v>
      </c>
    </row>
    <row r="11" spans="2:13" x14ac:dyDescent="0.35">
      <c r="B11" s="15" t="s">
        <v>143</v>
      </c>
      <c r="C11" s="15">
        <f>-C10/'P&amp;L Source'!C7*365</f>
        <v>13.4057720589647</v>
      </c>
      <c r="D11" s="15">
        <f>-D10/'P&amp;L Source'!D7*365</f>
        <v>15.940528422088429</v>
      </c>
      <c r="E11" s="15">
        <f>-E10/'P&amp;L Source'!E7*365</f>
        <v>14.404646236553573</v>
      </c>
      <c r="F11" s="15">
        <f>-F10/'P&amp;L Source'!F7*365</f>
        <v>13.529536390305962</v>
      </c>
      <c r="G11" s="15">
        <f>-G10/'P&amp;L Source'!G7*365</f>
        <v>16.055062136122839</v>
      </c>
      <c r="H11" s="15">
        <f>-H10/'P&amp;L Source'!H7*365</f>
        <v>19.453603458733465</v>
      </c>
      <c r="I11" s="16">
        <f>H11</f>
        <v>19.453603458733465</v>
      </c>
      <c r="J11" s="16">
        <f t="shared" ref="J11:M11" si="2">I11</f>
        <v>19.453603458733465</v>
      </c>
      <c r="K11" s="16">
        <f t="shared" si="2"/>
        <v>19.453603458733465</v>
      </c>
      <c r="L11" s="16">
        <f t="shared" si="2"/>
        <v>19.453603458733465</v>
      </c>
      <c r="M11" s="16">
        <f t="shared" si="2"/>
        <v>19.453603458733465</v>
      </c>
    </row>
    <row r="12" spans="2:13" x14ac:dyDescent="0.35">
      <c r="C12" s="11"/>
      <c r="D12" s="11"/>
      <c r="E12" s="11"/>
      <c r="F12" s="11"/>
      <c r="G12" s="11"/>
      <c r="H12" s="11"/>
      <c r="I12" s="17"/>
      <c r="J12" s="17"/>
      <c r="K12" s="17"/>
      <c r="L12" s="17"/>
      <c r="M12" s="17"/>
    </row>
    <row r="13" spans="2:13" x14ac:dyDescent="0.35">
      <c r="B13" s="6" t="s">
        <v>144</v>
      </c>
      <c r="C13" s="6">
        <f>C5+C11-C8</f>
        <v>-20.022319708628533</v>
      </c>
      <c r="D13" s="6">
        <f t="shared" ref="D13:H13" si="3">D5+D11-D8</f>
        <v>-17.035029308168248</v>
      </c>
      <c r="E13" s="6">
        <f t="shared" si="3"/>
        <v>-23.134359853877847</v>
      </c>
      <c r="F13" s="6">
        <f t="shared" si="3"/>
        <v>-30.554630662406701</v>
      </c>
      <c r="G13" s="6">
        <f t="shared" si="3"/>
        <v>-24.500695902417192</v>
      </c>
      <c r="H13" s="6">
        <f t="shared" si="3"/>
        <v>-4.5817969001540035</v>
      </c>
      <c r="I13" s="37">
        <f>I5+I11-I8</f>
        <v>-4.5817969001540035</v>
      </c>
      <c r="J13" s="37">
        <f t="shared" ref="J13:M13" si="4">J5+J11-J8</f>
        <v>-4.5817969001540035</v>
      </c>
      <c r="K13" s="37">
        <f t="shared" si="4"/>
        <v>-4.5817969001540035</v>
      </c>
      <c r="L13" s="37">
        <f t="shared" si="4"/>
        <v>-4.5817969001540035</v>
      </c>
      <c r="M13" s="37">
        <f t="shared" si="4"/>
        <v>-4.5817969001540035</v>
      </c>
    </row>
    <row r="14" spans="2:13" x14ac:dyDescent="0.35">
      <c r="B14" s="15"/>
      <c r="C14" s="18"/>
      <c r="D14" s="18"/>
      <c r="E14" s="18"/>
      <c r="F14" s="18"/>
      <c r="G14" s="18"/>
      <c r="H14" s="18"/>
      <c r="I14" s="19"/>
      <c r="J14" s="19"/>
      <c r="K14" s="19"/>
      <c r="L14" s="19"/>
      <c r="M14" s="19"/>
    </row>
    <row r="15" spans="2:13" x14ac:dyDescent="0.35">
      <c r="B15" s="6" t="str">
        <f>'BS Source '!B7</f>
        <v>property,plant,and equipment</v>
      </c>
      <c r="C15" s="6">
        <f>SUM('BS Source '!C7:C10)</f>
        <v>3102.27</v>
      </c>
      <c r="D15" s="6">
        <f>SUM('BS Source '!D7:D10)</f>
        <v>3671</v>
      </c>
      <c r="E15" s="6">
        <f>SUM('BS Source '!E7:E10)</f>
        <v>4690.07</v>
      </c>
      <c r="F15" s="6">
        <f>SUM('BS Source '!F7:F10)</f>
        <v>5179.8099999999995</v>
      </c>
      <c r="G15" s="6">
        <f>SUM('BS Source '!G7:G10)</f>
        <v>5316.4400000000005</v>
      </c>
      <c r="H15" s="6">
        <f>SUM('BS Source '!H7:H10)</f>
        <v>5525.18</v>
      </c>
      <c r="I15" s="37">
        <f>I16*'P&amp;L assumptions'!I7</f>
        <v>5452.5429150000009</v>
      </c>
      <c r="J15" s="37">
        <f>J16*'P&amp;L assumptions'!J7</f>
        <v>5834.2209190500016</v>
      </c>
      <c r="K15" s="37">
        <f>K16*'P&amp;L assumptions'!K7</f>
        <v>6242.6163833835017</v>
      </c>
      <c r="L15" s="37">
        <f>L16*'P&amp;L assumptions'!L7</f>
        <v>6679.5995302203464</v>
      </c>
      <c r="M15" s="37">
        <f>M16*'P&amp;L assumptions'!M7</f>
        <v>7147.1714973357712</v>
      </c>
    </row>
    <row r="16" spans="2:13" x14ac:dyDescent="0.35">
      <c r="B16" s="15" t="s">
        <v>137</v>
      </c>
      <c r="C16" s="94">
        <f>C15/'P&amp;L assumptions'!C7</f>
        <v>0.11487650924301414</v>
      </c>
      <c r="D16" s="94">
        <f>D15/'P&amp;L assumptions'!D7</f>
        <v>0.12649469452788983</v>
      </c>
      <c r="E16" s="94">
        <f>E15/'P&amp;L assumptions'!E7</f>
        <v>0.1526947618664686</v>
      </c>
      <c r="F16" s="94">
        <f>F15/'P&amp;L assumptions'!F7</f>
        <v>0.16717876454879765</v>
      </c>
      <c r="G16" s="94">
        <f>G15/'P&amp;L assumptions'!G7</f>
        <v>0.16061296144459947</v>
      </c>
      <c r="H16" s="94">
        <f>H15/'P&amp;L assumptions'!H7</f>
        <v>0.16263813120304435</v>
      </c>
      <c r="I16" s="95">
        <v>0.15</v>
      </c>
      <c r="J16" s="95">
        <v>0.15</v>
      </c>
      <c r="K16" s="95">
        <v>0.15</v>
      </c>
      <c r="L16" s="95">
        <v>0.15</v>
      </c>
      <c r="M16" s="95">
        <v>0.15</v>
      </c>
    </row>
  </sheetData>
  <pageMargins left="0.7" right="0.7" top="0.75" bottom="0.75" header="0.3" footer="0.3"/>
  <pageSetup orientation="portrait" r:id="rId1"/>
  <ignoredErrors>
    <ignoredError sqref="C15:H15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D5C4E-D365-6744-AA82-82C3EEC3BD12}">
  <sheetPr>
    <tabColor rgb="FF002060"/>
  </sheetPr>
  <dimension ref="B1:B11"/>
  <sheetViews>
    <sheetView workbookViewId="0">
      <selection activeCell="I17" sqref="I17"/>
    </sheetView>
  </sheetViews>
  <sheetFormatPr defaultColWidth="9.09765625" defaultRowHeight="11.4" x14ac:dyDescent="0.2"/>
  <cols>
    <col min="1" max="1" width="2" style="2" customWidth="1"/>
    <col min="2" max="16384" width="9.09765625" style="2"/>
  </cols>
  <sheetData>
    <row r="1" spans="2:2" ht="15.6" x14ac:dyDescent="0.3">
      <c r="B1" s="1"/>
    </row>
    <row r="11" spans="2:2" ht="51.6" x14ac:dyDescent="0.95">
      <c r="B11" s="4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C820-5989-DA47-BDD0-8BE6412CCB40}">
  <dimension ref="B1:N46"/>
  <sheetViews>
    <sheetView zoomScale="90" zoomScaleNormal="90" workbookViewId="0">
      <selection activeCell="H18" sqref="H18"/>
    </sheetView>
  </sheetViews>
  <sheetFormatPr defaultColWidth="9.09765625" defaultRowHeight="18" x14ac:dyDescent="0.35"/>
  <cols>
    <col min="1" max="1" width="2" style="6" customWidth="1"/>
    <col min="2" max="2" width="42.3984375" style="6" bestFit="1" customWidth="1"/>
    <col min="3" max="12" width="13.3984375" style="6" customWidth="1"/>
    <col min="13" max="13" width="12.796875" style="6" customWidth="1"/>
    <col min="14" max="14" width="36.5" style="6" customWidth="1"/>
    <col min="15" max="16384" width="9.09765625" style="6"/>
  </cols>
  <sheetData>
    <row r="1" spans="2:14" x14ac:dyDescent="0.35">
      <c r="B1" s="5" t="s">
        <v>12</v>
      </c>
    </row>
    <row r="3" spans="2:14" ht="36.6" thickBot="1" x14ac:dyDescent="0.4">
      <c r="B3" s="7" t="s">
        <v>8</v>
      </c>
      <c r="C3" s="8" t="s">
        <v>35</v>
      </c>
      <c r="D3" s="8" t="s">
        <v>34</v>
      </c>
      <c r="E3" s="8" t="s">
        <v>1</v>
      </c>
      <c r="F3" s="8" t="s">
        <v>2</v>
      </c>
      <c r="G3" s="8" t="s">
        <v>3</v>
      </c>
      <c r="H3" s="8" t="s">
        <v>130</v>
      </c>
      <c r="I3" s="10" t="s">
        <v>4</v>
      </c>
      <c r="J3" s="10" t="s">
        <v>5</v>
      </c>
      <c r="K3" s="10" t="s">
        <v>6</v>
      </c>
      <c r="L3" s="10" t="s">
        <v>7</v>
      </c>
      <c r="M3" s="10" t="s">
        <v>131</v>
      </c>
      <c r="N3" s="20" t="s">
        <v>13</v>
      </c>
    </row>
    <row r="4" spans="2:14" x14ac:dyDescent="0.35">
      <c r="B4" s="6" t="s">
        <v>14</v>
      </c>
      <c r="C4" s="11">
        <f>'P&amp;L assumptions'!C7</f>
        <v>27005.26</v>
      </c>
      <c r="D4" s="11">
        <f>'P&amp;L assumptions'!D7</f>
        <v>29020.98</v>
      </c>
      <c r="E4" s="11">
        <f>'P&amp;L assumptions'!E7</f>
        <v>30715.33</v>
      </c>
      <c r="F4" s="11">
        <f>'P&amp;L assumptions'!F7</f>
        <v>30983.66</v>
      </c>
      <c r="G4" s="11">
        <f>'P&amp;L assumptions'!G7</f>
        <v>33100.94</v>
      </c>
      <c r="H4" s="11">
        <f>'P&amp;L assumptions'!H7</f>
        <v>33972.230000000003</v>
      </c>
      <c r="I4" s="12">
        <f>'P&amp;L assumptions'!I7</f>
        <v>36350.286100000005</v>
      </c>
      <c r="J4" s="12">
        <f>'P&amp;L assumptions'!J7</f>
        <v>38894.806127000011</v>
      </c>
      <c r="K4" s="12">
        <f>'P&amp;L assumptions'!K7</f>
        <v>41617.442555890011</v>
      </c>
      <c r="L4" s="12">
        <f>'P&amp;L assumptions'!L7</f>
        <v>44530.663534802312</v>
      </c>
      <c r="M4" s="12">
        <f>'P&amp;L assumptions'!M7</f>
        <v>47647.809982238476</v>
      </c>
    </row>
    <row r="5" spans="2:14" x14ac:dyDescent="0.35">
      <c r="B5" s="6" t="s">
        <v>15</v>
      </c>
      <c r="C5" s="11">
        <f>'P&amp;L assumptions'!C14</f>
        <v>-18229.89</v>
      </c>
      <c r="D5" s="11">
        <f>'P&amp;L assumptions'!D14</f>
        <v>-19715.300000000003</v>
      </c>
      <c r="E5" s="11">
        <f>'P&amp;L assumptions'!E14</f>
        <v>-19308.099999999999</v>
      </c>
      <c r="F5" s="11">
        <f>'P&amp;L assumptions'!F14</f>
        <v>-19116.080000000002</v>
      </c>
      <c r="G5" s="11">
        <f>'P&amp;L assumptions'!G14</f>
        <v>-21885.82</v>
      </c>
      <c r="H5" s="11">
        <f>'P&amp;L assumptions'!H14</f>
        <v>-23444.42</v>
      </c>
      <c r="I5" s="12">
        <f>'P&amp;L assumptions'!I14</f>
        <v>-22537.177382000002</v>
      </c>
      <c r="J5" s="12">
        <f>'P&amp;L assumptions'!J14</f>
        <v>-24114.779798740008</v>
      </c>
      <c r="K5" s="12">
        <f>'P&amp;L assumptions'!K14</f>
        <v>-25802.814384651807</v>
      </c>
      <c r="L5" s="12">
        <f>'P&amp;L assumptions'!L14</f>
        <v>-27609.011391577435</v>
      </c>
      <c r="M5" s="12">
        <f>'P&amp;L assumptions'!M14</f>
        <v>-29541.642188987855</v>
      </c>
    </row>
    <row r="6" spans="2:14" x14ac:dyDescent="0.35">
      <c r="B6" s="21" t="s">
        <v>16</v>
      </c>
      <c r="C6" s="22">
        <f>C4+C5</f>
        <v>8775.369999999999</v>
      </c>
      <c r="D6" s="22">
        <f t="shared" ref="D6:H6" si="0">D4+D5</f>
        <v>9305.6799999999967</v>
      </c>
      <c r="E6" s="22">
        <f t="shared" si="0"/>
        <v>11407.230000000003</v>
      </c>
      <c r="F6" s="22">
        <f t="shared" si="0"/>
        <v>11867.579999999998</v>
      </c>
      <c r="G6" s="22">
        <f t="shared" si="0"/>
        <v>11215.120000000003</v>
      </c>
      <c r="H6" s="22">
        <f t="shared" si="0"/>
        <v>10527.810000000005</v>
      </c>
      <c r="I6" s="41">
        <f>I4+I5</f>
        <v>13813.108718000003</v>
      </c>
      <c r="J6" s="41">
        <f t="shared" ref="J6" si="1">J4+J5</f>
        <v>14780.026328260003</v>
      </c>
      <c r="K6" s="41">
        <f t="shared" ref="K6" si="2">K4+K5</f>
        <v>15814.628171238204</v>
      </c>
      <c r="L6" s="41">
        <f t="shared" ref="L6" si="3">L4+L5</f>
        <v>16921.652143224877</v>
      </c>
      <c r="M6" s="41">
        <f t="shared" ref="M6" si="4">M4+M5</f>
        <v>18106.167793250621</v>
      </c>
    </row>
    <row r="7" spans="2:14" x14ac:dyDescent="0.35">
      <c r="B7" s="40" t="str">
        <f>'P&amp;L assumptions'!B21</f>
        <v>excise duty on sale of goods</v>
      </c>
      <c r="C7" s="42">
        <f>'P&amp;L assumptions'!C21</f>
        <v>-1880.35</v>
      </c>
      <c r="D7" s="42">
        <f>'P&amp;L assumptions'!D21</f>
        <v>-1717.65</v>
      </c>
      <c r="E7" s="42">
        <f>'P&amp;L assumptions'!E21</f>
        <v>-2258.21</v>
      </c>
      <c r="F7" s="42">
        <f>'P&amp;L assumptions'!F21</f>
        <v>-2373.23</v>
      </c>
      <c r="G7" s="42">
        <f>'P&amp;L assumptions'!G21</f>
        <v>-642.57000000000005</v>
      </c>
      <c r="H7" s="42">
        <f>'P&amp;L assumptions'!H21</f>
        <v>-1.41</v>
      </c>
      <c r="I7" s="39">
        <f>'P&amp;L assumptions'!I21</f>
        <v>0</v>
      </c>
      <c r="J7" s="39">
        <f>'P&amp;L assumptions'!J21</f>
        <v>0</v>
      </c>
      <c r="K7" s="39">
        <f>'P&amp;L assumptions'!K21</f>
        <v>0</v>
      </c>
      <c r="L7" s="39">
        <f>'P&amp;L assumptions'!L21</f>
        <v>0</v>
      </c>
      <c r="M7" s="39">
        <f>'P&amp;L assumptions'!M21</f>
        <v>0</v>
      </c>
    </row>
    <row r="8" spans="2:14" x14ac:dyDescent="0.35">
      <c r="B8" s="6" t="str">
        <f>'P&amp;L Source'!B9</f>
        <v>employee benefits expenses</v>
      </c>
      <c r="C8" s="11">
        <f>'P&amp;L assumptions'!C28</f>
        <v>-930.35</v>
      </c>
      <c r="D8" s="11">
        <f>'P&amp;L assumptions'!D28</f>
        <v>-1178.72</v>
      </c>
      <c r="E8" s="11">
        <f>'P&amp;L assumptions'!E28</f>
        <v>-1339.46</v>
      </c>
      <c r="F8" s="11">
        <f>'P&amp;L assumptions'!F28</f>
        <v>-1432.49</v>
      </c>
      <c r="G8" s="11">
        <f>'P&amp;L assumptions'!G28</f>
        <v>-1583.71</v>
      </c>
      <c r="H8" s="11">
        <f>'P&amp;L assumptions'!H28</f>
        <v>-1778.03</v>
      </c>
      <c r="I8" s="143">
        <f>'P&amp;L assumptions'!I28</f>
        <v>-1090.508583</v>
      </c>
      <c r="J8" s="143">
        <f>'P&amp;L assumptions'!J28</f>
        <v>-1166.8441838100002</v>
      </c>
      <c r="K8" s="143">
        <f>'P&amp;L assumptions'!K28</f>
        <v>-1248.5232766767003</v>
      </c>
      <c r="L8" s="143">
        <f>'P&amp;L assumptions'!L28</f>
        <v>-1335.9199060440694</v>
      </c>
      <c r="M8" s="143">
        <f>'P&amp;L assumptions'!M28</f>
        <v>-1429.4342994671542</v>
      </c>
    </row>
    <row r="9" spans="2:14" x14ac:dyDescent="0.35">
      <c r="B9" s="6" t="str">
        <f>'P&amp;L Source'!B10</f>
        <v>other expenses</v>
      </c>
      <c r="C9" s="11">
        <f>'P&amp;L assumptions'!C35</f>
        <v>-2426.13</v>
      </c>
      <c r="D9" s="11">
        <f>'P&amp;L assumptions'!D35</f>
        <v>-2913.28</v>
      </c>
      <c r="E9" s="11">
        <f>'P&amp;L assumptions'!E35</f>
        <v>-3411.86</v>
      </c>
      <c r="F9" s="11">
        <f>'P&amp;L assumptions'!F35</f>
        <v>-3485.89</v>
      </c>
      <c r="G9" s="11">
        <f>'P&amp;L assumptions'!G35</f>
        <v>-3663.79</v>
      </c>
      <c r="H9" s="11">
        <f>'P&amp;L assumptions'!H35</f>
        <v>-3729.94</v>
      </c>
      <c r="I9" s="39">
        <f>'P&amp;L assumptions'!I35</f>
        <v>-3271.5257490000004</v>
      </c>
      <c r="J9" s="39">
        <f>'P&amp;L assumptions'!J35</f>
        <v>-3500.5325514300007</v>
      </c>
      <c r="K9" s="39">
        <f>'P&amp;L assumptions'!K35</f>
        <v>-3745.569830030101</v>
      </c>
      <c r="L9" s="39">
        <f>'P&amp;L assumptions'!L35</f>
        <v>-4007.759718132208</v>
      </c>
      <c r="M9" s="39">
        <f>'P&amp;L assumptions'!M35</f>
        <v>-4288.3028984014627</v>
      </c>
    </row>
    <row r="10" spans="2:14" x14ac:dyDescent="0.35">
      <c r="B10" s="21" t="s">
        <v>17</v>
      </c>
      <c r="C10" s="22">
        <f>C6+SUM(C7:C9)</f>
        <v>3538.5399999999991</v>
      </c>
      <c r="D10" s="22">
        <f t="shared" ref="D10:H10" si="5">D6+SUM(D7:D9)</f>
        <v>3496.029999999997</v>
      </c>
      <c r="E10" s="22">
        <f t="shared" si="5"/>
        <v>4397.7000000000025</v>
      </c>
      <c r="F10" s="22">
        <f t="shared" si="5"/>
        <v>4575.9699999999975</v>
      </c>
      <c r="G10" s="22">
        <f t="shared" si="5"/>
        <v>5325.0500000000029</v>
      </c>
      <c r="H10" s="22">
        <f t="shared" si="5"/>
        <v>5018.4300000000048</v>
      </c>
      <c r="I10" s="41">
        <f>I6+SUM(I7:I9)</f>
        <v>9451.0743860000039</v>
      </c>
      <c r="J10" s="41">
        <f t="shared" ref="J10:M10" si="6">J6+SUM(J7:J9)</f>
        <v>10112.649593020002</v>
      </c>
      <c r="K10" s="41">
        <f t="shared" si="6"/>
        <v>10820.535064531403</v>
      </c>
      <c r="L10" s="41">
        <f t="shared" si="6"/>
        <v>11577.972519048599</v>
      </c>
      <c r="M10" s="41">
        <f t="shared" si="6"/>
        <v>12388.430595382004</v>
      </c>
    </row>
    <row r="11" spans="2:14" x14ac:dyDescent="0.35">
      <c r="B11" s="6" t="s">
        <v>18</v>
      </c>
      <c r="C11" s="11">
        <f>'P&amp;L assumptions'!C42</f>
        <v>-1107.3699999999999</v>
      </c>
      <c r="D11" s="11">
        <f>'P&amp;L assumptions'!D42</f>
        <v>-540.45000000000005</v>
      </c>
      <c r="E11" s="11">
        <f>'P&amp;L assumptions'!E42</f>
        <v>-443.25</v>
      </c>
      <c r="F11" s="11">
        <f>'P&amp;L assumptions'!F42</f>
        <v>-502.25</v>
      </c>
      <c r="G11" s="11">
        <f>'P&amp;L assumptions'!G42</f>
        <v>-574.98</v>
      </c>
      <c r="H11" s="11">
        <f>'P&amp;L assumptions'!H42</f>
        <v>-624.44000000000005</v>
      </c>
      <c r="I11" s="12">
        <f>'P&amp;L assumptions'!I42</f>
        <v>-363.50286100000005</v>
      </c>
      <c r="J11" s="12">
        <f>'P&amp;L assumptions'!J42</f>
        <v>-388.9480612700001</v>
      </c>
      <c r="K11" s="12">
        <f>'P&amp;L assumptions'!K42</f>
        <v>-416.17442555890011</v>
      </c>
      <c r="L11" s="12">
        <f>'P&amp;L assumptions'!L42</f>
        <v>-445.30663534802312</v>
      </c>
      <c r="M11" s="12">
        <f>'P&amp;L assumptions'!M42</f>
        <v>-476.47809982238476</v>
      </c>
    </row>
    <row r="12" spans="2:14" x14ac:dyDescent="0.35">
      <c r="B12" s="21" t="s">
        <v>19</v>
      </c>
      <c r="C12" s="22">
        <f>C10+C11</f>
        <v>2431.1699999999992</v>
      </c>
      <c r="D12" s="22">
        <f t="shared" ref="D12:H12" si="7">D10+D11</f>
        <v>2955.5799999999972</v>
      </c>
      <c r="E12" s="22">
        <f t="shared" si="7"/>
        <v>3954.4500000000025</v>
      </c>
      <c r="F12" s="22">
        <f t="shared" si="7"/>
        <v>4073.7199999999975</v>
      </c>
      <c r="G12" s="22">
        <f t="shared" si="7"/>
        <v>4750.0700000000033</v>
      </c>
      <c r="H12" s="22">
        <f t="shared" si="7"/>
        <v>4393.9900000000052</v>
      </c>
      <c r="I12" s="41">
        <f t="shared" ref="I12:M12" si="8">I10+I11</f>
        <v>9087.571525000003</v>
      </c>
      <c r="J12" s="41">
        <f t="shared" si="8"/>
        <v>9723.7015317500009</v>
      </c>
      <c r="K12" s="41">
        <f t="shared" si="8"/>
        <v>10404.360638972503</v>
      </c>
      <c r="L12" s="41">
        <f t="shared" si="8"/>
        <v>11132.665883700576</v>
      </c>
      <c r="M12" s="41">
        <f t="shared" si="8"/>
        <v>11911.952495559619</v>
      </c>
    </row>
    <row r="13" spans="2:14" x14ac:dyDescent="0.35">
      <c r="B13" s="6" t="s">
        <v>20</v>
      </c>
      <c r="C13" s="44">
        <f>-C12*C14</f>
        <v>-826.35468299999968</v>
      </c>
      <c r="D13" s="44">
        <f t="shared" ref="D13:H13" si="9">-D12*D14</f>
        <v>-1022.9262379999991</v>
      </c>
      <c r="E13" s="44">
        <f t="shared" si="9"/>
        <v>-1368.6351450000009</v>
      </c>
      <c r="F13" s="44">
        <f t="shared" si="9"/>
        <v>-1409.9144919999992</v>
      </c>
      <c r="G13" s="44">
        <f t="shared" si="9"/>
        <v>-1662.5245000000011</v>
      </c>
      <c r="H13" s="44">
        <f t="shared" si="9"/>
        <v>-1537.8965000000017</v>
      </c>
      <c r="I13" s="38">
        <f>-I12*I14</f>
        <v>-2726.2714575000009</v>
      </c>
      <c r="J13" s="38">
        <f t="shared" ref="J13:M13" si="10">-J12*J14</f>
        <v>-2917.1104595250004</v>
      </c>
      <c r="K13" s="38">
        <f t="shared" si="10"/>
        <v>-3121.3081916917508</v>
      </c>
      <c r="L13" s="38">
        <f t="shared" si="10"/>
        <v>-3339.7997651101728</v>
      </c>
      <c r="M13" s="38">
        <f t="shared" si="10"/>
        <v>-3573.5857486678856</v>
      </c>
    </row>
    <row r="14" spans="2:14" x14ac:dyDescent="0.35">
      <c r="B14" s="6" t="s">
        <v>21</v>
      </c>
      <c r="C14" s="23">
        <f>'P&amp;L assumptions'!C49</f>
        <v>0.33989999999999998</v>
      </c>
      <c r="D14" s="23">
        <f>'P&amp;L assumptions'!D49</f>
        <v>0.34610000000000002</v>
      </c>
      <c r="E14" s="23">
        <f>'P&amp;L assumptions'!E49</f>
        <v>0.34610000000000002</v>
      </c>
      <c r="F14" s="23">
        <f>'P&amp;L assumptions'!F49</f>
        <v>0.34610000000000002</v>
      </c>
      <c r="G14" s="23">
        <f>'P&amp;L assumptions'!G49</f>
        <v>0.35</v>
      </c>
      <c r="H14" s="23">
        <f>'P&amp;L assumptions'!H49</f>
        <v>0.35</v>
      </c>
      <c r="I14" s="14">
        <f>'P&amp;L assumptions'!I49</f>
        <v>0.3</v>
      </c>
      <c r="J14" s="14">
        <f>'P&amp;L assumptions'!J49</f>
        <v>0.3</v>
      </c>
      <c r="K14" s="14">
        <f>'P&amp;L assumptions'!K49</f>
        <v>0.3</v>
      </c>
      <c r="L14" s="14">
        <f>'P&amp;L assumptions'!L49</f>
        <v>0.3</v>
      </c>
      <c r="M14" s="14">
        <f>'P&amp;L assumptions'!M49</f>
        <v>0.3</v>
      </c>
    </row>
    <row r="15" spans="2:14" x14ac:dyDescent="0.35">
      <c r="B15" s="24" t="s">
        <v>36</v>
      </c>
      <c r="C15" s="25">
        <f t="shared" ref="C15:M15" si="11">C12+C13</f>
        <v>1604.8153169999996</v>
      </c>
      <c r="D15" s="25">
        <f t="shared" si="11"/>
        <v>1932.6537619999981</v>
      </c>
      <c r="E15" s="25">
        <f t="shared" si="11"/>
        <v>2585.8148550000014</v>
      </c>
      <c r="F15" s="25">
        <f t="shared" si="11"/>
        <v>2663.8055079999986</v>
      </c>
      <c r="G15" s="25">
        <f t="shared" si="11"/>
        <v>3087.545500000002</v>
      </c>
      <c r="H15" s="25">
        <f t="shared" si="11"/>
        <v>2856.0935000000036</v>
      </c>
      <c r="I15" s="25">
        <f t="shared" si="11"/>
        <v>6361.3000675000021</v>
      </c>
      <c r="J15" s="25">
        <f t="shared" si="11"/>
        <v>6806.591072225001</v>
      </c>
      <c r="K15" s="25">
        <f t="shared" si="11"/>
        <v>7283.0524472807519</v>
      </c>
      <c r="L15" s="25">
        <f t="shared" si="11"/>
        <v>7792.8661185904039</v>
      </c>
      <c r="M15" s="25">
        <f t="shared" si="11"/>
        <v>8338.3667468917338</v>
      </c>
    </row>
    <row r="17" spans="3:12" x14ac:dyDescent="0.35">
      <c r="C17" s="11"/>
      <c r="D17" s="11"/>
      <c r="E17" s="11"/>
      <c r="F17" s="11"/>
      <c r="G17" s="11"/>
    </row>
    <row r="18" spans="3:12" x14ac:dyDescent="0.35">
      <c r="C18" s="11"/>
      <c r="D18" s="11"/>
      <c r="E18" s="11"/>
      <c r="F18" s="11"/>
      <c r="G18" s="11"/>
      <c r="L18" s="6" t="s">
        <v>22</v>
      </c>
    </row>
    <row r="46" spans="2:2" x14ac:dyDescent="0.35">
      <c r="B46" s="6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65A5-1A51-4244-8FCB-FB0A3E04D42F}">
  <dimension ref="B1:N13"/>
  <sheetViews>
    <sheetView workbookViewId="0">
      <selection activeCell="K16" sqref="K16"/>
    </sheetView>
  </sheetViews>
  <sheetFormatPr defaultColWidth="9.09765625" defaultRowHeight="18" x14ac:dyDescent="0.35"/>
  <cols>
    <col min="1" max="1" width="2" style="6" customWidth="1"/>
    <col min="2" max="2" width="37.09765625" style="6" bestFit="1" customWidth="1"/>
    <col min="3" max="12" width="14.59765625" style="6" customWidth="1"/>
    <col min="13" max="13" width="13.59765625" style="6" customWidth="1"/>
    <col min="14" max="16384" width="9.09765625" style="6"/>
  </cols>
  <sheetData>
    <row r="1" spans="2:14" x14ac:dyDescent="0.35">
      <c r="B1" s="5" t="s">
        <v>23</v>
      </c>
    </row>
    <row r="3" spans="2:14" ht="36.6" thickBot="1" x14ac:dyDescent="0.4">
      <c r="B3" s="7" t="s">
        <v>33</v>
      </c>
      <c r="C3" s="8" t="s">
        <v>35</v>
      </c>
      <c r="D3" s="8" t="s">
        <v>34</v>
      </c>
      <c r="E3" s="8" t="s">
        <v>1</v>
      </c>
      <c r="F3" s="8" t="s">
        <v>2</v>
      </c>
      <c r="G3" s="8" t="s">
        <v>3</v>
      </c>
      <c r="H3" s="8" t="s">
        <v>130</v>
      </c>
      <c r="I3" s="10" t="s">
        <v>4</v>
      </c>
      <c r="J3" s="10" t="s">
        <v>5</v>
      </c>
      <c r="K3" s="10" t="s">
        <v>6</v>
      </c>
      <c r="L3" s="10" t="s">
        <v>7</v>
      </c>
      <c r="M3" s="10" t="s">
        <v>131</v>
      </c>
      <c r="N3" s="20" t="s">
        <v>13</v>
      </c>
    </row>
    <row r="4" spans="2:14" x14ac:dyDescent="0.35">
      <c r="B4" s="6" t="s">
        <v>32</v>
      </c>
      <c r="C4" s="11"/>
      <c r="D4" s="11">
        <f>C7</f>
        <v>3102.27</v>
      </c>
      <c r="E4" s="11">
        <f t="shared" ref="E4:H4" si="0">D7</f>
        <v>3671</v>
      </c>
      <c r="F4" s="11">
        <f t="shared" si="0"/>
        <v>4690.07</v>
      </c>
      <c r="G4" s="11">
        <f t="shared" si="0"/>
        <v>5179.8099999999995</v>
      </c>
      <c r="H4" s="11">
        <f t="shared" si="0"/>
        <v>5316.4400000000005</v>
      </c>
      <c r="I4" s="12">
        <f>H7</f>
        <v>5525.18</v>
      </c>
      <c r="J4" s="12">
        <f t="shared" ref="J4:M4" si="1">I7</f>
        <v>5452.5429150000009</v>
      </c>
      <c r="K4" s="12">
        <f t="shared" si="1"/>
        <v>5834.2209190500016</v>
      </c>
      <c r="L4" s="12">
        <f t="shared" si="1"/>
        <v>6242.6163833835017</v>
      </c>
      <c r="M4" s="12">
        <f t="shared" si="1"/>
        <v>6679.5995302203464</v>
      </c>
    </row>
    <row r="5" spans="2:14" x14ac:dyDescent="0.35">
      <c r="B5" s="6" t="s">
        <v>146</v>
      </c>
      <c r="C5" s="11">
        <f>'P&amp;L assumptions'!C42</f>
        <v>-1107.3699999999999</v>
      </c>
      <c r="D5" s="11">
        <f>'P&amp;L assumptions'!D42</f>
        <v>-540.45000000000005</v>
      </c>
      <c r="E5" s="11">
        <f>'P&amp;L assumptions'!E42</f>
        <v>-443.25</v>
      </c>
      <c r="F5" s="11">
        <f>'P&amp;L assumptions'!F42</f>
        <v>-502.25</v>
      </c>
      <c r="G5" s="11">
        <f>'P&amp;L assumptions'!G42</f>
        <v>-574.98</v>
      </c>
      <c r="H5" s="11">
        <f>'P&amp;L assumptions'!H42</f>
        <v>-624.44000000000005</v>
      </c>
      <c r="I5" s="12">
        <f>'P&amp;L assumptions'!I42</f>
        <v>-363.50286100000005</v>
      </c>
      <c r="J5" s="12">
        <f>'P&amp;L assumptions'!J42</f>
        <v>-388.9480612700001</v>
      </c>
      <c r="K5" s="12">
        <f>'P&amp;L assumptions'!K42</f>
        <v>-416.17442555890011</v>
      </c>
      <c r="L5" s="12">
        <f>'P&amp;L assumptions'!L42</f>
        <v>-445.30663534802312</v>
      </c>
      <c r="M5" s="12">
        <f>'P&amp;L assumptions'!M42</f>
        <v>-476.47809982238476</v>
      </c>
    </row>
    <row r="6" spans="2:14" x14ac:dyDescent="0.35">
      <c r="B6" s="6" t="s">
        <v>37</v>
      </c>
      <c r="C6" s="11"/>
      <c r="D6" s="11">
        <f>D7-D4-D5</f>
        <v>1109.18</v>
      </c>
      <c r="E6" s="11">
        <f t="shared" ref="E6:H6" si="2">E7-E4-E5</f>
        <v>1462.3199999999997</v>
      </c>
      <c r="F6" s="11">
        <f t="shared" si="2"/>
        <v>991.98999999999978</v>
      </c>
      <c r="G6" s="11">
        <f t="shared" si="2"/>
        <v>711.61000000000104</v>
      </c>
      <c r="H6" s="11">
        <f t="shared" si="2"/>
        <v>833.17999999999984</v>
      </c>
      <c r="I6" s="12">
        <f>I7-I4-I5</f>
        <v>290.86577600000066</v>
      </c>
      <c r="J6" s="12">
        <f t="shared" ref="J6:M6" si="3">J7-J4-J5</f>
        <v>770.62606532000086</v>
      </c>
      <c r="K6" s="12">
        <f t="shared" si="3"/>
        <v>824.56988989240017</v>
      </c>
      <c r="L6" s="12">
        <f t="shared" si="3"/>
        <v>882.28978218486782</v>
      </c>
      <c r="M6" s="12">
        <f t="shared" si="3"/>
        <v>944.05006693780956</v>
      </c>
    </row>
    <row r="7" spans="2:14" ht="18.600000000000001" thickBot="1" x14ac:dyDescent="0.4">
      <c r="B7" s="26" t="s">
        <v>147</v>
      </c>
      <c r="C7" s="27">
        <f>'BS assumptions'!C15</f>
        <v>3102.27</v>
      </c>
      <c r="D7" s="27">
        <f>'BS assumptions'!D15</f>
        <v>3671</v>
      </c>
      <c r="E7" s="27">
        <f>'BS assumptions'!E15</f>
        <v>4690.07</v>
      </c>
      <c r="F7" s="27">
        <f>'BS assumptions'!F15</f>
        <v>5179.8099999999995</v>
      </c>
      <c r="G7" s="27">
        <f>'BS assumptions'!G15</f>
        <v>5316.4400000000005</v>
      </c>
      <c r="H7" s="27">
        <f>'BS assumptions'!H15</f>
        <v>5525.18</v>
      </c>
      <c r="I7" s="28">
        <f>'BS assumptions'!I15</f>
        <v>5452.5429150000009</v>
      </c>
      <c r="J7" s="28">
        <f>'BS assumptions'!J15</f>
        <v>5834.2209190500016</v>
      </c>
      <c r="K7" s="28">
        <f>'BS assumptions'!K15</f>
        <v>6242.6163833835017</v>
      </c>
      <c r="L7" s="28">
        <f>'BS assumptions'!L15</f>
        <v>6679.5995302203464</v>
      </c>
      <c r="M7" s="28">
        <f>'BS assumptions'!M15</f>
        <v>7147.1714973357712</v>
      </c>
    </row>
    <row r="8" spans="2:14" x14ac:dyDescent="0.35">
      <c r="B8" s="31"/>
      <c r="C8" s="32"/>
      <c r="D8" s="32"/>
      <c r="E8" s="32"/>
      <c r="F8" s="32"/>
      <c r="G8" s="32"/>
      <c r="H8" s="32"/>
      <c r="I8" s="12"/>
      <c r="J8" s="12"/>
      <c r="K8" s="12"/>
      <c r="L8" s="12"/>
      <c r="M8" s="12"/>
    </row>
    <row r="9" spans="2:14" x14ac:dyDescent="0.35">
      <c r="B9" s="6" t="s">
        <v>25</v>
      </c>
      <c r="C9" s="11">
        <f>'BS assumptions'!C4</f>
        <v>920.58</v>
      </c>
      <c r="D9" s="11">
        <f>'BS assumptions'!D4</f>
        <v>1371.82</v>
      </c>
      <c r="E9" s="11">
        <f>'BS assumptions'!E4</f>
        <v>1282.07</v>
      </c>
      <c r="F9" s="11">
        <f>'BS assumptions'!F4</f>
        <v>1551.75</v>
      </c>
      <c r="G9" s="11">
        <f>'BS assumptions'!G4</f>
        <v>1426.97</v>
      </c>
      <c r="H9" s="11">
        <f>'BS assumptions'!H4</f>
        <v>2745.11</v>
      </c>
      <c r="I9" s="12">
        <f>'BS assumptions'!I4</f>
        <v>2937.2677000000003</v>
      </c>
      <c r="J9" s="12">
        <f>'BS assumptions'!J4</f>
        <v>3142.8764390000001</v>
      </c>
      <c r="K9" s="12">
        <f>'BS assumptions'!K4</f>
        <v>3362.8777897300001</v>
      </c>
      <c r="L9" s="12">
        <f>'BS assumptions'!L4</f>
        <v>3598.2792350111008</v>
      </c>
      <c r="M9" s="12">
        <f>'BS assumptions'!M4</f>
        <v>3850.1587814618774</v>
      </c>
    </row>
    <row r="10" spans="2:14" x14ac:dyDescent="0.35">
      <c r="B10" s="6" t="s">
        <v>24</v>
      </c>
      <c r="C10" s="11">
        <f>'BS assumptions'!C10</f>
        <v>669.55</v>
      </c>
      <c r="D10" s="11">
        <f>'BS assumptions'!D10</f>
        <v>861.0200000000001</v>
      </c>
      <c r="E10" s="11">
        <f>'BS assumptions'!E10</f>
        <v>761.99</v>
      </c>
      <c r="F10" s="11">
        <f>'BS assumptions'!F10</f>
        <v>708.58</v>
      </c>
      <c r="G10" s="11">
        <f>'BS assumptions'!G10</f>
        <v>962.68</v>
      </c>
      <c r="H10" s="11">
        <f>'BS assumptions'!H10</f>
        <v>1249.53</v>
      </c>
      <c r="I10" s="12">
        <f>'BS assumptions'!I10</f>
        <v>1201.1761969001777</v>
      </c>
      <c r="J10" s="12">
        <f>'BS assumptions'!J10</f>
        <v>1285.2585306831904</v>
      </c>
      <c r="K10" s="12">
        <f>'BS assumptions'!K10</f>
        <v>1375.2266278310137</v>
      </c>
      <c r="L10" s="12">
        <f>'BS assumptions'!L10</f>
        <v>1471.4924917791845</v>
      </c>
      <c r="M10" s="12">
        <f>'BS assumptions'!M10</f>
        <v>1574.4969662037277</v>
      </c>
    </row>
    <row r="11" spans="2:14" x14ac:dyDescent="0.35">
      <c r="B11" s="6" t="s">
        <v>26</v>
      </c>
      <c r="C11" s="11">
        <f>'BS assumptions'!C7</f>
        <v>2291</v>
      </c>
      <c r="D11" s="11">
        <f>'BS assumptions'!D7</f>
        <v>2713.1</v>
      </c>
      <c r="E11" s="11">
        <f>'BS assumptions'!E7</f>
        <v>2791.7</v>
      </c>
      <c r="F11" s="11">
        <f>'BS assumptions'!F7</f>
        <v>3266.2</v>
      </c>
      <c r="G11" s="11">
        <f>'BS assumptions'!G7</f>
        <v>3375.26</v>
      </c>
      <c r="H11" s="11">
        <f>'BS assumptions'!H7</f>
        <v>3438.24</v>
      </c>
      <c r="I11" s="12">
        <f>'BS assumptions'!I7</f>
        <v>3305.1883886181736</v>
      </c>
      <c r="J11" s="12">
        <f>'BS assumptions'!J7</f>
        <v>3536.5515758214469</v>
      </c>
      <c r="K11" s="12">
        <f>'BS assumptions'!K7</f>
        <v>3784.1101861289471</v>
      </c>
      <c r="L11" s="12">
        <f>'BS assumptions'!L7</f>
        <v>4048.9978991579742</v>
      </c>
      <c r="M11" s="12">
        <f>'BS assumptions'!M7</f>
        <v>4332.4277520990327</v>
      </c>
    </row>
    <row r="12" spans="2:14" x14ac:dyDescent="0.35">
      <c r="B12" s="144" t="s">
        <v>38</v>
      </c>
      <c r="C12" s="145">
        <f t="shared" ref="C12:M12" si="4">C10+C9-C11</f>
        <v>-700.86999999999989</v>
      </c>
      <c r="D12" s="145">
        <f t="shared" si="4"/>
        <v>-480.25999999999976</v>
      </c>
      <c r="E12" s="145">
        <f t="shared" si="4"/>
        <v>-747.63999999999987</v>
      </c>
      <c r="F12" s="145">
        <f t="shared" si="4"/>
        <v>-1005.8699999999999</v>
      </c>
      <c r="G12" s="145">
        <f t="shared" si="4"/>
        <v>-985.61000000000013</v>
      </c>
      <c r="H12" s="145">
        <f t="shared" si="4"/>
        <v>556.40000000000055</v>
      </c>
      <c r="I12" s="146">
        <f t="shared" si="4"/>
        <v>833.25550828200494</v>
      </c>
      <c r="J12" s="146">
        <f t="shared" si="4"/>
        <v>891.58339386174339</v>
      </c>
      <c r="K12" s="146">
        <f t="shared" si="4"/>
        <v>953.99423143206695</v>
      </c>
      <c r="L12" s="146">
        <f t="shared" si="4"/>
        <v>1020.7738276323112</v>
      </c>
      <c r="M12" s="146">
        <f t="shared" si="4"/>
        <v>1092.2279955665726</v>
      </c>
    </row>
    <row r="13" spans="2:14" ht="18.600000000000001" thickBot="1" x14ac:dyDescent="0.4">
      <c r="B13" s="147" t="s">
        <v>148</v>
      </c>
      <c r="C13" s="148"/>
      <c r="D13" s="148">
        <f>D12-C12</f>
        <v>220.61000000000013</v>
      </c>
      <c r="E13" s="148">
        <f t="shared" ref="E13:H13" si="5">E12-D12</f>
        <v>-267.38000000000011</v>
      </c>
      <c r="F13" s="148">
        <f t="shared" si="5"/>
        <v>-258.23</v>
      </c>
      <c r="G13" s="148">
        <f t="shared" si="5"/>
        <v>20.259999999999764</v>
      </c>
      <c r="H13" s="148">
        <f t="shared" si="5"/>
        <v>1542.0100000000007</v>
      </c>
      <c r="I13" s="149">
        <f>I12-H12</f>
        <v>276.85550828200439</v>
      </c>
      <c r="J13" s="149">
        <f t="shared" ref="J13:M13" si="6">J12-I12</f>
        <v>58.327885579738449</v>
      </c>
      <c r="K13" s="149">
        <f t="shared" si="6"/>
        <v>62.410837570323565</v>
      </c>
      <c r="L13" s="149">
        <f t="shared" si="6"/>
        <v>66.779596200244214</v>
      </c>
      <c r="M13" s="149">
        <f t="shared" si="6"/>
        <v>71.454167934261477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240D-74AE-C549-BF26-B04DF7EA7905}">
  <dimension ref="B1:M10"/>
  <sheetViews>
    <sheetView workbookViewId="0">
      <selection activeCell="C9" sqref="C9"/>
    </sheetView>
  </sheetViews>
  <sheetFormatPr defaultColWidth="9.09765625" defaultRowHeight="18" x14ac:dyDescent="0.35"/>
  <cols>
    <col min="1" max="1" width="2" style="30" customWidth="1"/>
    <col min="2" max="2" width="34.3984375" style="30" bestFit="1" customWidth="1"/>
    <col min="3" max="11" width="14.5" style="30" customWidth="1"/>
    <col min="12" max="12" width="13.8984375" style="30" customWidth="1"/>
    <col min="13" max="16384" width="9.09765625" style="30"/>
  </cols>
  <sheetData>
    <row r="1" spans="2:13" x14ac:dyDescent="0.35">
      <c r="B1" s="29" t="s">
        <v>27</v>
      </c>
    </row>
    <row r="3" spans="2:13" ht="36.6" thickBot="1" x14ac:dyDescent="0.4">
      <c r="B3" s="7" t="s">
        <v>33</v>
      </c>
      <c r="C3" s="8" t="s">
        <v>34</v>
      </c>
      <c r="D3" s="8" t="s">
        <v>1</v>
      </c>
      <c r="E3" s="8" t="s">
        <v>2</v>
      </c>
      <c r="F3" s="8" t="s">
        <v>3</v>
      </c>
      <c r="G3" s="8" t="s">
        <v>130</v>
      </c>
      <c r="H3" s="10" t="s">
        <v>4</v>
      </c>
      <c r="I3" s="10" t="s">
        <v>5</v>
      </c>
      <c r="J3" s="10" t="s">
        <v>6</v>
      </c>
      <c r="K3" s="10" t="s">
        <v>7</v>
      </c>
      <c r="L3" s="10" t="s">
        <v>131</v>
      </c>
      <c r="M3" s="20" t="s">
        <v>13</v>
      </c>
    </row>
    <row r="4" spans="2:13" x14ac:dyDescent="0.35">
      <c r="B4" s="30" t="s">
        <v>45</v>
      </c>
      <c r="C4" s="150">
        <f>'P&amp;L'!D15</f>
        <v>1932.6537619999981</v>
      </c>
      <c r="D4" s="150">
        <f>'P&amp;L'!E15</f>
        <v>2585.8148550000014</v>
      </c>
      <c r="E4" s="150">
        <f>'P&amp;L'!F15</f>
        <v>2663.8055079999986</v>
      </c>
      <c r="F4" s="150">
        <f>'P&amp;L'!G15</f>
        <v>3087.545500000002</v>
      </c>
      <c r="G4" s="150">
        <f>'P&amp;L'!H15</f>
        <v>2856.0935000000036</v>
      </c>
      <c r="H4" s="150">
        <f>'P&amp;L'!I15</f>
        <v>6361.3000675000021</v>
      </c>
      <c r="I4" s="150">
        <f>'P&amp;L'!J15</f>
        <v>6806.591072225001</v>
      </c>
      <c r="J4" s="150">
        <f>'P&amp;L'!K15</f>
        <v>7283.0524472807519</v>
      </c>
      <c r="K4" s="150">
        <f>'P&amp;L'!L15</f>
        <v>7792.8661185904039</v>
      </c>
      <c r="L4" s="150">
        <f>'P&amp;L'!M15</f>
        <v>8338.3667468917338</v>
      </c>
      <c r="M4" s="150"/>
    </row>
    <row r="5" spans="2:13" x14ac:dyDescent="0.35">
      <c r="B5" s="30" t="s">
        <v>46</v>
      </c>
      <c r="C5" s="150">
        <f>-'P&amp;L'!D11</f>
        <v>540.45000000000005</v>
      </c>
      <c r="D5" s="150">
        <f>-'P&amp;L'!E11</f>
        <v>443.25</v>
      </c>
      <c r="E5" s="150">
        <f>-'P&amp;L'!F11</f>
        <v>502.25</v>
      </c>
      <c r="F5" s="150">
        <f>-'P&amp;L'!G11</f>
        <v>574.98</v>
      </c>
      <c r="G5" s="150">
        <f>-'P&amp;L'!H11</f>
        <v>624.44000000000005</v>
      </c>
      <c r="H5" s="150">
        <f>-'P&amp;L'!I11</f>
        <v>363.50286100000005</v>
      </c>
      <c r="I5" s="150">
        <f>-'P&amp;L'!J11</f>
        <v>388.9480612700001</v>
      </c>
      <c r="J5" s="150">
        <f>-'P&amp;L'!K11</f>
        <v>416.17442555890011</v>
      </c>
      <c r="K5" s="150">
        <f>-'P&amp;L'!L11</f>
        <v>445.30663534802312</v>
      </c>
      <c r="L5" s="150">
        <f>-'P&amp;L'!M11</f>
        <v>476.47809982238476</v>
      </c>
      <c r="M5" s="150"/>
    </row>
    <row r="6" spans="2:13" x14ac:dyDescent="0.35">
      <c r="B6" s="21" t="s">
        <v>47</v>
      </c>
      <c r="C6" s="22">
        <f>C4+C5</f>
        <v>2473.1037619999979</v>
      </c>
      <c r="D6" s="22">
        <f t="shared" ref="D6:L6" si="0">D4+D5</f>
        <v>3029.0648550000014</v>
      </c>
      <c r="E6" s="22">
        <f t="shared" si="0"/>
        <v>3166.0555079999986</v>
      </c>
      <c r="F6" s="22">
        <f t="shared" si="0"/>
        <v>3662.525500000002</v>
      </c>
      <c r="G6" s="22">
        <f t="shared" si="0"/>
        <v>3480.5335000000036</v>
      </c>
      <c r="H6" s="22">
        <f t="shared" si="0"/>
        <v>6724.8029285000021</v>
      </c>
      <c r="I6" s="22">
        <f t="shared" si="0"/>
        <v>7195.5391334950009</v>
      </c>
      <c r="J6" s="22">
        <f t="shared" si="0"/>
        <v>7699.2268728396521</v>
      </c>
      <c r="K6" s="22">
        <f t="shared" si="0"/>
        <v>8238.1727539384265</v>
      </c>
      <c r="L6" s="22">
        <f t="shared" si="0"/>
        <v>8814.8448467141188</v>
      </c>
    </row>
    <row r="7" spans="2:13" x14ac:dyDescent="0.35">
      <c r="B7" s="30" t="s">
        <v>48</v>
      </c>
      <c r="C7" s="150">
        <f>-BS!D6</f>
        <v>-1109.18</v>
      </c>
      <c r="D7" s="150">
        <f>-BS!E6</f>
        <v>-1462.3199999999997</v>
      </c>
      <c r="E7" s="150">
        <f>-BS!F6</f>
        <v>-991.98999999999978</v>
      </c>
      <c r="F7" s="150">
        <f>-BS!G6</f>
        <v>-711.61000000000104</v>
      </c>
      <c r="G7" s="150">
        <f>-BS!H6</f>
        <v>-833.17999999999984</v>
      </c>
      <c r="H7" s="150">
        <f>-BS!I6</f>
        <v>-290.86577600000066</v>
      </c>
      <c r="I7" s="150">
        <f>-BS!J6</f>
        <v>-770.62606532000086</v>
      </c>
      <c r="J7" s="150">
        <f>-BS!K6</f>
        <v>-824.56988989240017</v>
      </c>
      <c r="K7" s="150">
        <f>-BS!L6</f>
        <v>-882.28978218486782</v>
      </c>
      <c r="L7" s="150">
        <f>-BS!M6</f>
        <v>-944.05006693780956</v>
      </c>
    </row>
    <row r="8" spans="2:13" x14ac:dyDescent="0.35">
      <c r="B8" s="30" t="s">
        <v>49</v>
      </c>
      <c r="C8" s="150">
        <f>-BS!D13</f>
        <v>-220.61000000000013</v>
      </c>
      <c r="D8" s="150">
        <f>-BS!E13</f>
        <v>267.38000000000011</v>
      </c>
      <c r="E8" s="150">
        <f>-BS!F13</f>
        <v>258.23</v>
      </c>
      <c r="F8" s="150">
        <f>-BS!G13</f>
        <v>-20.259999999999764</v>
      </c>
      <c r="G8" s="150">
        <f>-BS!H13</f>
        <v>-1542.0100000000007</v>
      </c>
      <c r="H8" s="150">
        <f>-BS!I13</f>
        <v>-276.85550828200439</v>
      </c>
      <c r="I8" s="150">
        <f>-BS!J13</f>
        <v>-58.327885579738449</v>
      </c>
      <c r="J8" s="150">
        <f>-BS!K13</f>
        <v>-62.410837570323565</v>
      </c>
      <c r="K8" s="150">
        <f>-BS!L13</f>
        <v>-66.779596200244214</v>
      </c>
      <c r="L8" s="150">
        <f>-BS!M13</f>
        <v>-71.454167934261477</v>
      </c>
    </row>
    <row r="9" spans="2:13" ht="18.600000000000001" thickBot="1" x14ac:dyDescent="0.4">
      <c r="B9" s="46" t="s">
        <v>50</v>
      </c>
      <c r="C9" s="47">
        <f>C6+C7</f>
        <v>1363.9237619999979</v>
      </c>
      <c r="D9" s="47">
        <f t="shared" ref="D9:L9" si="1">D6+D7</f>
        <v>1566.7448550000017</v>
      </c>
      <c r="E9" s="47">
        <f t="shared" si="1"/>
        <v>2174.0655079999988</v>
      </c>
      <c r="F9" s="47">
        <f t="shared" si="1"/>
        <v>2950.915500000001</v>
      </c>
      <c r="G9" s="47">
        <f t="shared" si="1"/>
        <v>2647.3535000000038</v>
      </c>
      <c r="H9" s="47">
        <f t="shared" si="1"/>
        <v>6433.9371525000015</v>
      </c>
      <c r="I9" s="47">
        <f t="shared" si="1"/>
        <v>6424.9130681750003</v>
      </c>
      <c r="J9" s="47">
        <f t="shared" si="1"/>
        <v>6874.6569829472519</v>
      </c>
      <c r="K9" s="47">
        <f t="shared" si="1"/>
        <v>7355.8829717535591</v>
      </c>
      <c r="L9" s="47">
        <f t="shared" si="1"/>
        <v>7870.794779776309</v>
      </c>
    </row>
    <row r="10" spans="2:13" ht="18.600000000000001" thickTop="1" x14ac:dyDescent="0.35"/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6152-69E0-BE47-B1E5-0393FC2C5D13}">
  <dimension ref="B1:N30"/>
  <sheetViews>
    <sheetView topLeftCell="A11" zoomScale="90" zoomScaleNormal="90" workbookViewId="0">
      <selection activeCell="H26" sqref="H26"/>
    </sheetView>
  </sheetViews>
  <sheetFormatPr defaultColWidth="9.09765625" defaultRowHeight="18" x14ac:dyDescent="0.35"/>
  <cols>
    <col min="1" max="1" width="2" style="6" customWidth="1"/>
    <col min="2" max="2" width="43" style="6" bestFit="1" customWidth="1"/>
    <col min="3" max="12" width="12.3984375" style="6" customWidth="1"/>
    <col min="13" max="13" width="12.09765625" style="6" customWidth="1"/>
    <col min="14" max="14" width="31.09765625" style="6" customWidth="1"/>
    <col min="15" max="16384" width="9.09765625" style="6"/>
  </cols>
  <sheetData>
    <row r="1" spans="2:14" x14ac:dyDescent="0.35">
      <c r="B1" s="5" t="s">
        <v>28</v>
      </c>
    </row>
    <row r="2" spans="2:14" x14ac:dyDescent="0.35">
      <c r="B2" s="5"/>
    </row>
    <row r="3" spans="2:14" x14ac:dyDescent="0.35">
      <c r="B3" s="6" t="s">
        <v>51</v>
      </c>
      <c r="C3" s="73">
        <f>WACC!C22</f>
        <v>0.110084112285285</v>
      </c>
    </row>
    <row r="4" spans="2:14" x14ac:dyDescent="0.35">
      <c r="B4" s="6" t="s">
        <v>52</v>
      </c>
      <c r="C4" s="74">
        <v>0.02</v>
      </c>
    </row>
    <row r="6" spans="2:14" ht="36.6" thickBot="1" x14ac:dyDescent="0.4">
      <c r="B6" s="7" t="s">
        <v>33</v>
      </c>
      <c r="C6" s="8"/>
      <c r="D6" s="8" t="s">
        <v>34</v>
      </c>
      <c r="E6" s="8" t="s">
        <v>1</v>
      </c>
      <c r="F6" s="8" t="s">
        <v>2</v>
      </c>
      <c r="G6" s="8" t="s">
        <v>3</v>
      </c>
      <c r="H6" s="8" t="s">
        <v>130</v>
      </c>
      <c r="I6" s="10" t="s">
        <v>4</v>
      </c>
      <c r="J6" s="10" t="s">
        <v>5</v>
      </c>
      <c r="K6" s="10" t="s">
        <v>6</v>
      </c>
      <c r="L6" s="10" t="s">
        <v>7</v>
      </c>
      <c r="M6" s="10" t="s">
        <v>131</v>
      </c>
      <c r="N6" s="20" t="s">
        <v>13</v>
      </c>
    </row>
    <row r="7" spans="2:14" x14ac:dyDescent="0.35">
      <c r="B7" s="6" t="str">
        <f>'Cash Flow'!B9</f>
        <v>Net Cash Flow</v>
      </c>
      <c r="D7" s="6">
        <f>'Cash Flow'!C9</f>
        <v>1363.9237619999979</v>
      </c>
      <c r="E7" s="6">
        <f>'Cash Flow'!D9</f>
        <v>1566.7448550000017</v>
      </c>
      <c r="F7" s="6">
        <f>'Cash Flow'!E9</f>
        <v>2174.0655079999988</v>
      </c>
      <c r="G7" s="6">
        <f>'Cash Flow'!F9</f>
        <v>2950.915500000001</v>
      </c>
      <c r="H7" s="6">
        <f>'Cash Flow'!G9</f>
        <v>2647.3535000000038</v>
      </c>
      <c r="I7" s="6">
        <f>'Cash Flow'!H9</f>
        <v>6433.9371525000015</v>
      </c>
      <c r="J7" s="6">
        <f>'Cash Flow'!I9</f>
        <v>6424.9130681750003</v>
      </c>
      <c r="K7" s="6">
        <f>'Cash Flow'!J9</f>
        <v>6874.6569829472519</v>
      </c>
      <c r="L7" s="6">
        <f>'Cash Flow'!K9</f>
        <v>7355.8829717535591</v>
      </c>
      <c r="M7" s="6">
        <f>'Cash Flow'!L9</f>
        <v>7870.794779776309</v>
      </c>
    </row>
    <row r="8" spans="2:14" x14ac:dyDescent="0.35">
      <c r="B8" s="6" t="s">
        <v>55</v>
      </c>
      <c r="H8" s="43"/>
      <c r="I8" s="43">
        <f>1/(1+$C$3)^1</f>
        <v>0.90083263865594898</v>
      </c>
      <c r="J8" s="43">
        <f>1/(1+$C$3)^2</f>
        <v>0.81149944286783959</v>
      </c>
      <c r="K8" s="43">
        <f>1/(1+$C$3)^3</f>
        <v>0.73102518438646846</v>
      </c>
      <c r="L8" s="43">
        <f>1/(1+$C$3)^4</f>
        <v>0.65853134577481409</v>
      </c>
      <c r="M8" s="43">
        <f>1/(1+$C$3)^5</f>
        <v>0.59322652985197888</v>
      </c>
    </row>
    <row r="9" spans="2:14" ht="18.600000000000001" thickBot="1" x14ac:dyDescent="0.4">
      <c r="B9" s="66" t="s">
        <v>56</v>
      </c>
      <c r="C9" s="66"/>
      <c r="D9" s="66"/>
      <c r="E9" s="66"/>
      <c r="F9" s="66"/>
      <c r="G9" s="66"/>
      <c r="H9" s="66"/>
      <c r="I9" s="66">
        <f t="shared" ref="I9:L9" si="0">I7*I8</f>
        <v>5795.9005820331195</v>
      </c>
      <c r="J9" s="66">
        <f t="shared" si="0"/>
        <v>5213.8133752983149</v>
      </c>
      <c r="K9" s="66">
        <f t="shared" si="0"/>
        <v>5025.5473885527381</v>
      </c>
      <c r="L9" s="66">
        <f t="shared" si="0"/>
        <v>4844.07951275091</v>
      </c>
      <c r="M9" s="66">
        <f t="shared" ref="M9" si="1">M7*M8</f>
        <v>4669.1642743837701</v>
      </c>
    </row>
    <row r="10" spans="2:14" ht="18.600000000000001" thickTop="1" x14ac:dyDescent="0.35"/>
    <row r="11" spans="2:14" x14ac:dyDescent="0.35">
      <c r="B11" s="6" t="s">
        <v>57</v>
      </c>
      <c r="C11" s="44">
        <f>SUM(I9:M9)</f>
        <v>25548.505133018854</v>
      </c>
      <c r="D11" s="36">
        <f>C11/C14</f>
        <v>0.32580608954575024</v>
      </c>
    </row>
    <row r="12" spans="2:14" x14ac:dyDescent="0.35">
      <c r="B12" s="6" t="s">
        <v>58</v>
      </c>
      <c r="C12" s="44">
        <f>M7*(1+C4)/(C3-C4)</f>
        <v>89119.051869518415</v>
      </c>
    </row>
    <row r="13" spans="2:14" x14ac:dyDescent="0.35">
      <c r="B13" s="6" t="s">
        <v>62</v>
      </c>
      <c r="C13" s="6">
        <f>C12*M8</f>
        <v>52867.785884252917</v>
      </c>
      <c r="D13" s="36">
        <f>C13/C14</f>
        <v>0.67419391045424981</v>
      </c>
      <c r="F13" s="153">
        <f>C14</f>
        <v>78416.291017271767</v>
      </c>
      <c r="G13" s="75">
        <v>0</v>
      </c>
      <c r="H13" s="75">
        <v>0.01</v>
      </c>
      <c r="I13" s="75">
        <v>0.02</v>
      </c>
      <c r="J13" s="75">
        <v>0.03</v>
      </c>
      <c r="K13" s="75">
        <v>0.04</v>
      </c>
    </row>
    <row r="14" spans="2:14" ht="18.600000000000001" thickBot="1" x14ac:dyDescent="0.4">
      <c r="B14" s="66" t="s">
        <v>59</v>
      </c>
      <c r="C14" s="154">
        <f>C11+C13</f>
        <v>78416.291017271767</v>
      </c>
      <c r="E14" s="76"/>
      <c r="F14" s="75">
        <v>0.09</v>
      </c>
      <c r="G14" s="42">
        <f t="dataTable" ref="G14:K18" dt2D="1" dtr="1" r1="C4" r2="C3"/>
        <v>83784.109958033208</v>
      </c>
      <c r="H14" s="42">
        <v>91528.373087358035</v>
      </c>
      <c r="I14" s="42">
        <v>101485.2828250614</v>
      </c>
      <c r="J14" s="42">
        <v>114761.16247533253</v>
      </c>
      <c r="K14" s="42">
        <v>133347.39398571211</v>
      </c>
    </row>
    <row r="15" spans="2:14" ht="18.600000000000001" thickTop="1" x14ac:dyDescent="0.35">
      <c r="B15" s="6" t="s">
        <v>60</v>
      </c>
      <c r="C15" s="6">
        <f>'BS Source '!H50+'BS Source '!H42</f>
        <v>308.52</v>
      </c>
      <c r="E15" s="76"/>
      <c r="F15" s="75">
        <v>0.1</v>
      </c>
      <c r="G15" s="42">
        <v>75106.66526414032</v>
      </c>
      <c r="H15" s="42">
        <v>81079.84164081185</v>
      </c>
      <c r="I15" s="42">
        <v>88546.312111651263</v>
      </c>
      <c r="J15" s="42">
        <v>98146.059859873349</v>
      </c>
      <c r="K15" s="42">
        <v>110945.72352416947</v>
      </c>
    </row>
    <row r="16" spans="2:14" x14ac:dyDescent="0.35">
      <c r="B16" s="15" t="s">
        <v>61</v>
      </c>
      <c r="E16" s="76"/>
      <c r="F16" s="75">
        <v>0.11</v>
      </c>
      <c r="G16" s="42">
        <v>68017.147723788628</v>
      </c>
      <c r="H16" s="42">
        <v>72730.544371586293</v>
      </c>
      <c r="I16" s="42">
        <v>78491.362496672344</v>
      </c>
      <c r="J16" s="42">
        <v>85692.385153029871</v>
      </c>
      <c r="K16" s="42">
        <v>94950.842854060989</v>
      </c>
    </row>
    <row r="17" spans="2:11" x14ac:dyDescent="0.35">
      <c r="B17" s="6" t="str">
        <f>'BS Source '!B11</f>
        <v>equity accounted investments in associates</v>
      </c>
      <c r="C17" s="6">
        <f>'BS Source '!H11</f>
        <v>1705.89</v>
      </c>
      <c r="E17" s="76"/>
      <c r="F17" s="75">
        <v>0.12</v>
      </c>
      <c r="G17" s="42">
        <v>62118.132883536055</v>
      </c>
      <c r="H17" s="42">
        <v>65907.551348658948</v>
      </c>
      <c r="I17" s="42">
        <v>70454.853506806423</v>
      </c>
      <c r="J17" s="42">
        <v>76012.66725565333</v>
      </c>
      <c r="K17" s="42">
        <v>82959.934441711957</v>
      </c>
    </row>
    <row r="18" spans="2:11" x14ac:dyDescent="0.35">
      <c r="B18" s="6" t="str">
        <f>'BS Source '!B12</f>
        <v>financial assets</v>
      </c>
      <c r="C18" s="6">
        <f>'BS Source '!H12</f>
        <v>1234.06</v>
      </c>
      <c r="E18" s="76"/>
      <c r="F18" s="75">
        <v>0.13</v>
      </c>
      <c r="G18" s="42">
        <v>57134.503822981831</v>
      </c>
      <c r="H18" s="42">
        <v>60228.930643595857</v>
      </c>
      <c r="I18" s="42">
        <v>63885.980522503356</v>
      </c>
      <c r="J18" s="42">
        <v>68274.440377192339</v>
      </c>
      <c r="K18" s="42">
        <v>73638.113532923337</v>
      </c>
    </row>
    <row r="19" spans="2:11" x14ac:dyDescent="0.35">
      <c r="B19" s="6" t="str">
        <f>'BS Source '!B13</f>
        <v>loan to enployees</v>
      </c>
      <c r="C19" s="6">
        <f>'BS Source '!H13</f>
        <v>60.190000000000332</v>
      </c>
    </row>
    <row r="20" spans="2:11" x14ac:dyDescent="0.35">
      <c r="B20" s="6" t="str">
        <f>'BS Source '!B14</f>
        <v>deferred tax assets(net)</v>
      </c>
      <c r="C20" s="6">
        <f>'BS Source '!H14</f>
        <v>0</v>
      </c>
    </row>
    <row r="21" spans="2:11" x14ac:dyDescent="0.35">
      <c r="B21" s="6" t="str">
        <f>'BS Source '!B15</f>
        <v>security deposits</v>
      </c>
      <c r="C21" s="6">
        <f>'BS Source '!H15</f>
        <v>33.799999999999997</v>
      </c>
    </row>
    <row r="22" spans="2:11" x14ac:dyDescent="0.35">
      <c r="B22" s="6" t="str">
        <f>'BS Source '!B16</f>
        <v>income tax assets(net)</v>
      </c>
      <c r="C22" s="6">
        <f>'BS Source '!H16</f>
        <v>855.62</v>
      </c>
    </row>
    <row r="23" spans="2:11" x14ac:dyDescent="0.35">
      <c r="B23" s="6" t="str">
        <f>'BS Source '!B17</f>
        <v>other non current assets</v>
      </c>
      <c r="C23" s="6">
        <f>'BS Source '!H17</f>
        <v>676.46</v>
      </c>
    </row>
    <row r="24" spans="2:11" x14ac:dyDescent="0.35">
      <c r="B24" s="6" t="str">
        <f>'BS Source '!B23</f>
        <v>investments</v>
      </c>
      <c r="C24" s="6">
        <f>'BS Source '!H23</f>
        <v>3173.88</v>
      </c>
    </row>
    <row r="25" spans="2:11" x14ac:dyDescent="0.35">
      <c r="B25" s="6" t="str">
        <f>'BS Source '!B25</f>
        <v>cash and cash equi..</v>
      </c>
      <c r="C25" s="6">
        <f>'BS Source '!H25</f>
        <v>208.12</v>
      </c>
    </row>
    <row r="26" spans="2:11" x14ac:dyDescent="0.35">
      <c r="B26" s="6" t="str">
        <f>'BS Source '!B26</f>
        <v>bank balances</v>
      </c>
      <c r="C26" s="6">
        <f>'BS Source '!H26</f>
        <v>95.78</v>
      </c>
    </row>
    <row r="27" spans="2:11" x14ac:dyDescent="0.35">
      <c r="B27" s="6" t="str">
        <f>'BS Source '!B27</f>
        <v>loans to employees</v>
      </c>
      <c r="C27" s="6">
        <f>'BS Source '!H27</f>
        <v>23.22</v>
      </c>
    </row>
    <row r="28" spans="2:11" x14ac:dyDescent="0.35">
      <c r="B28" s="6" t="str">
        <f>'BS Source '!B28</f>
        <v>security deposits</v>
      </c>
      <c r="C28" s="6">
        <f>'BS Source '!H28</f>
        <v>1.86</v>
      </c>
    </row>
    <row r="29" spans="2:11" x14ac:dyDescent="0.35">
      <c r="B29" s="6" t="str">
        <f>'BS Source '!B29</f>
        <v>other financial asssets</v>
      </c>
      <c r="C29" s="6">
        <f>'BS Source '!H29</f>
        <v>654.19000000000005</v>
      </c>
    </row>
    <row r="30" spans="2:11" x14ac:dyDescent="0.35">
      <c r="B30" s="45" t="s">
        <v>230</v>
      </c>
      <c r="C30" s="45">
        <f>C14-C15+SUM(C17:C29)</f>
        <v>86830.84101727177</v>
      </c>
    </row>
  </sheetData>
  <conditionalFormatting sqref="G14:K18">
    <cfRule type="cellIs" dxfId="0" priority="2" operator="greaterThan">
      <formula>$C$14</formula>
    </cfRule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1354-E16D-2C44-AC81-E1B79B7FF0E5}">
  <dimension ref="A1:O63"/>
  <sheetViews>
    <sheetView showGridLines="0" topLeftCell="A10" workbookViewId="0">
      <selection activeCell="C22" sqref="C22"/>
    </sheetView>
  </sheetViews>
  <sheetFormatPr defaultColWidth="10.8984375" defaultRowHeight="18" outlineLevelCol="1" x14ac:dyDescent="0.35"/>
  <cols>
    <col min="1" max="1" width="3.3984375" style="48" customWidth="1"/>
    <col min="2" max="2" width="46.59765625" style="48" bestFit="1" customWidth="1"/>
    <col min="3" max="3" width="42.09765625" style="48" customWidth="1"/>
    <col min="4" max="4" width="11.09765625" style="48" customWidth="1"/>
    <col min="5" max="5" width="10.8984375" style="48" customWidth="1" outlineLevel="1"/>
    <col min="6" max="6" width="19.5" style="48" customWidth="1" outlineLevel="1"/>
    <col min="7" max="7" width="16.59765625" style="48" customWidth="1" outlineLevel="1"/>
    <col min="8" max="8" width="3.3984375" style="48" customWidth="1" outlineLevel="1"/>
    <col min="9" max="10" width="20.3984375" style="48" customWidth="1" outlineLevel="1"/>
    <col min="11" max="16384" width="10.8984375" style="48"/>
  </cols>
  <sheetData>
    <row r="1" spans="1:15" ht="18.600000000000001" thickBot="1" x14ac:dyDescent="0.4">
      <c r="A1" s="77"/>
    </row>
    <row r="2" spans="1:15" ht="36" x14ac:dyDescent="0.35">
      <c r="B2" s="159" t="s">
        <v>149</v>
      </c>
      <c r="C2" s="160"/>
      <c r="E2" s="48" t="s">
        <v>53</v>
      </c>
      <c r="F2" s="67" t="s">
        <v>164</v>
      </c>
      <c r="G2" s="68" t="s">
        <v>54</v>
      </c>
      <c r="I2" s="67" t="s">
        <v>165</v>
      </c>
      <c r="J2" s="68" t="s">
        <v>54</v>
      </c>
    </row>
    <row r="3" spans="1:15" x14ac:dyDescent="0.35">
      <c r="B3" s="49"/>
      <c r="C3" s="50"/>
      <c r="E3" t="s">
        <v>166</v>
      </c>
      <c r="F3" s="130">
        <v>2081.1</v>
      </c>
      <c r="G3" s="130">
        <v>6415.69</v>
      </c>
      <c r="H3" s="70"/>
      <c r="I3" s="70"/>
      <c r="J3" s="70"/>
    </row>
    <row r="4" spans="1:15" ht="18.600000000000001" thickBot="1" x14ac:dyDescent="0.4">
      <c r="B4" s="60" t="s">
        <v>150</v>
      </c>
      <c r="C4" s="52"/>
      <c r="E4" t="s">
        <v>167</v>
      </c>
      <c r="F4" s="130">
        <v>2241.87</v>
      </c>
      <c r="G4" s="130">
        <v>6685.74</v>
      </c>
      <c r="H4" s="70"/>
      <c r="I4" s="151">
        <f>F4/F3-1</f>
        <v>7.7252414588438789E-2</v>
      </c>
      <c r="J4" s="151">
        <f>G4/G3-1</f>
        <v>4.209212103452642E-2</v>
      </c>
    </row>
    <row r="5" spans="1:15" x14ac:dyDescent="0.35">
      <c r="B5" s="86" t="s">
        <v>151</v>
      </c>
      <c r="C5" s="87">
        <f>C27/SUM(C27,C29)</f>
        <v>0.99573044334222749</v>
      </c>
      <c r="E5" t="s">
        <v>168</v>
      </c>
      <c r="F5" s="130">
        <v>2300.89</v>
      </c>
      <c r="G5" s="130">
        <v>6918.04</v>
      </c>
      <c r="H5" s="70"/>
      <c r="I5" s="151">
        <f t="shared" ref="I5:I62" si="0">F5/F4-1</f>
        <v>2.6326236579284235E-2</v>
      </c>
      <c r="J5" s="151">
        <f t="shared" ref="J5:J62" si="1">G5/G4-1</f>
        <v>3.4745592858830943E-2</v>
      </c>
    </row>
    <row r="6" spans="1:15" x14ac:dyDescent="0.35">
      <c r="B6" s="88" t="s">
        <v>152</v>
      </c>
      <c r="C6" s="89">
        <f>1-C5</f>
        <v>4.2695566577725108E-3</v>
      </c>
      <c r="E6" t="s">
        <v>169</v>
      </c>
      <c r="F6" s="130">
        <v>2272.48</v>
      </c>
      <c r="G6" s="130">
        <v>6773.64</v>
      </c>
      <c r="H6" s="70"/>
      <c r="I6" s="151">
        <f t="shared" si="0"/>
        <v>-1.2347396007631795E-2</v>
      </c>
      <c r="J6" s="151">
        <f t="shared" si="1"/>
        <v>-2.0872964018710416E-2</v>
      </c>
    </row>
    <row r="7" spans="1:15" x14ac:dyDescent="0.35">
      <c r="B7" s="90"/>
      <c r="C7" s="91"/>
      <c r="E7" t="s">
        <v>170</v>
      </c>
      <c r="F7" s="130">
        <v>2101.2399999999998</v>
      </c>
      <c r="G7" s="130">
        <v>7166.69</v>
      </c>
      <c r="H7" s="70"/>
      <c r="I7" s="151">
        <f t="shared" si="0"/>
        <v>-7.535379849327617E-2</v>
      </c>
      <c r="J7" s="151">
        <f t="shared" si="1"/>
        <v>5.8026408253169626E-2</v>
      </c>
    </row>
    <row r="8" spans="1:15" ht="18.600000000000001" thickBot="1" x14ac:dyDescent="0.4">
      <c r="B8" s="92" t="s">
        <v>153</v>
      </c>
      <c r="C8" s="93"/>
      <c r="E8" t="s">
        <v>171</v>
      </c>
      <c r="F8" s="130">
        <v>1955.37</v>
      </c>
      <c r="G8" s="130">
        <v>7210.29</v>
      </c>
      <c r="H8" s="70"/>
      <c r="I8" s="151">
        <f t="shared" si="0"/>
        <v>-6.9420913365441317E-2</v>
      </c>
      <c r="J8" s="151">
        <f t="shared" si="1"/>
        <v>6.0837011228336291E-3</v>
      </c>
    </row>
    <row r="9" spans="1:15" x14ac:dyDescent="0.35">
      <c r="B9" s="51" t="s">
        <v>154</v>
      </c>
      <c r="C9" s="55">
        <v>6.4799999999999996E-2</v>
      </c>
      <c r="E9" t="s">
        <v>172</v>
      </c>
      <c r="F9" s="130">
        <v>1935.05</v>
      </c>
      <c r="G9" s="130">
        <v>6978.14</v>
      </c>
      <c r="H9" s="70"/>
      <c r="I9" s="151">
        <f t="shared" si="0"/>
        <v>-1.0391895140050234E-2</v>
      </c>
      <c r="J9" s="151">
        <f t="shared" si="1"/>
        <v>-3.2197040618338502E-2</v>
      </c>
    </row>
    <row r="10" spans="1:15" x14ac:dyDescent="0.35">
      <c r="B10" s="51" t="s">
        <v>155</v>
      </c>
      <c r="C10" s="71">
        <f>SLOPE(I4:I62,J4:J62)</f>
        <v>0.91066338111190592</v>
      </c>
      <c r="E10" t="s">
        <v>173</v>
      </c>
      <c r="F10" s="130">
        <v>1705.75</v>
      </c>
      <c r="G10" s="130">
        <v>6749.64</v>
      </c>
      <c r="H10" s="70"/>
      <c r="I10" s="151">
        <f t="shared" si="0"/>
        <v>-0.11849823001989612</v>
      </c>
      <c r="J10" s="151">
        <f t="shared" si="1"/>
        <v>-3.2745115460566909E-2</v>
      </c>
    </row>
    <row r="11" spans="1:15" x14ac:dyDescent="0.35">
      <c r="B11" s="51" t="s">
        <v>156</v>
      </c>
      <c r="C11" s="55">
        <v>0.05</v>
      </c>
      <c r="E11" t="s">
        <v>174</v>
      </c>
      <c r="F11" s="130">
        <v>1974.16</v>
      </c>
      <c r="G11" s="130">
        <v>6959.84</v>
      </c>
      <c r="H11" s="70"/>
      <c r="I11" s="151">
        <f t="shared" si="0"/>
        <v>0.15735600175875719</v>
      </c>
      <c r="J11" s="151">
        <f t="shared" si="1"/>
        <v>3.1142401668829756E-2</v>
      </c>
    </row>
    <row r="12" spans="1:15" x14ac:dyDescent="0.35">
      <c r="B12" s="58" t="s">
        <v>157</v>
      </c>
      <c r="C12" s="59">
        <f>C9+C10*C11</f>
        <v>0.11033316905559529</v>
      </c>
      <c r="E12" t="s">
        <v>175</v>
      </c>
      <c r="F12" s="130">
        <v>1848.43</v>
      </c>
      <c r="G12" s="130">
        <v>6897.19</v>
      </c>
      <c r="H12" s="70"/>
      <c r="I12" s="151">
        <f t="shared" si="0"/>
        <v>-6.3687846983020657E-2</v>
      </c>
      <c r="J12" s="151">
        <f t="shared" si="1"/>
        <v>-9.0016437159475826E-3</v>
      </c>
      <c r="K12" s="77"/>
      <c r="L12" s="77"/>
      <c r="M12" s="77"/>
      <c r="N12" s="77"/>
      <c r="O12" s="77"/>
    </row>
    <row r="13" spans="1:15" x14ac:dyDescent="0.35">
      <c r="B13" s="51"/>
      <c r="C13" s="53"/>
      <c r="E13" t="s">
        <v>176</v>
      </c>
      <c r="F13" s="130">
        <v>1980.41</v>
      </c>
      <c r="G13" s="130">
        <v>7106.19</v>
      </c>
      <c r="H13" s="70"/>
      <c r="I13" s="151">
        <f t="shared" si="0"/>
        <v>7.1401135017284956E-2</v>
      </c>
      <c r="J13" s="151">
        <f t="shared" si="1"/>
        <v>3.0302195531803466E-2</v>
      </c>
      <c r="K13" s="77"/>
      <c r="L13" s="77"/>
      <c r="M13" s="78"/>
      <c r="N13" s="77"/>
      <c r="O13" s="77"/>
    </row>
    <row r="14" spans="1:15" x14ac:dyDescent="0.35">
      <c r="B14" s="51" t="s">
        <v>158</v>
      </c>
      <c r="C14" s="54">
        <v>0.08</v>
      </c>
      <c r="E14" t="s">
        <v>177</v>
      </c>
      <c r="F14" s="130">
        <v>1775.22</v>
      </c>
      <c r="G14" s="130">
        <v>6669.34</v>
      </c>
      <c r="H14" s="70"/>
      <c r="I14" s="151">
        <f t="shared" si="0"/>
        <v>-0.10360985856464067</v>
      </c>
      <c r="J14" s="151">
        <f t="shared" si="1"/>
        <v>-6.1474573575994951E-2</v>
      </c>
      <c r="K14" s="77"/>
      <c r="L14" s="77"/>
      <c r="M14" s="77"/>
      <c r="N14" s="77"/>
      <c r="O14" s="77"/>
    </row>
    <row r="15" spans="1:15" x14ac:dyDescent="0.35">
      <c r="B15" s="51" t="s">
        <v>159</v>
      </c>
      <c r="C15" s="54">
        <f>'[1]P&amp;L assumptions'!I36</f>
        <v>0.35</v>
      </c>
      <c r="E15" t="s">
        <v>178</v>
      </c>
      <c r="F15" s="130">
        <v>1773.96</v>
      </c>
      <c r="G15" s="130">
        <v>6646.09</v>
      </c>
      <c r="H15" s="70"/>
      <c r="I15" s="151">
        <f t="shared" si="0"/>
        <v>-7.0977118328996447E-4</v>
      </c>
      <c r="J15" s="151">
        <f t="shared" si="1"/>
        <v>-3.4861020730686532E-3</v>
      </c>
    </row>
    <row r="16" spans="1:15" x14ac:dyDescent="0.35">
      <c r="B16" s="58" t="s">
        <v>160</v>
      </c>
      <c r="C16" s="59">
        <f>C14*(1-C15)</f>
        <v>5.2000000000000005E-2</v>
      </c>
      <c r="E16" t="s">
        <v>179</v>
      </c>
      <c r="F16" s="130">
        <v>1914.18</v>
      </c>
      <c r="G16" s="130">
        <v>6750.94</v>
      </c>
      <c r="H16" s="70"/>
      <c r="I16" s="151">
        <f t="shared" si="0"/>
        <v>7.9043495907461292E-2</v>
      </c>
      <c r="J16" s="151">
        <f t="shared" si="1"/>
        <v>1.5776193220374601E-2</v>
      </c>
    </row>
    <row r="17" spans="2:10" x14ac:dyDescent="0.35">
      <c r="B17" s="56"/>
      <c r="C17" s="57"/>
      <c r="E17" t="s">
        <v>180</v>
      </c>
      <c r="F17" s="130">
        <v>2001.3</v>
      </c>
      <c r="G17" s="130">
        <v>6686.09</v>
      </c>
      <c r="H17" s="70"/>
      <c r="I17" s="151">
        <f t="shared" si="0"/>
        <v>4.5512961163526988E-2</v>
      </c>
      <c r="J17" s="151">
        <f t="shared" si="1"/>
        <v>-9.6060696732602757E-3</v>
      </c>
    </row>
    <row r="18" spans="2:10" x14ac:dyDescent="0.35">
      <c r="B18" s="56"/>
      <c r="C18" s="57"/>
      <c r="E18" t="s">
        <v>181</v>
      </c>
      <c r="F18" s="130">
        <v>1995.82</v>
      </c>
      <c r="G18" s="130">
        <v>6724.74</v>
      </c>
      <c r="H18" s="70"/>
      <c r="I18" s="151">
        <f t="shared" si="0"/>
        <v>-2.7382201568980635E-3</v>
      </c>
      <c r="J18" s="151">
        <f t="shared" si="1"/>
        <v>5.7806580527632878E-3</v>
      </c>
    </row>
    <row r="19" spans="2:10" x14ac:dyDescent="0.35">
      <c r="B19" s="60" t="s">
        <v>161</v>
      </c>
      <c r="C19" s="61">
        <f>IF(ISNUMBER($C$5*$C$12),$C$5*$C$12,"n/a")</f>
        <v>0.10986209533908083</v>
      </c>
      <c r="E19" t="s">
        <v>182</v>
      </c>
      <c r="F19" s="130">
        <v>1897.74</v>
      </c>
      <c r="G19" s="130">
        <v>6339.44</v>
      </c>
      <c r="H19" s="70"/>
      <c r="I19" s="151">
        <f t="shared" si="0"/>
        <v>-4.9142708260263901E-2</v>
      </c>
      <c r="J19" s="151">
        <f t="shared" si="1"/>
        <v>-5.7295895454694157E-2</v>
      </c>
    </row>
    <row r="20" spans="2:10" x14ac:dyDescent="0.35">
      <c r="B20" s="60" t="s">
        <v>162</v>
      </c>
      <c r="C20" s="61">
        <f>IF(ISNUMBER($C$6*$C$16),$C$6*$C$16,"n/a")</f>
        <v>2.2201694620417058E-4</v>
      </c>
      <c r="E20" t="s">
        <v>183</v>
      </c>
      <c r="F20" s="130">
        <v>1850.98</v>
      </c>
      <c r="G20" s="130">
        <v>5829.94</v>
      </c>
      <c r="H20" s="70"/>
      <c r="I20" s="151">
        <f t="shared" si="0"/>
        <v>-2.4639834750808887E-2</v>
      </c>
      <c r="J20" s="151">
        <f t="shared" si="1"/>
        <v>-8.0369874941635278E-2</v>
      </c>
    </row>
    <row r="21" spans="2:10" x14ac:dyDescent="0.35">
      <c r="B21" s="51"/>
      <c r="C21" s="53"/>
      <c r="E21" t="s">
        <v>184</v>
      </c>
      <c r="F21" s="130">
        <v>2179.5700000000002</v>
      </c>
      <c r="G21" s="130">
        <v>6452.14</v>
      </c>
      <c r="H21" s="70"/>
      <c r="I21" s="151">
        <f t="shared" si="0"/>
        <v>0.17752217744113929</v>
      </c>
      <c r="J21" s="151">
        <f t="shared" si="1"/>
        <v>0.10672494056542625</v>
      </c>
    </row>
    <row r="22" spans="2:10" ht="18.600000000000001" thickBot="1" x14ac:dyDescent="0.4">
      <c r="B22" s="62" t="s">
        <v>163</v>
      </c>
      <c r="C22" s="63">
        <f>IF(ISNUMBER(C19+C20),(C19+C20),"n/a")</f>
        <v>0.110084112285285</v>
      </c>
      <c r="E22" t="s">
        <v>185</v>
      </c>
      <c r="F22" s="130">
        <v>2179.16</v>
      </c>
      <c r="G22" s="130">
        <v>6588.54</v>
      </c>
      <c r="H22" s="70"/>
      <c r="I22" s="151">
        <f t="shared" si="0"/>
        <v>-1.8811049886002795E-4</v>
      </c>
      <c r="J22" s="151">
        <f t="shared" si="1"/>
        <v>2.1140272839708985E-2</v>
      </c>
    </row>
    <row r="23" spans="2:10" ht="19.2" thickTop="1" thickBot="1" x14ac:dyDescent="0.4">
      <c r="B23" s="64"/>
      <c r="C23" s="65"/>
      <c r="E23" t="s">
        <v>186</v>
      </c>
      <c r="F23" s="130">
        <v>2327.77</v>
      </c>
      <c r="G23" s="130">
        <v>6803.99</v>
      </c>
      <c r="H23" s="70"/>
      <c r="I23" s="151">
        <f t="shared" si="0"/>
        <v>6.8196002129260913E-2</v>
      </c>
      <c r="J23" s="151">
        <f t="shared" si="1"/>
        <v>3.270071973456945E-2</v>
      </c>
    </row>
    <row r="24" spans="2:10" x14ac:dyDescent="0.35">
      <c r="E24" t="s">
        <v>187</v>
      </c>
      <c r="F24" s="130">
        <v>2389.13</v>
      </c>
      <c r="G24" s="130">
        <v>6980.79</v>
      </c>
      <c r="H24" s="70"/>
      <c r="I24" s="151">
        <f t="shared" si="0"/>
        <v>2.6359992610953897E-2</v>
      </c>
      <c r="J24" s="151">
        <f t="shared" si="1"/>
        <v>2.5984753064010935E-2</v>
      </c>
    </row>
    <row r="25" spans="2:10" x14ac:dyDescent="0.35">
      <c r="B25" s="48" t="s">
        <v>226</v>
      </c>
      <c r="C25" s="48">
        <v>19.97</v>
      </c>
      <c r="E25" t="s">
        <v>188</v>
      </c>
      <c r="F25" s="130">
        <v>2408.36</v>
      </c>
      <c r="G25" s="130">
        <v>7329.99</v>
      </c>
      <c r="H25" s="70"/>
      <c r="I25" s="151">
        <f t="shared" si="0"/>
        <v>8.0489550589544212E-3</v>
      </c>
      <c r="J25" s="151">
        <f t="shared" si="1"/>
        <v>5.0022991667132199E-2</v>
      </c>
    </row>
    <row r="26" spans="2:10" x14ac:dyDescent="0.35">
      <c r="B26" s="48" t="s">
        <v>227</v>
      </c>
      <c r="C26" s="72">
        <v>3603</v>
      </c>
      <c r="E26" t="s">
        <v>189</v>
      </c>
      <c r="F26" s="130">
        <v>2664.52</v>
      </c>
      <c r="G26" s="130">
        <v>7490.64</v>
      </c>
      <c r="H26" s="70"/>
      <c r="I26" s="151">
        <f t="shared" si="0"/>
        <v>0.10636283612084574</v>
      </c>
      <c r="J26" s="151">
        <f t="shared" si="1"/>
        <v>2.1916810254857255E-2</v>
      </c>
    </row>
    <row r="27" spans="2:10" x14ac:dyDescent="0.35">
      <c r="B27" s="48" t="s">
        <v>228</v>
      </c>
      <c r="C27" s="48">
        <f>C25*C26</f>
        <v>71951.909999999989</v>
      </c>
      <c r="E27" t="s">
        <v>190</v>
      </c>
      <c r="F27" s="130">
        <v>2564.52</v>
      </c>
      <c r="G27" s="130">
        <v>7394.84</v>
      </c>
      <c r="H27" s="70"/>
      <c r="I27" s="151">
        <f t="shared" si="0"/>
        <v>-3.7530211820515524E-2</v>
      </c>
      <c r="J27" s="151">
        <f t="shared" si="1"/>
        <v>-1.278929437271048E-2</v>
      </c>
    </row>
    <row r="28" spans="2:10" x14ac:dyDescent="0.35">
      <c r="E28" t="s">
        <v>191</v>
      </c>
      <c r="F28" s="130">
        <v>2542.3000000000002</v>
      </c>
      <c r="G28" s="130">
        <v>7494.09</v>
      </c>
      <c r="H28" s="70"/>
      <c r="I28" s="151">
        <f t="shared" si="0"/>
        <v>-8.6643894373995556E-3</v>
      </c>
      <c r="J28" s="151">
        <f t="shared" si="1"/>
        <v>1.3421520952447974E-2</v>
      </c>
    </row>
    <row r="29" spans="2:10" x14ac:dyDescent="0.35">
      <c r="B29" s="48" t="s">
        <v>229</v>
      </c>
      <c r="C29" s="152">
        <f>'BS Source '!H50+'BS Source '!H42</f>
        <v>308.52</v>
      </c>
      <c r="E29" t="s">
        <v>192</v>
      </c>
      <c r="F29" s="130">
        <v>2401.64</v>
      </c>
      <c r="G29" s="130">
        <v>7079.39</v>
      </c>
      <c r="H29" s="70"/>
      <c r="I29" s="151">
        <f t="shared" si="0"/>
        <v>-5.5327852731778426E-2</v>
      </c>
      <c r="J29" s="151">
        <f t="shared" si="1"/>
        <v>-5.5336938841140104E-2</v>
      </c>
    </row>
    <row r="30" spans="2:10" x14ac:dyDescent="0.35">
      <c r="E30" t="s">
        <v>193</v>
      </c>
      <c r="F30" s="130">
        <v>2307.48</v>
      </c>
      <c r="G30" s="130">
        <v>6982.79</v>
      </c>
      <c r="H30" s="70"/>
      <c r="I30" s="151">
        <f t="shared" si="0"/>
        <v>-3.9206542196165928E-2</v>
      </c>
      <c r="J30" s="151">
        <f t="shared" si="1"/>
        <v>-1.3645243446116173E-2</v>
      </c>
    </row>
    <row r="31" spans="2:10" x14ac:dyDescent="0.35">
      <c r="E31" t="s">
        <v>194</v>
      </c>
      <c r="F31" s="130">
        <v>2409.41</v>
      </c>
      <c r="G31" s="130">
        <v>7379.29</v>
      </c>
      <c r="H31" s="70"/>
      <c r="I31" s="151">
        <f t="shared" si="0"/>
        <v>4.4173730649886389E-2</v>
      </c>
      <c r="J31" s="151">
        <f t="shared" si="1"/>
        <v>5.6782460878817886E-2</v>
      </c>
    </row>
    <row r="32" spans="2:10" x14ac:dyDescent="0.35">
      <c r="E32" t="s">
        <v>195</v>
      </c>
      <c r="F32" s="130">
        <v>2375.88</v>
      </c>
      <c r="G32" s="130">
        <v>7709.09</v>
      </c>
      <c r="H32" s="70"/>
      <c r="I32" s="151">
        <f t="shared" si="0"/>
        <v>-1.3916269958205385E-2</v>
      </c>
      <c r="J32" s="151">
        <f t="shared" si="1"/>
        <v>4.469264658253036E-2</v>
      </c>
    </row>
    <row r="33" spans="5:10" x14ac:dyDescent="0.35">
      <c r="E33" t="s">
        <v>196</v>
      </c>
      <c r="F33" s="130">
        <v>2443.21</v>
      </c>
      <c r="G33" s="130">
        <v>7995.04</v>
      </c>
      <c r="H33" s="70"/>
      <c r="I33" s="151">
        <f t="shared" si="0"/>
        <v>2.8338973348822405E-2</v>
      </c>
      <c r="J33" s="151">
        <f t="shared" si="1"/>
        <v>3.7092575128841343E-2</v>
      </c>
    </row>
    <row r="34" spans="5:10" x14ac:dyDescent="0.35">
      <c r="E34" t="s">
        <v>197</v>
      </c>
      <c r="F34" s="130">
        <v>2550.3000000000002</v>
      </c>
      <c r="G34" s="130">
        <v>8214.2900000000009</v>
      </c>
      <c r="H34" s="70"/>
      <c r="I34" s="151">
        <f t="shared" si="0"/>
        <v>4.3831680453174426E-2</v>
      </c>
      <c r="J34" s="151">
        <f t="shared" si="1"/>
        <v>2.7423252416498345E-2</v>
      </c>
    </row>
    <row r="35" spans="5:10" x14ac:dyDescent="0.35">
      <c r="E35" t="s">
        <v>198</v>
      </c>
      <c r="F35" s="130">
        <v>2883.15</v>
      </c>
      <c r="G35" s="130">
        <v>8350.94</v>
      </c>
      <c r="H35" s="70"/>
      <c r="I35" s="151">
        <f t="shared" si="0"/>
        <v>0.13051405716974473</v>
      </c>
      <c r="J35" s="151">
        <f t="shared" si="1"/>
        <v>1.6635643494446795E-2</v>
      </c>
    </row>
    <row r="36" spans="5:10" x14ac:dyDescent="0.35">
      <c r="E36" t="s">
        <v>199</v>
      </c>
      <c r="F36" s="130">
        <v>2847.64</v>
      </c>
      <c r="G36" s="130">
        <v>8331.59</v>
      </c>
      <c r="H36" s="70"/>
      <c r="I36" s="151">
        <f t="shared" si="0"/>
        <v>-1.2316390059483595E-2</v>
      </c>
      <c r="J36" s="151">
        <f t="shared" si="1"/>
        <v>-2.3171044217776826E-3</v>
      </c>
    </row>
    <row r="37" spans="5:10" x14ac:dyDescent="0.35">
      <c r="E37" t="s">
        <v>200</v>
      </c>
      <c r="F37" s="130">
        <v>2837.71</v>
      </c>
      <c r="G37" s="130">
        <v>8793.2900000000009</v>
      </c>
      <c r="H37" s="70"/>
      <c r="I37" s="151">
        <f t="shared" si="0"/>
        <v>-3.487098088241436E-3</v>
      </c>
      <c r="J37" s="151">
        <f t="shared" si="1"/>
        <v>5.5415592942043457E-2</v>
      </c>
    </row>
    <row r="38" spans="5:10" x14ac:dyDescent="0.35">
      <c r="E38" t="s">
        <v>201</v>
      </c>
      <c r="F38" s="130">
        <v>3104.86</v>
      </c>
      <c r="G38" s="130">
        <v>8694.94</v>
      </c>
      <c r="H38" s="70"/>
      <c r="I38" s="151">
        <f t="shared" si="0"/>
        <v>9.4142812338117832E-2</v>
      </c>
      <c r="J38" s="151">
        <f t="shared" si="1"/>
        <v>-1.1184664670447653E-2</v>
      </c>
    </row>
    <row r="39" spans="5:10" x14ac:dyDescent="0.35">
      <c r="E39" t="s">
        <v>202</v>
      </c>
      <c r="F39" s="130">
        <v>2936.42</v>
      </c>
      <c r="G39" s="130">
        <v>8599.99</v>
      </c>
      <c r="H39" s="70"/>
      <c r="I39" s="151">
        <f t="shared" si="0"/>
        <v>-5.4250433191834757E-2</v>
      </c>
      <c r="J39" s="151">
        <f t="shared" si="1"/>
        <v>-1.0920144359823136E-2</v>
      </c>
    </row>
    <row r="40" spans="5:10" x14ac:dyDescent="0.35">
      <c r="E40" t="s">
        <v>203</v>
      </c>
      <c r="F40" s="130">
        <v>2993.54</v>
      </c>
      <c r="G40" s="130">
        <v>9153.59</v>
      </c>
      <c r="H40" s="70"/>
      <c r="I40" s="151">
        <f t="shared" si="0"/>
        <v>1.9452258191948069E-2</v>
      </c>
      <c r="J40" s="151">
        <f t="shared" si="1"/>
        <v>6.4372167874613861E-2</v>
      </c>
    </row>
    <row r="41" spans="5:10" x14ac:dyDescent="0.35">
      <c r="E41" t="s">
        <v>204</v>
      </c>
      <c r="F41" s="130">
        <v>2828.55</v>
      </c>
      <c r="G41" s="130">
        <v>9154.49</v>
      </c>
      <c r="H41" s="70"/>
      <c r="I41" s="151">
        <f t="shared" si="0"/>
        <v>-5.5115348383519058E-2</v>
      </c>
      <c r="J41" s="151">
        <f t="shared" si="1"/>
        <v>9.8322079096879733E-5</v>
      </c>
    </row>
    <row r="42" spans="5:10" x14ac:dyDescent="0.35">
      <c r="E42" t="s">
        <v>205</v>
      </c>
      <c r="F42" s="130">
        <v>2940.38</v>
      </c>
      <c r="G42" s="130">
        <v>9490.64</v>
      </c>
      <c r="H42" s="70"/>
      <c r="I42" s="151">
        <f t="shared" si="0"/>
        <v>3.9536158102207786E-2</v>
      </c>
      <c r="J42" s="151">
        <f t="shared" si="1"/>
        <v>3.6719686186778233E-2</v>
      </c>
    </row>
    <row r="43" spans="5:10" x14ac:dyDescent="0.35">
      <c r="E43" t="s">
        <v>206</v>
      </c>
      <c r="F43" s="130">
        <v>2866.84</v>
      </c>
      <c r="G43" s="130">
        <v>9697.89</v>
      </c>
      <c r="H43" s="70"/>
      <c r="I43" s="151">
        <f t="shared" si="0"/>
        <v>-2.5010372808956682E-2</v>
      </c>
      <c r="J43" s="151">
        <f t="shared" si="1"/>
        <v>2.1837304965734772E-2</v>
      </c>
    </row>
    <row r="44" spans="5:10" x14ac:dyDescent="0.35">
      <c r="E44" t="s">
        <v>207</v>
      </c>
      <c r="F44" s="130">
        <v>2796.13</v>
      </c>
      <c r="G44" s="130">
        <v>9261.89</v>
      </c>
      <c r="H44" s="70"/>
      <c r="I44" s="151">
        <f t="shared" si="0"/>
        <v>-2.4664787710510505E-2</v>
      </c>
      <c r="J44" s="151">
        <f t="shared" si="1"/>
        <v>-4.4958233182681995E-2</v>
      </c>
    </row>
    <row r="45" spans="5:10" x14ac:dyDescent="0.35">
      <c r="E45" t="s">
        <v>208</v>
      </c>
      <c r="F45" s="130">
        <v>2796.1</v>
      </c>
      <c r="G45" s="130">
        <v>8912.09</v>
      </c>
      <c r="H45" s="70"/>
      <c r="I45" s="151">
        <f t="shared" si="0"/>
        <v>-1.0729114883867297E-5</v>
      </c>
      <c r="J45" s="151">
        <f t="shared" si="1"/>
        <v>-3.7767669449755847E-2</v>
      </c>
    </row>
    <row r="46" spans="5:10" x14ac:dyDescent="0.35">
      <c r="E46" t="s">
        <v>209</v>
      </c>
      <c r="F46" s="130">
        <v>2944.52</v>
      </c>
      <c r="G46" s="130">
        <v>9496.49</v>
      </c>
      <c r="H46" s="70"/>
      <c r="I46" s="151">
        <f t="shared" si="0"/>
        <v>5.3081077214691907E-2</v>
      </c>
      <c r="J46" s="151">
        <f t="shared" si="1"/>
        <v>6.5573844070246023E-2</v>
      </c>
    </row>
    <row r="47" spans="5:10" x14ac:dyDescent="0.35">
      <c r="E47" t="s">
        <v>210</v>
      </c>
      <c r="F47" s="130">
        <v>2797.48</v>
      </c>
      <c r="G47" s="130">
        <v>9315.34</v>
      </c>
      <c r="H47" s="70"/>
      <c r="I47" s="151">
        <f t="shared" si="0"/>
        <v>-4.9936831809598847E-2</v>
      </c>
      <c r="J47" s="151">
        <f t="shared" si="1"/>
        <v>-1.9075468936417539E-2</v>
      </c>
    </row>
    <row r="48" spans="5:10" x14ac:dyDescent="0.35">
      <c r="E48" t="s">
        <v>211</v>
      </c>
      <c r="F48" s="130">
        <v>2738.17</v>
      </c>
      <c r="G48" s="130">
        <v>9162.44</v>
      </c>
      <c r="H48" s="70"/>
      <c r="I48" s="151">
        <f t="shared" si="0"/>
        <v>-2.1201223958705717E-2</v>
      </c>
      <c r="J48" s="151">
        <f t="shared" si="1"/>
        <v>-1.6413786292287735E-2</v>
      </c>
    </row>
    <row r="49" spans="5:10" x14ac:dyDescent="0.35">
      <c r="E49" t="s">
        <v>212</v>
      </c>
      <c r="F49" s="130">
        <v>2597.6</v>
      </c>
      <c r="G49" s="130">
        <v>9650.59</v>
      </c>
      <c r="H49" s="70"/>
      <c r="I49" s="151">
        <f t="shared" si="0"/>
        <v>-5.1337206966696747E-2</v>
      </c>
      <c r="J49" s="151">
        <f t="shared" si="1"/>
        <v>5.3277292948166632E-2</v>
      </c>
    </row>
    <row r="50" spans="5:10" x14ac:dyDescent="0.35">
      <c r="E50" t="s">
        <v>213</v>
      </c>
      <c r="F50" s="130">
        <v>2594.39</v>
      </c>
      <c r="G50" s="130">
        <v>9991.99</v>
      </c>
      <c r="H50" s="70"/>
      <c r="I50" s="151">
        <f t="shared" si="0"/>
        <v>-1.2357560825377867E-3</v>
      </c>
      <c r="J50" s="151">
        <f t="shared" si="1"/>
        <v>3.5376075452381528E-2</v>
      </c>
    </row>
    <row r="51" spans="5:10" x14ac:dyDescent="0.35">
      <c r="E51" t="s">
        <v>214</v>
      </c>
      <c r="F51" s="130">
        <v>2338.4299999999998</v>
      </c>
      <c r="G51" s="130">
        <v>9115.99</v>
      </c>
      <c r="H51" s="70"/>
      <c r="I51" s="151">
        <f t="shared" si="0"/>
        <v>-9.8659029675569276E-2</v>
      </c>
      <c r="J51" s="151">
        <f t="shared" si="1"/>
        <v>-8.7670223849303341E-2</v>
      </c>
    </row>
    <row r="52" spans="5:10" x14ac:dyDescent="0.35">
      <c r="E52" t="s">
        <v>215</v>
      </c>
      <c r="F52" s="130">
        <v>2205.2800000000002</v>
      </c>
      <c r="G52" s="130">
        <v>8753.44</v>
      </c>
      <c r="H52" s="70"/>
      <c r="I52" s="151">
        <f t="shared" si="0"/>
        <v>-5.6939912676453708E-2</v>
      </c>
      <c r="J52" s="151">
        <f t="shared" si="1"/>
        <v>-3.9770776404976282E-2</v>
      </c>
    </row>
    <row r="53" spans="5:10" x14ac:dyDescent="0.35">
      <c r="E53" t="s">
        <v>216</v>
      </c>
      <c r="F53" s="130">
        <v>2438.9499999999998</v>
      </c>
      <c r="G53" s="130">
        <v>9109.14</v>
      </c>
      <c r="H53" s="70"/>
      <c r="I53" s="151">
        <f t="shared" si="0"/>
        <v>0.10595933396212698</v>
      </c>
      <c r="J53" s="151">
        <f t="shared" si="1"/>
        <v>4.0635453033321722E-2</v>
      </c>
    </row>
    <row r="54" spans="5:10" x14ac:dyDescent="0.35">
      <c r="E54" t="s">
        <v>217</v>
      </c>
      <c r="F54" s="130">
        <v>2476.84</v>
      </c>
      <c r="G54" s="130">
        <v>9169.99</v>
      </c>
      <c r="H54" s="70"/>
      <c r="I54" s="151">
        <f t="shared" si="0"/>
        <v>1.5535373828901911E-2</v>
      </c>
      <c r="J54" s="151">
        <f t="shared" si="1"/>
        <v>6.6801037199999413E-3</v>
      </c>
    </row>
    <row r="55" spans="5:10" x14ac:dyDescent="0.35">
      <c r="E55" t="s">
        <v>218</v>
      </c>
      <c r="F55" s="130">
        <v>2083.14</v>
      </c>
      <c r="G55" s="130">
        <v>9003.84</v>
      </c>
      <c r="H55" s="70"/>
      <c r="I55" s="151">
        <f t="shared" si="0"/>
        <v>-0.1589525362962485</v>
      </c>
      <c r="J55" s="151">
        <f t="shared" si="1"/>
        <v>-1.8118885625829417E-2</v>
      </c>
    </row>
    <row r="56" spans="5:10" x14ac:dyDescent="0.35">
      <c r="E56" t="s">
        <v>219</v>
      </c>
      <c r="F56" s="130">
        <v>2101.41</v>
      </c>
      <c r="G56" s="130">
        <v>8955.94</v>
      </c>
      <c r="H56" s="70"/>
      <c r="I56" s="151">
        <f t="shared" si="0"/>
        <v>8.7704138944093568E-3</v>
      </c>
      <c r="J56" s="151">
        <f t="shared" si="1"/>
        <v>-5.3199523758751255E-3</v>
      </c>
    </row>
    <row r="57" spans="5:10" x14ac:dyDescent="0.35">
      <c r="E57" t="s">
        <v>220</v>
      </c>
      <c r="F57" s="130">
        <v>2076.8000000000002</v>
      </c>
      <c r="G57" s="130">
        <v>9663.69</v>
      </c>
      <c r="H57" s="70"/>
      <c r="I57" s="151">
        <f t="shared" si="0"/>
        <v>-1.1711184395239216E-2</v>
      </c>
      <c r="J57" s="151">
        <f t="shared" si="1"/>
        <v>7.9025763906412916E-2</v>
      </c>
    </row>
    <row r="58" spans="5:10" x14ac:dyDescent="0.35">
      <c r="E58" t="s">
        <v>221</v>
      </c>
      <c r="F58" s="130">
        <v>2042.18</v>
      </c>
      <c r="G58" s="130">
        <v>9664.2900000000009</v>
      </c>
      <c r="H58" s="70"/>
      <c r="I58" s="151">
        <f t="shared" si="0"/>
        <v>-1.6669876733436118E-2</v>
      </c>
      <c r="J58" s="151">
        <f t="shared" si="1"/>
        <v>6.2088084365363727E-5</v>
      </c>
    </row>
    <row r="59" spans="5:10" x14ac:dyDescent="0.35">
      <c r="E59" t="s">
        <v>222</v>
      </c>
      <c r="F59" s="130">
        <v>2179.33</v>
      </c>
      <c r="G59" s="130">
        <v>9805.0400000000009</v>
      </c>
      <c r="H59" s="70"/>
      <c r="I59" s="151">
        <f t="shared" si="0"/>
        <v>6.7158624607037476E-2</v>
      </c>
      <c r="J59" s="151">
        <f t="shared" si="1"/>
        <v>1.4563925544452738E-2</v>
      </c>
    </row>
    <row r="60" spans="5:10" x14ac:dyDescent="0.35">
      <c r="E60" t="s">
        <v>223</v>
      </c>
      <c r="F60" s="130">
        <v>2100.17</v>
      </c>
      <c r="G60" s="130">
        <v>9657.94</v>
      </c>
      <c r="H60" s="70"/>
      <c r="I60" s="151">
        <f t="shared" si="0"/>
        <v>-3.6323090124028901E-2</v>
      </c>
      <c r="J60" s="151">
        <f t="shared" si="1"/>
        <v>-1.500248851611008E-2</v>
      </c>
    </row>
    <row r="61" spans="5:10" x14ac:dyDescent="0.35">
      <c r="E61" t="s">
        <v>224</v>
      </c>
      <c r="F61" s="130">
        <v>1915.02</v>
      </c>
      <c r="G61" s="130">
        <v>9044.94</v>
      </c>
      <c r="H61" s="70"/>
      <c r="I61" s="151">
        <f t="shared" si="0"/>
        <v>-8.8159529942814174E-2</v>
      </c>
      <c r="J61" s="151">
        <f t="shared" si="1"/>
        <v>-6.3471092179077537E-2</v>
      </c>
    </row>
    <row r="62" spans="5:10" x14ac:dyDescent="0.35">
      <c r="E62" t="s">
        <v>225</v>
      </c>
      <c r="F62" s="130">
        <v>2116.9</v>
      </c>
      <c r="G62" s="130">
        <v>8977.5400000000009</v>
      </c>
      <c r="H62" s="70"/>
      <c r="I62" s="151">
        <f t="shared" si="0"/>
        <v>0.10541926455076189</v>
      </c>
      <c r="J62" s="151">
        <f t="shared" si="1"/>
        <v>-7.4516801659270104E-3</v>
      </c>
    </row>
    <row r="63" spans="5:10" x14ac:dyDescent="0.35">
      <c r="E63" s="69"/>
      <c r="F63" s="70"/>
      <c r="G63" s="70"/>
      <c r="H63" s="70"/>
      <c r="I63" s="70"/>
      <c r="J63" s="70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9C9A-030D-5A4C-96C4-BFEC10B52CF3}">
  <sheetPr>
    <tabColor rgb="FF002060"/>
  </sheetPr>
  <dimension ref="B1:B11"/>
  <sheetViews>
    <sheetView workbookViewId="0"/>
  </sheetViews>
  <sheetFormatPr defaultColWidth="9.09765625" defaultRowHeight="11.4" x14ac:dyDescent="0.2"/>
  <cols>
    <col min="1" max="1" width="2" style="2" customWidth="1"/>
    <col min="2" max="16384" width="9.09765625" style="2"/>
  </cols>
  <sheetData>
    <row r="1" spans="2:2" ht="15.6" x14ac:dyDescent="0.3">
      <c r="B1" s="1"/>
    </row>
    <row r="11" spans="2:2" ht="50.4" x14ac:dyDescent="0.85">
      <c r="B11" s="3" t="s">
        <v>39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1DBB-2418-8B4C-B493-864BC5EC1F52}">
  <dimension ref="B1:I25"/>
  <sheetViews>
    <sheetView showGridLines="0" workbookViewId="0">
      <selection activeCell="L13" sqref="L13"/>
    </sheetView>
  </sheetViews>
  <sheetFormatPr defaultColWidth="10.8984375" defaultRowHeight="17.399999999999999" x14ac:dyDescent="0.3"/>
  <cols>
    <col min="1" max="1" width="2.09765625" style="80" customWidth="1"/>
    <col min="2" max="2" width="39.09765625" style="80" customWidth="1"/>
    <col min="3" max="7" width="13.5" style="80" customWidth="1"/>
    <col min="8" max="8" width="13.09765625" style="80" customWidth="1"/>
    <col min="9" max="16384" width="10.8984375" style="80"/>
  </cols>
  <sheetData>
    <row r="1" spans="2:9" x14ac:dyDescent="0.3">
      <c r="B1" s="79" t="s">
        <v>29</v>
      </c>
      <c r="C1" s="79"/>
      <c r="D1" s="79"/>
    </row>
    <row r="2" spans="2:9" ht="18" x14ac:dyDescent="0.35">
      <c r="B2" s="81" t="s">
        <v>30</v>
      </c>
      <c r="C2" s="81"/>
      <c r="D2" s="81"/>
    </row>
    <row r="4" spans="2:9" x14ac:dyDescent="0.3">
      <c r="B4" s="82" t="s">
        <v>31</v>
      </c>
      <c r="C4" s="83">
        <v>41699</v>
      </c>
      <c r="D4" s="83">
        <v>42064</v>
      </c>
      <c r="E4" s="83">
        <v>42430</v>
      </c>
      <c r="F4" s="83">
        <v>42795</v>
      </c>
      <c r="G4" s="83">
        <v>43160</v>
      </c>
      <c r="H4" s="83">
        <v>43525</v>
      </c>
    </row>
    <row r="5" spans="2:9" x14ac:dyDescent="0.3">
      <c r="B5" s="98" t="s">
        <v>68</v>
      </c>
      <c r="C5" s="99">
        <v>27005.26</v>
      </c>
      <c r="D5" s="99">
        <v>29020.98</v>
      </c>
      <c r="E5" s="99">
        <v>30715.33</v>
      </c>
      <c r="F5" s="100">
        <v>30983.66</v>
      </c>
      <c r="G5" s="100">
        <v>33100.94</v>
      </c>
      <c r="H5" s="100">
        <v>33972.230000000003</v>
      </c>
      <c r="I5" s="101" t="s">
        <v>69</v>
      </c>
    </row>
    <row r="6" spans="2:9" x14ac:dyDescent="0.3">
      <c r="B6" s="102" t="s">
        <v>70</v>
      </c>
      <c r="C6" s="103"/>
      <c r="D6" s="103"/>
      <c r="E6" s="103"/>
      <c r="F6" s="103"/>
      <c r="G6" s="103"/>
      <c r="H6" s="103"/>
      <c r="I6" s="104"/>
    </row>
    <row r="7" spans="2:9" x14ac:dyDescent="0.3">
      <c r="B7" s="105" t="s">
        <v>71</v>
      </c>
      <c r="C7" s="106">
        <f>-(18221.53+8.36)</f>
        <v>-18229.89</v>
      </c>
      <c r="D7" s="107">
        <f>-(19790.4-75.1)</f>
        <v>-19715.300000000003</v>
      </c>
      <c r="E7" s="107">
        <f>-(19357.96-49.86)</f>
        <v>-19308.099999999999</v>
      </c>
      <c r="F7" s="108">
        <f>-(19019.34+96.74)</f>
        <v>-19116.080000000002</v>
      </c>
      <c r="G7" s="108">
        <f>-(21995.94-110.12)</f>
        <v>-21885.82</v>
      </c>
      <c r="H7" s="108">
        <f>-(23503.46-59.04)</f>
        <v>-23444.42</v>
      </c>
      <c r="I7" s="101" t="s">
        <v>69</v>
      </c>
    </row>
    <row r="8" spans="2:9" x14ac:dyDescent="0.3">
      <c r="B8" s="105" t="s">
        <v>72</v>
      </c>
      <c r="C8" s="107">
        <v>-1880.35</v>
      </c>
      <c r="D8" s="107">
        <v>-1717.65</v>
      </c>
      <c r="E8" s="107">
        <v>-2258.21</v>
      </c>
      <c r="F8" s="108">
        <f>-2373.23</f>
        <v>-2373.23</v>
      </c>
      <c r="G8" s="108">
        <f>-642.57</f>
        <v>-642.57000000000005</v>
      </c>
      <c r="H8" s="108">
        <f>-1.41</f>
        <v>-1.41</v>
      </c>
      <c r="I8" s="101" t="s">
        <v>69</v>
      </c>
    </row>
    <row r="9" spans="2:9" x14ac:dyDescent="0.3">
      <c r="B9" s="105" t="s">
        <v>73</v>
      </c>
      <c r="C9" s="107">
        <v>-930.35</v>
      </c>
      <c r="D9" s="107">
        <v>-1178.72</v>
      </c>
      <c r="E9" s="107">
        <v>-1339.46</v>
      </c>
      <c r="F9" s="108">
        <f>-1432.49</f>
        <v>-1432.49</v>
      </c>
      <c r="G9" s="108">
        <f>-1583.71</f>
        <v>-1583.71</v>
      </c>
      <c r="H9" s="109">
        <f>-1778.03</f>
        <v>-1778.03</v>
      </c>
      <c r="I9" s="101" t="s">
        <v>69</v>
      </c>
    </row>
    <row r="10" spans="2:9" x14ac:dyDescent="0.3">
      <c r="B10" s="105" t="s">
        <v>74</v>
      </c>
      <c r="C10" s="106">
        <v>-2426.13</v>
      </c>
      <c r="D10" s="106">
        <f>-2913.28</f>
        <v>-2913.28</v>
      </c>
      <c r="E10" s="107">
        <f>-3411.86</f>
        <v>-3411.86</v>
      </c>
      <c r="F10" s="108">
        <f>-3485.89</f>
        <v>-3485.89</v>
      </c>
      <c r="G10" s="108">
        <f>-3663.79</f>
        <v>-3663.79</v>
      </c>
      <c r="H10" s="109">
        <f>-3729.94</f>
        <v>-3729.94</v>
      </c>
      <c r="I10" s="101" t="s">
        <v>69</v>
      </c>
    </row>
    <row r="11" spans="2:9" x14ac:dyDescent="0.3">
      <c r="B11" s="110" t="s">
        <v>75</v>
      </c>
      <c r="C11" s="111">
        <f>SUM(C7:C10)</f>
        <v>-23466.719999999998</v>
      </c>
      <c r="D11" s="111">
        <f>SUM(D7:D10)</f>
        <v>-25524.950000000004</v>
      </c>
      <c r="E11" s="111">
        <f t="shared" ref="E11" si="0">SUM(E7:E10)</f>
        <v>-26317.629999999997</v>
      </c>
      <c r="F11" s="108">
        <f>SUM(F7:F10)</f>
        <v>-26407.690000000002</v>
      </c>
      <c r="G11" s="108">
        <f>SUM(G7:G10)</f>
        <v>-27775.89</v>
      </c>
      <c r="H11" s="108">
        <f>SUM(H7:H10)</f>
        <v>-28953.799999999996</v>
      </c>
      <c r="I11" s="104"/>
    </row>
    <row r="12" spans="2:9" x14ac:dyDescent="0.3">
      <c r="B12" s="112" t="s">
        <v>17</v>
      </c>
      <c r="C12" s="100">
        <f t="shared" ref="C12:E12" si="1">C5+C11</f>
        <v>3538.5400000000009</v>
      </c>
      <c r="D12" s="100">
        <f t="shared" si="1"/>
        <v>3496.0299999999952</v>
      </c>
      <c r="E12" s="100">
        <f t="shared" si="1"/>
        <v>4397.7000000000044</v>
      </c>
      <c r="F12" s="100">
        <f>F5+F11</f>
        <v>4575.9699999999975</v>
      </c>
      <c r="G12" s="100">
        <f>G5+G11</f>
        <v>5325.0500000000029</v>
      </c>
      <c r="H12" s="100">
        <f>H5+H11</f>
        <v>5018.4300000000076</v>
      </c>
      <c r="I12" s="113"/>
    </row>
    <row r="13" spans="2:9" x14ac:dyDescent="0.3">
      <c r="B13" s="114" t="s">
        <v>76</v>
      </c>
      <c r="C13" s="107">
        <v>-1107.3699999999999</v>
      </c>
      <c r="D13" s="107">
        <v>-540.45000000000005</v>
      </c>
      <c r="E13" s="107">
        <v>-443.25</v>
      </c>
      <c r="F13" s="108">
        <f>-502.25</f>
        <v>-502.25</v>
      </c>
      <c r="G13" s="108">
        <f>-574.98</f>
        <v>-574.98</v>
      </c>
      <c r="H13" s="108">
        <f>-624.44</f>
        <v>-624.44000000000005</v>
      </c>
      <c r="I13" s="101" t="s">
        <v>69</v>
      </c>
    </row>
    <row r="14" spans="2:9" x14ac:dyDescent="0.3">
      <c r="B14" s="115" t="s">
        <v>19</v>
      </c>
      <c r="C14" s="116">
        <f t="shared" ref="C14:E14" si="2">C12+C13</f>
        <v>2431.170000000001</v>
      </c>
      <c r="D14" s="116">
        <f t="shared" si="2"/>
        <v>2955.5799999999954</v>
      </c>
      <c r="E14" s="116">
        <f t="shared" si="2"/>
        <v>3954.4500000000044</v>
      </c>
      <c r="F14" s="116">
        <f>F12+F13</f>
        <v>4073.7199999999975</v>
      </c>
      <c r="G14" s="116">
        <f>G12+G13</f>
        <v>4750.0700000000033</v>
      </c>
      <c r="H14" s="116">
        <f>H12+H13</f>
        <v>4393.9900000000071</v>
      </c>
      <c r="I14" s="113"/>
    </row>
    <row r="15" spans="2:9" x14ac:dyDescent="0.3">
      <c r="B15" s="114" t="s">
        <v>77</v>
      </c>
      <c r="C15" s="117">
        <v>444.19</v>
      </c>
      <c r="D15" s="118">
        <v>347</v>
      </c>
      <c r="E15" s="117">
        <v>412.83</v>
      </c>
      <c r="F15" s="119">
        <v>521.95000000000005</v>
      </c>
      <c r="G15" s="119">
        <v>523.16999999999996</v>
      </c>
      <c r="H15" s="120">
        <v>686.73</v>
      </c>
      <c r="I15" s="101" t="s">
        <v>78</v>
      </c>
    </row>
    <row r="16" spans="2:9" x14ac:dyDescent="0.3">
      <c r="B16" s="105" t="s">
        <v>79</v>
      </c>
      <c r="C16" s="107">
        <v>-11.82</v>
      </c>
      <c r="D16" s="107">
        <v>-11.7</v>
      </c>
      <c r="E16" s="107">
        <v>-14.61</v>
      </c>
      <c r="F16" s="108">
        <f>-27.28</f>
        <v>-27.28</v>
      </c>
      <c r="G16" s="108">
        <f>-30.8</f>
        <v>-30.8</v>
      </c>
      <c r="H16" s="108">
        <f>-37.18</f>
        <v>-37.18</v>
      </c>
      <c r="I16" s="101" t="s">
        <v>78</v>
      </c>
    </row>
    <row r="17" spans="2:9" x14ac:dyDescent="0.3">
      <c r="B17" s="105" t="s">
        <v>80</v>
      </c>
      <c r="C17" s="107">
        <v>-3.62</v>
      </c>
      <c r="D17" s="117">
        <v>15.15</v>
      </c>
      <c r="E17" s="117">
        <v>34.33</v>
      </c>
      <c r="F17" s="103">
        <v>54.92</v>
      </c>
      <c r="G17" s="103">
        <v>49.66</v>
      </c>
      <c r="H17" s="103">
        <v>60.76</v>
      </c>
      <c r="I17" s="101" t="s">
        <v>78</v>
      </c>
    </row>
    <row r="18" spans="2:9" x14ac:dyDescent="0.3">
      <c r="B18" s="105" t="s">
        <v>81</v>
      </c>
      <c r="C18" s="103">
        <v>0</v>
      </c>
      <c r="D18" s="103">
        <v>0</v>
      </c>
      <c r="E18" s="103">
        <v>0</v>
      </c>
      <c r="F18" s="103">
        <v>262.08999999999997</v>
      </c>
      <c r="G18" s="110">
        <v>0</v>
      </c>
      <c r="H18" s="110">
        <v>0</v>
      </c>
      <c r="I18" s="101" t="s">
        <v>78</v>
      </c>
    </row>
    <row r="19" spans="2:9" x14ac:dyDescent="0.3">
      <c r="B19" s="105" t="s">
        <v>82</v>
      </c>
      <c r="C19" s="103">
        <v>0.35</v>
      </c>
      <c r="D19" s="103">
        <v>1.04</v>
      </c>
      <c r="E19" s="103">
        <v>3.62</v>
      </c>
      <c r="F19" s="103">
        <v>0</v>
      </c>
      <c r="G19" s="110">
        <v>0</v>
      </c>
      <c r="H19" s="110">
        <v>0</v>
      </c>
      <c r="I19" s="101"/>
    </row>
    <row r="20" spans="2:9" x14ac:dyDescent="0.3">
      <c r="B20" s="98" t="s">
        <v>83</v>
      </c>
      <c r="C20" s="121">
        <f>C14+SUM(C15:C19)</f>
        <v>2860.2700000000009</v>
      </c>
      <c r="D20" s="121">
        <f>D14+SUM(D15:D19)</f>
        <v>3307.0699999999952</v>
      </c>
      <c r="E20" s="121">
        <f>E14+SUM(E15:E19)</f>
        <v>4390.6200000000044</v>
      </c>
      <c r="F20" s="121">
        <f>F14+SUM(F15:F18)</f>
        <v>4885.3999999999978</v>
      </c>
      <c r="G20" s="121">
        <f>G14+SUM(G15:G18)</f>
        <v>5292.1000000000031</v>
      </c>
      <c r="H20" s="121">
        <f>H14+SUM(H15:H18)</f>
        <v>5104.3000000000075</v>
      </c>
      <c r="I20" s="104"/>
    </row>
    <row r="21" spans="2:9" x14ac:dyDescent="0.3">
      <c r="B21" s="98" t="s">
        <v>84</v>
      </c>
      <c r="C21" s="122">
        <v>-758.17</v>
      </c>
      <c r="D21" s="122">
        <v>-943.45</v>
      </c>
      <c r="E21" s="107">
        <v>-1274.71</v>
      </c>
      <c r="F21" s="123">
        <f>-1339.1</f>
        <v>-1339.1</v>
      </c>
      <c r="G21" s="123">
        <f>-1569.93</f>
        <v>-1569.93</v>
      </c>
      <c r="H21" s="123">
        <f>-1637.95</f>
        <v>-1637.95</v>
      </c>
      <c r="I21" s="101" t="s">
        <v>69</v>
      </c>
    </row>
    <row r="22" spans="2:9" ht="18" thickBot="1" x14ac:dyDescent="0.35">
      <c r="B22" s="124" t="s">
        <v>85</v>
      </c>
      <c r="C22" s="125">
        <f t="shared" ref="C22:E22" si="3">SUM(C20:C21)</f>
        <v>2102.1000000000008</v>
      </c>
      <c r="D22" s="125">
        <f t="shared" si="3"/>
        <v>2363.6199999999953</v>
      </c>
      <c r="E22" s="125">
        <f t="shared" si="3"/>
        <v>3115.9100000000044</v>
      </c>
      <c r="F22" s="125">
        <f>SUM(F20:F21)</f>
        <v>3546.2999999999979</v>
      </c>
      <c r="G22" s="125">
        <f>SUM(G20:G21)</f>
        <v>3722.1700000000028</v>
      </c>
      <c r="H22" s="125">
        <f>SUM(H20:H21)</f>
        <v>3466.3500000000076</v>
      </c>
      <c r="I22"/>
    </row>
    <row r="23" spans="2:9" ht="18" thickTop="1" x14ac:dyDescent="0.3">
      <c r="E23" s="84"/>
      <c r="F23" s="84"/>
      <c r="G23" s="84"/>
    </row>
    <row r="24" spans="2:9" x14ac:dyDescent="0.3">
      <c r="E24" s="85"/>
      <c r="F24" s="85"/>
      <c r="G24" s="85"/>
    </row>
    <row r="25" spans="2:9" x14ac:dyDescent="0.3">
      <c r="E25" s="85"/>
      <c r="F25" s="85"/>
      <c r="G25" s="8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AA72-C6CF-FE42-B781-0003FCEFC8D7}">
  <dimension ref="B1:J58"/>
  <sheetViews>
    <sheetView showGridLines="0" topLeftCell="A16" zoomScale="110" zoomScaleNormal="110" workbookViewId="0">
      <selection activeCell="K7" sqref="K7"/>
    </sheetView>
  </sheetViews>
  <sheetFormatPr defaultColWidth="10.8984375" defaultRowHeight="17.399999999999999" x14ac:dyDescent="0.3"/>
  <cols>
    <col min="1" max="1" width="2.09765625" style="80" customWidth="1"/>
    <col min="2" max="2" width="37.3984375" style="80" bestFit="1" customWidth="1"/>
    <col min="3" max="4" width="11.3984375" style="80" customWidth="1"/>
    <col min="5" max="7" width="12.8984375" style="80" bestFit="1" customWidth="1"/>
    <col min="8" max="8" width="13.09765625" style="80" customWidth="1"/>
    <col min="9" max="16384" width="10.8984375" style="80"/>
  </cols>
  <sheetData>
    <row r="1" spans="2:10" x14ac:dyDescent="0.3">
      <c r="B1" s="79" t="s">
        <v>23</v>
      </c>
      <c r="C1" s="79"/>
      <c r="D1" s="79"/>
    </row>
    <row r="2" spans="2:10" ht="18" x14ac:dyDescent="0.35">
      <c r="B2" s="81" t="s">
        <v>30</v>
      </c>
      <c r="C2" s="81"/>
      <c r="D2" s="81"/>
    </row>
    <row r="4" spans="2:10" x14ac:dyDescent="0.3">
      <c r="B4" s="82" t="s">
        <v>31</v>
      </c>
      <c r="C4" s="83">
        <v>41699</v>
      </c>
      <c r="D4" s="83">
        <v>42064</v>
      </c>
      <c r="E4" s="83">
        <v>42430</v>
      </c>
      <c r="F4" s="83">
        <v>42795</v>
      </c>
      <c r="G4" s="83">
        <v>43160</v>
      </c>
      <c r="H4" s="83">
        <v>43525</v>
      </c>
    </row>
    <row r="5" spans="2:10" ht="18" x14ac:dyDescent="0.35">
      <c r="B5" s="126" t="s">
        <v>86</v>
      </c>
      <c r="C5" s="127"/>
      <c r="D5" s="127"/>
      <c r="E5" s="127"/>
      <c r="F5" s="127"/>
      <c r="G5" s="127"/>
      <c r="H5"/>
      <c r="I5"/>
      <c r="J5"/>
    </row>
    <row r="6" spans="2:10" ht="18" x14ac:dyDescent="0.35">
      <c r="B6" s="128" t="s">
        <v>87</v>
      </c>
      <c r="C6" s="127"/>
      <c r="D6" s="127"/>
      <c r="E6" s="129"/>
      <c r="F6" s="127"/>
      <c r="G6" s="127"/>
      <c r="H6"/>
      <c r="I6"/>
      <c r="J6"/>
    </row>
    <row r="7" spans="2:10" ht="18" x14ac:dyDescent="0.35">
      <c r="B7" s="127" t="s">
        <v>88</v>
      </c>
      <c r="C7" s="127">
        <v>1897.27</v>
      </c>
      <c r="D7" s="127">
        <v>2851</v>
      </c>
      <c r="E7" s="127">
        <v>3907</v>
      </c>
      <c r="F7" s="127">
        <v>4495.03</v>
      </c>
      <c r="G7" s="127">
        <v>4771.3900000000003</v>
      </c>
      <c r="H7" s="130">
        <v>4792.5</v>
      </c>
      <c r="I7" s="131" t="s">
        <v>69</v>
      </c>
      <c r="J7"/>
    </row>
    <row r="8" spans="2:10" ht="18" x14ac:dyDescent="0.35">
      <c r="B8" s="127" t="s">
        <v>89</v>
      </c>
      <c r="C8" s="127">
        <v>855</v>
      </c>
      <c r="D8" s="127">
        <v>315</v>
      </c>
      <c r="E8" s="127">
        <v>331</v>
      </c>
      <c r="F8" s="127">
        <v>386.5</v>
      </c>
      <c r="G8" s="127">
        <v>239.02</v>
      </c>
      <c r="H8">
        <v>384.85</v>
      </c>
      <c r="I8" s="131" t="s">
        <v>69</v>
      </c>
      <c r="J8"/>
    </row>
    <row r="9" spans="2:10" ht="18" x14ac:dyDescent="0.35">
      <c r="B9" s="127" t="s">
        <v>90</v>
      </c>
      <c r="C9" s="127">
        <v>350</v>
      </c>
      <c r="D9" s="127">
        <v>101</v>
      </c>
      <c r="E9" s="127">
        <v>129.07</v>
      </c>
      <c r="F9" s="127">
        <v>103.82</v>
      </c>
      <c r="G9" s="127">
        <v>189.57</v>
      </c>
      <c r="H9">
        <v>159.86000000000001</v>
      </c>
      <c r="I9" s="131" t="s">
        <v>69</v>
      </c>
      <c r="J9"/>
    </row>
    <row r="10" spans="2:10" ht="18" x14ac:dyDescent="0.35">
      <c r="B10" s="127" t="s">
        <v>91</v>
      </c>
      <c r="C10" s="127">
        <v>0</v>
      </c>
      <c r="D10" s="127">
        <v>404</v>
      </c>
      <c r="E10" s="127">
        <v>323</v>
      </c>
      <c r="F10" s="127">
        <v>194.46</v>
      </c>
      <c r="G10" s="127">
        <v>116.46</v>
      </c>
      <c r="H10">
        <v>187.97</v>
      </c>
      <c r="I10" s="131" t="s">
        <v>69</v>
      </c>
      <c r="J10"/>
    </row>
    <row r="11" spans="2:10" ht="18" x14ac:dyDescent="0.35">
      <c r="B11" s="127" t="s">
        <v>92</v>
      </c>
      <c r="C11" s="127">
        <v>0</v>
      </c>
      <c r="D11" s="127">
        <v>708</v>
      </c>
      <c r="E11" s="127">
        <v>950</v>
      </c>
      <c r="F11" s="127">
        <v>1025.3699999999999</v>
      </c>
      <c r="G11" s="127">
        <v>1159.6300000000001</v>
      </c>
      <c r="H11" s="130">
        <v>1705.89</v>
      </c>
      <c r="I11" s="131" t="s">
        <v>78</v>
      </c>
      <c r="J11"/>
    </row>
    <row r="12" spans="2:10" ht="18" x14ac:dyDescent="0.35">
      <c r="B12" s="127" t="s">
        <v>93</v>
      </c>
      <c r="C12" s="127">
        <v>878</v>
      </c>
      <c r="D12" s="127">
        <v>821.15</v>
      </c>
      <c r="E12" s="127">
        <v>945</v>
      </c>
      <c r="F12" s="127">
        <v>496.94</v>
      </c>
      <c r="G12" s="127">
        <v>918.49</v>
      </c>
      <c r="H12" s="130">
        <v>1234.06</v>
      </c>
      <c r="I12" s="131" t="s">
        <v>78</v>
      </c>
      <c r="J12"/>
    </row>
    <row r="13" spans="2:10" ht="18" x14ac:dyDescent="0.35">
      <c r="B13" s="127" t="s">
        <v>94</v>
      </c>
      <c r="C13" s="127">
        <v>477</v>
      </c>
      <c r="D13" s="127">
        <v>0</v>
      </c>
      <c r="E13" s="127">
        <v>0</v>
      </c>
      <c r="F13" s="127">
        <v>23.13</v>
      </c>
      <c r="G13" s="127">
        <v>22.3</v>
      </c>
      <c r="H13">
        <v>60.190000000000332</v>
      </c>
      <c r="I13" s="131" t="s">
        <v>78</v>
      </c>
      <c r="J13"/>
    </row>
    <row r="14" spans="2:10" ht="18" x14ac:dyDescent="0.35">
      <c r="B14" s="127" t="s">
        <v>95</v>
      </c>
      <c r="C14" s="127">
        <v>106</v>
      </c>
      <c r="D14" s="127">
        <v>74</v>
      </c>
      <c r="E14" s="127">
        <v>0</v>
      </c>
      <c r="F14" s="127">
        <v>0</v>
      </c>
      <c r="G14" s="127">
        <v>0</v>
      </c>
      <c r="H14" s="127">
        <v>0</v>
      </c>
      <c r="I14" s="131"/>
      <c r="J14"/>
    </row>
    <row r="15" spans="2:10" ht="18" x14ac:dyDescent="0.35">
      <c r="B15" s="127" t="s">
        <v>96</v>
      </c>
      <c r="C15" s="127">
        <v>0</v>
      </c>
      <c r="D15" s="127">
        <v>0</v>
      </c>
      <c r="E15" s="127">
        <v>0</v>
      </c>
      <c r="F15" s="127">
        <v>25.39</v>
      </c>
      <c r="G15" s="127">
        <v>23.55</v>
      </c>
      <c r="H15">
        <v>33.799999999999997</v>
      </c>
      <c r="I15" s="131" t="s">
        <v>69</v>
      </c>
      <c r="J15"/>
    </row>
    <row r="16" spans="2:10" ht="18" x14ac:dyDescent="0.35">
      <c r="B16" s="127" t="s">
        <v>97</v>
      </c>
      <c r="C16" s="127">
        <v>0</v>
      </c>
      <c r="D16" s="127">
        <v>0</v>
      </c>
      <c r="E16" s="127">
        <v>0</v>
      </c>
      <c r="F16" s="127">
        <v>332.5</v>
      </c>
      <c r="G16" s="127">
        <v>394.51</v>
      </c>
      <c r="H16">
        <v>855.62</v>
      </c>
      <c r="I16" s="131" t="s">
        <v>69</v>
      </c>
      <c r="J16"/>
    </row>
    <row r="17" spans="2:10" ht="18" x14ac:dyDescent="0.35">
      <c r="B17" s="132" t="s">
        <v>98</v>
      </c>
      <c r="C17" s="127">
        <v>0</v>
      </c>
      <c r="D17" s="127">
        <v>0</v>
      </c>
      <c r="E17" s="127">
        <v>0</v>
      </c>
      <c r="F17" s="127">
        <v>658.35</v>
      </c>
      <c r="G17" s="127">
        <v>559.58000000000004</v>
      </c>
      <c r="H17">
        <v>676.46</v>
      </c>
      <c r="I17" s="131" t="s">
        <v>69</v>
      </c>
      <c r="J17"/>
    </row>
    <row r="18" spans="2:10" ht="18" x14ac:dyDescent="0.35">
      <c r="B18" s="133" t="s">
        <v>99</v>
      </c>
      <c r="C18" s="134">
        <f>SUM(C7:C17)</f>
        <v>4563.2700000000004</v>
      </c>
      <c r="D18" s="134">
        <f t="shared" ref="D18:F18" si="0">SUM(D7:D17)</f>
        <v>5274.15</v>
      </c>
      <c r="E18" s="134">
        <f t="shared" si="0"/>
        <v>6585.07</v>
      </c>
      <c r="F18" s="134">
        <f t="shared" si="0"/>
        <v>7741.49</v>
      </c>
      <c r="G18" s="134">
        <f>SUM(G7:G17)</f>
        <v>8394.5000000000018</v>
      </c>
      <c r="H18" s="134">
        <f>SUM(H7:H17)</f>
        <v>10091.200000000001</v>
      </c>
      <c r="I18" s="127"/>
      <c r="J18"/>
    </row>
    <row r="19" spans="2:10" ht="18" x14ac:dyDescent="0.35">
      <c r="B19" s="127"/>
      <c r="C19" s="127"/>
      <c r="D19" s="127"/>
      <c r="E19" s="127"/>
      <c r="F19" s="127"/>
      <c r="G19" s="127"/>
      <c r="H19" s="127"/>
      <c r="I19" s="127"/>
      <c r="J19"/>
    </row>
    <row r="20" spans="2:10" ht="18" x14ac:dyDescent="0.35">
      <c r="B20" s="127"/>
      <c r="C20" s="127"/>
      <c r="D20" s="127"/>
      <c r="E20" s="127"/>
      <c r="F20" s="127"/>
      <c r="G20" s="127"/>
      <c r="H20" s="127"/>
      <c r="I20" s="127"/>
      <c r="J20"/>
    </row>
    <row r="21" spans="2:10" ht="18" x14ac:dyDescent="0.35">
      <c r="B21" s="128" t="s">
        <v>100</v>
      </c>
      <c r="C21" s="127"/>
      <c r="D21" s="127"/>
      <c r="E21" s="127"/>
      <c r="F21" s="127"/>
      <c r="G21" s="127"/>
      <c r="H21" s="127"/>
      <c r="I21" s="127"/>
      <c r="J21"/>
    </row>
    <row r="22" spans="2:10" ht="18" x14ac:dyDescent="0.35">
      <c r="B22" s="127" t="s">
        <v>101</v>
      </c>
      <c r="C22" s="127">
        <v>669.55</v>
      </c>
      <c r="D22" s="127">
        <v>861.0200000000001</v>
      </c>
      <c r="E22" s="127">
        <v>761.99</v>
      </c>
      <c r="F22" s="127">
        <v>708.58</v>
      </c>
      <c r="G22" s="127">
        <v>962.68</v>
      </c>
      <c r="H22" s="130">
        <v>1249.53</v>
      </c>
      <c r="I22" s="131" t="s">
        <v>69</v>
      </c>
      <c r="J22"/>
    </row>
    <row r="23" spans="2:10" ht="18" x14ac:dyDescent="0.35">
      <c r="B23" s="127" t="s">
        <v>102</v>
      </c>
      <c r="C23" s="127">
        <v>3275.89</v>
      </c>
      <c r="D23" s="127">
        <v>2297</v>
      </c>
      <c r="E23" s="127">
        <v>3249</v>
      </c>
      <c r="F23" s="127">
        <v>4544.0600000000004</v>
      </c>
      <c r="G23" s="127">
        <v>5591.12</v>
      </c>
      <c r="H23" s="130">
        <v>3173.88</v>
      </c>
      <c r="I23" s="131" t="s">
        <v>78</v>
      </c>
      <c r="J23"/>
    </row>
    <row r="24" spans="2:10" ht="18" x14ac:dyDescent="0.35">
      <c r="B24" s="127" t="s">
        <v>103</v>
      </c>
      <c r="C24" s="127">
        <v>920.58</v>
      </c>
      <c r="D24" s="127">
        <v>1371.82</v>
      </c>
      <c r="E24" s="127">
        <v>1282.07</v>
      </c>
      <c r="F24" s="127">
        <v>1551.75</v>
      </c>
      <c r="G24" s="127">
        <v>1426.97</v>
      </c>
      <c r="H24" s="130">
        <v>2745.11</v>
      </c>
      <c r="I24" s="131" t="s">
        <v>69</v>
      </c>
      <c r="J24"/>
    </row>
    <row r="25" spans="2:10" ht="18" x14ac:dyDescent="0.35">
      <c r="B25" s="127" t="s">
        <v>104</v>
      </c>
      <c r="C25" s="127">
        <v>120</v>
      </c>
      <c r="D25" s="127">
        <v>216</v>
      </c>
      <c r="E25" s="127">
        <v>179</v>
      </c>
      <c r="F25" s="127">
        <v>74.06</v>
      </c>
      <c r="G25" s="127">
        <v>130.61000000000001</v>
      </c>
      <c r="H25">
        <v>208.12</v>
      </c>
      <c r="I25" s="131" t="s">
        <v>69</v>
      </c>
      <c r="J25"/>
    </row>
    <row r="26" spans="2:10" ht="18" x14ac:dyDescent="0.35">
      <c r="B26" s="127" t="s">
        <v>105</v>
      </c>
      <c r="C26" s="127">
        <v>0</v>
      </c>
      <c r="D26" s="127">
        <v>0</v>
      </c>
      <c r="E26" s="127">
        <v>0</v>
      </c>
      <c r="F26" s="127">
        <v>121.33</v>
      </c>
      <c r="G26" s="127">
        <v>106.96</v>
      </c>
      <c r="H26">
        <v>95.78</v>
      </c>
      <c r="I26" s="131" t="s">
        <v>69</v>
      </c>
      <c r="J26"/>
    </row>
    <row r="27" spans="2:10" ht="18" x14ac:dyDescent="0.35">
      <c r="B27" s="127" t="s">
        <v>106</v>
      </c>
      <c r="C27" s="127">
        <v>18.36</v>
      </c>
      <c r="D27" s="127">
        <v>23.86</v>
      </c>
      <c r="E27" s="127">
        <v>23</v>
      </c>
      <c r="F27" s="127">
        <v>21.73</v>
      </c>
      <c r="G27" s="127">
        <v>21.41</v>
      </c>
      <c r="H27">
        <v>23.22</v>
      </c>
      <c r="I27" s="131" t="s">
        <v>78</v>
      </c>
      <c r="J27"/>
    </row>
    <row r="28" spans="2:10" ht="18" x14ac:dyDescent="0.35">
      <c r="B28" s="127" t="s">
        <v>96</v>
      </c>
      <c r="C28" s="127">
        <v>1.07</v>
      </c>
      <c r="D28" s="127">
        <v>0</v>
      </c>
      <c r="E28" s="127">
        <v>0</v>
      </c>
      <c r="F28" s="127">
        <v>3.2</v>
      </c>
      <c r="G28" s="127">
        <v>7.09</v>
      </c>
      <c r="H28">
        <v>1.86</v>
      </c>
      <c r="I28" s="131" t="s">
        <v>69</v>
      </c>
      <c r="J28"/>
    </row>
    <row r="29" spans="2:10" ht="18" x14ac:dyDescent="0.35">
      <c r="B29" s="127" t="s">
        <v>107</v>
      </c>
      <c r="C29" s="127">
        <v>22</v>
      </c>
      <c r="D29" s="127">
        <v>60</v>
      </c>
      <c r="E29" s="127">
        <v>79</v>
      </c>
      <c r="F29" s="127">
        <v>145.02000000000001</v>
      </c>
      <c r="G29" s="127">
        <v>543.28</v>
      </c>
      <c r="H29">
        <v>654.19000000000005</v>
      </c>
      <c r="I29" s="131" t="s">
        <v>69</v>
      </c>
      <c r="J29"/>
    </row>
    <row r="30" spans="2:10" ht="18" x14ac:dyDescent="0.35">
      <c r="B30" s="127" t="s">
        <v>108</v>
      </c>
      <c r="C30" s="127">
        <v>531</v>
      </c>
      <c r="D30" s="127">
        <v>550</v>
      </c>
      <c r="E30" s="127">
        <v>512</v>
      </c>
      <c r="F30" s="127">
        <v>400.78</v>
      </c>
      <c r="G30" s="127">
        <v>212.11</v>
      </c>
      <c r="H30">
        <v>261.52</v>
      </c>
      <c r="I30" s="131" t="s">
        <v>69</v>
      </c>
      <c r="J30"/>
    </row>
    <row r="31" spans="2:10" ht="18" x14ac:dyDescent="0.35">
      <c r="B31" s="135" t="s">
        <v>109</v>
      </c>
      <c r="C31" s="134">
        <f t="shared" ref="C31:F31" si="1">SUM(C22:C30)</f>
        <v>5558.4499999999989</v>
      </c>
      <c r="D31" s="134">
        <f t="shared" si="1"/>
        <v>5379.7</v>
      </c>
      <c r="E31" s="134">
        <f t="shared" si="1"/>
        <v>6086.0599999999995</v>
      </c>
      <c r="F31" s="134">
        <f t="shared" si="1"/>
        <v>7570.51</v>
      </c>
      <c r="G31" s="134">
        <f>SUM(G22:G30)</f>
        <v>9002.2300000000014</v>
      </c>
      <c r="H31" s="134">
        <f>SUM(H22:H30)</f>
        <v>8413.2100000000009</v>
      </c>
      <c r="I31" s="127"/>
      <c r="J31"/>
    </row>
    <row r="32" spans="2:10" ht="18" x14ac:dyDescent="0.35">
      <c r="B32" s="136" t="s">
        <v>110</v>
      </c>
      <c r="C32" s="136">
        <f t="shared" ref="C32:F32" si="2">SUM(C18+C31)</f>
        <v>10121.719999999999</v>
      </c>
      <c r="D32" s="136">
        <f t="shared" si="2"/>
        <v>10653.849999999999</v>
      </c>
      <c r="E32" s="136">
        <f t="shared" si="2"/>
        <v>12671.13</v>
      </c>
      <c r="F32" s="136">
        <f t="shared" si="2"/>
        <v>15312</v>
      </c>
      <c r="G32" s="136">
        <f>SUM(G18+G31)</f>
        <v>17396.730000000003</v>
      </c>
      <c r="H32" s="136">
        <f>SUM(H18+H31)</f>
        <v>18504.410000000003</v>
      </c>
      <c r="I32" s="127"/>
      <c r="J32"/>
    </row>
    <row r="33" spans="2:10" ht="18" x14ac:dyDescent="0.35">
      <c r="B33" s="127"/>
      <c r="C33" s="127"/>
      <c r="D33" s="127"/>
      <c r="E33" s="127"/>
      <c r="F33" s="127"/>
      <c r="G33" s="127"/>
      <c r="H33" s="127"/>
      <c r="I33" s="127"/>
      <c r="J33"/>
    </row>
    <row r="34" spans="2:10" ht="18" x14ac:dyDescent="0.35">
      <c r="B34" s="127"/>
      <c r="C34" s="127"/>
      <c r="D34" s="127"/>
      <c r="E34" s="127"/>
      <c r="F34" s="127"/>
      <c r="G34" s="127"/>
      <c r="H34" s="127"/>
      <c r="I34" s="127"/>
      <c r="J34"/>
    </row>
    <row r="35" spans="2:10" ht="18" x14ac:dyDescent="0.35">
      <c r="B35" s="127"/>
      <c r="C35" s="127"/>
      <c r="D35" s="127"/>
      <c r="E35" s="127"/>
      <c r="F35" s="127"/>
      <c r="G35" s="127"/>
      <c r="H35" s="127"/>
      <c r="I35" s="127"/>
      <c r="J35"/>
    </row>
    <row r="36" spans="2:10" ht="18" x14ac:dyDescent="0.35">
      <c r="B36" s="137" t="s">
        <v>31</v>
      </c>
      <c r="C36" s="137"/>
      <c r="D36" s="137"/>
      <c r="E36" s="137"/>
      <c r="F36" s="137"/>
      <c r="G36" s="137"/>
      <c r="H36" s="137"/>
      <c r="I36" s="127"/>
      <c r="J36"/>
    </row>
    <row r="37" spans="2:10" ht="18" x14ac:dyDescent="0.35">
      <c r="B37" s="126" t="s">
        <v>111</v>
      </c>
      <c r="C37" s="127"/>
      <c r="D37" s="127"/>
      <c r="E37" s="127"/>
      <c r="F37" s="127"/>
      <c r="G37" s="127"/>
      <c r="H37" s="127"/>
      <c r="I37" s="127"/>
      <c r="J37"/>
    </row>
    <row r="38" spans="2:10" ht="18" x14ac:dyDescent="0.35">
      <c r="B38" s="128" t="s">
        <v>112</v>
      </c>
      <c r="C38" s="127"/>
      <c r="D38" s="127"/>
      <c r="E38" s="127"/>
      <c r="F38" s="127"/>
      <c r="G38" s="127"/>
      <c r="H38" s="127"/>
      <c r="I38" s="127"/>
      <c r="J38"/>
    </row>
    <row r="39" spans="2:10" ht="18" x14ac:dyDescent="0.35">
      <c r="B39" s="127" t="s">
        <v>113</v>
      </c>
      <c r="C39" s="127">
        <v>39.9</v>
      </c>
      <c r="D39" s="127">
        <v>39.9</v>
      </c>
      <c r="E39" s="127">
        <v>39.94</v>
      </c>
      <c r="F39" s="127">
        <v>39.94</v>
      </c>
      <c r="G39" s="127">
        <v>39.94</v>
      </c>
      <c r="H39">
        <v>39.950000000000003</v>
      </c>
      <c r="I39" s="131" t="s">
        <v>78</v>
      </c>
      <c r="J39"/>
    </row>
    <row r="40" spans="2:10" ht="18" x14ac:dyDescent="0.35">
      <c r="B40" s="127" t="s">
        <v>114</v>
      </c>
      <c r="C40" s="127">
        <v>5582.7</v>
      </c>
      <c r="D40" s="127">
        <v>6500.1</v>
      </c>
      <c r="E40" s="127">
        <v>7912.7</v>
      </c>
      <c r="F40" s="127">
        <v>10275.57</v>
      </c>
      <c r="G40" s="127">
        <v>11931.52</v>
      </c>
      <c r="H40" s="130">
        <v>13080.46</v>
      </c>
      <c r="I40" s="131" t="s">
        <v>78</v>
      </c>
      <c r="J40"/>
    </row>
    <row r="41" spans="2:10" ht="18" x14ac:dyDescent="0.35">
      <c r="B41" s="127" t="s">
        <v>115</v>
      </c>
      <c r="C41" s="127">
        <v>0.9</v>
      </c>
      <c r="D41" s="127">
        <v>18.5</v>
      </c>
      <c r="E41" s="127">
        <v>53.6</v>
      </c>
      <c r="F41" s="127">
        <v>67.38</v>
      </c>
      <c r="G41" s="127">
        <v>93.21</v>
      </c>
      <c r="H41">
        <v>116.11</v>
      </c>
      <c r="I41" s="131" t="s">
        <v>78</v>
      </c>
      <c r="J41"/>
    </row>
    <row r="42" spans="2:10" ht="18" x14ac:dyDescent="0.35">
      <c r="B42" s="127" t="s">
        <v>116</v>
      </c>
      <c r="C42" s="127">
        <v>0</v>
      </c>
      <c r="D42" s="127">
        <v>12</v>
      </c>
      <c r="E42" s="127">
        <v>146</v>
      </c>
      <c r="F42" s="127">
        <v>207.9</v>
      </c>
      <c r="G42" s="127">
        <v>149.63</v>
      </c>
      <c r="H42">
        <v>124.84</v>
      </c>
      <c r="I42" s="131" t="s">
        <v>78</v>
      </c>
      <c r="J42"/>
    </row>
    <row r="43" spans="2:10" ht="18" x14ac:dyDescent="0.35">
      <c r="B43" s="127" t="s">
        <v>117</v>
      </c>
      <c r="C43" s="127">
        <v>8.6999999999999993</v>
      </c>
      <c r="D43" s="127">
        <v>10.199999999999999</v>
      </c>
      <c r="E43" s="127">
        <v>15.7</v>
      </c>
      <c r="F43" s="127">
        <v>0</v>
      </c>
      <c r="G43" s="127">
        <v>0</v>
      </c>
      <c r="H43" s="127">
        <v>0</v>
      </c>
      <c r="I43" s="131"/>
      <c r="J43"/>
    </row>
    <row r="44" spans="2:10" ht="18" x14ac:dyDescent="0.35">
      <c r="B44" s="127" t="s">
        <v>118</v>
      </c>
      <c r="C44" s="127">
        <v>24.5</v>
      </c>
      <c r="D44" s="127">
        <v>31.3</v>
      </c>
      <c r="E44" s="127">
        <v>34.9</v>
      </c>
      <c r="F44" s="127">
        <v>16.170000000000002</v>
      </c>
      <c r="G44" s="127">
        <v>25.94</v>
      </c>
      <c r="H44">
        <v>28.41</v>
      </c>
      <c r="I44" s="131" t="s">
        <v>78</v>
      </c>
      <c r="J44"/>
    </row>
    <row r="45" spans="2:10" ht="18" x14ac:dyDescent="0.35">
      <c r="B45" s="127" t="s">
        <v>119</v>
      </c>
      <c r="C45" s="127">
        <v>41.4</v>
      </c>
      <c r="D45" s="127">
        <v>56.1</v>
      </c>
      <c r="E45" s="127">
        <v>69</v>
      </c>
      <c r="F45" s="127">
        <v>59.45</v>
      </c>
      <c r="G45" s="127">
        <v>93.24</v>
      </c>
      <c r="H45">
        <v>92.53</v>
      </c>
      <c r="I45" s="131" t="s">
        <v>69</v>
      </c>
      <c r="J45"/>
    </row>
    <row r="46" spans="2:10" ht="18" x14ac:dyDescent="0.35">
      <c r="B46" s="127" t="s">
        <v>120</v>
      </c>
      <c r="C46" s="127">
        <v>0</v>
      </c>
      <c r="D46" s="127">
        <v>0</v>
      </c>
      <c r="E46" s="127">
        <v>227.8</v>
      </c>
      <c r="F46" s="127">
        <v>468.9</v>
      </c>
      <c r="G46" s="127">
        <v>581.89</v>
      </c>
      <c r="H46">
        <v>612.88</v>
      </c>
      <c r="I46" s="131" t="s">
        <v>78</v>
      </c>
      <c r="J46"/>
    </row>
    <row r="47" spans="2:10" ht="18" x14ac:dyDescent="0.35">
      <c r="B47" s="135" t="s">
        <v>121</v>
      </c>
      <c r="C47" s="135">
        <f t="shared" ref="C47:F47" si="3">SUM(C39:C46)</f>
        <v>5698.0999999999985</v>
      </c>
      <c r="D47" s="135">
        <f t="shared" si="3"/>
        <v>6668.1</v>
      </c>
      <c r="E47" s="135">
        <f t="shared" si="3"/>
        <v>8499.64</v>
      </c>
      <c r="F47" s="135">
        <f t="shared" si="3"/>
        <v>11135.31</v>
      </c>
      <c r="G47" s="135">
        <f>SUM(G39:G46)</f>
        <v>12915.369999999999</v>
      </c>
      <c r="H47" s="135">
        <f>SUM(H39:H46)</f>
        <v>14095.18</v>
      </c>
      <c r="I47" s="127"/>
      <c r="J47"/>
    </row>
    <row r="48" spans="2:10" ht="18" x14ac:dyDescent="0.35">
      <c r="B48" s="127"/>
      <c r="C48" s="127"/>
      <c r="D48" s="127"/>
      <c r="E48" s="127"/>
      <c r="F48" s="127"/>
      <c r="G48" s="127"/>
      <c r="H48" s="127"/>
      <c r="I48" s="127"/>
      <c r="J48"/>
    </row>
    <row r="49" spans="2:10" ht="18" x14ac:dyDescent="0.35">
      <c r="B49" s="128" t="s">
        <v>122</v>
      </c>
      <c r="C49" s="127"/>
      <c r="D49" s="127"/>
      <c r="E49" s="127"/>
      <c r="F49" s="127"/>
      <c r="G49" s="127"/>
      <c r="H49" s="127"/>
      <c r="I49" s="127"/>
      <c r="J49"/>
    </row>
    <row r="50" spans="2:10" ht="18" x14ac:dyDescent="0.35">
      <c r="B50" s="127" t="s">
        <v>123</v>
      </c>
      <c r="C50" s="127">
        <v>0</v>
      </c>
      <c r="D50" s="127">
        <v>87.599999999999014</v>
      </c>
      <c r="E50" s="127">
        <v>84.1</v>
      </c>
      <c r="F50" s="127">
        <v>40.08</v>
      </c>
      <c r="G50" s="127">
        <v>75.37</v>
      </c>
      <c r="H50">
        <v>183.68</v>
      </c>
      <c r="I50" s="131" t="s">
        <v>78</v>
      </c>
      <c r="J50"/>
    </row>
    <row r="51" spans="2:10" ht="18" x14ac:dyDescent="0.35">
      <c r="B51" s="127" t="s">
        <v>124</v>
      </c>
      <c r="C51" s="127">
        <v>2291</v>
      </c>
      <c r="D51" s="127">
        <v>2713.1</v>
      </c>
      <c r="E51" s="127">
        <v>2791.7</v>
      </c>
      <c r="F51" s="127">
        <v>3266.2</v>
      </c>
      <c r="G51" s="127">
        <v>3375.26</v>
      </c>
      <c r="H51" s="130">
        <v>3438.24</v>
      </c>
      <c r="I51" s="131" t="s">
        <v>69</v>
      </c>
      <c r="J51"/>
    </row>
    <row r="52" spans="2:10" ht="18" x14ac:dyDescent="0.35">
      <c r="B52" s="127" t="s">
        <v>125</v>
      </c>
      <c r="C52" s="127">
        <v>540.4</v>
      </c>
      <c r="D52" s="127">
        <v>399.1</v>
      </c>
      <c r="E52" s="127">
        <v>442.1500000000018</v>
      </c>
      <c r="F52" s="127">
        <f>371.21-F53</f>
        <v>308.74</v>
      </c>
      <c r="G52" s="127">
        <f>205.49-G53</f>
        <v>147.80000000000001</v>
      </c>
      <c r="H52">
        <v>167</v>
      </c>
      <c r="I52" s="131" t="s">
        <v>78</v>
      </c>
      <c r="J52"/>
    </row>
    <row r="53" spans="2:10" ht="18" x14ac:dyDescent="0.35">
      <c r="B53" s="127" t="s">
        <v>126</v>
      </c>
      <c r="C53" s="127">
        <v>47.8</v>
      </c>
      <c r="D53" s="127">
        <v>51.6</v>
      </c>
      <c r="E53" s="127">
        <v>54.6</v>
      </c>
      <c r="F53" s="127">
        <v>62.47</v>
      </c>
      <c r="G53" s="127">
        <v>57.69</v>
      </c>
      <c r="H53">
        <v>59.75</v>
      </c>
      <c r="I53" s="131" t="s">
        <v>69</v>
      </c>
      <c r="J53"/>
    </row>
    <row r="54" spans="2:10" ht="18" x14ac:dyDescent="0.35">
      <c r="B54" s="127" t="s">
        <v>127</v>
      </c>
      <c r="C54" s="127">
        <v>1534.2</v>
      </c>
      <c r="D54" s="127">
        <v>721.2</v>
      </c>
      <c r="E54" s="127">
        <v>769.1</v>
      </c>
      <c r="F54" s="127">
        <v>456.63</v>
      </c>
      <c r="G54" s="127">
        <v>764.95</v>
      </c>
      <c r="H54">
        <v>500.82</v>
      </c>
      <c r="I54" s="131" t="s">
        <v>69</v>
      </c>
      <c r="J54"/>
    </row>
    <row r="55" spans="2:10" ht="18" x14ac:dyDescent="0.35">
      <c r="B55" s="127" t="s">
        <v>118</v>
      </c>
      <c r="C55" s="127">
        <v>2.9</v>
      </c>
      <c r="D55" s="127">
        <v>2.9</v>
      </c>
      <c r="E55" s="127">
        <v>3.7</v>
      </c>
      <c r="F55" s="127">
        <v>5.12</v>
      </c>
      <c r="G55" s="127">
        <v>5.37</v>
      </c>
      <c r="H55">
        <v>5.84</v>
      </c>
      <c r="I55" s="131" t="s">
        <v>78</v>
      </c>
      <c r="J55"/>
    </row>
    <row r="56" spans="2:10" ht="18" x14ac:dyDescent="0.35">
      <c r="B56" s="127" t="s">
        <v>119</v>
      </c>
      <c r="C56" s="127">
        <v>7.3</v>
      </c>
      <c r="D56" s="127">
        <v>10.3</v>
      </c>
      <c r="E56" s="127">
        <v>26.11</v>
      </c>
      <c r="F56" s="127">
        <v>37.450000000000003</v>
      </c>
      <c r="G56" s="127">
        <v>54.92</v>
      </c>
      <c r="H56">
        <v>53.87</v>
      </c>
      <c r="I56" s="131" t="s">
        <v>69</v>
      </c>
      <c r="J56"/>
    </row>
    <row r="57" spans="2:10" ht="18" x14ac:dyDescent="0.35">
      <c r="B57" s="134" t="s">
        <v>128</v>
      </c>
      <c r="C57" s="134">
        <f t="shared" ref="C57:F57" si="4">SUM(C50:C56)</f>
        <v>4423.6000000000004</v>
      </c>
      <c r="D57" s="134">
        <f t="shared" si="4"/>
        <v>3985.7999999999988</v>
      </c>
      <c r="E57" s="134">
        <f t="shared" si="4"/>
        <v>4171.4600000000009</v>
      </c>
      <c r="F57" s="134">
        <f t="shared" si="4"/>
        <v>4176.6899999999987</v>
      </c>
      <c r="G57" s="134">
        <f>SUM(G50:G56)</f>
        <v>4481.3600000000006</v>
      </c>
      <c r="H57" s="134">
        <f>SUM(H50:H56)</f>
        <v>4409.2</v>
      </c>
      <c r="I57"/>
      <c r="J57"/>
    </row>
    <row r="58" spans="2:10" ht="18" x14ac:dyDescent="0.35">
      <c r="B58" s="136" t="s">
        <v>129</v>
      </c>
      <c r="C58" s="136">
        <f t="shared" ref="C58:F58" si="5">SUM(C47+C57)</f>
        <v>10121.699999999999</v>
      </c>
      <c r="D58" s="136">
        <f t="shared" si="5"/>
        <v>10653.9</v>
      </c>
      <c r="E58" s="136">
        <f t="shared" si="5"/>
        <v>12671.1</v>
      </c>
      <c r="F58" s="136">
        <f t="shared" si="5"/>
        <v>15311.999999999998</v>
      </c>
      <c r="G58" s="136">
        <f>SUM(G47+G57)</f>
        <v>17396.73</v>
      </c>
      <c r="H58" s="136">
        <f>SUM(H47+H57)</f>
        <v>18504.38</v>
      </c>
      <c r="I58"/>
      <c r="J5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4007-BC84-4566-AFA9-A090E680DA94}">
  <sheetPr>
    <tabColor theme="4" tint="-0.499984740745262"/>
  </sheetPr>
  <dimension ref="B2:H9"/>
  <sheetViews>
    <sheetView tabSelected="1" workbookViewId="0">
      <selection activeCell="H11" sqref="H11"/>
    </sheetView>
  </sheetViews>
  <sheetFormatPr defaultRowHeight="15.6" x14ac:dyDescent="0.3"/>
  <cols>
    <col min="2" max="2" width="17.8984375" customWidth="1"/>
    <col min="4" max="4" width="13.8984375" customWidth="1"/>
    <col min="6" max="6" width="12.19921875" customWidth="1"/>
    <col min="7" max="7" width="14.796875" customWidth="1"/>
  </cols>
  <sheetData>
    <row r="2" spans="2:8" ht="25.8" x14ac:dyDescent="0.5">
      <c r="B2" s="155" t="s">
        <v>231</v>
      </c>
      <c r="C2" s="155"/>
    </row>
    <row r="4" spans="2:8" ht="31.2" x14ac:dyDescent="0.3">
      <c r="B4" s="157" t="s">
        <v>232</v>
      </c>
      <c r="C4" s="157" t="s">
        <v>233</v>
      </c>
      <c r="D4" s="157" t="s">
        <v>234</v>
      </c>
      <c r="F4" s="158" t="s">
        <v>240</v>
      </c>
      <c r="G4" s="158" t="s">
        <v>241</v>
      </c>
      <c r="H4" s="158" t="s">
        <v>232</v>
      </c>
    </row>
    <row r="5" spans="2:8" x14ac:dyDescent="0.3">
      <c r="B5" t="s">
        <v>235</v>
      </c>
      <c r="C5" t="s">
        <v>247</v>
      </c>
      <c r="D5" t="s">
        <v>252</v>
      </c>
      <c r="F5" t="s">
        <v>242</v>
      </c>
      <c r="G5" s="156">
        <v>44341</v>
      </c>
      <c r="H5" t="s">
        <v>257</v>
      </c>
    </row>
    <row r="6" spans="2:8" x14ac:dyDescent="0.3">
      <c r="B6" t="s">
        <v>236</v>
      </c>
      <c r="C6" t="s">
        <v>248</v>
      </c>
      <c r="D6" t="s">
        <v>253</v>
      </c>
      <c r="F6" t="s">
        <v>243</v>
      </c>
      <c r="G6" s="156">
        <v>44352</v>
      </c>
      <c r="H6" t="s">
        <v>258</v>
      </c>
    </row>
    <row r="7" spans="2:8" x14ac:dyDescent="0.3">
      <c r="B7" t="s">
        <v>238</v>
      </c>
      <c r="C7" t="s">
        <v>249</v>
      </c>
      <c r="D7" t="s">
        <v>254</v>
      </c>
      <c r="F7" t="s">
        <v>244</v>
      </c>
      <c r="G7" s="156">
        <v>44387</v>
      </c>
      <c r="H7" t="s">
        <v>259</v>
      </c>
    </row>
    <row r="8" spans="2:8" x14ac:dyDescent="0.3">
      <c r="B8" t="s">
        <v>237</v>
      </c>
      <c r="C8" t="s">
        <v>250</v>
      </c>
      <c r="D8" t="s">
        <v>255</v>
      </c>
      <c r="F8" t="s">
        <v>245</v>
      </c>
      <c r="G8" s="156">
        <v>44299</v>
      </c>
      <c r="H8" t="s">
        <v>260</v>
      </c>
    </row>
    <row r="9" spans="2:8" x14ac:dyDescent="0.3">
      <c r="B9" t="s">
        <v>239</v>
      </c>
      <c r="C9" t="s">
        <v>251</v>
      </c>
      <c r="D9" t="s">
        <v>256</v>
      </c>
      <c r="F9" t="s">
        <v>246</v>
      </c>
      <c r="G9" s="156">
        <v>44352</v>
      </c>
      <c r="H9" t="s">
        <v>261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Exercise</vt:lpstr>
      <vt:lpstr>1.Input --&gt;</vt:lpstr>
      <vt:lpstr>P&amp;L assumptions</vt:lpstr>
      <vt:lpstr>BS assumptions</vt:lpstr>
      <vt:lpstr>2.Output--&gt;</vt:lpstr>
      <vt:lpstr>P&amp;L</vt:lpstr>
      <vt:lpstr>BS</vt:lpstr>
      <vt:lpstr>Cash Flow</vt:lpstr>
      <vt:lpstr>DCF valuation</vt:lpstr>
      <vt:lpstr>WACC</vt:lpstr>
      <vt:lpstr>3.Sources --&gt;</vt:lpstr>
      <vt:lpstr>P&amp;L Source</vt:lpstr>
      <vt:lpstr>BS Source </vt:lpstr>
      <vt:lpstr>AI in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Abhijit 123</cp:lastModifiedBy>
  <dcterms:created xsi:type="dcterms:W3CDTF">2019-08-20T10:00:26Z</dcterms:created>
  <dcterms:modified xsi:type="dcterms:W3CDTF">2025-03-28T17:51:34Z</dcterms:modified>
</cp:coreProperties>
</file>