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nokom\Desktop\Link Africa\Vodacom\2023\BLUE STRIPE TA CONTRON IT - Car Service City - Sandton\V2\"/>
    </mc:Choice>
  </mc:AlternateContent>
  <xr:revisionPtr revIDLastSave="0" documentId="13_ncr:1_{1321A716-7EE8-4006-A3AB-E9697436FBA9}" xr6:coauthVersionLast="47" xr6:coauthVersionMax="47" xr10:uidLastSave="{00000000-0000-0000-0000-000000000000}"/>
  <bookViews>
    <workbookView xWindow="28680" yWindow="-120" windowWidth="29040" windowHeight="15840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r:id="rId4"/>
    <sheet name="FIBRE BUDGET CALC" sheetId="30" r:id="rId5"/>
    <sheet name="AERIAL REQUIREMENTS" sheetId="33" r:id="rId6"/>
    <sheet name="SPLICE PLAN" sheetId="31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INFO'!$A$1:$S$49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94" r:id="rId22"/>
    <pivotCache cacheId="97" r:id="rId23"/>
    <pivotCache cacheId="100" r:id="rId24"/>
    <pivotCache cacheId="10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7" i="23" l="1"/>
  <c r="B45" i="17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B46" i="9"/>
  <c r="C46" i="9"/>
  <c r="D46" i="9"/>
  <c r="E46" i="9"/>
  <c r="G46" i="9" s="1"/>
  <c r="G45" i="17" s="1"/>
  <c r="I47" i="25"/>
  <c r="F70" i="23"/>
  <c r="F77" i="23"/>
  <c r="F59" i="23"/>
  <c r="F145" i="9"/>
  <c r="F144" i="9"/>
  <c r="F71" i="9"/>
  <c r="F70" i="9"/>
  <c r="F61" i="9"/>
  <c r="F22" i="9"/>
  <c r="C62" i="22"/>
  <c r="C60" i="22"/>
  <c r="C57" i="22"/>
  <c r="F82" i="23" l="1"/>
  <c r="F78" i="23"/>
  <c r="AK46" i="9"/>
  <c r="Y45" i="17" s="1"/>
  <c r="V46" i="9"/>
  <c r="J45" i="17" s="1"/>
  <c r="I45" i="17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 s="1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69" i="10"/>
  <c r="F267" i="23" s="1"/>
  <c r="I74" i="10"/>
  <c r="I89" i="10"/>
  <c r="I72" i="10"/>
  <c r="I73" i="10"/>
  <c r="I75" i="10"/>
  <c r="I96" i="10"/>
  <c r="I97" i="10"/>
  <c r="I98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51" i="22"/>
  <c r="I44" i="22"/>
  <c r="I38" i="22"/>
  <c r="F44" i="22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F91" i="10"/>
  <c r="I102" i="10"/>
  <c r="I103" i="10"/>
  <c r="I101" i="10"/>
  <c r="C64" i="22" l="1"/>
  <c r="F45" i="22"/>
  <c r="AD45" i="9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I28" i="17" s="1"/>
  <c r="U30" i="9"/>
  <c r="U31" i="9"/>
  <c r="I30" i="17" s="1"/>
  <c r="U32" i="9"/>
  <c r="Y32" i="9" s="1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40" i="9" l="1"/>
  <c r="J39" i="17" s="1"/>
  <c r="G48" i="9"/>
  <c r="G47" i="17" s="1"/>
  <c r="I46" i="25"/>
  <c r="I45" i="25"/>
  <c r="I44" i="25"/>
  <c r="V33" i="9"/>
  <c r="J32" i="17" s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AD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J35" i="17" s="1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Z51" i="9"/>
  <c r="AC51" i="9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Q40" i="17" s="1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I39" i="17"/>
  <c r="I31" i="17"/>
  <c r="I49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G40" i="9"/>
  <c r="G39" i="17" s="1"/>
  <c r="G39" i="9"/>
  <c r="G38" i="17" s="1"/>
  <c r="Q39" i="17"/>
  <c r="Q31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66" i="10"/>
  <c r="F65" i="10"/>
  <c r="F64" i="10"/>
  <c r="F62" i="10"/>
  <c r="F61" i="10"/>
  <c r="I53" i="10"/>
  <c r="F93" i="10"/>
  <c r="I90" i="10"/>
  <c r="AD39" i="9" l="1"/>
  <c r="R38" i="17" s="1"/>
  <c r="AG31" i="9"/>
  <c r="AH31" i="9" s="1"/>
  <c r="M30" i="17"/>
  <c r="AG39" i="9"/>
  <c r="AH39" i="9" s="1"/>
  <c r="I48" i="25"/>
  <c r="AD24" i="9"/>
  <c r="M23" i="17"/>
  <c r="Z24" i="9"/>
  <c r="N23" i="17" s="1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Q34" i="17"/>
  <c r="M28" i="17"/>
  <c r="Q25" i="17"/>
  <c r="N24" i="17"/>
  <c r="M24" i="17"/>
  <c r="N51" i="17"/>
  <c r="Q51" i="17"/>
  <c r="R52" i="17"/>
  <c r="R48" i="17"/>
  <c r="R49" i="17"/>
  <c r="R39" i="17"/>
  <c r="U39" i="17"/>
  <c r="Q30" i="17"/>
  <c r="R31" i="17"/>
  <c r="U31" i="17"/>
  <c r="R22" i="17"/>
  <c r="Q23" i="17"/>
  <c r="I29" i="25"/>
  <c r="F72" i="10"/>
  <c r="F71" i="10"/>
  <c r="F70" i="10"/>
  <c r="F69" i="10"/>
  <c r="F68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72" i="10"/>
  <c r="C68" i="10"/>
  <c r="F158" i="23" s="1"/>
  <c r="F67" i="10"/>
  <c r="F63" i="10"/>
  <c r="C71" i="10"/>
  <c r="C70" i="10"/>
  <c r="C67" i="10"/>
  <c r="F156" i="23" s="1"/>
  <c r="C66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93" i="10"/>
  <c r="I67" i="10"/>
  <c r="I61" i="10"/>
  <c r="I62" i="10"/>
  <c r="I94" i="10"/>
  <c r="I91" i="10"/>
  <c r="I95" i="10"/>
  <c r="I63" i="10"/>
  <c r="I92" i="10"/>
  <c r="U38" i="17" l="1"/>
  <c r="D42" i="33"/>
  <c r="F117" i="23" s="1"/>
  <c r="D46" i="33"/>
  <c r="F121" i="23" s="1"/>
  <c r="D40" i="33"/>
  <c r="F115" i="23" s="1"/>
  <c r="D44" i="33"/>
  <c r="F119" i="23" s="1"/>
  <c r="D45" i="33"/>
  <c r="F120" i="23" s="1"/>
  <c r="D43" i="33"/>
  <c r="F118" i="23" s="1"/>
  <c r="D41" i="33"/>
  <c r="F116" i="23" s="1"/>
  <c r="U32" i="17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D55" i="33"/>
  <c r="F130" i="23" s="1"/>
  <c r="F211" i="9" s="1"/>
  <c r="D49" i="33"/>
  <c r="F124" i="23" s="1"/>
  <c r="F202" i="9" s="1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19" i="17" l="1"/>
  <c r="U28" i="17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92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79" i="10"/>
  <c r="I80" i="10"/>
  <c r="I77" i="10"/>
  <c r="I81" i="10"/>
  <c r="I78" i="10"/>
  <c r="I76" i="10"/>
  <c r="I82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9" i="10"/>
  <c r="A9" i="10" s="1"/>
  <c r="B10" i="10"/>
  <c r="A10" i="10" s="1"/>
  <c r="B11" i="10"/>
  <c r="A11" i="10" s="1"/>
  <c r="B12" i="10"/>
  <c r="A12" i="10" s="1"/>
  <c r="B13" i="10"/>
  <c r="A13" i="10" s="1"/>
  <c r="B14" i="10"/>
  <c r="A14" i="10" s="1"/>
  <c r="B15" i="10"/>
  <c r="A15" i="10" s="1"/>
  <c r="B16" i="10"/>
  <c r="A16" i="10" s="1"/>
  <c r="B17" i="10"/>
  <c r="A17" i="10" s="1"/>
  <c r="B18" i="10"/>
  <c r="A18" i="10" s="1"/>
  <c r="B19" i="10"/>
  <c r="A19" i="10" s="1"/>
  <c r="B20" i="10"/>
  <c r="A20" i="10" s="1"/>
  <c r="B21" i="10"/>
  <c r="A21" i="10" s="1"/>
  <c r="B22" i="10"/>
  <c r="A22" i="10" s="1"/>
  <c r="B23" i="10"/>
  <c r="A23" i="10" s="1"/>
  <c r="B24" i="10"/>
  <c r="A24" i="10" s="1"/>
  <c r="B25" i="10"/>
  <c r="A25" i="10" s="1"/>
  <c r="B26" i="10"/>
  <c r="A26" i="10" s="1"/>
  <c r="B27" i="10"/>
  <c r="A27" i="10" s="1"/>
  <c r="B28" i="10"/>
  <c r="A28" i="10" s="1"/>
  <c r="B29" i="10"/>
  <c r="A29" i="10" s="1"/>
  <c r="B30" i="10"/>
  <c r="A30" i="10" s="1"/>
  <c r="B31" i="10"/>
  <c r="A31" i="10" s="1"/>
  <c r="B32" i="10"/>
  <c r="A32" i="10" s="1"/>
  <c r="B33" i="10"/>
  <c r="A33" i="10" s="1"/>
  <c r="B34" i="10"/>
  <c r="A34" i="10" s="1"/>
  <c r="B35" i="10"/>
  <c r="A35" i="10" s="1"/>
  <c r="B36" i="10"/>
  <c r="A36" i="10" s="1"/>
  <c r="B37" i="10"/>
  <c r="A37" i="10" s="1"/>
  <c r="B38" i="10"/>
  <c r="A38" i="10" s="1"/>
  <c r="B39" i="10"/>
  <c r="A39" i="10" s="1"/>
  <c r="B40" i="10"/>
  <c r="A40" i="10" s="1"/>
  <c r="B41" i="10"/>
  <c r="A41" i="10" s="1"/>
  <c r="B42" i="10"/>
  <c r="A42" i="10" s="1"/>
  <c r="B43" i="10"/>
  <c r="A43" i="10" s="1"/>
  <c r="B44" i="10"/>
  <c r="A44" i="10" s="1"/>
  <c r="B45" i="10"/>
  <c r="A45" i="10" s="1"/>
  <c r="B46" i="10"/>
  <c r="A46" i="10" s="1"/>
  <c r="B47" i="10"/>
  <c r="A47" i="10" s="1"/>
  <c r="B48" i="10"/>
  <c r="A48" i="10" s="1"/>
  <c r="B49" i="10"/>
  <c r="A49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103" i="10"/>
  <c r="F104" i="10"/>
  <c r="F105" i="10"/>
  <c r="F102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Y155" i="9"/>
  <c r="Y151" i="9"/>
  <c r="AK150" i="9"/>
  <c r="Y131" i="17" s="1"/>
  <c r="AK146" i="9"/>
  <c r="Y127" i="17" s="1"/>
  <c r="AK154" i="9"/>
  <c r="Y135" i="17" s="1"/>
  <c r="Y147" i="9"/>
  <c r="AC156" i="9" l="1"/>
  <c r="AD156" i="9" s="1"/>
  <c r="R137" i="17" s="1"/>
  <c r="Z152" i="9"/>
  <c r="N133" i="17" s="1"/>
  <c r="Z153" i="9"/>
  <c r="N134" i="17" s="1"/>
  <c r="AG153" i="9"/>
  <c r="AH153" i="9" s="1"/>
  <c r="V134" i="17" s="1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8" i="9"/>
  <c r="AG158" i="9"/>
  <c r="Q139" i="17"/>
  <c r="M128" i="17"/>
  <c r="Z147" i="9"/>
  <c r="N128" i="17" s="1"/>
  <c r="AC147" i="9"/>
  <c r="M136" i="17"/>
  <c r="Z155" i="9"/>
  <c r="N136" i="17" s="1"/>
  <c r="AC155" i="9"/>
  <c r="AD150" i="9"/>
  <c r="R131" i="17" s="1"/>
  <c r="AG150" i="9"/>
  <c r="Q131" i="17"/>
  <c r="Q137" i="17" l="1"/>
  <c r="AG156" i="9"/>
  <c r="AH156" i="9" s="1"/>
  <c r="V137" i="17" s="1"/>
  <c r="U134" i="17"/>
  <c r="U126" i="17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 l="1"/>
  <c r="V139" i="17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I102" i="17" l="1"/>
  <c r="V114" i="9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110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95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65" i="10"/>
  <c r="I64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63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77" i="10"/>
  <c r="F101" i="9" s="1"/>
  <c r="C73" i="10"/>
  <c r="C65" i="10"/>
  <c r="F174" i="23" s="1"/>
  <c r="C64" i="10"/>
  <c r="F173" i="23" s="1"/>
  <c r="C62" i="10"/>
  <c r="C61" i="10"/>
  <c r="F172" i="23" s="1"/>
  <c r="C60" i="10"/>
  <c r="F171" i="23" s="1"/>
  <c r="C59" i="10"/>
  <c r="F170" i="23" s="1"/>
  <c r="C58" i="10"/>
  <c r="F165" i="23" s="1"/>
  <c r="C57" i="10"/>
  <c r="F164" i="23" s="1"/>
  <c r="C56" i="10"/>
  <c r="F163" i="23" s="1"/>
  <c r="C55" i="10"/>
  <c r="F162" i="23" s="1"/>
  <c r="C54" i="10"/>
  <c r="F161" i="23" s="1"/>
  <c r="C53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66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101" i="10"/>
  <c r="F98" i="10"/>
  <c r="F106" i="10"/>
  <c r="F100" i="10"/>
  <c r="F99" i="10"/>
  <c r="F107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E13" i="30"/>
  <c r="E12" i="30"/>
  <c r="E10" i="30"/>
  <c r="H14" i="30" l="1"/>
  <c r="G167" i="17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108" i="10"/>
  <c r="F97" i="10"/>
  <c r="F109" i="10"/>
  <c r="F96" i="10"/>
  <c r="F110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84" i="10"/>
  <c r="I83" i="10"/>
  <c r="F90" i="10"/>
  <c r="I86" i="10"/>
  <c r="I111" i="10"/>
  <c r="I108" i="10"/>
  <c r="I85" i="10"/>
  <c r="F94" i="10"/>
  <c r="I107" i="10"/>
  <c r="I106" i="10"/>
  <c r="I105" i="10"/>
  <c r="I109" i="10"/>
  <c r="I104" i="10"/>
  <c r="I12" i="22" l="1"/>
  <c r="I10" i="22"/>
  <c r="I24" i="22"/>
  <c r="I23" i="22"/>
  <c r="I25" i="22"/>
  <c r="I87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61" i="9" l="1"/>
  <c r="F142" i="17" s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51" i="10" l="1"/>
  <c r="O51" i="10"/>
  <c r="I51" i="10"/>
  <c r="I68" i="10"/>
  <c r="I54" i="10"/>
  <c r="I69" i="10"/>
  <c r="I70" i="10"/>
  <c r="I60" i="10"/>
  <c r="I71" i="10"/>
  <c r="I57" i="10"/>
  <c r="I56" i="10"/>
  <c r="I59" i="10"/>
  <c r="I55" i="10"/>
  <c r="I58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53" i="10"/>
  <c r="F92" i="9" s="1"/>
  <c r="F54" i="10"/>
  <c r="F93" i="9" s="1"/>
  <c r="J36" i="23"/>
  <c r="N36" i="23" s="1"/>
  <c r="H36" i="23"/>
  <c r="F78" i="10"/>
  <c r="F102" i="9" s="1"/>
  <c r="F92" i="17" s="1"/>
  <c r="F56" i="10"/>
  <c r="F97" i="9" s="1"/>
  <c r="F57" i="10"/>
  <c r="F58" i="10"/>
  <c r="F59" i="10"/>
  <c r="F105" i="9" s="1"/>
  <c r="F95" i="17" s="1"/>
  <c r="F60" i="10"/>
  <c r="F106" i="9" s="1"/>
  <c r="F96" i="17" s="1"/>
  <c r="H158" i="23"/>
  <c r="J158" i="23"/>
  <c r="K158" i="23" s="1"/>
  <c r="H160" i="23"/>
  <c r="J160" i="23"/>
  <c r="N160" i="23" s="1"/>
  <c r="F79" i="10"/>
  <c r="F82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55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Y82" i="17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83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84" i="10"/>
  <c r="K7" i="15" s="1"/>
  <c r="P185" i="9" s="1"/>
  <c r="E186" i="9"/>
  <c r="Q186" i="9" s="1"/>
  <c r="G21" i="27" s="1"/>
  <c r="E187" i="9"/>
  <c r="AK187" i="9" s="1"/>
  <c r="Y22" i="27" s="1"/>
  <c r="F87" i="10"/>
  <c r="K19" i="15" s="1"/>
  <c r="P187" i="9" s="1"/>
  <c r="E188" i="9"/>
  <c r="AK188" i="9" s="1"/>
  <c r="Y23" i="27" s="1"/>
  <c r="F86" i="10"/>
  <c r="J19" i="15" s="1"/>
  <c r="E189" i="9"/>
  <c r="AK189" i="9" s="1"/>
  <c r="Y24" i="27" s="1"/>
  <c r="F85" i="10"/>
  <c r="I19" i="15" s="1"/>
  <c r="P189" i="9" s="1"/>
  <c r="E190" i="9"/>
  <c r="Q190" i="9" s="1"/>
  <c r="G25" i="27" s="1"/>
  <c r="E191" i="9"/>
  <c r="Q191" i="9" s="1"/>
  <c r="G26" i="27" s="1"/>
  <c r="Q15" i="9"/>
  <c r="G151" i="23"/>
  <c r="F74" i="10"/>
  <c r="F75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73" i="10"/>
  <c r="F76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J21" i="17" s="1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U73" i="17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AD126" i="9" s="1"/>
  <c r="R107" i="17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AD75" i="9" s="1"/>
  <c r="R72" i="17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29" i="18" s="1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AK116" i="9"/>
  <c r="Y16" i="19" s="1"/>
  <c r="AK91" i="9"/>
  <c r="Y81" i="17" s="1"/>
  <c r="V75" i="9"/>
  <c r="J72" i="17" s="1"/>
  <c r="V85" i="9"/>
  <c r="J18" i="20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Y136" i="9"/>
  <c r="V84" i="9"/>
  <c r="J17" i="20" s="1"/>
  <c r="Y78" i="9"/>
  <c r="I25" i="27"/>
  <c r="Y63" i="9"/>
  <c r="Z63" i="9" s="1"/>
  <c r="N62" i="17" s="1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I63" i="17"/>
  <c r="V61" i="9"/>
  <c r="J60" i="17" s="1"/>
  <c r="M22" i="20"/>
  <c r="AC89" i="9"/>
  <c r="Z89" i="9"/>
  <c r="N22" i="20" s="1"/>
  <c r="I20" i="20"/>
  <c r="Z91" i="9"/>
  <c r="N81" i="17" s="1"/>
  <c r="I99" i="17"/>
  <c r="AC91" i="9"/>
  <c r="V89" i="9"/>
  <c r="J22" i="20" s="1"/>
  <c r="I22" i="20"/>
  <c r="Q18" i="24"/>
  <c r="AG172" i="9"/>
  <c r="Y87" i="9"/>
  <c r="G30" i="18"/>
  <c r="Y98" i="17"/>
  <c r="S14" i="9"/>
  <c r="V108" i="9"/>
  <c r="I98" i="17"/>
  <c r="Y108" i="9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M73" i="17" l="1"/>
  <c r="Q107" i="17"/>
  <c r="Z166" i="9"/>
  <c r="N147" i="17" s="1"/>
  <c r="Z76" i="9"/>
  <c r="N73" i="17" s="1"/>
  <c r="AH76" i="9"/>
  <c r="V73" i="17" s="1"/>
  <c r="Q73" i="17"/>
  <c r="AD76" i="9"/>
  <c r="R73" i="17" s="1"/>
  <c r="AG126" i="9"/>
  <c r="AH126" i="9" s="1"/>
  <c r="V107" i="17" s="1"/>
  <c r="M107" i="17"/>
  <c r="Z126" i="9"/>
  <c r="N107" i="17" s="1"/>
  <c r="Z75" i="9"/>
  <c r="N72" i="17" s="1"/>
  <c r="M111" i="17"/>
  <c r="AC130" i="9"/>
  <c r="AD130" i="9" s="1"/>
  <c r="R111" i="17" s="1"/>
  <c r="Z238" i="9"/>
  <c r="N191" i="17" s="1"/>
  <c r="Z19" i="9"/>
  <c r="N18" i="17" s="1"/>
  <c r="AC171" i="9"/>
  <c r="Q17" i="24" s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H80" i="9" s="1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V93" i="23" s="1"/>
  <c r="W93" i="23" s="1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Z137" i="9"/>
  <c r="N118" i="17" s="1"/>
  <c r="AC137" i="9"/>
  <c r="M118" i="17"/>
  <c r="AC129" i="9"/>
  <c r="M110" i="17"/>
  <c r="Z129" i="9"/>
  <c r="N110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U107" i="17" l="1"/>
  <c r="Q111" i="17"/>
  <c r="AG130" i="9"/>
  <c r="AH130" i="9" s="1"/>
  <c r="V111" i="17" s="1"/>
  <c r="AD164" i="9"/>
  <c r="R145" i="17" s="1"/>
  <c r="AD171" i="9"/>
  <c r="R17" i="24" s="1"/>
  <c r="AD144" i="9"/>
  <c r="R125" i="17" s="1"/>
  <c r="AG171" i="9"/>
  <c r="AH171" i="9" s="1"/>
  <c r="V17" i="24" s="1"/>
  <c r="AG164" i="9"/>
  <c r="U145" i="17" s="1"/>
  <c r="U77" i="17"/>
  <c r="S93" i="23"/>
  <c r="AD232" i="9"/>
  <c r="R185" i="17" s="1"/>
  <c r="AH232" i="9"/>
  <c r="V185" i="17" s="1"/>
  <c r="AD17" i="9"/>
  <c r="R16" i="17" s="1"/>
  <c r="AG139" i="9"/>
  <c r="U120" i="17" s="1"/>
  <c r="Q185" i="17"/>
  <c r="AG237" i="9"/>
  <c r="U190" i="17" s="1"/>
  <c r="Q190" i="17"/>
  <c r="Q21" i="20"/>
  <c r="AG88" i="9"/>
  <c r="AH88" i="9" s="1"/>
  <c r="V21" i="20" s="1"/>
  <c r="Q67" i="17"/>
  <c r="AG68" i="9"/>
  <c r="U67" i="17" s="1"/>
  <c r="J26" i="20"/>
  <c r="J27" i="20" s="1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Q69" i="17"/>
  <c r="AG70" i="9"/>
  <c r="AD70" i="9"/>
  <c r="R69" i="17" s="1"/>
  <c r="AG60" i="9"/>
  <c r="Q59" i="17"/>
  <c r="AD60" i="9"/>
  <c r="R59" i="17" s="1"/>
  <c r="N99" i="17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U17" i="24" l="1"/>
  <c r="U111" i="17"/>
  <c r="AH139" i="9"/>
  <c r="V120" i="17" s="1"/>
  <c r="AH59" i="9"/>
  <c r="V58" i="17" s="1"/>
  <c r="AH164" i="9"/>
  <c r="V145" i="17" s="1"/>
  <c r="AH68" i="9"/>
  <c r="V67" i="17" s="1"/>
  <c r="U21" i="20"/>
  <c r="AH237" i="9"/>
  <c r="V190" i="17" s="1"/>
  <c r="U112" i="17"/>
  <c r="AH144" i="9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<sst xmlns="http://schemas.openxmlformats.org/spreadsheetml/2006/main" count="2759" uniqueCount="1280">
  <si>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</si>
  <si>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</si>
  <si>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</si>
  <si>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</si>
  <si>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</si>
  <si>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</si>
  <si>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</si>
  <si>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</si>
  <si>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</si>
  <si>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</si>
  <si>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</si>
  <si>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</si>
  <si>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</si>
  <si>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</si>
  <si>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</si>
  <si>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</si>
  <si>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</si>
  <si>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</si>
  <si>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</si>
  <si>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</si>
  <si>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</si>
  <si>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</si>
  <si>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</si>
  <si>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</si>
  <si>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</si>
  <si>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</si>
  <si>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</si>
  <si>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</si>
  <si>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</si>
  <si>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</si>
  <si>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</si>
  <si>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</si>
  <si>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</si>
  <si>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</si>
  <si>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</si>
  <si>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</si>
  <si>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</si>
  <si>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</si>
  <si>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</si>
  <si>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</si>
  <si>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</si>
  <si>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</si>
  <si>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</si>
  <si>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</si>
  <si>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</si>
  <si>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</si>
  <si>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</si>
  <si>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</si>
  <si>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</si>
  <si>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</si>
  <si>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</si>
  <si>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</si>
  <si>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</si>
  <si>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</si>
  <si>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</si>
  <si>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</si>
  <si>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</si>
  <si>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</si>
  <si>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</si>
  <si>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</si>
  <si>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</si>
  <si>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</si>
  <si>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</si>
  <si>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</si>
  <si>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</si>
  <si>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</si>
  <si>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</si>
  <si>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</si>
  <si>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</si>
  <si>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</si>
  <si>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</si>
  <si>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</si>
  <si>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</si>
  <si>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</si>
  <si>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</si>
  <si>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</si>
  <si>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</si>
  <si>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</si>
  <si>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</si>
  <si>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</si>
  <si>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</si>
  <si>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</si>
  <si>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</si>
  <si>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</si>
  <si>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</si>
  <si>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</si>
  <si>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</si>
  <si>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</si>
  <si>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</si>
  <si>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</si>
  <si>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</si>
  <si>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</si>
  <si>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</si>
  <si>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</si>
  <si>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</si>
  <si>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</si>
  <si>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</si>
  <si>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</si>
  <si>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</si>
  <si>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</si>
  <si>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</si>
  <si>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</si>
  <si>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</si>
  <si>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</si>
  <si>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</si>
  <si>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</si>
  <si>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</si>
  <si>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</si>
  <si>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</si>
  <si>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</si>
  <si>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</si>
  <si>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</si>
  <si>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</si>
  <si>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</si>
  <si>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</si>
  <si>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</si>
  <si>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</si>
  <si>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</si>
  <si>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</si>
  <si>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</si>
  <si>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</si>
  <si>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</si>
  <si>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</si>
  <si>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</si>
  <si>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</si>
  <si>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</si>
  <si>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</si>
  <si>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</si>
  <si>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</si>
  <si>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</si>
  <si>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</si>
  <si>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</si>
  <si>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</si>
  <si>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</si>
  <si>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</si>
  <si>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</si>
  <si>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</si>
  <si>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</si>
  <si>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</si>
  <si>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</si>
  <si>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</si>
  <si>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</si>
  <si>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</si>
  <si>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</si>
  <si>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</si>
  <si>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</si>
  <si>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</si>
  <si>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</si>
  <si>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</si>
  <si>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</si>
  <si>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</si>
  <si>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</si>
  <si>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</si>
  <si>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</si>
  <si>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</si>
  <si>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</si>
  <si>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</si>
  <si>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</si>
  <si>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</si>
  <si>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</si>
  <si>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</si>
  <si>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</si>
  <si>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</si>
  <si>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</si>
  <si>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</si>
  <si>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</si>
  <si>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</si>
  <si>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</si>
  <si>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</si>
  <si>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</si>
  <si>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</si>
  <si>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</si>
  <si>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</si>
  <si>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</si>
  <si>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</si>
  <si>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</si>
  <si>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</si>
  <si>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</si>
  <si>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</si>
  <si>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</si>
  <si>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</si>
  <si>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</si>
  <si>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</si>
  <si>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</si>
  <si>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</si>
  <si>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</si>
  <si>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</si>
  <si>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</si>
  <si>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</si>
  <si>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</si>
  <si>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</si>
  <si>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</si>
  <si>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</si>
  <si>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</si>
  <si>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</si>
  <si>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</si>
  <si>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</si>
  <si>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</si>
  <si>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</si>
  <si>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</si>
  <si>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</si>
  <si>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</si>
  <si>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</si>
  <si>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</si>
  <si>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</si>
  <si>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</si>
  <si>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</si>
  <si>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</si>
  <si>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</si>
  <si>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</si>
  <si>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</si>
  <si>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</si>
  <si>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</si>
  <si>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</si>
  <si>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</si>
  <si>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</si>
  <si>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</si>
  <si>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</si>
  <si>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</si>
  <si>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</si>
  <si>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</si>
  <si>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</si>
  <si>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</si>
  <si>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</si>
  <si>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</si>
  <si>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</si>
  <si>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</si>
  <si>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</si>
  <si>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</si>
  <si>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</si>
  <si>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</si>
  <si>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</si>
  <si>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</si>
  <si>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</si>
  <si>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</si>
  <si>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</si>
  <si>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</si>
  <si>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</si>
  <si>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</si>
  <si>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</si>
  <si>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</si>
  <si>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</si>
  <si>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</si>
  <si>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</si>
  <si>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</si>
  <si>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</si>
  <si>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</si>
  <si>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</si>
  <si>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</si>
  <si>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</si>
  <si>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</si>
  <si>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</si>
  <si>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</si>
  <si>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</si>
  <si>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</si>
  <si>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</si>
  <si>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</si>
  <si>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</si>
  <si>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</si>
  <si>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</si>
  <si>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</si>
  <si>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</si>
  <si>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</si>
  <si>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</si>
  <si>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</si>
  <si>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</si>
  <si>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</si>
  <si>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</si>
  <si>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</si>
  <si>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</si>
  <si>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</si>
  <si>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</si>
  <si>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</si>
  <si>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</si>
  <si>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</si>
  <si>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</si>
  <si>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</si>
  <si>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</si>
  <si>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</si>
  <si>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</si>
  <si>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</si>
  <si>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</si>
  <si>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</si>
  <si>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</si>
  <si>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</si>
  <si>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</si>
  <si>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</si>
  <si>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</si>
  <si>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</si>
  <si>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</si>
  <si>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</si>
  <si>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</si>
  <si>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</si>
  <si>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</si>
  <si>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</si>
  <si>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</si>
  <si>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</si>
  <si>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</si>
  <si>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</si>
  <si>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</si>
  <si>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</si>
  <si>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</si>
  <si>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</si>
  <si>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</si>
  <si>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</si>
  <si>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</si>
  <si>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</si>
  <si>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</si>
  <si>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</si>
  <si>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</si>
  <si>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</si>
  <si>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</si>
  <si>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</si>
  <si>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</si>
  <si>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</si>
  <si>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</si>
  <si>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</si>
  <si>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</si>
  <si>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</si>
  <si>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</si>
  <si>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</si>
  <si>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</si>
  <si>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</si>
  <si>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</si>
  <si>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</si>
  <si>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</si>
  <si>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</si>
  <si>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</si>
  <si>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</si>
  <si>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</si>
  <si>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</si>
  <si>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</si>
  <si>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</si>
  <si>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</si>
  <si>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</si>
  <si>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</si>
  <si>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</si>
  <si>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</si>
  <si>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</si>
  <si>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</si>
  <si>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</si>
  <si>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</si>
  <si>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</si>
  <si>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</si>
  <si>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</si>
  <si>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</si>
  <si>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</si>
  <si>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</si>
  <si>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</si>
  <si>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</si>
  <si>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</si>
  <si>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</si>
  <si>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</si>
  <si>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</si>
  <si>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</si>
  <si>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</si>
  <si>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</si>
  <si>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</si>
  <si>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</si>
  <si>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</si>
  <si>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</si>
  <si>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</si>
  <si>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</si>
  <si>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</si>
  <si>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</si>
  <si>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</si>
  <si>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</si>
  <si>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</si>
  <si>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</si>
  <si>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</si>
  <si>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</si>
  <si>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</si>
  <si>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</si>
  <si>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</si>
  <si>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</si>
  <si>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</si>
  <si>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</si>
  <si>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</si>
  <si>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</si>
  <si>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</si>
  <si>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</si>
  <si>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</si>
  <si>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</si>
  <si>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</si>
  <si>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</si>
  <si>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</si>
  <si>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</si>
  <si>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</si>
  <si>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</si>
  <si>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</si>
  <si>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</si>
  <si>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</si>
  <si>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</si>
  <si>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</si>
  <si>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</si>
  <si>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</si>
  <si>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</si>
  <si>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</si>
  <si>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</si>
  <si>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</si>
  <si>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</si>
  <si>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</si>
  <si>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</si>
  <si>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</si>
  <si>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</si>
  <si>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</si>
  <si>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</si>
  <si>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</si>
  <si>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</si>
  <si>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</si>
  <si>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</si>
  <si>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</si>
  <si>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</si>
  <si>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</si>
  <si>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</si>
  <si>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</si>
  <si>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</si>
  <si>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</si>
  <si>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</si>
  <si>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</si>
  <si>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</si>
  <si>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</si>
  <si>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</si>
  <si>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</si>
  <si>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</si>
  <si>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</si>
  <si>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</si>
  <si>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</si>
  <si>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</si>
  <si>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</si>
  <si>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</si>
  <si>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</si>
  <si>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</si>
  <si>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</si>
  <si>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</si>
  <si>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</si>
  <si>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</si>
  <si>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</si>
  <si>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</si>
  <si>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</si>
  <si>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</si>
  <si>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</si>
  <si>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</si>
  <si>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</si>
  <si>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</si>
  <si>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</si>
  <si>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</si>
  <si>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</si>
  <si>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</si>
  <si>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</si>
  <si>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</si>
  <si>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</si>
  <si>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</si>
  <si>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</si>
  <si>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</si>
  <si>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</si>
  <si>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</si>
  <si>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</si>
  <si>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</si>
  <si>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</si>
  <si>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</si>
  <si>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</si>
  <si>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</si>
  <si>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</si>
  <si>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</si>
  <si>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</si>
  <si>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</si>
  <si>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</si>
  <si>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</si>
  <si>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</si>
  <si>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</si>
  <si>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</si>
  <si>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</si>
  <si>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</si>
  <si>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</si>
  <si>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</si>
  <si>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</si>
  <si>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</si>
  <si>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</si>
  <si>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</si>
  <si>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</si>
  <si>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</si>
  <si>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</si>
  <si>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</si>
  <si>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</si>
  <si>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</si>
  <si>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</si>
  <si>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</si>
  <si>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</si>
  <si>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</si>
  <si>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</si>
  <si>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</si>
  <si>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</si>
  <si>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</si>
  <si>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</si>
  <si>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</si>
  <si>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</si>
  <si>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</si>
  <si>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</si>
  <si>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</si>
  <si>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</si>
  <si>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</si>
  <si>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</si>
  <si>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</si>
  <si>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</si>
  <si>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</si>
  <si>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</si>
  <si>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</si>
  <si>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</si>
  <si>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</si>
  <si>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</si>
  <si>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</si>
  <si>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</si>
  <si>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</si>
  <si>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</si>
  <si>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</si>
  <si>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</si>
  <si>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</si>
  <si>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</si>
  <si>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</si>
  <si>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</si>
  <si>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</si>
  <si>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</si>
  <si>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</si>
  <si>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</si>
  <si>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</si>
  <si>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</si>
  <si>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</si>
  <si>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</si>
  <si>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</si>
  <si>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</si>
  <si>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</si>
  <si>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</si>
  <si>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</si>
  <si>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</si>
  <si>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</si>
  <si>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</si>
  <si>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</si>
  <si>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</si>
  <si>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</si>
  <si>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</si>
  <si>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</si>
  <si>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</si>
  <si>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</si>
  <si>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</si>
  <si>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</si>
  <si>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</si>
  <si>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</si>
  <si>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</si>
  <si>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</si>
  <si>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</si>
  <si>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</si>
  <si>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</si>
  <si>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</si>
  <si>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</si>
  <si>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</si>
  <si>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</si>
  <si>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</si>
  <si>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</si>
  <si>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</si>
  <si>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</si>
  <si>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</si>
  <si>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</si>
  <si>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</si>
  <si>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</si>
  <si>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</si>
  <si>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</si>
  <si>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</si>
  <si>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</si>
  <si>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</si>
  <si>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</si>
  <si>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</si>
  <si>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</si>
  <si>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</si>
  <si>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</si>
  <si>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</si>
  <si>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</si>
  <si>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</si>
  <si>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</si>
  <si>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</si>
  <si>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</si>
  <si>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</si>
  <si>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</si>
  <si>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</si>
  <si>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</si>
  <si>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</si>
  <si>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</si>
  <si>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</si>
  <si>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</si>
  <si>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</si>
  <si>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</si>
  <si>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</si>
  <si>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</si>
  <si>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</si>
  <si>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</si>
  <si>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</si>
  <si>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</si>
  <si>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</si>
  <si>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</si>
  <si>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</si>
  <si>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</si>
  <si>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</si>
  <si>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</si>
  <si>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</si>
  <si>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</si>
  <si>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</si>
  <si>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</si>
  <si>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</si>
  <si>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</si>
  <si>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</si>
  <si>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</si>
  <si>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</si>
  <si>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</si>
  <si>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</si>
  <si>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</si>
  <si>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</si>
  <si>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</si>
  <si>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</si>
  <si>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</si>
  <si>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</si>
  <si>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</si>
  <si>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</si>
  <si>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</si>
  <si>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</si>
  <si>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</si>
  <si>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</si>
  <si>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</si>
  <si>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</si>
  <si>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</si>
  <si>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</si>
  <si>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</si>
  <si>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</si>
  <si>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</si>
  <si>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</si>
  <si>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</si>
  <si>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</si>
  <si>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</si>
  <si>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</si>
  <si>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</si>
  <si>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</si>
  <si>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</si>
  <si>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</si>
  <si>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</si>
  <si>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</si>
  <si>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</si>
  <si>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</si>
  <si>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</si>
  <si>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</si>
  <si>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</si>
  <si>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</si>
  <si>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</si>
  <si>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</si>
  <si>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</si>
  <si>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</si>
  <si>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</si>
  <si>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</si>
  <si>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</si>
  <si>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</si>
  <si>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</si>
  <si>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</si>
  <si>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</si>
  <si>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</si>
  <si>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</si>
  <si>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</si>
  <si>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</si>
  <si>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</si>
  <si>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</si>
  <si>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</si>
  <si>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</si>
  <si>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</si>
  <si>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</si>
  <si>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</si>
  <si>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</si>
  <si>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</si>
  <si>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</si>
  <si>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</si>
  <si>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</si>
  <si>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</si>
  <si>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</si>
  <si>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</si>
  <si>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</si>
  <si>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</si>
  <si>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</si>
  <si>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</si>
  <si>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</si>
  <si>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</si>
  <si>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</si>
  <si>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</si>
  <si>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</si>
  <si>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</si>
  <si>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</si>
  <si>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</si>
  <si>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</si>
  <si>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</si>
  <si>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</si>
  <si>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</si>
  <si>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</si>
  <si>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</si>
  <si>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</si>
  <si>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</si>
  <si>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</si>
  <si>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</si>
  <si>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</si>
  <si>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</si>
  <si>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</si>
  <si>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</si>
  <si>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</si>
  <si>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</si>
  <si>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</si>
  <si>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</si>
  <si>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</si>
  <si>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</si>
  <si>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</si>
  <si>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</si>
  <si>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</si>
  <si>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</si>
  <si>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</si>
  <si>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</si>
  <si>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</si>
  <si>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</si>
  <si>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</si>
  <si>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</si>
  <si>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</si>
  <si>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</si>
  <si>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</si>
  <si>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</si>
  <si>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</si>
  <si>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</si>
  <si>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</si>
  <si>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</si>
  <si>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</si>
  <si>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</si>
  <si>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</si>
  <si>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</si>
  <si>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</si>
  <si>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</si>
  <si>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</si>
  <si>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</si>
  <si>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</si>
  <si>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</si>
  <si>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</si>
  <si>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</si>
  <si>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</si>
  <si>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</si>
  <si>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</si>
  <si>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</si>
  <si>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</si>
  <si>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</si>
  <si>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</si>
  <si>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</si>
  <si>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</si>
  <si>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</si>
  <si>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</si>
  <si>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</si>
  <si>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</si>
  <si>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</si>
  <si>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</si>
  <si>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</si>
  <si>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</si>
  <si>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</si>
  <si>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</si>
  <si>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</si>
  <si>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</si>
  <si>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</si>
  <si>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</si>
  <si>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</si>
  <si>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</si>
  <si>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</si>
  <si>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</si>
  <si>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</si>
  <si>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</si>
  <si>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</si>
  <si>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</si>
  <si>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</si>
  <si>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</si>
  <si>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</si>
  <si>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</si>
  <si>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</si>
  <si>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</si>
  <si>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</si>
  <si>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</si>
  <si>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</si>
  <si>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</si>
  <si>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</si>
  <si>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</si>
  <si>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</si>
  <si>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</si>
  <si>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</si>
  <si>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</si>
  <si>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</si>
  <si>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</si>
  <si>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</si>
  <si>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</si>
  <si>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</si>
  <si>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</si>
  <si>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</si>
  <si>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</si>
  <si>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</si>
  <si>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</si>
  <si>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</si>
  <si>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</si>
  <si>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</si>
  <si>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</si>
  <si>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</si>
  <si>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</si>
  <si>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</si>
  <si>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</si>
  <si>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</si>
  <si>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</si>
  <si>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</si>
  <si>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</si>
  <si>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</si>
  <si>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</si>
  <si>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</si>
  <si>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</si>
  <si>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</si>
  <si>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</si>
  <si>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</si>
  <si>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</si>
  <si>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</si>
  <si>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</si>
  <si>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</si>
  <si>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</si>
  <si>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</si>
  <si>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</si>
  <si>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</si>
  <si>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</si>
  <si>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</si>
  <si>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</si>
  <si>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</si>
  <si>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</si>
  <si>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</si>
  <si>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</si>
  <si>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</si>
  <si>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</si>
  <si>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</si>
  <si>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</si>
  <si>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</si>
  <si>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</si>
  <si>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</si>
  <si>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</si>
  <si>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</si>
  <si>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</si>
  <si>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</si>
  <si>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</si>
  <si>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</si>
  <si>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</si>
  <si>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</si>
  <si>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</si>
  <si>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</si>
  <si>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</si>
  <si>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</si>
  <si>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</si>
  <si>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</si>
  <si>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</si>
  <si>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</si>
  <si>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</si>
  <si>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</si>
  <si>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</si>
  <si>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</si>
  <si>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</si>
  <si>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</si>
  <si>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</si>
  <si>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</si>
  <si>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</si>
  <si>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</si>
  <si>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</si>
  <si>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</si>
  <si>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</si>
  <si>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</si>
  <si>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</si>
  <si>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</si>
  <si>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</si>
  <si>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</si>
  <si>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</si>
  <si>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</si>
  <si>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</si>
  <si>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</si>
  <si>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</si>
  <si>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</si>
  <si>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</si>
  <si>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</si>
  <si>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</si>
  <si>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</si>
  <si>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</si>
  <si>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</si>
  <si>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</si>
  <si>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</si>
  <si>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</si>
  <si>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</si>
  <si>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</si>
  <si>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</si>
  <si>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</si>
  <si>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</si>
  <si>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</si>
  <si>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</si>
  <si>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</si>
  <si>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</si>
  <si>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</si>
  <si>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</si>
  <si>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</si>
  <si>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</si>
  <si>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</si>
  <si>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</si>
  <si>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</si>
  <si>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</si>
  <si>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</si>
  <si>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</si>
  <si>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</si>
  <si>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</si>
  <si>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</si>
  <si>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</si>
  <si>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</si>
  <si>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</si>
  <si>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</si>
  <si>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</si>
  <si>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</si>
  <si>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</si>
  <si>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</si>
  <si>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</si>
  <si>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</si>
  <si>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</si>
  <si>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</si>
  <si>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</si>
  <si>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</si>
  <si>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</si>
  <si>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</si>
  <si>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</si>
  <si>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</si>
  <si>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</si>
  <si>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</si>
  <si>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</si>
  <si>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</si>
  <si>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</si>
  <si>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</si>
  <si>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</si>
  <si>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</si>
  <si>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</si>
  <si>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</si>
  <si>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</si>
  <si>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</si>
  <si>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</si>
  <si>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</si>
  <si>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</si>
  <si>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</si>
  <si>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</si>
  <si>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</si>
  <si>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</si>
  <si>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</si>
  <si>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</si>
  <si>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</si>
  <si>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</si>
  <si>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</si>
  <si>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</si>
  <si>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</si>
  <si>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</si>
  <si>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</si>
  <si>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</si>
  <si>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</si>
  <si>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</si>
  <si>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</si>
  <si>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</si>
  <si>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</si>
  <si>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</si>
  <si>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</si>
  <si>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</si>
  <si>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</si>
  <si>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</si>
  <si>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</si>
  <si>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</si>
  <si>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</si>
  <si>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</si>
  <si>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</si>
  <si>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</si>
  <si>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</si>
  <si>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</si>
  <si>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</si>
  <si>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</si>
  <si>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</si>
  <si>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</si>
  <si>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</si>
  <si>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</si>
  <si>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</si>
  <si>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</si>
  <si>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</si>
  <si>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</si>
  <si>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</si>
  <si>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</si>
  <si>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</si>
  <si>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</si>
  <si>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</si>
  <si>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</si>
  <si>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</si>
  <si>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</si>
  <si>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</si>
  <si>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</si>
  <si>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</si>
  <si>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</si>
  <si>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</si>
  <si>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</si>
  <si>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</si>
  <si>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</si>
  <si>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</si>
  <si>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</si>
  <si>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</si>
  <si>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</si>
  <si>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</si>
  <si>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</si>
  <si>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</si>
  <si>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</si>
  <si>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</si>
  <si>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</si>
  <si>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</si>
  <si>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</si>
  <si>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</si>
  <si>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</si>
  <si>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</si>
  <si>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</si>
  <si>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</si>
  <si>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</si>
  <si>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</si>
  <si>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</si>
  <si>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</si>
  <si>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</si>
  <si>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</si>
  <si>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</si>
  <si>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</si>
  <si>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</si>
  <si>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</si>
  <si>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</si>
  <si>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</si>
  <si>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</si>
  <si>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</si>
  <si>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</si>
  <si>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</si>
  <si>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</si>
  <si>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</si>
  <si>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</si>
  <si>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</si>
  <si>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</si>
  <si>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</si>
  <si>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</si>
  <si>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</si>
  <si>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</si>
  <si>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</si>
  <si>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</si>
  <si>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</si>
  <si>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</si>
  <si>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</si>
  <si>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</si>
  <si>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</si>
  <si>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</si>
  <si>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</si>
  <si>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</si>
  <si>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</si>
  <si>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</si>
  <si>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</si>
  <si>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</si>
  <si>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</si>
  <si>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</si>
  <si>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</si>
  <si>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</si>
  <si>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</si>
  <si>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</si>
  <si>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</si>
  <si>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</si>
  <si>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</si>
  <si>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</si>
  <si>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</si>
  <si>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</si>
  <si>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</si>
  <si>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</si>
  <si>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</si>
  <si>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</si>
  <si>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</si>
  <si>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</si>
  <si>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</si>
  <si>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</si>
  <si>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</si>
  <si>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</si>
  <si>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</si>
  <si>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</si>
  <si>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</si>
  <si>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</si>
  <si>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</si>
  <si>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</si>
  <si>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</si>
  <si>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</si>
  <si>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</si>
  <si>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</si>
  <si>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</si>
  <si>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</si>
  <si>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</si>
  <si>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</si>
  <si>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</si>
  <si>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</si>
  <si>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</si>
  <si>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</si>
  <si>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</si>
  <si>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</si>
  <si>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</si>
  <si>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</si>
  <si>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</si>
  <si>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</si>
  <si>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</si>
  <si>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</si>
  <si>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</si>
  <si>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</si>
  <si>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</si>
  <si>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</si>
  <si>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</si>
  <si>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</si>
  <si>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</si>
  <si>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</si>
  <si>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</si>
  <si>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</si>
  <si>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</si>
  <si>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</si>
  <si>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</si>
  <si>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</si>
  <si>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</si>
  <si>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</si>
  <si>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</si>
  <si>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</si>
  <si>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</si>
  <si>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</si>
  <si>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</si>
  <si>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</si>
  <si>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</si>
  <si>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</si>
  <si>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</si>
  <si>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</si>
  <si>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</si>
  <si>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</si>
  <si>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</si>
  <si>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</si>
  <si>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</si>
  <si>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</si>
  <si>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</si>
  <si>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</si>
  <si>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</si>
  <si>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</si>
  <si>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</si>
  <si>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</si>
  <si>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</si>
  <si>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</si>
  <si>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</si>
  <si>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</si>
  <si>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</si>
  <si>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</si>
  <si>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</si>
  <si>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</si>
  <si>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</si>
  <si>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</si>
  <si>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</si>
  <si>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</si>
  <si>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</si>
  <si>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</si>
  <si>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</si>
  <si>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</si>
  <si>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</si>
  <si>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</si>
  <si>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</si>
  <si>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</si>
  <si>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</si>
  <si>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</si>
  <si>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</si>
  <si>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</si>
  <si>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</si>
  <si>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</si>
  <si>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</si>
  <si>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</si>
  <si>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</si>
  <si>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</si>
  <si>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</si>
  <si>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</si>
  <si>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</si>
  <si>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</si>
  <si>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</si>
  <si>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</si>
  <si>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</si>
  <si>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</si>
  <si>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</si>
  <si>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</si>
  <si>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</si>
  <si>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</si>
  <si>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</si>
  <si>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</si>
  <si>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</si>
  <si>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</si>
  <si>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</si>
  <si>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</si>
  <si>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</si>
  <si>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</si>
  <si>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</si>
  <si>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</si>
  <si>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</si>
  <si>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</si>
  <si>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</si>
  <si>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</si>
  <si>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</si>
  <si>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</si>
  <si>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</si>
  <si>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</si>
  <si>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</si>
  <si>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</si>
  <si>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</si>
  <si>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</si>
  <si>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</si>
  <si>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</si>
  <si>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</si>
  <si>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</si>
  <si>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</si>
  <si>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</si>
  <si>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</si>
  <si>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</si>
  <si>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</si>
  <si>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</si>
  <si>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</si>
  <si>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</si>
  <si>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</si>
  <si>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</si>
  <si>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</si>
  <si>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</si>
  <si>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</si>
  <si>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</si>
  <si>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</si>
  <si>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</si>
  <si>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</si>
  <si>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</si>
  <si>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</si>
  <si>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</si>
  <si>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</si>
  <si>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</si>
  <si>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</si>
  <si>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</si>
  <si>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</si>
  <si>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</si>
  <si>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</si>
  <si>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</si>
  <si>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</si>
  <si>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</si>
  <si>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</si>
  <si>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</si>
  <si>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</si>
  <si>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</si>
  <si>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</si>
  <si>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</si>
  <si>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</si>
  <si>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</si>
  <si>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</si>
  <si>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</si>
  <si>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</si>
  <si>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</si>
  <si>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</si>
  <si>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</si>
  <si>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</si>
  <si>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</si>
  <si>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</si>
  <si>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</si>
  <si>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</si>
  <si>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</si>
  <si>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</si>
  <si>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</si>
  <si>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</si>
  <si>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</si>
  <si>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(blank)</t>
  </si>
  <si>
    <t>77G0056723</t>
  </si>
  <si>
    <t>VODACOM</t>
  </si>
  <si>
    <t>LINK BUSINESS</t>
  </si>
  <si>
    <t>18/07/2023</t>
  </si>
  <si>
    <t>LUCAS</t>
  </si>
  <si>
    <t>VICTOR</t>
  </si>
  <si>
    <t xml:space="preserve"> Sunninghill Access POP - BLUE STRIPE T/A CONTRON IT - Car Service City  - Sandton</t>
  </si>
  <si>
    <t>G1VDA066</t>
  </si>
  <si>
    <t>WITKOPPEN RD</t>
  </si>
  <si>
    <t>NONOKO</t>
  </si>
  <si>
    <t xml:space="preserve"> witkoppen road</t>
  </si>
  <si>
    <t>Ceiling</t>
  </si>
  <si>
    <t>inside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</si>
</sst>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19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52" borderId="38" xfId="0" applyFont="1" applyFill="1" applyBorder="1" applyAlignment="1">
      <alignment horizontal="left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14" fontId="114" fillId="0" borderId="185" xfId="0" applyNumberFormat="1" applyFont="1" applyBorder="1" applyAlignment="1" applyProtection="1">
      <alignment horizontal="left" vertical="top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93" fillId="0" borderId="0" xfId="0" applyFont="1" applyAlignment="1">
      <alignment horizontal="left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20" fillId="0" borderId="0" xfId="0" applyFont="1" applyAlignment="1">
      <alignment horizontal="right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1330099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1273969</xdr:colOff>
      <xdr:row>0</xdr:row>
      <xdr:rowOff>397193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15</xdr:col>
          <xdr:colOff>541020</xdr:colOff>
          <xdr:row>37</xdr:row>
          <xdr:rowOff>83820</xdr:rowOff>
        </xdr:to>
        <xdr:sp macro="" textlink="">
          <xdr:nvSpPr>
            <xdr:cNvPr id="45059" name="Object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9323353E-F33D-EFD0-79D7-1A417FF03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oko Matlawe" refreshedDate="45160.682001504632" missingItemsLimit="0" createdVersion="5" refreshedVersion="8" minRefreshableVersion="3" recordCount="48" xr:uid="{00000000-000A-0000-FFFF-FFFF02000000}">
  <cacheSource type="worksheet">
    <worksheetSource ref="I1:O49" sheet="ROUTE INFO"/>
  </cacheSource>
  <cacheFields count="7">
    <cacheField name="DISTANCE" numFmtId="0">
      <sharedItems containsString="0" containsBlank="1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 count="7">
        <s v="inside Cabinet"/>
        <s v="Ceiling"/>
        <s v="TRUNKING 25x25"/>
        <s v="25MM PVC"/>
        <s v="PAVING"/>
        <s v="SOIL"/>
        <m/>
      </sharedItems>
    </cacheField>
    <cacheField name="DUCT TYPE" numFmtId="0">
      <sharedItems containsBlank="1" count="6">
        <s v="inside Cabinet"/>
        <s v="Ceiling"/>
        <s v="TRUNKING 25x25"/>
        <s v="25MM PVC"/>
        <s v="DIRECT BURIED"/>
        <m/>
      </sharedItems>
    </cacheField>
    <cacheField name="SUB DUCT" numFmtId="0">
      <sharedItems containsBlank="1" count="2">
        <s v="14/10-1 WAY"/>
        <m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oko Matlawe" refreshedDate="45160.682004513888" missingItemsLimit="0" createdVersion="5" refreshedVersion="8" minRefreshableVersion="3" recordCount="48" xr:uid="{00000000-000A-0000-FFFF-FFFF01000000}">
  <cacheSource type="worksheet">
    <worksheetSource ref="N1:N49" sheet="ROUTE INFO"/>
  </cacheSource>
  <cacheFields count="1">
    <cacheField name="CABLE TYPE" numFmtId="0">
      <sharedItems containsBlank="1" count="2">
        <s v="2 F DUAL DROP C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oko Matlawe" refreshedDate="45160.682005555558" missingItemsLimit="0" createdVersion="5" refreshedVersion="8" minRefreshableVersion="3" recordCount="48" xr:uid="{00000000-000A-0000-FFFF-FFFF00000000}">
  <cacheSource type="worksheet">
    <worksheetSource ref="I1:P49" sheet="ROUTE INFO"/>
  </cacheSource>
  <cacheFields count="8">
    <cacheField name="DISTANCE" numFmtId="0">
      <sharedItems containsString="0" containsBlank="1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s v="2 F DUAL DROP CABLE"/>
        <m/>
      </sharedItems>
    </cacheField>
    <cacheField name="SLACK" numFmtId="0">
      <sharedItems containsString="0" containsBlank="1" containsNumber="1" containsInteger="1" minValue="5" maxValue="10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oko Matlawe" refreshedDate="45160.682006597221" missingItemsLimit="0" createdVersion="7" refreshedVersion="8" minRefreshableVersion="3" recordCount="48" xr:uid="{2CCD5A82-5FD0-40A4-84FC-D6BD9F1FDA5E}">
  <cacheSource type="worksheet">
    <worksheetSource ref="E1:O49" sheet="ROUTE INFO"/>
  </cacheSource>
  <cacheFields count="11">
    <cacheField name="MH TYPE" numFmtId="0">
      <sharedItems containsBlank="1" count="2">
        <m/>
        <s v="LA EXISTING"/>
      </sharedItems>
    </cacheField>
    <cacheField name="LOCATION" numFmtId="0">
      <sharedItems containsBlank="1"/>
    </cacheField>
    <cacheField name="LATITUDE" numFmtId="0">
      <sharedItems containsString="0" containsBlank="1" containsNumber="1" minValue="-26.036342399999999" maxValue="-26.036342399999999"/>
    </cacheField>
    <cacheField name="LONGITUDE" numFmtId="0">
      <sharedItems containsString="0" containsBlank="1" containsNumber="1" minValue="28.052346780000001" maxValue="28.052346780000001"/>
    </cacheField>
    <cacheField name="DISTANCE" numFmtId="0">
      <sharedItems containsString="0" containsBlank="1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s v="inside Cabinet"/>
    <x v="0"/>
    <x v="0"/>
    <x v="0"/>
    <s v="2 F DUAL DROP CABLE"/>
    <n v="5"/>
  </r>
  <r>
    <n v="2"/>
    <s v="inside Cabinet"/>
    <x v="0"/>
    <x v="0"/>
    <x v="0"/>
    <s v="2 F DUAL DROP CABLE"/>
    <m/>
  </r>
  <r>
    <n v="26"/>
    <s v="Ceiling"/>
    <x v="1"/>
    <x v="1"/>
    <x v="0"/>
    <s v="2 F DUAL DROP CABLE"/>
    <m/>
  </r>
  <r>
    <n v="3"/>
    <s v="TRUNKING 25x25"/>
    <x v="2"/>
    <x v="2"/>
    <x v="0"/>
    <s v="2 F DUAL DROP CABLE"/>
    <m/>
  </r>
  <r>
    <n v="6"/>
    <s v="25MM PVC"/>
    <x v="3"/>
    <x v="3"/>
    <x v="0"/>
    <s v="2 F DUAL DROP CABLE"/>
    <m/>
  </r>
  <r>
    <n v="14"/>
    <s v="Trench"/>
    <x v="4"/>
    <x v="4"/>
    <x v="0"/>
    <s v="2 F DUAL DROP CABLE"/>
    <m/>
  </r>
  <r>
    <n v="8"/>
    <s v="Trench"/>
    <x v="5"/>
    <x v="4"/>
    <x v="0"/>
    <s v="2 F DUAL DROP CABLE"/>
    <n v="10"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  <r>
    <m/>
    <m/>
    <x v="6"/>
    <x v="5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s v="inside Cabinet"/>
    <s v="inside Cabinet"/>
    <s v="inside Cabinet"/>
    <s v="14/10-1 WAY"/>
    <x v="0"/>
    <n v="5"/>
    <m/>
  </r>
  <r>
    <n v="2"/>
    <s v="inside Cabinet"/>
    <s v="inside Cabinet"/>
    <s v="inside Cabinet"/>
    <s v="14/10-1 WAY"/>
    <x v="0"/>
    <m/>
    <m/>
  </r>
  <r>
    <n v="26"/>
    <s v="Ceiling"/>
    <s v="Ceiling"/>
    <s v="Ceiling"/>
    <s v="14/10-1 WAY"/>
    <x v="0"/>
    <m/>
    <m/>
  </r>
  <r>
    <n v="3"/>
    <s v="TRUNKING 25x25"/>
    <s v="TRUNKING 25x25"/>
    <s v="TRUNKING 25x25"/>
    <s v="14/10-1 WAY"/>
    <x v="0"/>
    <m/>
    <m/>
  </r>
  <r>
    <n v="6"/>
    <s v="25MM PVC"/>
    <s v="25MM PVC"/>
    <s v="25MM PVC"/>
    <s v="14/10-1 WAY"/>
    <x v="0"/>
    <m/>
    <m/>
  </r>
  <r>
    <n v="14"/>
    <s v="Trench"/>
    <s v="PAVING"/>
    <s v="DIRECT BURIED"/>
    <s v="14/10-1 WAY"/>
    <x v="0"/>
    <m/>
    <m/>
  </r>
  <r>
    <n v="8"/>
    <s v="Trench"/>
    <s v="SOIL"/>
    <s v="DIRECT BURIED"/>
    <s v="14/10-1 WAY"/>
    <x v="0"/>
    <n v="10"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m/>
    <m/>
    <m/>
    <n v="0"/>
    <s v="inside Cabinet"/>
    <s v="inside Cabinet"/>
    <s v="inside Cabinet"/>
    <s v="14/10-1 WAY"/>
    <s v="2 F DUAL DROP CABLE"/>
    <n v="5"/>
  </r>
  <r>
    <x v="0"/>
    <m/>
    <m/>
    <m/>
    <n v="2"/>
    <s v="inside Cabinet"/>
    <s v="inside Cabinet"/>
    <s v="inside Cabinet"/>
    <s v="14/10-1 WAY"/>
    <s v="2 F DUAL DROP CABLE"/>
    <m/>
  </r>
  <r>
    <x v="0"/>
    <m/>
    <m/>
    <m/>
    <n v="26"/>
    <s v="Ceiling"/>
    <s v="Ceiling"/>
    <s v="Ceiling"/>
    <s v="14/10-1 WAY"/>
    <s v="2 F DUAL DROP CABLE"/>
    <m/>
  </r>
  <r>
    <x v="0"/>
    <m/>
    <m/>
    <m/>
    <n v="3"/>
    <s v="TRUNKING 25x25"/>
    <s v="TRUNKING 25x25"/>
    <s v="TRUNKING 25x25"/>
    <s v="14/10-1 WAY"/>
    <s v="2 F DUAL DROP CABLE"/>
    <m/>
  </r>
  <r>
    <x v="0"/>
    <m/>
    <m/>
    <m/>
    <n v="6"/>
    <s v="25MM PVC"/>
    <s v="25MM PVC"/>
    <s v="25MM PVC"/>
    <s v="14/10-1 WAY"/>
    <s v="2 F DUAL DROP CABLE"/>
    <m/>
  </r>
  <r>
    <x v="0"/>
    <m/>
    <m/>
    <m/>
    <n v="14"/>
    <s v="Trench"/>
    <s v="PAVING"/>
    <s v="DIRECT BURIED"/>
    <s v="14/10-1 WAY"/>
    <s v="2 F DUAL DROP CABLE"/>
    <m/>
  </r>
  <r>
    <x v="1"/>
    <s v=" witkoppen road"/>
    <n v="-26.036342399999999"/>
    <n v="28.052346780000001"/>
    <n v="8"/>
    <s v="Trench"/>
    <s v="SOIL"/>
    <s v="DIRECT BURIED"/>
    <s v="14/10-1 WAY"/>
    <s v="2 F DUAL DROP CABLE"/>
    <n v="10"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72:O78" firstHeaderRow="1" firstDataRow="1" firstDataCol="1"/>
  <pivotFields count="7">
    <pivotField dataField="1" showAll="0"/>
    <pivotField showAll="0"/>
    <pivotField showAll="0"/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4:N56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h="1" x="1"/>
        <item x="0"/>
        <item t="default"/>
      </items>
    </pivotField>
    <pivotField dataField="1" showAll="0"/>
    <pivotField dataField="1" showAll="0"/>
  </pivotFields>
  <rowFields count="1">
    <field x="5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95:O98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72:L74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h="1" x="1"/>
        <item x="0"/>
      </items>
    </pivotField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83:L85" firstHeaderRow="1" firstDataRow="1" firstDataCol="1"/>
  <pivotFields count="1">
    <pivotField axis="axisRow" dataField="1" showAll="0">
      <items count="3">
        <item x="1"/>
        <item h="1"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95:L102" firstHeaderRow="1" firstDataRow="1" firstDataCol="1"/>
  <pivotFields count="7">
    <pivotField dataField="1"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zoomScale="80" zoomScaleNormal="80" workbookViewId="0">
      <selection activeCell="C6" sqref="C6:F6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60" t="str">
        <f>'Master BOQ Pricing_2018-01-08'!B1</f>
        <v>To Be viewed in conjunction with BOS_000-MS-BO-010 Rev 5</v>
      </c>
      <c r="C1" s="1060"/>
      <c r="D1" s="1060"/>
      <c r="E1" s="1060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29" t="s">
        <v>448</v>
      </c>
      <c r="M3" s="1064"/>
      <c r="N3" s="1065" t="s">
        <v>454</v>
      </c>
      <c r="O3" s="1032"/>
      <c r="S3" s="239"/>
      <c r="T3" s="240"/>
    </row>
    <row r="4" spans="1:25" ht="14.4">
      <c r="B4" s="834" t="s">
        <v>706</v>
      </c>
      <c r="C4" s="1057" t="s">
        <v>1267</v>
      </c>
      <c r="D4" s="1058"/>
      <c r="E4" s="1058"/>
      <c r="F4" s="1059"/>
      <c r="H4" s="637" t="s">
        <v>333</v>
      </c>
      <c r="I4" s="675">
        <f>'Infra Build BOQ'!G251</f>
        <v>6223.96</v>
      </c>
      <c r="K4" s="655" t="s">
        <v>446</v>
      </c>
      <c r="L4" s="1038" t="str">
        <f>'CIVIL SI'!C6</f>
        <v>INTERNAL OR CONTRACTOR NAME</v>
      </c>
      <c r="M4" s="1039"/>
      <c r="N4" s="1042">
        <f>'CIVIL SI'!Y199</f>
        <v>0</v>
      </c>
      <c r="O4" s="1043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1002</v>
      </c>
      <c r="C5" s="1020" t="s">
        <v>1267</v>
      </c>
      <c r="D5" s="1021"/>
      <c r="E5" s="1021"/>
      <c r="F5" s="1022"/>
      <c r="H5" s="639" t="s">
        <v>334</v>
      </c>
      <c r="I5" s="676">
        <f>'Infra Build BOQ'!G252</f>
        <v>1321.4949999999999</v>
      </c>
      <c r="J5" s="656"/>
      <c r="K5" s="657" t="s">
        <v>447</v>
      </c>
      <c r="L5" s="1040" t="str">
        <f>'JETTING SI'!C6</f>
        <v>INTERNAL OR CONTRACTOR NAME</v>
      </c>
      <c r="M5" s="1041"/>
      <c r="N5" s="1044">
        <f>'JETTING SI'!Y32</f>
        <v>0</v>
      </c>
      <c r="O5" s="1045"/>
      <c r="S5" s="239"/>
      <c r="T5" s="240"/>
    </row>
    <row r="6" spans="1:25" ht="15" thickBot="1">
      <c r="B6" s="835" t="s">
        <v>0</v>
      </c>
      <c r="C6" s="1020" t="s">
        <v>1268</v>
      </c>
      <c r="D6" s="1021"/>
      <c r="E6" s="1021"/>
      <c r="F6" s="1022"/>
      <c r="H6" s="658" t="s">
        <v>336</v>
      </c>
      <c r="I6" s="635">
        <f>I4+I5</f>
        <v>7545.4549999999999</v>
      </c>
      <c r="K6" s="657" t="s">
        <v>325</v>
      </c>
      <c r="L6" s="1040" t="str">
        <f>'DRILLING SI'!C6</f>
        <v>INTERNAL OR CONTRACTOR NAME</v>
      </c>
      <c r="M6" s="1041"/>
      <c r="N6" s="1044">
        <f>'DRILLING SI'!Y25</f>
        <v>0</v>
      </c>
      <c r="O6" s="1045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20" t="s">
        <v>1269</v>
      </c>
      <c r="D7" s="1021"/>
      <c r="E7" s="1021"/>
      <c r="F7" s="1022"/>
      <c r="K7" s="657" t="s">
        <v>449</v>
      </c>
      <c r="L7" s="1040" t="str">
        <f>'REINSTATEMENT SI'!C6</f>
        <v>INTERNAL OR CONTRACTOR NAME</v>
      </c>
      <c r="M7" s="1041"/>
      <c r="N7" s="1044">
        <f>'REINSTATEMENT SI'!Y24</f>
        <v>0</v>
      </c>
      <c r="O7" s="1045"/>
      <c r="S7" s="239"/>
      <c r="T7" s="240"/>
    </row>
    <row r="8" spans="1:25" ht="15" thickBot="1">
      <c r="B8" s="835" t="s">
        <v>995</v>
      </c>
      <c r="C8" s="1020" t="s">
        <v>1073</v>
      </c>
      <c r="D8" s="1021"/>
      <c r="E8" s="1021"/>
      <c r="F8" s="1022"/>
      <c r="K8" s="657" t="s">
        <v>450</v>
      </c>
      <c r="L8" s="1040" t="str">
        <f>'FLOATING SI'!C6</f>
        <v>INTERNAL OR CONTRACTOR NAME</v>
      </c>
      <c r="M8" s="1041"/>
      <c r="N8" s="1044">
        <f>'FLOATING SI'!Y36</f>
        <v>0</v>
      </c>
      <c r="O8" s="1045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1072</v>
      </c>
      <c r="C9" s="1066" t="str">
        <f>VLOOKUP(C8,'Network Types'!C2:D20,2,FALSE)</f>
        <v>Blank</v>
      </c>
      <c r="D9" s="1067"/>
      <c r="E9" s="1067"/>
      <c r="F9" s="1068"/>
      <c r="H9" s="273" t="s">
        <v>348</v>
      </c>
      <c r="K9" s="679" t="s">
        <v>316</v>
      </c>
      <c r="L9" s="1053" t="str">
        <f>'FOCUS SI'!C6</f>
        <v>INTERNAL OR CONTRACTOR NAME</v>
      </c>
      <c r="M9" s="1054"/>
      <c r="N9" s="1046">
        <f>'FOCUS SI'!Y32</f>
        <v>0</v>
      </c>
      <c r="O9" s="1047"/>
      <c r="S9" s="239"/>
      <c r="T9" s="240"/>
    </row>
    <row r="10" spans="1:25" ht="15" thickBot="1">
      <c r="B10" s="835" t="s">
        <v>342</v>
      </c>
      <c r="C10" s="1069" t="s">
        <v>1270</v>
      </c>
      <c r="D10" s="1021"/>
      <c r="E10" s="1021"/>
      <c r="F10" s="1022"/>
      <c r="H10" s="637" t="s">
        <v>311</v>
      </c>
      <c r="I10" s="684">
        <f>IF(I45=0,(C51+C52+C63),(I35+I44+C51+C63))</f>
        <v>59</v>
      </c>
      <c r="K10" s="660" t="s">
        <v>451</v>
      </c>
      <c r="L10" s="1055" t="str">
        <f>'SPLICING SI'!C6</f>
        <v>INTERNAL OR CONTRACTOR NAME</v>
      </c>
      <c r="M10" s="1056"/>
      <c r="N10" s="1048">
        <f>'SPLICING SI'!Y24</f>
        <v>0</v>
      </c>
      <c r="O10" s="1049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20" t="s">
        <v>1271</v>
      </c>
      <c r="D11" s="1021"/>
      <c r="E11" s="1021"/>
      <c r="F11" s="1022"/>
      <c r="H11" s="659" t="s">
        <v>350</v>
      </c>
      <c r="I11" s="996">
        <f>ROUNDUP(I4/I10,2)</f>
        <v>105.5</v>
      </c>
      <c r="L11" s="1052" t="s">
        <v>453</v>
      </c>
      <c r="M11" s="1052"/>
      <c r="N11" s="1050">
        <f>SUM(O4:O10)</f>
        <v>0</v>
      </c>
      <c r="O11" s="1051"/>
      <c r="S11" s="239"/>
      <c r="T11" s="240"/>
    </row>
    <row r="12" spans="1:25" ht="14.4">
      <c r="B12" s="835" t="s">
        <v>307</v>
      </c>
      <c r="C12" s="1020" t="s">
        <v>1271</v>
      </c>
      <c r="D12" s="1021"/>
      <c r="E12" s="1021"/>
      <c r="F12" s="1022"/>
      <c r="H12" s="638" t="s">
        <v>327</v>
      </c>
      <c r="I12" s="636">
        <f>IF(I45=0,(C51+C52+C63),((I35+I36+I44)+(C51+C52+C63)))</f>
        <v>59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20" t="s">
        <v>1272</v>
      </c>
      <c r="D13" s="1021"/>
      <c r="E13" s="1021"/>
      <c r="F13" s="1022"/>
      <c r="H13" s="661" t="s">
        <v>349</v>
      </c>
      <c r="I13" s="997">
        <f>ROUNDUP((I4+I5)/I12,2)</f>
        <v>127.89</v>
      </c>
      <c r="S13" s="239"/>
      <c r="T13" s="662"/>
      <c r="W13" s="1037"/>
      <c r="X13" s="1037"/>
      <c r="Y13" s="1037"/>
    </row>
    <row r="14" spans="1:25" ht="15" thickBot="1">
      <c r="B14" s="835" t="s">
        <v>309</v>
      </c>
      <c r="C14" s="1020"/>
      <c r="D14" s="1021"/>
      <c r="E14" s="1021"/>
      <c r="F14" s="1022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069">
        <v>45154</v>
      </c>
      <c r="D15" s="1021"/>
      <c r="E15" s="1021"/>
      <c r="F15" s="1022"/>
      <c r="H15" s="833" t="s">
        <v>514</v>
      </c>
    </row>
    <row r="16" spans="1:25" ht="14.4" thickBot="1">
      <c r="B16" s="836" t="s">
        <v>1241</v>
      </c>
      <c r="C16" s="1020" t="s">
        <v>1273</v>
      </c>
      <c r="D16" s="1021"/>
      <c r="E16" s="1021"/>
      <c r="F16" s="1022"/>
      <c r="H16" s="637" t="s">
        <v>512</v>
      </c>
      <c r="I16" s="998">
        <v>1500</v>
      </c>
      <c r="J16" s="678"/>
      <c r="K16" s="654" t="s">
        <v>840</v>
      </c>
      <c r="L16" s="663" t="s">
        <v>839</v>
      </c>
      <c r="M16" s="663" t="s">
        <v>842</v>
      </c>
      <c r="N16" s="663" t="s">
        <v>455</v>
      </c>
      <c r="O16" s="663" t="s">
        <v>842</v>
      </c>
      <c r="P16" s="663" t="s">
        <v>841</v>
      </c>
      <c r="Q16" s="664" t="s">
        <v>842</v>
      </c>
    </row>
    <row r="17" spans="2:17">
      <c r="B17" s="836" t="s">
        <v>362</v>
      </c>
      <c r="C17" s="1020" t="s">
        <v>1274</v>
      </c>
      <c r="D17" s="1021"/>
      <c r="E17" s="1021"/>
      <c r="F17" s="1022"/>
      <c r="H17" s="677" t="s">
        <v>513</v>
      </c>
      <c r="I17" s="683">
        <f>ROUNDUP(I16*12,2)</f>
        <v>18000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20" t="s">
        <v>1275</v>
      </c>
      <c r="D18" s="1021"/>
      <c r="E18" s="1021"/>
      <c r="F18" s="1022"/>
      <c r="H18" s="639" t="s">
        <v>1052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069">
        <v>45160</v>
      </c>
      <c r="D19" s="1021"/>
      <c r="E19" s="1021"/>
      <c r="F19" s="1022"/>
      <c r="H19" s="640" t="s">
        <v>1242</v>
      </c>
      <c r="I19" s="641">
        <f>ROUNDUP((I6-I18)/I17,1)</f>
        <v>0.5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20" t="s">
        <v>1276</v>
      </c>
      <c r="D20" s="1021"/>
      <c r="E20" s="1021"/>
      <c r="F20" s="1022"/>
      <c r="H20" s="640" t="s">
        <v>1240</v>
      </c>
      <c r="I20" s="641">
        <f>ROUNDUP(I19*12,0)</f>
        <v>6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20" t="s">
        <v>1276</v>
      </c>
      <c r="D21" s="1021"/>
      <c r="E21" s="1021"/>
      <c r="F21" s="1022"/>
    </row>
    <row r="22" spans="2:17" ht="15" customHeight="1" thickBot="1">
      <c r="B22" s="835" t="s">
        <v>460</v>
      </c>
      <c r="C22" s="1020"/>
      <c r="D22" s="1021"/>
      <c r="E22" s="1021"/>
      <c r="F22" s="1022"/>
      <c r="H22" s="665" t="s">
        <v>314</v>
      </c>
      <c r="K22" s="654" t="s">
        <v>230</v>
      </c>
      <c r="L22" s="1029" t="s">
        <v>466</v>
      </c>
      <c r="M22" s="1029"/>
      <c r="N22" s="1029" t="s">
        <v>456</v>
      </c>
      <c r="O22" s="1032"/>
    </row>
    <row r="23" spans="2:17" ht="14.4" thickBot="1">
      <c r="B23" s="837" t="s">
        <v>461</v>
      </c>
      <c r="C23" s="1023"/>
      <c r="D23" s="1024"/>
      <c r="E23" s="1024"/>
      <c r="F23" s="1025"/>
      <c r="H23" s="637" t="s">
        <v>316</v>
      </c>
      <c r="I23" s="1015">
        <f>IF(I45=0,C51/C64,(C51+I35)/(C64+I45))</f>
        <v>0</v>
      </c>
      <c r="K23" s="655" t="s">
        <v>457</v>
      </c>
      <c r="L23" s="1030">
        <f>SUMIF(L4:L10,K23,O4:O10)</f>
        <v>0</v>
      </c>
      <c r="M23" s="1030"/>
      <c r="N23" s="1033" t="e">
        <f>L23/N11</f>
        <v>#DIV/0!</v>
      </c>
      <c r="O23" s="1034"/>
    </row>
    <row r="24" spans="2:17" ht="14.4" thickBot="1">
      <c r="C24" s="685"/>
      <c r="D24" s="685"/>
      <c r="E24" s="685"/>
      <c r="H24" s="638" t="s">
        <v>318</v>
      </c>
      <c r="I24" s="1016">
        <f>IF(I45=0,C52/C64,(C52+I36)/(C64+I45))</f>
        <v>0</v>
      </c>
      <c r="K24" s="660" t="s">
        <v>458</v>
      </c>
      <c r="L24" s="1031">
        <f>N11-L23</f>
        <v>0</v>
      </c>
      <c r="M24" s="1031"/>
      <c r="N24" s="1035" t="e">
        <f>L24/N11</f>
        <v>#DIV/0!</v>
      </c>
      <c r="O24" s="1036"/>
    </row>
    <row r="25" spans="2:17" ht="14.4" thickBot="1">
      <c r="C25" s="685"/>
      <c r="D25" s="685"/>
      <c r="E25" s="685"/>
      <c r="H25" s="666" t="s">
        <v>320</v>
      </c>
      <c r="I25" s="1017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61"/>
      <c r="L33" s="1062"/>
      <c r="M33" s="1062"/>
      <c r="N33" s="1062"/>
      <c r="O33" s="1062"/>
      <c r="P33" s="1062"/>
      <c r="Q33" s="1063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6"/>
      <c r="L34" s="1027"/>
      <c r="M34" s="1027"/>
      <c r="N34" s="1027"/>
      <c r="O34" s="1027"/>
      <c r="P34" s="1027"/>
      <c r="Q34" s="1028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6"/>
      <c r="L35" s="1027"/>
      <c r="M35" s="1027"/>
      <c r="N35" s="1027"/>
      <c r="O35" s="1027"/>
      <c r="P35" s="1027"/>
      <c r="Q35" s="1028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6"/>
      <c r="L36" s="1027"/>
      <c r="M36" s="1027"/>
      <c r="N36" s="1027"/>
      <c r="O36" s="1027"/>
      <c r="P36" s="1027"/>
      <c r="Q36" s="1028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6"/>
      <c r="L37" s="1027"/>
      <c r="M37" s="1027"/>
      <c r="N37" s="1027"/>
      <c r="O37" s="1027"/>
      <c r="P37" s="1027"/>
      <c r="Q37" s="1028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6"/>
      <c r="L38" s="1027"/>
      <c r="M38" s="1027"/>
      <c r="N38" s="1027"/>
      <c r="O38" s="1027"/>
      <c r="P38" s="1027"/>
      <c r="Q38" s="1028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6"/>
      <c r="L39" s="1027"/>
      <c r="M39" s="1027"/>
      <c r="N39" s="1027"/>
      <c r="O39" s="1027"/>
      <c r="P39" s="1027"/>
      <c r="Q39" s="1028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6"/>
      <c r="L40" s="1027"/>
      <c r="M40" s="1027"/>
      <c r="N40" s="1027"/>
      <c r="O40" s="1027"/>
      <c r="P40" s="1027"/>
      <c r="Q40" s="1028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6"/>
      <c r="L41" s="1027"/>
      <c r="M41" s="1027"/>
      <c r="N41" s="1027"/>
      <c r="O41" s="1027"/>
      <c r="P41" s="1027"/>
      <c r="Q41" s="1028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6"/>
      <c r="L42" s="1027"/>
      <c r="M42" s="1027"/>
      <c r="N42" s="1027"/>
      <c r="O42" s="1027"/>
      <c r="P42" s="1027"/>
      <c r="Q42" s="1028"/>
    </row>
    <row r="43" spans="2:17" ht="15" customHeight="1">
      <c r="B43" s="639" t="s">
        <v>1157</v>
      </c>
      <c r="C43" s="645">
        <v>0</v>
      </c>
      <c r="E43" s="639" t="s">
        <v>1157</v>
      </c>
      <c r="F43" s="842">
        <v>0</v>
      </c>
      <c r="H43" s="639" t="s">
        <v>1157</v>
      </c>
      <c r="I43" s="842">
        <v>0</v>
      </c>
      <c r="K43" s="1026"/>
      <c r="L43" s="1027"/>
      <c r="M43" s="1027"/>
      <c r="N43" s="1027"/>
      <c r="O43" s="1027"/>
      <c r="P43" s="1027"/>
      <c r="Q43" s="1028"/>
    </row>
    <row r="44" spans="2:17" ht="15" customHeight="1" thickBot="1">
      <c r="B44" s="673" t="s">
        <v>960</v>
      </c>
      <c r="C44" s="674">
        <f>C39+C40+C41+C42+C43</f>
        <v>0</v>
      </c>
      <c r="E44" s="673" t="s">
        <v>960</v>
      </c>
      <c r="F44" s="674">
        <f>F39+F40+F41+F42+F43</f>
        <v>0</v>
      </c>
      <c r="H44" s="673" t="s">
        <v>960</v>
      </c>
      <c r="I44" s="674">
        <f>I39+I40+I41+I42+I43</f>
        <v>0</v>
      </c>
      <c r="K44" s="1026"/>
      <c r="L44" s="1027"/>
      <c r="M44" s="1027"/>
      <c r="N44" s="1027"/>
      <c r="O44" s="1027"/>
      <c r="P44" s="1027"/>
      <c r="Q44" s="1028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70"/>
      <c r="L45" s="1071"/>
      <c r="M45" s="1071"/>
      <c r="N45" s="1071"/>
      <c r="O45" s="1071"/>
      <c r="P45" s="1071"/>
      <c r="Q45" s="1072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61"/>
      <c r="L49" s="1062"/>
      <c r="M49" s="1062"/>
      <c r="N49" s="1062"/>
      <c r="O49" s="1062"/>
      <c r="P49" s="1062"/>
      <c r="Q49" s="1063"/>
    </row>
    <row r="50" spans="2:17" ht="15" customHeight="1">
      <c r="B50" s="638" t="s">
        <v>317</v>
      </c>
      <c r="C50" s="645">
        <v>0</v>
      </c>
      <c r="K50" s="1026"/>
      <c r="L50" s="1027"/>
      <c r="M50" s="1027"/>
      <c r="N50" s="1027"/>
      <c r="O50" s="1027"/>
      <c r="P50" s="1027"/>
      <c r="Q50" s="1028"/>
    </row>
    <row r="51" spans="2:17" ht="15" customHeight="1">
      <c r="B51" s="671" t="s">
        <v>319</v>
      </c>
      <c r="C51" s="672">
        <f>C49+C50</f>
        <v>0</v>
      </c>
      <c r="K51" s="1026"/>
      <c r="L51" s="1027"/>
      <c r="M51" s="1027"/>
      <c r="N51" s="1027"/>
      <c r="O51" s="1027"/>
      <c r="P51" s="1027"/>
      <c r="Q51" s="1028"/>
    </row>
    <row r="52" spans="2:17" ht="15" customHeight="1">
      <c r="B52" s="638" t="s">
        <v>322</v>
      </c>
      <c r="C52" s="645">
        <v>0</v>
      </c>
      <c r="K52" s="1026"/>
      <c r="L52" s="1027"/>
      <c r="M52" s="1027"/>
      <c r="N52" s="1027"/>
      <c r="O52" s="1027"/>
      <c r="P52" s="1027"/>
      <c r="Q52" s="1028"/>
    </row>
    <row r="53" spans="2:17" ht="15" customHeight="1">
      <c r="B53" s="638" t="s">
        <v>472</v>
      </c>
      <c r="C53" s="645">
        <v>0</v>
      </c>
      <c r="K53" s="1026"/>
      <c r="L53" s="1027"/>
      <c r="M53" s="1027"/>
      <c r="N53" s="1027"/>
      <c r="O53" s="1027"/>
      <c r="P53" s="1027"/>
      <c r="Q53" s="1028"/>
    </row>
    <row r="54" spans="2:17" ht="15" customHeight="1">
      <c r="B54" s="671" t="s">
        <v>323</v>
      </c>
      <c r="C54" s="672">
        <f>C52+C53</f>
        <v>0</v>
      </c>
      <c r="K54" s="1026"/>
      <c r="L54" s="1027"/>
      <c r="M54" s="1027"/>
      <c r="N54" s="1027"/>
      <c r="O54" s="1027"/>
      <c r="P54" s="1027"/>
      <c r="Q54" s="1028"/>
    </row>
    <row r="55" spans="2:17" ht="15" customHeight="1">
      <c r="B55" s="638" t="s">
        <v>321</v>
      </c>
      <c r="C55" s="645">
        <v>0</v>
      </c>
      <c r="K55" s="1026"/>
      <c r="L55" s="1027"/>
      <c r="M55" s="1027"/>
      <c r="N55" s="1027"/>
      <c r="O55" s="1027"/>
      <c r="P55" s="1027"/>
      <c r="Q55" s="1028"/>
    </row>
    <row r="56" spans="2:17" ht="15" customHeight="1">
      <c r="B56" s="638" t="s">
        <v>328</v>
      </c>
      <c r="C56" s="645">
        <v>0</v>
      </c>
      <c r="K56" s="1026"/>
      <c r="L56" s="1027"/>
      <c r="M56" s="1027"/>
      <c r="N56" s="1027"/>
      <c r="O56" s="1027"/>
      <c r="P56" s="1027"/>
      <c r="Q56" s="1028"/>
    </row>
    <row r="57" spans="2:17" ht="15" customHeight="1">
      <c r="B57" s="638" t="s">
        <v>329</v>
      </c>
      <c r="C57" s="645">
        <f>GETPIVOTDATA("DISTANCE",'ROUTE INFO'!$K$95,"TRENCH TYPE","PAVING")</f>
        <v>14</v>
      </c>
      <c r="K57" s="1026"/>
      <c r="L57" s="1027"/>
      <c r="M57" s="1027"/>
      <c r="N57" s="1027"/>
      <c r="O57" s="1027"/>
      <c r="P57" s="1027"/>
      <c r="Q57" s="1028"/>
    </row>
    <row r="58" spans="2:17" ht="15" customHeight="1">
      <c r="B58" s="638" t="s">
        <v>330</v>
      </c>
      <c r="C58" s="645">
        <v>0</v>
      </c>
      <c r="K58" s="1026"/>
      <c r="L58" s="1027"/>
      <c r="M58" s="1027"/>
      <c r="N58" s="1027"/>
      <c r="O58" s="1027"/>
      <c r="P58" s="1027"/>
      <c r="Q58" s="1028"/>
    </row>
    <row r="59" spans="2:17" ht="15" customHeight="1">
      <c r="B59" s="638" t="s">
        <v>325</v>
      </c>
      <c r="C59" s="645">
        <v>0</v>
      </c>
      <c r="K59" s="1026"/>
      <c r="L59" s="1027"/>
      <c r="M59" s="1027"/>
      <c r="N59" s="1027"/>
      <c r="O59" s="1027"/>
      <c r="P59" s="1027"/>
      <c r="Q59" s="1028"/>
    </row>
    <row r="60" spans="2:17" ht="15" customHeight="1">
      <c r="B60" s="638" t="s">
        <v>326</v>
      </c>
      <c r="C60" s="645">
        <f>GETPIVOTDATA("DISTANCE",'ROUTE INFO'!$K$95,"TRENCH TYPE","SOIL")</f>
        <v>8</v>
      </c>
      <c r="K60" s="1026"/>
      <c r="L60" s="1027"/>
      <c r="M60" s="1027"/>
      <c r="N60" s="1027"/>
      <c r="O60" s="1027"/>
      <c r="P60" s="1027"/>
      <c r="Q60" s="1028"/>
    </row>
    <row r="61" spans="2:17" ht="15" customHeight="1">
      <c r="B61" s="639" t="s">
        <v>1157</v>
      </c>
      <c r="C61" s="645">
        <v>0</v>
      </c>
      <c r="K61" s="1026"/>
      <c r="L61" s="1027"/>
      <c r="M61" s="1027"/>
      <c r="N61" s="1027"/>
      <c r="O61" s="1027"/>
      <c r="P61" s="1027"/>
      <c r="Q61" s="1028"/>
    </row>
    <row r="62" spans="2:17" ht="15" customHeight="1">
      <c r="B62" s="669" t="s">
        <v>331</v>
      </c>
      <c r="C62" s="647">
        <f>GETPIVOTDATA("DISTANCE",'ROUTE INFO'!$K$95,"TRENCH TYPE","inside Cabinet")+GETPIVOTDATA("DISTANCE",'ROUTE INFO'!$K$95,"TRENCH TYPE","Ceiling")+GETPIVOTDATA("DISTANCE",'ROUTE INFO'!$K$95,"TRENCH TYPE","TRUNKING 25x25")+GETPIVOTDATA("DISTANCE",'ROUTE INFO'!$K$95,"TRENCH TYPE","25MM PVC")</f>
        <v>37</v>
      </c>
      <c r="K62" s="1026"/>
      <c r="L62" s="1027"/>
      <c r="M62" s="1027"/>
      <c r="N62" s="1027"/>
      <c r="O62" s="1027"/>
      <c r="P62" s="1027"/>
      <c r="Q62" s="1028"/>
    </row>
    <row r="63" spans="2:17" ht="15" customHeight="1" thickBot="1">
      <c r="B63" s="671" t="s">
        <v>960</v>
      </c>
      <c r="C63" s="672">
        <f>C55+C56+C57+C58+C59+C60+C61+C62</f>
        <v>59</v>
      </c>
      <c r="K63" s="1026"/>
      <c r="L63" s="1027"/>
      <c r="M63" s="1027"/>
      <c r="N63" s="1027"/>
      <c r="O63" s="1027"/>
      <c r="P63" s="1027"/>
      <c r="Q63" s="1028"/>
    </row>
    <row r="64" spans="2:17" ht="14.4" thickBot="1">
      <c r="B64" s="658" t="s">
        <v>327</v>
      </c>
      <c r="C64" s="646">
        <f>C51+C54+C63</f>
        <v>59</v>
      </c>
      <c r="K64" s="1070"/>
      <c r="L64" s="1071"/>
      <c r="M64" s="1071"/>
      <c r="N64" s="1071"/>
      <c r="O64" s="1071"/>
      <c r="P64" s="1071"/>
      <c r="Q64" s="1072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  <mergeCell ref="K45:Q45"/>
    <mergeCell ref="K49:Q49"/>
    <mergeCell ref="K50:Q50"/>
    <mergeCell ref="K51:Q51"/>
    <mergeCell ref="K52:Q52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11" t="str">
        <f>'Infra Build BOQ'!F3:K3</f>
        <v>G1VDA066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114" t="str">
        <f>'Infra Build BOQ'!F4:K4</f>
        <v>WITKOPPEN RD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>
        <f>'Infra Build BOQ'!F5:K5</f>
        <v>45160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 xml:space="preserve"> Sunninghill Access POP - BLUE STRIPE T/A CONTRON IT - Car Service City  - Sandton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1</v>
      </c>
      <c r="G14" s="957">
        <f>'Infra Build BOQ'!G15</f>
        <v>850</v>
      </c>
      <c r="H14" s="958">
        <f>'Infra Build BOQ'!T15</f>
        <v>0</v>
      </c>
      <c r="I14" s="959">
        <f>'Infra Build BOQ'!U15</f>
        <v>1</v>
      </c>
      <c r="J14" s="960">
        <f>'Infra Build BOQ'!V15</f>
        <v>850</v>
      </c>
      <c r="K14" s="961">
        <f>'Infra Build BOQ'!W15</f>
        <v>0</v>
      </c>
      <c r="L14" s="958">
        <f>'Infra Build BOQ'!X15</f>
        <v>0</v>
      </c>
      <c r="M14" s="959">
        <f>'Infra Build BOQ'!Y15</f>
        <v>1</v>
      </c>
      <c r="N14" s="960">
        <f>'Infra Build BOQ'!Z15</f>
        <v>850</v>
      </c>
      <c r="O14" s="961">
        <f>'Infra Build BOQ'!AA15</f>
        <v>0</v>
      </c>
      <c r="P14" s="958">
        <f>'Infra Build BOQ'!AB15</f>
        <v>0</v>
      </c>
      <c r="Q14" s="959">
        <f>'Infra Build BOQ'!AC15</f>
        <v>1</v>
      </c>
      <c r="R14" s="960">
        <f>'Infra Build BOQ'!AD15</f>
        <v>850</v>
      </c>
      <c r="S14" s="961">
        <f>'Infra Build BOQ'!AE15</f>
        <v>0</v>
      </c>
      <c r="T14" s="958">
        <f>'Infra Build BOQ'!AF15</f>
        <v>0</v>
      </c>
      <c r="U14" s="959">
        <f>'Infra Build BOQ'!AG15</f>
        <v>1</v>
      </c>
      <c r="V14" s="960">
        <f>'Infra Build BOQ'!AH15</f>
        <v>850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0</v>
      </c>
      <c r="G18" s="957">
        <f>'Infra Build BOQ'!G19</f>
        <v>0</v>
      </c>
      <c r="H18" s="973">
        <f>'Infra Build BOQ'!T19</f>
        <v>0</v>
      </c>
      <c r="I18" s="974">
        <f>'Infra Build BOQ'!U19</f>
        <v>0</v>
      </c>
      <c r="J18" s="975">
        <f>'Infra Build BOQ'!V19</f>
        <v>0</v>
      </c>
      <c r="K18" s="976">
        <f>'Infra Build BOQ'!W19</f>
        <v>0</v>
      </c>
      <c r="L18" s="973">
        <f>'Infra Build BOQ'!X19</f>
        <v>0</v>
      </c>
      <c r="M18" s="974">
        <f>'Infra Build BOQ'!Y19</f>
        <v>0</v>
      </c>
      <c r="N18" s="975">
        <f>'Infra Build BOQ'!Z19</f>
        <v>0</v>
      </c>
      <c r="O18" s="976">
        <f>'Infra Build BOQ'!AA19</f>
        <v>0</v>
      </c>
      <c r="P18" s="973">
        <f>'Infra Build BOQ'!AB19</f>
        <v>0</v>
      </c>
      <c r="Q18" s="974">
        <f>'Infra Build BOQ'!AC19</f>
        <v>0</v>
      </c>
      <c r="R18" s="975">
        <f>'Infra Build BOQ'!AD19</f>
        <v>0</v>
      </c>
      <c r="S18" s="976">
        <f>'Infra Build BOQ'!AE19</f>
        <v>0</v>
      </c>
      <c r="T18" s="973">
        <f>'Infra Build BOQ'!AF19</f>
        <v>0</v>
      </c>
      <c r="U18" s="974">
        <f>'Infra Build BOQ'!AG19</f>
        <v>0</v>
      </c>
      <c r="V18" s="975">
        <f>'Infra Build BOQ'!AH19</f>
        <v>0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22</v>
      </c>
      <c r="G21" s="957">
        <f>'Infra Build BOQ'!G22</f>
        <v>762.3</v>
      </c>
      <c r="H21" s="973">
        <f>'Infra Build BOQ'!T22</f>
        <v>0</v>
      </c>
      <c r="I21" s="974">
        <f>'Infra Build BOQ'!U22</f>
        <v>22</v>
      </c>
      <c r="J21" s="975">
        <f>'Infra Build BOQ'!V22</f>
        <v>762.3</v>
      </c>
      <c r="K21" s="976">
        <f>'Infra Build BOQ'!W22</f>
        <v>0</v>
      </c>
      <c r="L21" s="973">
        <f>'Infra Build BOQ'!X22</f>
        <v>0</v>
      </c>
      <c r="M21" s="974">
        <f>'Infra Build BOQ'!Y22</f>
        <v>22</v>
      </c>
      <c r="N21" s="975">
        <f>'Infra Build BOQ'!Z22</f>
        <v>762.3</v>
      </c>
      <c r="O21" s="976">
        <f>'Infra Build BOQ'!AA22</f>
        <v>0</v>
      </c>
      <c r="P21" s="973">
        <f>'Infra Build BOQ'!AB22</f>
        <v>0</v>
      </c>
      <c r="Q21" s="974">
        <f>'Infra Build BOQ'!AC22</f>
        <v>22</v>
      </c>
      <c r="R21" s="975">
        <f>'Infra Build BOQ'!AD22</f>
        <v>762.3</v>
      </c>
      <c r="S21" s="976">
        <f>'Infra Build BOQ'!AE22</f>
        <v>0</v>
      </c>
      <c r="T21" s="973">
        <f>'Infra Build BOQ'!AF22</f>
        <v>0</v>
      </c>
      <c r="U21" s="974">
        <f>'Infra Build BOQ'!AG22</f>
        <v>22</v>
      </c>
      <c r="V21" s="975">
        <f>'Infra Build BOQ'!AH22</f>
        <v>762.3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8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8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7</v>
      </c>
      <c r="G60" s="957">
        <f>'Infra Build BOQ'!G61</f>
        <v>199.5</v>
      </c>
      <c r="H60" s="973">
        <f>'Infra Build BOQ'!T61</f>
        <v>0</v>
      </c>
      <c r="I60" s="974">
        <f>'Infra Build BOQ'!U61</f>
        <v>7</v>
      </c>
      <c r="J60" s="975">
        <f>'Infra Build BOQ'!V61</f>
        <v>199.5</v>
      </c>
      <c r="K60" s="976">
        <f>'Infra Build BOQ'!W61</f>
        <v>0</v>
      </c>
      <c r="L60" s="973">
        <f>'Infra Build BOQ'!X61</f>
        <v>0</v>
      </c>
      <c r="M60" s="974">
        <f>'Infra Build BOQ'!Y61</f>
        <v>7</v>
      </c>
      <c r="N60" s="975">
        <f>'Infra Build BOQ'!Z61</f>
        <v>199.5</v>
      </c>
      <c r="O60" s="976">
        <f>'Infra Build BOQ'!AA61</f>
        <v>0</v>
      </c>
      <c r="P60" s="973">
        <f>'Infra Build BOQ'!AB61</f>
        <v>0</v>
      </c>
      <c r="Q60" s="974">
        <f>'Infra Build BOQ'!AC61</f>
        <v>7</v>
      </c>
      <c r="R60" s="975">
        <f>'Infra Build BOQ'!AD61</f>
        <v>199.5</v>
      </c>
      <c r="S60" s="976">
        <f>'Infra Build BOQ'!AE61</f>
        <v>0</v>
      </c>
      <c r="T60" s="973">
        <f>'Infra Build BOQ'!AF61</f>
        <v>0</v>
      </c>
      <c r="U60" s="974">
        <f>'Infra Build BOQ'!AG61</f>
        <v>7</v>
      </c>
      <c r="V60" s="975">
        <f>'Infra Build BOQ'!AH61</f>
        <v>199.5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0</v>
      </c>
      <c r="G65" s="957">
        <f>'Infra Build BOQ'!G66</f>
        <v>0</v>
      </c>
      <c r="H65" s="973">
        <f>'Infra Build BOQ'!T66</f>
        <v>0</v>
      </c>
      <c r="I65" s="974">
        <f>'Infra Build BOQ'!U66</f>
        <v>0</v>
      </c>
      <c r="J65" s="975">
        <f>'Infra Build BOQ'!V66</f>
        <v>0</v>
      </c>
      <c r="K65" s="976">
        <f>'Infra Build BOQ'!W66</f>
        <v>0</v>
      </c>
      <c r="L65" s="973">
        <f>'Infra Build BOQ'!X66</f>
        <v>0</v>
      </c>
      <c r="M65" s="974">
        <f>'Infra Build BOQ'!Y66</f>
        <v>0</v>
      </c>
      <c r="N65" s="975">
        <f>'Infra Build BOQ'!Z66</f>
        <v>0</v>
      </c>
      <c r="O65" s="976">
        <f>'Infra Build BOQ'!AA66</f>
        <v>0</v>
      </c>
      <c r="P65" s="973">
        <f>'Infra Build BOQ'!AB66</f>
        <v>0</v>
      </c>
      <c r="Q65" s="974">
        <f>'Infra Build BOQ'!AC66</f>
        <v>0</v>
      </c>
      <c r="R65" s="975">
        <f>'Infra Build BOQ'!AD66</f>
        <v>0</v>
      </c>
      <c r="S65" s="976">
        <f>'Infra Build BOQ'!AE66</f>
        <v>0</v>
      </c>
      <c r="T65" s="973">
        <f>'Infra Build BOQ'!AF66</f>
        <v>0</v>
      </c>
      <c r="U65" s="974">
        <f>'Infra Build BOQ'!AG66</f>
        <v>0</v>
      </c>
      <c r="V65" s="975">
        <f>'Infra Build BOQ'!AH66</f>
        <v>0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9</v>
      </c>
      <c r="G69" s="957">
        <f>'Infra Build BOQ'!G70</f>
        <v>67.5</v>
      </c>
      <c r="H69" s="973">
        <f>'Infra Build BOQ'!T70</f>
        <v>0</v>
      </c>
      <c r="I69" s="974">
        <f>'Infra Build BOQ'!U70</f>
        <v>9</v>
      </c>
      <c r="J69" s="975">
        <f>'Infra Build BOQ'!V70</f>
        <v>67.5</v>
      </c>
      <c r="K69" s="976">
        <f>'Infra Build BOQ'!W70</f>
        <v>0</v>
      </c>
      <c r="L69" s="973">
        <f>'Infra Build BOQ'!X70</f>
        <v>0</v>
      </c>
      <c r="M69" s="974">
        <f>'Infra Build BOQ'!Y70</f>
        <v>9</v>
      </c>
      <c r="N69" s="975">
        <f>'Infra Build BOQ'!Z70</f>
        <v>67.5</v>
      </c>
      <c r="O69" s="976">
        <f>'Infra Build BOQ'!AA70</f>
        <v>0</v>
      </c>
      <c r="P69" s="973">
        <f>'Infra Build BOQ'!AB70</f>
        <v>0</v>
      </c>
      <c r="Q69" s="974">
        <f>'Infra Build BOQ'!AC70</f>
        <v>9</v>
      </c>
      <c r="R69" s="975">
        <f>'Infra Build BOQ'!AD70</f>
        <v>67.5</v>
      </c>
      <c r="S69" s="976">
        <f>'Infra Build BOQ'!AE70</f>
        <v>0</v>
      </c>
      <c r="T69" s="973">
        <f>'Infra Build BOQ'!AF70</f>
        <v>0</v>
      </c>
      <c r="U69" s="974">
        <f>'Infra Build BOQ'!AG70</f>
        <v>9</v>
      </c>
      <c r="V69" s="975">
        <f>'Infra Build BOQ'!AH70</f>
        <v>67.5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22</v>
      </c>
      <c r="G70" s="957">
        <f>'Infra Build BOQ'!G71</f>
        <v>80.08</v>
      </c>
      <c r="H70" s="973">
        <f>'Infra Build BOQ'!T71</f>
        <v>0</v>
      </c>
      <c r="I70" s="974">
        <f>'Infra Build BOQ'!U71</f>
        <v>22</v>
      </c>
      <c r="J70" s="975">
        <f>'Infra Build BOQ'!V71</f>
        <v>80.08</v>
      </c>
      <c r="K70" s="976">
        <f>'Infra Build BOQ'!W71</f>
        <v>0</v>
      </c>
      <c r="L70" s="973">
        <f>'Infra Build BOQ'!X71</f>
        <v>0</v>
      </c>
      <c r="M70" s="974">
        <f>'Infra Build BOQ'!Y71</f>
        <v>22</v>
      </c>
      <c r="N70" s="975">
        <f>'Infra Build BOQ'!Z71</f>
        <v>80.08</v>
      </c>
      <c r="O70" s="976">
        <f>'Infra Build BOQ'!AA71</f>
        <v>0</v>
      </c>
      <c r="P70" s="973">
        <f>'Infra Build BOQ'!AB71</f>
        <v>0</v>
      </c>
      <c r="Q70" s="974">
        <f>'Infra Build BOQ'!AC71</f>
        <v>22</v>
      </c>
      <c r="R70" s="975">
        <f>'Infra Build BOQ'!AD71</f>
        <v>80.08</v>
      </c>
      <c r="S70" s="976">
        <f>'Infra Build BOQ'!AE71</f>
        <v>0</v>
      </c>
      <c r="T70" s="973">
        <f>'Infra Build BOQ'!AF71</f>
        <v>0</v>
      </c>
      <c r="U70" s="974">
        <f>'Infra Build BOQ'!AG71</f>
        <v>22</v>
      </c>
      <c r="V70" s="975">
        <f>'Infra Build BOQ'!AH71</f>
        <v>80.08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1</v>
      </c>
      <c r="G106" s="957">
        <f>'Infra Build BOQ'!G125</f>
        <v>200</v>
      </c>
      <c r="H106" s="973">
        <f>'Infra Build BOQ'!T125</f>
        <v>0</v>
      </c>
      <c r="I106" s="974">
        <f>'Infra Build BOQ'!U125</f>
        <v>1</v>
      </c>
      <c r="J106" s="975">
        <f>'Infra Build BOQ'!V125</f>
        <v>200</v>
      </c>
      <c r="K106" s="976">
        <f>'Infra Build BOQ'!W125</f>
        <v>0</v>
      </c>
      <c r="L106" s="973">
        <f>'Infra Build BOQ'!X125</f>
        <v>0</v>
      </c>
      <c r="M106" s="974">
        <f>'Infra Build BOQ'!Y125</f>
        <v>1</v>
      </c>
      <c r="N106" s="975">
        <f>'Infra Build BOQ'!Z125</f>
        <v>200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1</v>
      </c>
      <c r="R106" s="975">
        <f>'Infra Build BOQ'!AD125</f>
        <v>200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1</v>
      </c>
      <c r="V106" s="975">
        <f>'Infra Build BOQ'!AH125</f>
        <v>200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0</v>
      </c>
      <c r="G109" s="957">
        <f>'Infra Build BOQ'!G128</f>
        <v>0</v>
      </c>
      <c r="H109" s="973">
        <f>'Infra Build BOQ'!T128</f>
        <v>0</v>
      </c>
      <c r="I109" s="974">
        <f>'Infra Build BOQ'!U128</f>
        <v>0</v>
      </c>
      <c r="J109" s="975">
        <f>'Infra Build BOQ'!V128</f>
        <v>0</v>
      </c>
      <c r="K109" s="976">
        <f>'Infra Build BOQ'!W128</f>
        <v>0</v>
      </c>
      <c r="L109" s="973">
        <f>'Infra Build BOQ'!X128</f>
        <v>0</v>
      </c>
      <c r="M109" s="974">
        <f>'Infra Build BOQ'!Y128</f>
        <v>0</v>
      </c>
      <c r="N109" s="975">
        <f>'Infra Build BOQ'!Z128</f>
        <v>0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0</v>
      </c>
      <c r="R109" s="975">
        <f>'Infra Build BOQ'!AD128</f>
        <v>0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0</v>
      </c>
      <c r="V109" s="975">
        <f>'Infra Build BOQ'!AH128</f>
        <v>0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0</v>
      </c>
      <c r="G124" s="957">
        <f>'Infra Build BOQ'!G143</f>
        <v>0</v>
      </c>
      <c r="H124" s="973">
        <f>'Infra Build BOQ'!T143</f>
        <v>0</v>
      </c>
      <c r="I124" s="974">
        <f>'Infra Build BOQ'!U143</f>
        <v>0</v>
      </c>
      <c r="J124" s="975">
        <f>'Infra Build BOQ'!V143</f>
        <v>0</v>
      </c>
      <c r="K124" s="976">
        <f>'Infra Build BOQ'!W143</f>
        <v>0</v>
      </c>
      <c r="L124" s="973">
        <f>'Infra Build BOQ'!X143</f>
        <v>0</v>
      </c>
      <c r="M124" s="974">
        <f>'Infra Build BOQ'!Y143</f>
        <v>0</v>
      </c>
      <c r="N124" s="975">
        <f>'Infra Build BOQ'!Z143</f>
        <v>0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0</v>
      </c>
      <c r="R124" s="975">
        <f>'Infra Build BOQ'!AD143</f>
        <v>0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0</v>
      </c>
      <c r="V124" s="975">
        <f>'Infra Build BOQ'!AH143</f>
        <v>0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28</v>
      </c>
      <c r="G125" s="957">
        <f>'Infra Build BOQ'!G144</f>
        <v>182</v>
      </c>
      <c r="H125" s="973">
        <f>'Infra Build BOQ'!T144</f>
        <v>0</v>
      </c>
      <c r="I125" s="974">
        <f>'Infra Build BOQ'!U144</f>
        <v>28</v>
      </c>
      <c r="J125" s="975">
        <f>'Infra Build BOQ'!V144</f>
        <v>182</v>
      </c>
      <c r="K125" s="976">
        <f>'Infra Build BOQ'!W144</f>
        <v>0</v>
      </c>
      <c r="L125" s="973">
        <f>'Infra Build BOQ'!X144</f>
        <v>0</v>
      </c>
      <c r="M125" s="974">
        <f>'Infra Build BOQ'!Y144</f>
        <v>28</v>
      </c>
      <c r="N125" s="975">
        <f>'Infra Build BOQ'!Z144</f>
        <v>182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28</v>
      </c>
      <c r="R125" s="975">
        <f>'Infra Build BOQ'!AD144</f>
        <v>182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28</v>
      </c>
      <c r="V125" s="975">
        <f>'Infra Build BOQ'!AH144</f>
        <v>182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9</v>
      </c>
      <c r="G126" s="957">
        <f>'Infra Build BOQ'!G145</f>
        <v>147.51</v>
      </c>
      <c r="H126" s="973">
        <f>'Infra Build BOQ'!T145</f>
        <v>0</v>
      </c>
      <c r="I126" s="974">
        <f>'Infra Build BOQ'!U145</f>
        <v>9</v>
      </c>
      <c r="J126" s="975">
        <f>'Infra Build BOQ'!V145</f>
        <v>147.51</v>
      </c>
      <c r="K126" s="976">
        <f>'Infra Build BOQ'!W145</f>
        <v>0</v>
      </c>
      <c r="L126" s="973">
        <f>'Infra Build BOQ'!X145</f>
        <v>0</v>
      </c>
      <c r="M126" s="974">
        <f>'Infra Build BOQ'!Y145</f>
        <v>9</v>
      </c>
      <c r="N126" s="975">
        <f>'Infra Build BOQ'!Z145</f>
        <v>147.51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9</v>
      </c>
      <c r="R126" s="975">
        <f>'Infra Build BOQ'!AD145</f>
        <v>147.51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9</v>
      </c>
      <c r="V126" s="975">
        <f>'Infra Build BOQ'!AH145</f>
        <v>147.51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0</v>
      </c>
      <c r="G138" s="957">
        <f>'Infra Build BOQ'!G157</f>
        <v>0</v>
      </c>
      <c r="H138" s="973">
        <f>'Infra Build BOQ'!T157</f>
        <v>0</v>
      </c>
      <c r="I138" s="974">
        <f>'Infra Build BOQ'!U157</f>
        <v>0</v>
      </c>
      <c r="J138" s="975">
        <f>'Infra Build BOQ'!V157</f>
        <v>0</v>
      </c>
      <c r="K138" s="976">
        <f>'Infra Build BOQ'!W157</f>
        <v>0</v>
      </c>
      <c r="L138" s="973">
        <f>'Infra Build BOQ'!X157</f>
        <v>0</v>
      </c>
      <c r="M138" s="974">
        <f>'Infra Build BOQ'!Y157</f>
        <v>0</v>
      </c>
      <c r="N138" s="975">
        <f>'Infra Build BOQ'!Z157</f>
        <v>0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0</v>
      </c>
      <c r="R138" s="975">
        <f>'Infra Build BOQ'!AD157</f>
        <v>0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0</v>
      </c>
      <c r="V138" s="975">
        <f>'Infra Build BOQ'!AH157</f>
        <v>0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0</v>
      </c>
      <c r="G140" s="957">
        <f>'Infra Build BOQ'!G159</f>
        <v>0</v>
      </c>
      <c r="H140" s="973">
        <f>'Infra Build BOQ'!T159</f>
        <v>0</v>
      </c>
      <c r="I140" s="974">
        <f>'Infra Build BOQ'!U159</f>
        <v>0</v>
      </c>
      <c r="J140" s="975">
        <f>'Infra Build BOQ'!V159</f>
        <v>0</v>
      </c>
      <c r="K140" s="976">
        <f>'Infra Build BOQ'!W159</f>
        <v>0</v>
      </c>
      <c r="L140" s="973">
        <f>'Infra Build BOQ'!X159</f>
        <v>0</v>
      </c>
      <c r="M140" s="974">
        <f>'Infra Build BOQ'!Y159</f>
        <v>0</v>
      </c>
      <c r="N140" s="975">
        <f>'Infra Build BOQ'!Z159</f>
        <v>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0</v>
      </c>
      <c r="R140" s="975">
        <f>'Infra Build BOQ'!AD159</f>
        <v>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0</v>
      </c>
      <c r="V140" s="975">
        <f>'Infra Build BOQ'!AH159</f>
        <v>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74</v>
      </c>
      <c r="G142" s="957">
        <f>'Infra Build BOQ'!G161</f>
        <v>333</v>
      </c>
      <c r="H142" s="973">
        <f>'Infra Build BOQ'!T161</f>
        <v>0</v>
      </c>
      <c r="I142" s="974">
        <f>'Infra Build BOQ'!U161</f>
        <v>74</v>
      </c>
      <c r="J142" s="975">
        <f>'Infra Build BOQ'!V161</f>
        <v>333</v>
      </c>
      <c r="K142" s="976">
        <f>'Infra Build BOQ'!W161</f>
        <v>0</v>
      </c>
      <c r="L142" s="973">
        <f>'Infra Build BOQ'!X161</f>
        <v>0</v>
      </c>
      <c r="M142" s="974">
        <f>'Infra Build BOQ'!Y161</f>
        <v>74</v>
      </c>
      <c r="N142" s="975">
        <f>'Infra Build BOQ'!Z161</f>
        <v>333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74</v>
      </c>
      <c r="R142" s="975">
        <f>'Infra Build BOQ'!AD161</f>
        <v>333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74</v>
      </c>
      <c r="V142" s="975">
        <f>'Infra Build BOQ'!AH161</f>
        <v>333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1</v>
      </c>
      <c r="G184" s="957">
        <f>'Infra Build BOQ'!G231</f>
        <v>1000</v>
      </c>
      <c r="H184" s="973">
        <f>'Infra Build BOQ'!T231</f>
        <v>0</v>
      </c>
      <c r="I184" s="974">
        <f>'Infra Build BOQ'!U231</f>
        <v>1</v>
      </c>
      <c r="J184" s="975">
        <f>'Infra Build BOQ'!V231</f>
        <v>1000</v>
      </c>
      <c r="K184" s="976">
        <f>'Infra Build BOQ'!W231</f>
        <v>0</v>
      </c>
      <c r="L184" s="973">
        <f>'Infra Build BOQ'!X231</f>
        <v>0</v>
      </c>
      <c r="M184" s="974">
        <f>'Infra Build BOQ'!Y231</f>
        <v>1</v>
      </c>
      <c r="N184" s="975">
        <f>'Infra Build BOQ'!Z231</f>
        <v>1000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1</v>
      </c>
      <c r="R184" s="975">
        <f>'Infra Build BOQ'!AD231</f>
        <v>1000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1</v>
      </c>
      <c r="V184" s="975">
        <f>'Infra Build BOQ'!AH231</f>
        <v>1000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4388.9600000000009</v>
      </c>
      <c r="H199" s="145"/>
      <c r="I199" s="147"/>
      <c r="J199" s="148">
        <f>SUM(J13:J198)</f>
        <v>4388.9600000000009</v>
      </c>
      <c r="K199" s="145"/>
      <c r="L199" s="145"/>
      <c r="M199" s="147"/>
      <c r="N199" s="148">
        <f>SUM(N13:N198)</f>
        <v>4388.9600000000009</v>
      </c>
      <c r="R199" s="150">
        <f>SUM(R13:R198)</f>
        <v>4388.9600000000009</v>
      </c>
      <c r="V199" s="150">
        <f>SUM(V13:V198)</f>
        <v>4388.9600000000009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-4388.9600000000009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88"/>
      <c r="E205" s="1188"/>
      <c r="F205" s="1188"/>
      <c r="G205" s="12"/>
      <c r="H205" s="10"/>
      <c r="I205" s="10"/>
    </row>
    <row r="206" spans="1:26" ht="18">
      <c r="A206" s="10"/>
      <c r="B206" s="10"/>
      <c r="C206" s="11"/>
      <c r="D206" s="1188"/>
      <c r="E206" s="1188"/>
      <c r="F206" s="1188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  <mergeCell ref="D205:F205"/>
    <mergeCell ref="D206:F206"/>
    <mergeCell ref="B2:G2"/>
    <mergeCell ref="F8:G8"/>
    <mergeCell ref="F9:G9"/>
    <mergeCell ref="B11:G11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12" t="str">
        <f>'Infra Build BOQ'!F3</f>
        <v>G1VDA066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114" t="str">
        <f>'Infra Build BOQ'!F4</f>
        <v>WITKOPPEN RD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7">
        <f>'Infra Build BOQ'!F5</f>
        <v>45160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 xml:space="preserve"> Sunninghill Access POP - BLUE STRIPE T/A CONTRON IT - Car Service City  - Sandton</v>
      </c>
      <c r="G6" s="1149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88"/>
      <c r="E38" s="1188"/>
      <c r="F38" s="10"/>
      <c r="G38" s="15"/>
      <c r="H38" s="10"/>
      <c r="I38" s="10"/>
    </row>
    <row r="39" spans="1:25" ht="18">
      <c r="A39" s="10"/>
      <c r="B39" s="10"/>
      <c r="C39" s="11"/>
      <c r="D39" s="1188"/>
      <c r="E39" s="1188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D6:E6"/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12" t="str">
        <f>'Infra Build BOQ'!F3</f>
        <v>G1VDA066</v>
      </c>
      <c r="G3" s="1113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115" t="str">
        <f>'Infra Build BOQ'!F4</f>
        <v>WITKOPPEN RD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>
        <f>'Infra Build BOQ'!F5</f>
        <v>45160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 xml:space="preserve"> Sunninghill Access POP - BLUE STRIPE T/A CONTRON IT - Car Service City  - Sandton</v>
      </c>
      <c r="G6" s="1197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32"/>
      <c r="G11" s="132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  <row r="32" spans="1:26" ht="18">
      <c r="A32" s="10"/>
      <c r="B32" s="10"/>
      <c r="C32" s="11"/>
      <c r="D32" s="1188"/>
      <c r="E32" s="1188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12" t="str">
        <f>'Infra Build BOQ'!F3</f>
        <v>G1VDA066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115" t="str">
        <f>'Infra Build BOQ'!F4</f>
        <v>WITKOPPEN RD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>
        <f>'Infra Build BOQ'!F5</f>
        <v>45160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 xml:space="preserve"> Sunninghill Access POP - BLUE STRIPE T/A CONTRON IT - Car Service City  - Sandton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7</v>
      </c>
      <c r="G20" s="106">
        <f>'Infra Build BOQ'!M87</f>
        <v>665</v>
      </c>
      <c r="H20" s="91">
        <f>'Infra Build BOQ'!T87</f>
        <v>0</v>
      </c>
      <c r="I20" s="101">
        <f>'Infra Build BOQ'!U87</f>
        <v>7</v>
      </c>
      <c r="J20" s="117">
        <f>'Infra Build BOQ'!V87</f>
        <v>665</v>
      </c>
      <c r="K20" s="159">
        <f>'Infra Build BOQ'!W87</f>
        <v>0</v>
      </c>
      <c r="L20" s="91">
        <f>'Infra Build BOQ'!X87</f>
        <v>0</v>
      </c>
      <c r="M20" s="101">
        <f>'Infra Build BOQ'!Y87</f>
        <v>7</v>
      </c>
      <c r="N20" s="117">
        <f>'Infra Build BOQ'!Z87</f>
        <v>665</v>
      </c>
      <c r="O20" s="159">
        <f>'Infra Build BOQ'!AA87</f>
        <v>0</v>
      </c>
      <c r="P20" s="91">
        <f>'Infra Build BOQ'!AB87</f>
        <v>0</v>
      </c>
      <c r="Q20" s="101">
        <f>'Infra Build BOQ'!AC87</f>
        <v>7</v>
      </c>
      <c r="R20" s="117">
        <f>'Infra Build BOQ'!AD87</f>
        <v>665</v>
      </c>
      <c r="S20" s="159">
        <f>'Infra Build BOQ'!AE87</f>
        <v>0</v>
      </c>
      <c r="T20" s="91">
        <f>'Infra Build BOQ'!AF87</f>
        <v>0</v>
      </c>
      <c r="U20" s="101">
        <f>'Infra Build BOQ'!AG87</f>
        <v>7</v>
      </c>
      <c r="V20" s="117">
        <f>'Infra Build BOQ'!AH87</f>
        <v>665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665</v>
      </c>
      <c r="H24" s="145"/>
      <c r="I24" s="147"/>
      <c r="J24" s="148">
        <f>SUM(J13:J23)</f>
        <v>665</v>
      </c>
      <c r="K24" s="145"/>
      <c r="L24" s="145"/>
      <c r="M24" s="147"/>
      <c r="N24" s="148">
        <f>SUM(N13:N23)</f>
        <v>665</v>
      </c>
      <c r="R24" s="150">
        <f>SUM(R13:R23)</f>
        <v>665</v>
      </c>
      <c r="V24" s="150">
        <f>SUM(V13:V23)</f>
        <v>665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-665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88"/>
      <c r="E30" s="1188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98" t="str">
        <f>'Infra Build BOQ'!F3</f>
        <v>G1VDA066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200" t="str">
        <f>'Infra Build BOQ'!F4</f>
        <v>WITKOPPEN RD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>
        <f>'Infra Build BOQ'!F5</f>
        <v>45160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 xml:space="preserve"> Sunninghill Access POP - BLUE STRIPE T/A CONTRON IT - Car Service City  - Sandton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1</v>
      </c>
      <c r="G16" s="106">
        <f>'Infra Build BOQ'!O72</f>
        <v>1000</v>
      </c>
      <c r="H16" s="91">
        <f>'Infra Build BOQ'!T72</f>
        <v>0</v>
      </c>
      <c r="I16" s="101">
        <f>'Infra Build BOQ'!U72</f>
        <v>1</v>
      </c>
      <c r="J16" s="117">
        <f>'Infra Build BOQ'!V72</f>
        <v>1000</v>
      </c>
      <c r="K16" s="598">
        <f>'Infra Build BOQ'!W72</f>
        <v>0</v>
      </c>
      <c r="L16" s="91">
        <f>'Infra Build BOQ'!X72</f>
        <v>0</v>
      </c>
      <c r="M16" s="101">
        <f>'Infra Build BOQ'!Y72</f>
        <v>1</v>
      </c>
      <c r="N16" s="117">
        <f>'Infra Build BOQ'!Z72</f>
        <v>1000</v>
      </c>
      <c r="O16" s="599">
        <f>'Infra Build BOQ'!AA72</f>
        <v>0</v>
      </c>
      <c r="P16" s="91">
        <f>'Infra Build BOQ'!AB72</f>
        <v>0</v>
      </c>
      <c r="Q16" s="101">
        <f>'Infra Build BOQ'!AC72</f>
        <v>1</v>
      </c>
      <c r="R16" s="117">
        <f>'Infra Build BOQ'!AD72</f>
        <v>1000</v>
      </c>
      <c r="S16" s="599">
        <f>'Infra Build BOQ'!AE72</f>
        <v>0</v>
      </c>
      <c r="T16" s="91">
        <f>'Infra Build BOQ'!AF72</f>
        <v>0</v>
      </c>
      <c r="U16" s="101">
        <f>'Infra Build BOQ'!AG72</f>
        <v>1</v>
      </c>
      <c r="V16" s="117">
        <f>'Infra Build BOQ'!AH72</f>
        <v>1000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0</v>
      </c>
      <c r="G21" s="106">
        <f>'Infra Build BOQ'!O163</f>
        <v>0</v>
      </c>
      <c r="H21" s="91">
        <f>'Infra Build BOQ'!T163</f>
        <v>0</v>
      </c>
      <c r="I21" s="101">
        <f>'Infra Build BOQ'!U163</f>
        <v>0</v>
      </c>
      <c r="J21" s="117">
        <f>'Infra Build BOQ'!V163</f>
        <v>0</v>
      </c>
      <c r="K21" s="599">
        <f>'Infra Build BOQ'!W163</f>
        <v>0</v>
      </c>
      <c r="L21" s="91">
        <f>'Infra Build BOQ'!X163</f>
        <v>0</v>
      </c>
      <c r="M21" s="101">
        <f>'Infra Build BOQ'!Y163</f>
        <v>0</v>
      </c>
      <c r="N21" s="117">
        <f>'Infra Build BOQ'!Z163</f>
        <v>0</v>
      </c>
      <c r="O21" s="599">
        <f>'Infra Build BOQ'!AA163</f>
        <v>0</v>
      </c>
      <c r="P21" s="91">
        <f>'Infra Build BOQ'!AB163</f>
        <v>0</v>
      </c>
      <c r="Q21" s="101">
        <f>'Infra Build BOQ'!AC163</f>
        <v>0</v>
      </c>
      <c r="R21" s="117">
        <f>'Infra Build BOQ'!AD163</f>
        <v>0</v>
      </c>
      <c r="S21" s="599">
        <f>'Infra Build BOQ'!AE163</f>
        <v>0</v>
      </c>
      <c r="T21" s="91">
        <f>'Infra Build BOQ'!AF163</f>
        <v>0</v>
      </c>
      <c r="U21" s="101">
        <f>'Infra Build BOQ'!AG163</f>
        <v>0</v>
      </c>
      <c r="V21" s="117">
        <f>'Infra Build BOQ'!AH163</f>
        <v>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0</v>
      </c>
      <c r="G31" s="106">
        <f>'Infra Build BOQ'!O176</f>
        <v>0</v>
      </c>
      <c r="H31" s="91">
        <f>'Infra Build BOQ'!T176</f>
        <v>0</v>
      </c>
      <c r="I31" s="101">
        <f>'Infra Build BOQ'!U176</f>
        <v>0</v>
      </c>
      <c r="J31" s="117">
        <f>'Infra Build BOQ'!V176</f>
        <v>0</v>
      </c>
      <c r="K31" s="599">
        <f>'Infra Build BOQ'!W176</f>
        <v>0</v>
      </c>
      <c r="L31" s="91">
        <f>'Infra Build BOQ'!X176</f>
        <v>0</v>
      </c>
      <c r="M31" s="101">
        <f>'Infra Build BOQ'!Y176</f>
        <v>0</v>
      </c>
      <c r="N31" s="117">
        <f>'Infra Build BOQ'!Z176</f>
        <v>0</v>
      </c>
      <c r="O31" s="599">
        <f>'Infra Build BOQ'!AA176</f>
        <v>0</v>
      </c>
      <c r="P31" s="91">
        <f>'Infra Build BOQ'!AB176</f>
        <v>0</v>
      </c>
      <c r="Q31" s="101">
        <f>'Infra Build BOQ'!AC176</f>
        <v>0</v>
      </c>
      <c r="R31" s="117">
        <f>'Infra Build BOQ'!AD176</f>
        <v>0</v>
      </c>
      <c r="S31" s="599">
        <f>'Infra Build BOQ'!AE176</f>
        <v>0</v>
      </c>
      <c r="T31" s="91">
        <f>'Infra Build BOQ'!AF176</f>
        <v>0</v>
      </c>
      <c r="U31" s="101">
        <f>'Infra Build BOQ'!AG176</f>
        <v>0</v>
      </c>
      <c r="V31" s="117">
        <f>'Infra Build BOQ'!AH176</f>
        <v>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1000</v>
      </c>
      <c r="H36" s="17"/>
      <c r="I36" s="50"/>
      <c r="J36" s="51">
        <f>SUM(J13:J35)</f>
        <v>1000</v>
      </c>
      <c r="K36" s="17"/>
      <c r="L36" s="17"/>
      <c r="M36" s="50"/>
      <c r="N36" s="51">
        <f>SUM(N13:N35)</f>
        <v>1000</v>
      </c>
      <c r="R36" s="74">
        <f>SUM(R13:R35)</f>
        <v>1000</v>
      </c>
      <c r="V36" s="74">
        <f>SUM(V13:V35)</f>
        <v>1000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-1000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>
        <f>J38/G36</f>
        <v>0</v>
      </c>
      <c r="K39" s="154"/>
      <c r="L39" s="154" t="s">
        <v>223</v>
      </c>
      <c r="M39" s="154"/>
      <c r="N39" s="157">
        <f>N38/J36</f>
        <v>0</v>
      </c>
      <c r="O39" s="154"/>
      <c r="P39" s="154" t="s">
        <v>225</v>
      </c>
      <c r="Q39" s="154"/>
      <c r="R39" s="157">
        <f>R38/N36</f>
        <v>0</v>
      </c>
      <c r="S39" s="154"/>
      <c r="T39" s="154" t="s">
        <v>227</v>
      </c>
      <c r="U39" s="154"/>
      <c r="V39" s="157">
        <f>V38/R36</f>
        <v>0</v>
      </c>
      <c r="W39" s="154"/>
      <c r="X39" s="154" t="s">
        <v>229</v>
      </c>
      <c r="Y39" s="157">
        <f>Y38/G36</f>
        <v>-1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88"/>
      <c r="E42" s="1188"/>
      <c r="H42" s="10"/>
      <c r="I42" s="10"/>
    </row>
    <row r="43" spans="1:26" ht="18">
      <c r="A43" s="10"/>
      <c r="B43" s="10"/>
      <c r="C43" s="11"/>
      <c r="D43" s="1188"/>
      <c r="E43" s="1188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2:E2"/>
    <mergeCell ref="D3:E3"/>
    <mergeCell ref="D4:E4"/>
    <mergeCell ref="H2:Z2"/>
    <mergeCell ref="H3:Z10"/>
    <mergeCell ref="D5:E5"/>
    <mergeCell ref="D6:E6"/>
    <mergeCell ref="B11:E11"/>
    <mergeCell ref="H11:Z11"/>
    <mergeCell ref="D42:E42"/>
    <mergeCell ref="D43:E43"/>
    <mergeCell ref="F3:G3"/>
    <mergeCell ref="F4:G4"/>
    <mergeCell ref="F5:G5"/>
    <mergeCell ref="F6:G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77G0056723  /  77G0056723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11" t="str">
        <f>'Infra Build BOQ'!F3</f>
        <v>G1VDA066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114" t="str">
        <f>'Infra Build BOQ'!F4</f>
        <v>WITKOPPEN RD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>
        <f>'Infra Build BOQ'!F5</f>
        <v>45160</v>
      </c>
      <c r="G5" s="1115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 xml:space="preserve"> Sunninghill Access POP - BLUE STRIPE T/A CONTRON IT - Car Service City  - Sandton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88"/>
      <c r="E38" s="1188"/>
      <c r="F38" s="1188"/>
      <c r="G38" s="12"/>
      <c r="H38" s="10"/>
      <c r="I38" s="10"/>
    </row>
    <row r="39" spans="1:25" ht="18">
      <c r="A39" s="10"/>
      <c r="B39" s="10"/>
      <c r="C39" s="11"/>
      <c r="D39" s="1188"/>
      <c r="E39" s="1188"/>
      <c r="F39" s="1188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D39:F39"/>
    <mergeCell ref="F6:G6"/>
    <mergeCell ref="F8:G8"/>
    <mergeCell ref="F9:G9"/>
    <mergeCell ref="B11:G11"/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6" t="str">
        <f>'Infra Build BOQ'!B2:I2</f>
        <v>77G0056723  /  77G0056723</v>
      </c>
      <c r="C2" s="1207"/>
      <c r="D2" s="1207"/>
      <c r="E2" s="1207"/>
      <c r="F2" s="110"/>
      <c r="G2" s="111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77G0056723  /  77G0056723</v>
      </c>
      <c r="D3" s="1142" t="s">
        <v>362</v>
      </c>
      <c r="E3" s="1191"/>
      <c r="F3" s="1198" t="str">
        <f>'Infra Build BOQ'!F3</f>
        <v>G1VDA066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VODACOM</v>
      </c>
      <c r="D4" s="1144" t="s">
        <v>2</v>
      </c>
      <c r="E4" s="1192"/>
      <c r="F4" s="1200" t="str">
        <f>'Infra Build BOQ'!F4</f>
        <v>WITKOPPEN RD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>
        <f>'Infra Build BOQ'!F5</f>
        <v>45160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 xml:space="preserve"> Sunninghill Access POP - BLUE STRIPE T/A CONTRON IT - Car Service City  - Sandton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0</v>
      </c>
      <c r="G21" s="106">
        <f>'Infra Build BOQ'!S177</f>
        <v>0</v>
      </c>
      <c r="H21" s="91">
        <f>'Infra Build BOQ'!T177</f>
        <v>0</v>
      </c>
      <c r="I21" s="101">
        <f>'Infra Build BOQ'!U177</f>
        <v>0</v>
      </c>
      <c r="J21" s="117">
        <f>'Infra Build BOQ'!V177</f>
        <v>0</v>
      </c>
      <c r="K21" s="603">
        <f>'Infra Build BOQ'!W177</f>
        <v>0</v>
      </c>
      <c r="L21" s="91">
        <f>'Infra Build BOQ'!X177</f>
        <v>0</v>
      </c>
      <c r="M21" s="101">
        <f>'Infra Build BOQ'!Y177</f>
        <v>0</v>
      </c>
      <c r="N21" s="117">
        <f>'Infra Build BOQ'!Z177</f>
        <v>0</v>
      </c>
      <c r="O21" s="600">
        <f>'Infra Build BOQ'!AA177</f>
        <v>0</v>
      </c>
      <c r="P21" s="91">
        <f>'Infra Build BOQ'!AB177</f>
        <v>0</v>
      </c>
      <c r="Q21" s="101">
        <f>'Infra Build BOQ'!AC177</f>
        <v>0</v>
      </c>
      <c r="R21" s="117">
        <f>'Infra Build BOQ'!AD177</f>
        <v>0</v>
      </c>
      <c r="S21" s="599">
        <f>'Infra Build BOQ'!AE177</f>
        <v>0</v>
      </c>
      <c r="T21" s="91">
        <f>'Infra Build BOQ'!AF177</f>
        <v>0</v>
      </c>
      <c r="U21" s="101">
        <f>'Infra Build BOQ'!AG177</f>
        <v>0</v>
      </c>
      <c r="V21" s="117">
        <f>'Infra Build BOQ'!AH177</f>
        <v>0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0</v>
      </c>
      <c r="G22" s="106">
        <f>'Infra Build BOQ'!S178</f>
        <v>0</v>
      </c>
      <c r="H22" s="91">
        <f>'Infra Build BOQ'!T178</f>
        <v>0</v>
      </c>
      <c r="I22" s="101">
        <f>'Infra Build BOQ'!U178</f>
        <v>0</v>
      </c>
      <c r="J22" s="117">
        <f>'Infra Build BOQ'!V178</f>
        <v>0</v>
      </c>
      <c r="K22" s="603">
        <f>'Infra Build BOQ'!W178</f>
        <v>0</v>
      </c>
      <c r="L22" s="91">
        <f>'Infra Build BOQ'!X178</f>
        <v>0</v>
      </c>
      <c r="M22" s="101">
        <f>'Infra Build BOQ'!Y178</f>
        <v>0</v>
      </c>
      <c r="N22" s="117">
        <f>'Infra Build BOQ'!Z178</f>
        <v>0</v>
      </c>
      <c r="O22" s="600">
        <f>'Infra Build BOQ'!AA178</f>
        <v>0</v>
      </c>
      <c r="P22" s="91">
        <f>'Infra Build BOQ'!AB178</f>
        <v>0</v>
      </c>
      <c r="Q22" s="101">
        <f>'Infra Build BOQ'!AC178</f>
        <v>0</v>
      </c>
      <c r="R22" s="117">
        <f>'Infra Build BOQ'!AD178</f>
        <v>0</v>
      </c>
      <c r="S22" s="599">
        <f>'Infra Build BOQ'!AE178</f>
        <v>0</v>
      </c>
      <c r="T22" s="91">
        <f>'Infra Build BOQ'!AF178</f>
        <v>0</v>
      </c>
      <c r="U22" s="101">
        <f>'Infra Build BOQ'!AG178</f>
        <v>0</v>
      </c>
      <c r="V22" s="117">
        <f>'Infra Build BOQ'!AH178</f>
        <v>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170</v>
      </c>
      <c r="H24" s="145"/>
      <c r="I24" s="147"/>
      <c r="J24" s="148">
        <f>SUM(J13:J23)</f>
        <v>170</v>
      </c>
      <c r="K24" s="145"/>
      <c r="L24" s="145"/>
      <c r="M24" s="147"/>
      <c r="N24" s="148">
        <f>SUM(N13:N23)</f>
        <v>170</v>
      </c>
      <c r="O24" s="149"/>
      <c r="P24" s="149"/>
      <c r="Q24" s="149"/>
      <c r="R24" s="150">
        <f>SUM(R13:R23)</f>
        <v>170</v>
      </c>
      <c r="S24" s="149"/>
      <c r="T24" s="149"/>
      <c r="U24" s="149"/>
      <c r="V24" s="150">
        <f>SUM(V13:V23)</f>
        <v>170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-170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88"/>
      <c r="E30" s="1188"/>
      <c r="H30" s="10"/>
      <c r="I30" s="10"/>
    </row>
    <row r="31" spans="1:28" ht="18">
      <c r="A31" s="10"/>
      <c r="B31" s="10"/>
      <c r="C31" s="11"/>
      <c r="D31" s="1188"/>
      <c r="E31" s="1188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230" activePane="bottomLeft" state="frozen"/>
      <selection pane="bottomLeft" activeCell="F240" sqref="F240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109" t="str">
        <f>C3</f>
        <v>77G0056723  /  77G0056723</v>
      </c>
      <c r="C2" s="1110"/>
      <c r="D2" s="1110"/>
      <c r="E2" s="1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98"/>
      <c r="U2" s="1099"/>
      <c r="V2" s="1099"/>
      <c r="W2" s="1099"/>
      <c r="X2" s="1099"/>
      <c r="Y2" s="1099"/>
      <c r="Z2" s="1099"/>
      <c r="AA2" s="1099"/>
      <c r="AB2" s="1099"/>
      <c r="AC2" s="1099"/>
      <c r="AD2" s="1099"/>
      <c r="AE2" s="1099"/>
      <c r="AF2" s="1099"/>
      <c r="AG2" s="1099"/>
      <c r="AH2" s="1099"/>
      <c r="AI2" s="1099"/>
      <c r="AJ2" s="1099"/>
      <c r="AK2" s="1099"/>
      <c r="AL2" s="1100"/>
    </row>
    <row r="3" spans="1:38" ht="15.6">
      <c r="A3" s="27"/>
      <c r="B3" s="88" t="s">
        <v>1</v>
      </c>
      <c r="C3" s="178" t="str">
        <f>CONCATENATE('EXE Dashboard'!C4,"  /  ",'EXE Dashboard'!C5)</f>
        <v>77G0056723  /  77G0056723</v>
      </c>
      <c r="D3" s="1074" t="s">
        <v>362</v>
      </c>
      <c r="E3" s="1075"/>
      <c r="F3" s="1111" t="str">
        <f>'EXE Dashboard'!C17</f>
        <v>G1VDA066</v>
      </c>
      <c r="G3" s="1112"/>
      <c r="H3" s="1112"/>
      <c r="I3" s="1112"/>
      <c r="J3" s="1112"/>
      <c r="K3" s="1113"/>
      <c r="L3" s="1089"/>
      <c r="M3" s="1090"/>
      <c r="N3" s="1090"/>
      <c r="O3" s="1090"/>
      <c r="P3" s="1090"/>
      <c r="Q3" s="1090"/>
      <c r="R3" s="1090"/>
      <c r="S3" s="1091"/>
      <c r="T3" s="1102" t="s">
        <v>279</v>
      </c>
      <c r="U3" s="1102"/>
      <c r="V3" s="1102"/>
      <c r="W3" s="1102"/>
      <c r="X3" s="1102"/>
      <c r="Y3" s="1102"/>
      <c r="Z3" s="1102"/>
      <c r="AA3" s="1102"/>
      <c r="AB3" s="1102"/>
      <c r="AC3" s="1102"/>
      <c r="AD3" s="1102"/>
      <c r="AE3" s="1102"/>
      <c r="AF3" s="1102"/>
      <c r="AG3" s="1102"/>
      <c r="AH3" s="1102"/>
      <c r="AI3" s="1102"/>
      <c r="AJ3" s="1102"/>
      <c r="AK3" s="1102"/>
      <c r="AL3" s="1103"/>
    </row>
    <row r="4" spans="1:38" ht="16.5" customHeight="1">
      <c r="A4" s="27"/>
      <c r="B4" s="89" t="s">
        <v>0</v>
      </c>
      <c r="C4" s="449" t="str">
        <f>'EXE Dashboard'!C6</f>
        <v>VODACOM</v>
      </c>
      <c r="D4" s="1076" t="s">
        <v>2</v>
      </c>
      <c r="E4" s="1077"/>
      <c r="F4" s="1114" t="str">
        <f>'EXE Dashboard'!C18</f>
        <v>WITKOPPEN RD</v>
      </c>
      <c r="G4" s="1115"/>
      <c r="H4" s="1115"/>
      <c r="I4" s="1115"/>
      <c r="J4" s="1115"/>
      <c r="K4" s="1116"/>
      <c r="L4" s="1092"/>
      <c r="M4" s="1093"/>
      <c r="N4" s="1093"/>
      <c r="O4" s="1093"/>
      <c r="P4" s="1093"/>
      <c r="Q4" s="1093"/>
      <c r="R4" s="1093"/>
      <c r="S4" s="1094"/>
      <c r="T4" s="1104"/>
      <c r="U4" s="1104"/>
      <c r="V4" s="1104"/>
      <c r="W4" s="1104"/>
      <c r="X4" s="1104"/>
      <c r="Y4" s="1104"/>
      <c r="Z4" s="1104"/>
      <c r="AA4" s="1104"/>
      <c r="AB4" s="1104"/>
      <c r="AC4" s="1104"/>
      <c r="AD4" s="1104"/>
      <c r="AE4" s="1104"/>
      <c r="AF4" s="1104"/>
      <c r="AG4" s="1104"/>
      <c r="AH4" s="1104"/>
      <c r="AI4" s="1104"/>
      <c r="AJ4" s="1104"/>
      <c r="AK4" s="1104"/>
      <c r="AL4" s="1105"/>
    </row>
    <row r="5" spans="1:38" ht="16.5" customHeight="1">
      <c r="A5" s="27"/>
      <c r="B5" s="90" t="s">
        <v>306</v>
      </c>
      <c r="C5" s="449" t="str">
        <f>'EXE Dashboard'!C11</f>
        <v>LUCAS</v>
      </c>
      <c r="D5" s="1076" t="s">
        <v>3</v>
      </c>
      <c r="E5" s="1077"/>
      <c r="F5" s="1117">
        <f>'EXE Dashboard'!C19</f>
        <v>45160</v>
      </c>
      <c r="G5" s="1118"/>
      <c r="H5" s="1118"/>
      <c r="I5" s="1118"/>
      <c r="J5" s="1118"/>
      <c r="K5" s="1119"/>
      <c r="L5" s="1092"/>
      <c r="M5" s="1093"/>
      <c r="N5" s="1093"/>
      <c r="O5" s="1093"/>
      <c r="P5" s="1093"/>
      <c r="Q5" s="1093"/>
      <c r="R5" s="1093"/>
      <c r="S5" s="1094"/>
      <c r="T5" s="1104"/>
      <c r="U5" s="1104"/>
      <c r="V5" s="1104"/>
      <c r="W5" s="1104"/>
      <c r="X5" s="1104"/>
      <c r="Y5" s="1104"/>
      <c r="Z5" s="1104"/>
      <c r="AA5" s="1104"/>
      <c r="AB5" s="1104"/>
      <c r="AC5" s="1104"/>
      <c r="AD5" s="1104"/>
      <c r="AE5" s="1104"/>
      <c r="AF5" s="1104"/>
      <c r="AG5" s="1104"/>
      <c r="AH5" s="1104"/>
      <c r="AI5" s="1104"/>
      <c r="AJ5" s="1104"/>
      <c r="AK5" s="1104"/>
      <c r="AL5" s="1105"/>
    </row>
    <row r="6" spans="1:38" ht="16.5" customHeight="1">
      <c r="A6" s="27"/>
      <c r="B6" s="90" t="s">
        <v>307</v>
      </c>
      <c r="C6" s="449" t="str">
        <f>'EXE Dashboard'!C12</f>
        <v>LUCAS</v>
      </c>
      <c r="D6" s="1126" t="s">
        <v>361</v>
      </c>
      <c r="E6" s="1127"/>
      <c r="F6" s="1120" t="str">
        <f>'EXE Dashboard'!C16</f>
        <v xml:space="preserve"> Sunninghill Access POP - BLUE STRIPE T/A CONTRON IT - Car Service City  - Sandton</v>
      </c>
      <c r="G6" s="1121"/>
      <c r="H6" s="1121"/>
      <c r="I6" s="1121"/>
      <c r="J6" s="1121"/>
      <c r="K6" s="1122"/>
      <c r="L6" s="1092"/>
      <c r="M6" s="1093"/>
      <c r="N6" s="1093"/>
      <c r="O6" s="1093"/>
      <c r="P6" s="1093"/>
      <c r="Q6" s="1093"/>
      <c r="R6" s="1093"/>
      <c r="S6" s="109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5"/>
    </row>
    <row r="7" spans="1:38" ht="16.5" customHeight="1" thickBot="1">
      <c r="A7" s="27"/>
      <c r="B7" s="29" t="s">
        <v>462</v>
      </c>
      <c r="C7" s="609" t="str">
        <f>'EXE Dashboard'!C13</f>
        <v>VICTOR</v>
      </c>
      <c r="D7" s="1128"/>
      <c r="E7" s="1129"/>
      <c r="F7" s="1123"/>
      <c r="G7" s="1124"/>
      <c r="H7" s="1124"/>
      <c r="I7" s="1124"/>
      <c r="J7" s="1124"/>
      <c r="K7" s="1125"/>
      <c r="L7" s="1092"/>
      <c r="M7" s="1093"/>
      <c r="N7" s="1093"/>
      <c r="O7" s="1093"/>
      <c r="P7" s="1093"/>
      <c r="Q7" s="1093"/>
      <c r="R7" s="1093"/>
      <c r="S7" s="1094"/>
      <c r="T7" s="1104"/>
      <c r="U7" s="1104"/>
      <c r="V7" s="1104"/>
      <c r="W7" s="1104"/>
      <c r="X7" s="1104"/>
      <c r="Y7" s="1104"/>
      <c r="Z7" s="1104"/>
      <c r="AA7" s="1104"/>
      <c r="AB7" s="1104"/>
      <c r="AC7" s="1104"/>
      <c r="AD7" s="1104"/>
      <c r="AE7" s="1104"/>
      <c r="AF7" s="1104"/>
      <c r="AG7" s="1104"/>
      <c r="AH7" s="1104"/>
      <c r="AI7" s="1104"/>
      <c r="AJ7" s="1104"/>
      <c r="AK7" s="1104"/>
      <c r="AL7" s="1105"/>
    </row>
    <row r="8" spans="1:38" ht="17.25" customHeight="1" thickBot="1">
      <c r="A8" s="27"/>
      <c r="B8" s="29" t="s">
        <v>118</v>
      </c>
      <c r="C8" s="1080"/>
      <c r="D8" s="1081"/>
      <c r="E8" s="1082"/>
      <c r="F8" s="1086"/>
      <c r="G8" s="1087"/>
      <c r="H8" s="1087"/>
      <c r="I8" s="1087"/>
      <c r="J8" s="1087"/>
      <c r="K8" s="1088"/>
      <c r="L8" s="1092"/>
      <c r="M8" s="1093"/>
      <c r="N8" s="1093"/>
      <c r="O8" s="1093"/>
      <c r="P8" s="1093"/>
      <c r="Q8" s="1093"/>
      <c r="R8" s="1093"/>
      <c r="S8" s="1094"/>
      <c r="T8" s="1104"/>
      <c r="U8" s="1104"/>
      <c r="V8" s="1104"/>
      <c r="W8" s="1104"/>
      <c r="X8" s="1104"/>
      <c r="Y8" s="1104"/>
      <c r="Z8" s="1104"/>
      <c r="AA8" s="1104"/>
      <c r="AB8" s="1104"/>
      <c r="AC8" s="1104"/>
      <c r="AD8" s="1104"/>
      <c r="AE8" s="1104"/>
      <c r="AF8" s="1104"/>
      <c r="AG8" s="1104"/>
      <c r="AH8" s="1104"/>
      <c r="AI8" s="1104"/>
      <c r="AJ8" s="1104"/>
      <c r="AK8" s="1104"/>
      <c r="AL8" s="1105"/>
    </row>
    <row r="9" spans="1:38" ht="17.25" customHeight="1" thickBot="1">
      <c r="A9" s="27"/>
      <c r="B9" s="1083"/>
      <c r="C9" s="1084"/>
      <c r="D9" s="1084"/>
      <c r="E9" s="1085"/>
      <c r="F9" s="1086"/>
      <c r="G9" s="1087"/>
      <c r="H9" s="1087"/>
      <c r="I9" s="1087"/>
      <c r="J9" s="1087"/>
      <c r="K9" s="1088"/>
      <c r="L9" s="1092"/>
      <c r="M9" s="1093"/>
      <c r="N9" s="1093"/>
      <c r="O9" s="1093"/>
      <c r="P9" s="1093"/>
      <c r="Q9" s="1093"/>
      <c r="R9" s="1093"/>
      <c r="S9" s="1094"/>
      <c r="T9" s="1104"/>
      <c r="U9" s="1104"/>
      <c r="V9" s="1104"/>
      <c r="W9" s="1104"/>
      <c r="X9" s="1104"/>
      <c r="Y9" s="1104"/>
      <c r="Z9" s="1104"/>
      <c r="AA9" s="1104"/>
      <c r="AB9" s="1104"/>
      <c r="AC9" s="1104"/>
      <c r="AD9" s="1104"/>
      <c r="AE9" s="1104"/>
      <c r="AF9" s="1104"/>
      <c r="AG9" s="1104"/>
      <c r="AH9" s="1104"/>
      <c r="AI9" s="1104"/>
      <c r="AJ9" s="1104"/>
      <c r="AK9" s="1104"/>
      <c r="AL9" s="1105"/>
    </row>
    <row r="10" spans="1:38" ht="17.25" customHeight="1" thickBot="1">
      <c r="A10" s="27"/>
      <c r="B10" s="1083"/>
      <c r="C10" s="1084"/>
      <c r="D10" s="1084"/>
      <c r="E10" s="1085"/>
      <c r="F10" s="1086"/>
      <c r="G10" s="1087"/>
      <c r="H10" s="1087"/>
      <c r="I10" s="1087"/>
      <c r="J10" s="1087"/>
      <c r="K10" s="1088"/>
      <c r="L10" s="1092"/>
      <c r="M10" s="1093"/>
      <c r="N10" s="1093"/>
      <c r="O10" s="1093"/>
      <c r="P10" s="1093"/>
      <c r="Q10" s="1093"/>
      <c r="R10" s="1093"/>
      <c r="S10" s="1094"/>
      <c r="T10" s="1104"/>
      <c r="U10" s="1104"/>
      <c r="V10" s="1104"/>
      <c r="W10" s="1104"/>
      <c r="X10" s="1104"/>
      <c r="Y10" s="1104"/>
      <c r="Z10" s="1104"/>
      <c r="AA10" s="1104"/>
      <c r="AB10" s="1104"/>
      <c r="AC10" s="1104"/>
      <c r="AD10" s="1104"/>
      <c r="AE10" s="1104"/>
      <c r="AF10" s="1104"/>
      <c r="AG10" s="1104"/>
      <c r="AH10" s="1104"/>
      <c r="AI10" s="1104"/>
      <c r="AJ10" s="1104"/>
      <c r="AK10" s="1104"/>
      <c r="AL10" s="1105"/>
    </row>
    <row r="11" spans="1:38" ht="17.25" customHeight="1" thickBot="1">
      <c r="A11" s="27"/>
      <c r="B11" s="1083"/>
      <c r="C11" s="1084"/>
      <c r="D11" s="1084"/>
      <c r="E11" s="1085"/>
      <c r="F11" s="1086"/>
      <c r="G11" s="1087"/>
      <c r="H11" s="1087"/>
      <c r="I11" s="1087"/>
      <c r="J11" s="1087"/>
      <c r="K11" s="1088"/>
      <c r="L11" s="1095"/>
      <c r="M11" s="1096"/>
      <c r="N11" s="1096"/>
      <c r="O11" s="1096"/>
      <c r="P11" s="1096"/>
      <c r="Q11" s="1096"/>
      <c r="R11" s="1096"/>
      <c r="S11" s="1097"/>
      <c r="T11" s="1106"/>
      <c r="U11" s="1107"/>
      <c r="V11" s="1107"/>
      <c r="W11" s="1107"/>
      <c r="X11" s="1107"/>
      <c r="Y11" s="1107"/>
      <c r="Z11" s="1107"/>
      <c r="AA11" s="1107"/>
      <c r="AB11" s="1107"/>
      <c r="AC11" s="1107"/>
      <c r="AD11" s="1107"/>
      <c r="AE11" s="1107"/>
      <c r="AF11" s="1107"/>
      <c r="AG11" s="1107"/>
      <c r="AH11" s="1107"/>
      <c r="AI11" s="1107"/>
      <c r="AJ11" s="1107"/>
      <c r="AK11" s="1107"/>
      <c r="AL11" s="1108"/>
    </row>
    <row r="12" spans="1:38" ht="18.600000000000001" thickBot="1">
      <c r="A12" s="27"/>
      <c r="B12" s="1078" t="s">
        <v>280</v>
      </c>
      <c r="C12" s="1079"/>
      <c r="D12" s="1079"/>
      <c r="E12" s="1079"/>
      <c r="F12" s="1079"/>
      <c r="G12" s="1079"/>
      <c r="H12" s="1079"/>
      <c r="I12" s="107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78"/>
      <c r="U12" s="1079"/>
      <c r="V12" s="1079"/>
      <c r="W12" s="1079"/>
      <c r="X12" s="1079"/>
      <c r="Y12" s="1079"/>
      <c r="Z12" s="1079"/>
      <c r="AA12" s="1079"/>
      <c r="AB12" s="1079"/>
      <c r="AC12" s="1079"/>
      <c r="AD12" s="1079"/>
      <c r="AE12" s="1079"/>
      <c r="AF12" s="1079"/>
      <c r="AG12" s="1079"/>
      <c r="AH12" s="1079"/>
      <c r="AI12" s="1079"/>
      <c r="AJ12" s="1079"/>
      <c r="AK12" s="1079"/>
      <c r="AL12" s="1101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850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>
        <v>1</v>
      </c>
      <c r="G15" s="704">
        <f t="shared" ref="G15" si="0">+F15*E15</f>
        <v>850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1</v>
      </c>
      <c r="V15" s="709">
        <f>U15*E15</f>
        <v>850</v>
      </c>
      <c r="W15" s="710"/>
      <c r="X15" s="711"/>
      <c r="Y15" s="708">
        <f>X15+U15</f>
        <v>1</v>
      </c>
      <c r="Z15" s="709">
        <f>Y15*E15</f>
        <v>850</v>
      </c>
      <c r="AA15" s="710"/>
      <c r="AB15" s="711"/>
      <c r="AC15" s="708">
        <f>AB15+Y15</f>
        <v>1</v>
      </c>
      <c r="AD15" s="709">
        <f>AC15*E15</f>
        <v>850</v>
      </c>
      <c r="AE15" s="712"/>
      <c r="AF15" s="711"/>
      <c r="AG15" s="708">
        <f>AF15+AC15</f>
        <v>1</v>
      </c>
      <c r="AH15" s="709">
        <f>AG15*E15</f>
        <v>850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762.3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/>
      <c r="G19" s="704">
        <f t="shared" si="1"/>
        <v>0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0</v>
      </c>
      <c r="V19" s="733">
        <f t="shared" ref="V19:V64" si="10">U19*E19</f>
        <v>0</v>
      </c>
      <c r="W19" s="710"/>
      <c r="X19" s="711"/>
      <c r="Y19" s="732">
        <f t="shared" si="2"/>
        <v>0</v>
      </c>
      <c r="Z19" s="733">
        <f t="shared" si="3"/>
        <v>0</v>
      </c>
      <c r="AA19" s="710"/>
      <c r="AB19" s="711"/>
      <c r="AC19" s="732">
        <f t="shared" si="4"/>
        <v>0</v>
      </c>
      <c r="AD19" s="733">
        <f t="shared" si="5"/>
        <v>0</v>
      </c>
      <c r="AE19" s="712"/>
      <c r="AF19" s="711"/>
      <c r="AG19" s="732">
        <f t="shared" si="6"/>
        <v>0</v>
      </c>
      <c r="AH19" s="733">
        <f t="shared" si="7"/>
        <v>0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>
        <f>GETPIVOTDATA("DISTANCE",'ROUTE INFO'!$K$95,"TRENCH TYPE","SOIL")+GETPIVOTDATA("DISTANCE",'ROUTE INFO'!$K$95,"TRENCH TYPE","PAVING")</f>
        <v>22</v>
      </c>
      <c r="G22" s="704">
        <f t="shared" si="1"/>
        <v>762.3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22</v>
      </c>
      <c r="V22" s="733">
        <f t="shared" ref="V22:V56" si="20">U22*E22</f>
        <v>762.3</v>
      </c>
      <c r="W22" s="710"/>
      <c r="X22" s="711"/>
      <c r="Y22" s="732">
        <f t="shared" si="12"/>
        <v>22</v>
      </c>
      <c r="Z22" s="733">
        <f t="shared" si="13"/>
        <v>762.3</v>
      </c>
      <c r="AA22" s="710"/>
      <c r="AB22" s="711"/>
      <c r="AC22" s="732">
        <f t="shared" si="14"/>
        <v>22</v>
      </c>
      <c r="AD22" s="733">
        <f t="shared" si="15"/>
        <v>762.3</v>
      </c>
      <c r="AE22" s="712"/>
      <c r="AF22" s="711"/>
      <c r="AG22" s="732">
        <f t="shared" si="16"/>
        <v>22</v>
      </c>
      <c r="AH22" s="733">
        <f t="shared" si="17"/>
        <v>762.3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199.5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>
        <f>GETPIVOTDATA("DISTANCE",'ROUTE INFO'!$K$95,"TRENCH TYPE","PAVING")*0.5</f>
        <v>7</v>
      </c>
      <c r="G61" s="704">
        <f t="shared" si="1"/>
        <v>199.5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7</v>
      </c>
      <c r="V61" s="733">
        <f t="shared" si="10"/>
        <v>199.5</v>
      </c>
      <c r="W61" s="740"/>
      <c r="X61" s="739"/>
      <c r="Y61" s="732">
        <f t="shared" si="2"/>
        <v>7</v>
      </c>
      <c r="Z61" s="733">
        <f t="shared" si="3"/>
        <v>199.5</v>
      </c>
      <c r="AA61" s="710"/>
      <c r="AB61" s="711"/>
      <c r="AC61" s="732">
        <f t="shared" si="4"/>
        <v>7</v>
      </c>
      <c r="AD61" s="733">
        <f t="shared" si="5"/>
        <v>199.5</v>
      </c>
      <c r="AE61" s="712"/>
      <c r="AF61" s="711"/>
      <c r="AG61" s="732">
        <f t="shared" si="6"/>
        <v>7</v>
      </c>
      <c r="AH61" s="733">
        <f t="shared" si="7"/>
        <v>199.5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147.57999999999998</v>
      </c>
      <c r="H65" s="747"/>
      <c r="I65" s="748"/>
      <c r="J65" s="747"/>
      <c r="K65" s="748"/>
      <c r="L65" s="747"/>
      <c r="M65" s="748"/>
      <c r="N65" s="747"/>
      <c r="O65" s="746">
        <f>SUBTOTAL(9,O72:O73)</f>
        <v>1000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/>
      <c r="G66" s="704">
        <f>+F66*E66</f>
        <v>0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0</v>
      </c>
      <c r="V66" s="733">
        <f>U66*E66</f>
        <v>0</v>
      </c>
      <c r="W66" s="710"/>
      <c r="X66" s="711"/>
      <c r="Y66" s="732">
        <f t="shared" si="2"/>
        <v>0</v>
      </c>
      <c r="Z66" s="733">
        <f t="shared" si="3"/>
        <v>0</v>
      </c>
      <c r="AA66" s="710"/>
      <c r="AB66" s="711"/>
      <c r="AC66" s="732">
        <f t="shared" si="4"/>
        <v>0</v>
      </c>
      <c r="AD66" s="733">
        <f t="shared" si="5"/>
        <v>0</v>
      </c>
      <c r="AE66" s="712"/>
      <c r="AF66" s="711"/>
      <c r="AG66" s="732">
        <f t="shared" si="6"/>
        <v>0</v>
      </c>
      <c r="AH66" s="733">
        <f t="shared" si="7"/>
        <v>0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>
        <f>GETPIVOTDATA("DISTANCE",'ROUTE INFO'!$K$95,"TRENCH TYPE","25MM PVC")+GETPIVOTDATA("DISTANCE",'ROUTE INFO'!$K$95,"TRENCH TYPE","TRUNKING 25x25")</f>
        <v>9</v>
      </c>
      <c r="G70" s="704">
        <f t="shared" si="46"/>
        <v>67.5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9</v>
      </c>
      <c r="V70" s="733">
        <f t="shared" si="48"/>
        <v>67.5</v>
      </c>
      <c r="W70" s="710"/>
      <c r="X70" s="711"/>
      <c r="Y70" s="732">
        <f t="shared" si="2"/>
        <v>9</v>
      </c>
      <c r="Z70" s="733">
        <f t="shared" si="3"/>
        <v>67.5</v>
      </c>
      <c r="AA70" s="710"/>
      <c r="AB70" s="711"/>
      <c r="AC70" s="732">
        <f t="shared" si="4"/>
        <v>9</v>
      </c>
      <c r="AD70" s="733">
        <f t="shared" si="5"/>
        <v>67.5</v>
      </c>
      <c r="AE70" s="712"/>
      <c r="AF70" s="711"/>
      <c r="AG70" s="732">
        <f t="shared" si="6"/>
        <v>9</v>
      </c>
      <c r="AH70" s="733">
        <f t="shared" si="7"/>
        <v>67.5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>
        <f>GETPIVOTDATA("DISTANCE",'ROUTE INFO'!$N$72,"DUCT TYPE","DIRECT BURIED")</f>
        <v>22</v>
      </c>
      <c r="G71" s="704">
        <f t="shared" si="46"/>
        <v>80.08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22</v>
      </c>
      <c r="V71" s="733">
        <f t="shared" si="48"/>
        <v>80.08</v>
      </c>
      <c r="W71" s="710"/>
      <c r="X71" s="711"/>
      <c r="Y71" s="732">
        <f t="shared" si="2"/>
        <v>22</v>
      </c>
      <c r="Z71" s="733">
        <f t="shared" si="3"/>
        <v>80.08</v>
      </c>
      <c r="AA71" s="710"/>
      <c r="AB71" s="711"/>
      <c r="AC71" s="732">
        <f t="shared" si="4"/>
        <v>22</v>
      </c>
      <c r="AD71" s="733">
        <f t="shared" si="5"/>
        <v>80.08</v>
      </c>
      <c r="AE71" s="712"/>
      <c r="AF71" s="711"/>
      <c r="AG71" s="732">
        <f t="shared" si="6"/>
        <v>22</v>
      </c>
      <c r="AH71" s="733">
        <f t="shared" si="7"/>
        <v>80.08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>
        <v>1</v>
      </c>
      <c r="O72" s="704">
        <f>+N72*E72</f>
        <v>1000</v>
      </c>
      <c r="P72" s="728"/>
      <c r="Q72" s="730"/>
      <c r="R72" s="731"/>
      <c r="S72" s="729"/>
      <c r="T72" s="711"/>
      <c r="U72" s="732">
        <f>T72+N72</f>
        <v>1</v>
      </c>
      <c r="V72" s="733">
        <f t="shared" si="48"/>
        <v>1000</v>
      </c>
      <c r="W72" s="710"/>
      <c r="X72" s="711"/>
      <c r="Y72" s="732">
        <f t="shared" si="2"/>
        <v>1</v>
      </c>
      <c r="Z72" s="733">
        <f t="shared" si="3"/>
        <v>1000</v>
      </c>
      <c r="AA72" s="710"/>
      <c r="AB72" s="711"/>
      <c r="AC72" s="732">
        <f t="shared" si="4"/>
        <v>1</v>
      </c>
      <c r="AD72" s="733">
        <f t="shared" si="5"/>
        <v>1000</v>
      </c>
      <c r="AE72" s="710"/>
      <c r="AF72" s="711"/>
      <c r="AG72" s="732">
        <f t="shared" si="6"/>
        <v>1</v>
      </c>
      <c r="AH72" s="733">
        <f t="shared" si="7"/>
        <v>1000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665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7</v>
      </c>
      <c r="M87" s="704">
        <f t="shared" si="59"/>
        <v>665</v>
      </c>
      <c r="N87" s="735"/>
      <c r="O87" s="736"/>
      <c r="P87" s="735"/>
      <c r="Q87" s="737"/>
      <c r="R87" s="738"/>
      <c r="S87" s="736"/>
      <c r="T87" s="739"/>
      <c r="U87" s="732">
        <f t="shared" si="60"/>
        <v>7</v>
      </c>
      <c r="V87" s="733">
        <f t="shared" si="61"/>
        <v>665</v>
      </c>
      <c r="W87" s="740"/>
      <c r="X87" s="739"/>
      <c r="Y87" s="732">
        <f t="shared" si="2"/>
        <v>7</v>
      </c>
      <c r="Z87" s="733">
        <f t="shared" si="3"/>
        <v>665</v>
      </c>
      <c r="AA87" s="710"/>
      <c r="AB87" s="711"/>
      <c r="AC87" s="732">
        <f t="shared" si="4"/>
        <v>7</v>
      </c>
      <c r="AD87" s="733">
        <f t="shared" si="5"/>
        <v>665</v>
      </c>
      <c r="AE87" s="712"/>
      <c r="AF87" s="711"/>
      <c r="AG87" s="732">
        <f t="shared" si="6"/>
        <v>7</v>
      </c>
      <c r="AH87" s="733">
        <f t="shared" si="7"/>
        <v>665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INFO'!F53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INFO'!F54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INFO'!F56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INFO'!F55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INFO'!F77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INFO'!F78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INFO'!F57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INFO'!F58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INFO'!F59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INFO'!F60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INFO'!F95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596.57999999999993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>
        <v>1</v>
      </c>
      <c r="G125" s="704">
        <f>+F125*E125</f>
        <v>200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1</v>
      </c>
      <c r="V125" s="733">
        <f>U125*E125</f>
        <v>200</v>
      </c>
      <c r="W125" s="710"/>
      <c r="X125" s="711"/>
      <c r="Y125" s="732">
        <f t="shared" si="100"/>
        <v>1</v>
      </c>
      <c r="Z125" s="733">
        <f t="shared" si="101"/>
        <v>200</v>
      </c>
      <c r="AA125" s="710"/>
      <c r="AB125" s="711"/>
      <c r="AC125" s="732">
        <f t="shared" si="102"/>
        <v>1</v>
      </c>
      <c r="AD125" s="733">
        <f t="shared" si="103"/>
        <v>200</v>
      </c>
      <c r="AE125" s="712"/>
      <c r="AF125" s="711"/>
      <c r="AG125" s="732">
        <f t="shared" si="104"/>
        <v>1</v>
      </c>
      <c r="AH125" s="733">
        <f t="shared" si="105"/>
        <v>200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/>
      <c r="G128" s="704">
        <f t="shared" si="128"/>
        <v>0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0</v>
      </c>
      <c r="V128" s="733">
        <f t="shared" si="130"/>
        <v>0</v>
      </c>
      <c r="W128" s="710"/>
      <c r="X128" s="711"/>
      <c r="Y128" s="732">
        <f t="shared" si="100"/>
        <v>0</v>
      </c>
      <c r="Z128" s="733">
        <f t="shared" si="101"/>
        <v>0</v>
      </c>
      <c r="AA128" s="710"/>
      <c r="AB128" s="711"/>
      <c r="AC128" s="732">
        <f t="shared" si="102"/>
        <v>0</v>
      </c>
      <c r="AD128" s="733">
        <f t="shared" si="103"/>
        <v>0</v>
      </c>
      <c r="AE128" s="712"/>
      <c r="AF128" s="711"/>
      <c r="AG128" s="732">
        <f t="shared" si="104"/>
        <v>0</v>
      </c>
      <c r="AH128" s="733">
        <f t="shared" si="105"/>
        <v>0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/>
      <c r="G143" s="704">
        <f t="shared" si="128"/>
        <v>0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0</v>
      </c>
      <c r="V143" s="733">
        <f t="shared" si="130"/>
        <v>0</v>
      </c>
      <c r="W143" s="710"/>
      <c r="X143" s="711"/>
      <c r="Y143" s="732">
        <f t="shared" si="100"/>
        <v>0</v>
      </c>
      <c r="Z143" s="733">
        <f t="shared" si="101"/>
        <v>0</v>
      </c>
      <c r="AA143" s="710"/>
      <c r="AB143" s="711"/>
      <c r="AC143" s="732">
        <f t="shared" si="102"/>
        <v>0</v>
      </c>
      <c r="AD143" s="733">
        <f t="shared" si="103"/>
        <v>0</v>
      </c>
      <c r="AE143" s="712"/>
      <c r="AF143" s="711"/>
      <c r="AG143" s="732">
        <f t="shared" si="104"/>
        <v>0</v>
      </c>
      <c r="AH143" s="733">
        <f t="shared" si="105"/>
        <v>0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f>GETPIVOTDATA("DISTANCE",'ROUTE INFO'!$K$95,"TRENCH TYPE","inside Cabinet")+GETPIVOTDATA("DISTANCE",'ROUTE INFO'!$K$95,"TRENCH TYPE","Ceiling")</f>
        <v>28</v>
      </c>
      <c r="G144" s="704">
        <f t="shared" si="128"/>
        <v>182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28</v>
      </c>
      <c r="V144" s="733">
        <f t="shared" si="130"/>
        <v>182</v>
      </c>
      <c r="W144" s="710"/>
      <c r="X144" s="711"/>
      <c r="Y144" s="732">
        <f t="shared" si="100"/>
        <v>28</v>
      </c>
      <c r="Z144" s="733">
        <f t="shared" si="101"/>
        <v>182</v>
      </c>
      <c r="AA144" s="710"/>
      <c r="AB144" s="711"/>
      <c r="AC144" s="732">
        <f t="shared" si="102"/>
        <v>28</v>
      </c>
      <c r="AD144" s="733">
        <f t="shared" si="103"/>
        <v>182</v>
      </c>
      <c r="AE144" s="712"/>
      <c r="AF144" s="711"/>
      <c r="AG144" s="732">
        <f t="shared" si="104"/>
        <v>28</v>
      </c>
      <c r="AH144" s="733">
        <f t="shared" si="105"/>
        <v>182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f>GETPIVOTDATA("DISTANCE",'ROUTE INFO'!$K$95,"TRENCH TYPE","TRUNKING 25x25")+GETPIVOTDATA("DISTANCE",'ROUTE INFO'!$K$95,"TRENCH TYPE","25MM PVC")</f>
        <v>9</v>
      </c>
      <c r="G145" s="704">
        <f t="shared" ref="G145:G158" si="131">+F145*E145</f>
        <v>147.51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9</v>
      </c>
      <c r="V145" s="733">
        <f t="shared" ref="V145:V158" si="133">U145*E145</f>
        <v>147.51</v>
      </c>
      <c r="W145" s="710"/>
      <c r="X145" s="711"/>
      <c r="Y145" s="732">
        <f t="shared" ref="Y145:Y158" si="134">X145+U145</f>
        <v>9</v>
      </c>
      <c r="Z145" s="733">
        <f t="shared" ref="Z145:Z158" si="135">Y145*E145</f>
        <v>147.51</v>
      </c>
      <c r="AA145" s="710"/>
      <c r="AB145" s="711"/>
      <c r="AC145" s="732">
        <f t="shared" ref="AC145:AC158" si="136">AB145+Y145</f>
        <v>9</v>
      </c>
      <c r="AD145" s="733">
        <f t="shared" ref="AD145:AD158" si="137">AC145*E145</f>
        <v>147.51</v>
      </c>
      <c r="AE145" s="712"/>
      <c r="AF145" s="711"/>
      <c r="AG145" s="732">
        <f t="shared" ref="AG145:AG158" si="138">AF145+AC145</f>
        <v>9</v>
      </c>
      <c r="AH145" s="733">
        <f t="shared" ref="AH145:AH158" si="139">AG145*E145</f>
        <v>147.51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/>
      <c r="G157" s="704">
        <f t="shared" si="131"/>
        <v>0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0</v>
      </c>
      <c r="V157" s="733">
        <f t="shared" si="133"/>
        <v>0</v>
      </c>
      <c r="W157" s="710"/>
      <c r="X157" s="711"/>
      <c r="Y157" s="732">
        <f t="shared" si="134"/>
        <v>0</v>
      </c>
      <c r="Z157" s="733">
        <f t="shared" si="135"/>
        <v>0</v>
      </c>
      <c r="AA157" s="710"/>
      <c r="AB157" s="711"/>
      <c r="AC157" s="732">
        <f t="shared" si="136"/>
        <v>0</v>
      </c>
      <c r="AD157" s="733">
        <f t="shared" si="137"/>
        <v>0</v>
      </c>
      <c r="AE157" s="712"/>
      <c r="AF157" s="711"/>
      <c r="AG157" s="732">
        <f t="shared" si="138"/>
        <v>0</v>
      </c>
      <c r="AH157" s="733">
        <f t="shared" si="139"/>
        <v>0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/>
      <c r="G159" s="704">
        <f t="shared" ref="G159" si="141">+F159*E159</f>
        <v>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0</v>
      </c>
      <c r="V159" s="733">
        <f t="shared" ref="V159" si="143">U159*E159</f>
        <v>0</v>
      </c>
      <c r="W159" s="710"/>
      <c r="X159" s="711"/>
      <c r="Y159" s="732">
        <f t="shared" ref="Y159" si="144">X159+U159</f>
        <v>0</v>
      </c>
      <c r="Z159" s="733">
        <f t="shared" ref="Z159" si="145">Y159*E159</f>
        <v>0</v>
      </c>
      <c r="AA159" s="710"/>
      <c r="AB159" s="711"/>
      <c r="AC159" s="732">
        <f t="shared" ref="AC159" si="146">AB159+Y159</f>
        <v>0</v>
      </c>
      <c r="AD159" s="733">
        <f t="shared" ref="AD159" si="147">AC159*E159</f>
        <v>0</v>
      </c>
      <c r="AE159" s="712"/>
      <c r="AF159" s="711"/>
      <c r="AG159" s="732">
        <f t="shared" ref="AG159" si="148">AF159+AC159</f>
        <v>0</v>
      </c>
      <c r="AH159" s="733">
        <f t="shared" ref="AH159" si="149">AG159*E159</f>
        <v>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333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>
        <f>'ROUTE INFO'!I82+'ROUTE INFO'!I87</f>
        <v>74</v>
      </c>
      <c r="G161" s="704">
        <f>E161*F161</f>
        <v>333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74</v>
      </c>
      <c r="V161" s="733">
        <f>U161*E161</f>
        <v>333</v>
      </c>
      <c r="W161" s="710"/>
      <c r="X161" s="711"/>
      <c r="Y161" s="732">
        <f t="shared" si="100"/>
        <v>74</v>
      </c>
      <c r="Z161" s="733">
        <f t="shared" si="101"/>
        <v>333</v>
      </c>
      <c r="AA161" s="710"/>
      <c r="AB161" s="711"/>
      <c r="AC161" s="732">
        <f t="shared" si="102"/>
        <v>74</v>
      </c>
      <c r="AD161" s="733">
        <f t="shared" si="103"/>
        <v>333</v>
      </c>
      <c r="AE161" s="712"/>
      <c r="AF161" s="711"/>
      <c r="AG161" s="732">
        <f t="shared" si="104"/>
        <v>74</v>
      </c>
      <c r="AH161" s="733">
        <f t="shared" si="105"/>
        <v>333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/>
      <c r="O163" s="704">
        <f t="shared" ref="O163" si="151">+N163*$E163</f>
        <v>0</v>
      </c>
      <c r="P163" s="767"/>
      <c r="Q163" s="768"/>
      <c r="R163" s="769"/>
      <c r="S163" s="729"/>
      <c r="T163" s="711"/>
      <c r="U163" s="732">
        <f>T163+N163</f>
        <v>0</v>
      </c>
      <c r="V163" s="733">
        <f>U163*E163</f>
        <v>0</v>
      </c>
      <c r="W163" s="710"/>
      <c r="X163" s="711"/>
      <c r="Y163" s="732">
        <f t="shared" si="100"/>
        <v>0</v>
      </c>
      <c r="Z163" s="733">
        <f t="shared" si="101"/>
        <v>0</v>
      </c>
      <c r="AA163" s="710"/>
      <c r="AB163" s="711"/>
      <c r="AC163" s="732">
        <f t="shared" si="102"/>
        <v>0</v>
      </c>
      <c r="AD163" s="733">
        <f t="shared" si="103"/>
        <v>0</v>
      </c>
      <c r="AE163" s="712"/>
      <c r="AF163" s="711"/>
      <c r="AG163" s="732">
        <f t="shared" si="104"/>
        <v>0</v>
      </c>
      <c r="AH163" s="733">
        <f t="shared" si="105"/>
        <v>0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0</v>
      </c>
      <c r="P174" s="808"/>
      <c r="Q174" s="809"/>
      <c r="R174" s="810"/>
      <c r="S174" s="798">
        <f>SUBTOTAL(9,S177:S178)</f>
        <v>0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/>
      <c r="O176" s="704">
        <f t="shared" ref="O176" si="167">+N176*$E176</f>
        <v>0</v>
      </c>
      <c r="P176" s="767"/>
      <c r="Q176" s="768"/>
      <c r="R176" s="769"/>
      <c r="S176" s="729"/>
      <c r="T176" s="711"/>
      <c r="U176" s="732">
        <f>T176+N176</f>
        <v>0</v>
      </c>
      <c r="V176" s="733">
        <f>U176*E176</f>
        <v>0</v>
      </c>
      <c r="W176" s="710"/>
      <c r="X176" s="711"/>
      <c r="Y176" s="732">
        <f>X176+U176</f>
        <v>0</v>
      </c>
      <c r="Z176" s="733">
        <f t="shared" si="101"/>
        <v>0</v>
      </c>
      <c r="AA176" s="710"/>
      <c r="AB176" s="711"/>
      <c r="AC176" s="732">
        <f>AB176+Y176</f>
        <v>0</v>
      </c>
      <c r="AD176" s="733">
        <f t="shared" si="103"/>
        <v>0</v>
      </c>
      <c r="AE176" s="712"/>
      <c r="AF176" s="711"/>
      <c r="AG176" s="732">
        <f>AF176+AC176</f>
        <v>0</v>
      </c>
      <c r="AH176" s="733">
        <f t="shared" si="105"/>
        <v>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/>
      <c r="S177" s="704">
        <f t="shared" ref="S177:S178" si="168">+R177*$E177</f>
        <v>0</v>
      </c>
      <c r="T177" s="711"/>
      <c r="U177" s="732">
        <f>T177+R177</f>
        <v>0</v>
      </c>
      <c r="V177" s="733">
        <f t="shared" ref="V177:V179" si="169">U177*E177</f>
        <v>0</v>
      </c>
      <c r="W177" s="710"/>
      <c r="X177" s="711"/>
      <c r="Y177" s="732">
        <f t="shared" si="100"/>
        <v>0</v>
      </c>
      <c r="Z177" s="733">
        <f t="shared" si="101"/>
        <v>0</v>
      </c>
      <c r="AA177" s="710"/>
      <c r="AB177" s="711"/>
      <c r="AC177" s="732">
        <f t="shared" si="102"/>
        <v>0</v>
      </c>
      <c r="AD177" s="733">
        <f t="shared" si="103"/>
        <v>0</v>
      </c>
      <c r="AE177" s="712"/>
      <c r="AF177" s="711"/>
      <c r="AG177" s="732">
        <f t="shared" si="104"/>
        <v>0</v>
      </c>
      <c r="AH177" s="733">
        <f t="shared" si="105"/>
        <v>0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/>
      <c r="S178" s="704">
        <f t="shared" si="168"/>
        <v>0</v>
      </c>
      <c r="T178" s="711"/>
      <c r="U178" s="732">
        <f>T178+R178</f>
        <v>0</v>
      </c>
      <c r="V178" s="733">
        <f t="shared" si="169"/>
        <v>0</v>
      </c>
      <c r="W178" s="710"/>
      <c r="X178" s="711"/>
      <c r="Y178" s="732">
        <f t="shared" si="100"/>
        <v>0</v>
      </c>
      <c r="Z178" s="733">
        <f t="shared" si="101"/>
        <v>0</v>
      </c>
      <c r="AA178" s="710"/>
      <c r="AB178" s="711"/>
      <c r="AC178" s="732">
        <f t="shared" si="102"/>
        <v>0</v>
      </c>
      <c r="AD178" s="733">
        <f t="shared" si="103"/>
        <v>0</v>
      </c>
      <c r="AE178" s="712"/>
      <c r="AF178" s="711"/>
      <c r="AG178" s="732">
        <f t="shared" si="104"/>
        <v>0</v>
      </c>
      <c r="AH178" s="733">
        <f t="shared" si="105"/>
        <v>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947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1000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>
        <v>1</v>
      </c>
      <c r="G231" s="704">
        <f t="shared" ref="G231:G233" si="257">+F231*E231</f>
        <v>1000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1</v>
      </c>
      <c r="V231" s="733">
        <f>U231*E231</f>
        <v>1000</v>
      </c>
      <c r="W231" s="710"/>
      <c r="X231" s="711"/>
      <c r="Y231" s="732">
        <f>X231+U231</f>
        <v>1</v>
      </c>
      <c r="Z231" s="733">
        <f>Y231*E231</f>
        <v>1000</v>
      </c>
      <c r="AA231" s="710"/>
      <c r="AB231" s="711"/>
      <c r="AC231" s="732">
        <f>AB231+Y231</f>
        <v>1</v>
      </c>
      <c r="AD231" s="733">
        <f>AC231*E231</f>
        <v>1000</v>
      </c>
      <c r="AE231" s="712"/>
      <c r="AF231" s="711"/>
      <c r="AG231" s="732">
        <f>AF231+AC231</f>
        <v>1</v>
      </c>
      <c r="AH231" s="733">
        <f>AG231*E231</f>
        <v>1000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8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8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>+F239*E239</f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>T239+F239</f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>T240+F240</f>
        <v>0</v>
      </c>
      <c r="V240" s="733">
        <f t="shared" ref="V240" si="263">U240*E240</f>
        <v>0</v>
      </c>
      <c r="W240" s="710"/>
      <c r="X240" s="711"/>
      <c r="Y240" s="732">
        <f t="shared" ref="Y240" si="264">X240+U240</f>
        <v>0</v>
      </c>
      <c r="Z240" s="733">
        <f t="shared" ref="Z240" si="265">Y240*E240</f>
        <v>0</v>
      </c>
      <c r="AA240" s="710"/>
      <c r="AB240" s="711"/>
      <c r="AC240" s="732">
        <f t="shared" ref="AC240" si="266">AB240+Y240</f>
        <v>0</v>
      </c>
      <c r="AD240" s="733">
        <f t="shared" ref="AD240" si="267">AC240*E240</f>
        <v>0</v>
      </c>
      <c r="AE240" s="712"/>
      <c r="AF240" s="711"/>
      <c r="AG240" s="732">
        <f t="shared" ref="AG240" si="268">AF240+AC240</f>
        <v>0</v>
      </c>
      <c r="AH240" s="733">
        <f t="shared" ref="AH240" si="269">AG240*E240</f>
        <v>0</v>
      </c>
      <c r="AI240" s="712"/>
      <c r="AJ240" s="708"/>
      <c r="AK240" s="733">
        <f t="shared" ref="AK240" si="270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1">T241+F241</f>
        <v>0</v>
      </c>
      <c r="V241" s="733">
        <f t="shared" ref="V241" si="272">U241*E241</f>
        <v>0</v>
      </c>
      <c r="W241" s="710"/>
      <c r="X241" s="711"/>
      <c r="Y241" s="732">
        <f t="shared" ref="Y241" si="273">X241+U241</f>
        <v>0</v>
      </c>
      <c r="Z241" s="733">
        <f t="shared" ref="Z241" si="274">Y241*E241</f>
        <v>0</v>
      </c>
      <c r="AA241" s="710"/>
      <c r="AB241" s="711"/>
      <c r="AC241" s="732">
        <f t="shared" ref="AC241" si="275">AB241+Y241</f>
        <v>0</v>
      </c>
      <c r="AD241" s="733">
        <f t="shared" ref="AD241" si="276">AC241*E241</f>
        <v>0</v>
      </c>
      <c r="AE241" s="712"/>
      <c r="AF241" s="711"/>
      <c r="AG241" s="732">
        <f t="shared" ref="AG241" si="277">AF241+AC241</f>
        <v>0</v>
      </c>
      <c r="AH241" s="733">
        <f t="shared" ref="AH241" si="278">AG241*E241</f>
        <v>0</v>
      </c>
      <c r="AI241" s="712"/>
      <c r="AJ241" s="708"/>
      <c r="AK241" s="733">
        <f t="shared" ref="AK241" si="279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0">T242+F242</f>
        <v>0</v>
      </c>
      <c r="V242" s="733">
        <f t="shared" ref="V242:V243" si="281">U242*E242</f>
        <v>0</v>
      </c>
      <c r="W242" s="710"/>
      <c r="X242" s="711"/>
      <c r="Y242" s="732">
        <f t="shared" ref="Y242:Y243" si="282">X242+U242</f>
        <v>0</v>
      </c>
      <c r="Z242" s="733">
        <f t="shared" ref="Z242:Z243" si="283">Y242*E242</f>
        <v>0</v>
      </c>
      <c r="AA242" s="710"/>
      <c r="AB242" s="711"/>
      <c r="AC242" s="732">
        <f t="shared" ref="AC242:AC243" si="284">AB242+Y242</f>
        <v>0</v>
      </c>
      <c r="AD242" s="733">
        <f t="shared" ref="AD242:AD243" si="285">AC242*E242</f>
        <v>0</v>
      </c>
      <c r="AE242" s="712"/>
      <c r="AF242" s="711"/>
      <c r="AG242" s="732">
        <f t="shared" ref="AG242:AG243" si="286">AF242+AC242</f>
        <v>0</v>
      </c>
      <c r="AH242" s="733">
        <f t="shared" ref="AH242:AH243" si="287">AG242*E242</f>
        <v>0</v>
      </c>
      <c r="AI242" s="712"/>
      <c r="AJ242" s="708"/>
      <c r="AK242" s="733">
        <f t="shared" ref="AK242:AK243" si="288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89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0"/>
        <v>0</v>
      </c>
      <c r="V243" s="733">
        <f t="shared" si="281"/>
        <v>0</v>
      </c>
      <c r="W243" s="710"/>
      <c r="X243" s="711"/>
      <c r="Y243" s="732">
        <f t="shared" si="282"/>
        <v>0</v>
      </c>
      <c r="Z243" s="733">
        <f t="shared" si="283"/>
        <v>0</v>
      </c>
      <c r="AA243" s="710"/>
      <c r="AB243" s="711"/>
      <c r="AC243" s="732">
        <f t="shared" si="284"/>
        <v>0</v>
      </c>
      <c r="AD243" s="733">
        <f t="shared" si="285"/>
        <v>0</v>
      </c>
      <c r="AE243" s="712"/>
      <c r="AF243" s="711"/>
      <c r="AG243" s="732">
        <f t="shared" si="286"/>
        <v>0</v>
      </c>
      <c r="AH243" s="733">
        <f t="shared" si="287"/>
        <v>0</v>
      </c>
      <c r="AI243" s="712"/>
      <c r="AJ243" s="708"/>
      <c r="AK243" s="733">
        <f t="shared" si="288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0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1">T244+F244</f>
        <v>0</v>
      </c>
      <c r="V244" s="733">
        <f t="shared" ref="V244:V245" si="292">U244*E244</f>
        <v>0</v>
      </c>
      <c r="W244" s="710"/>
      <c r="X244" s="711"/>
      <c r="Y244" s="732">
        <f t="shared" ref="Y244:Y245" si="293">X244+U244</f>
        <v>0</v>
      </c>
      <c r="Z244" s="733">
        <f t="shared" ref="Z244:Z245" si="294">Y244*E244</f>
        <v>0</v>
      </c>
      <c r="AA244" s="710"/>
      <c r="AB244" s="711"/>
      <c r="AC244" s="732">
        <f t="shared" ref="AC244:AC245" si="295">AB244+Y244</f>
        <v>0</v>
      </c>
      <c r="AD244" s="733">
        <f t="shared" ref="AD244:AD245" si="296">AC244*E244</f>
        <v>0</v>
      </c>
      <c r="AE244" s="712"/>
      <c r="AF244" s="711"/>
      <c r="AG244" s="732">
        <f t="shared" ref="AG244:AG245" si="297">AF244+AC244</f>
        <v>0</v>
      </c>
      <c r="AH244" s="733">
        <f t="shared" ref="AH244:AH245" si="298">AG244*E244</f>
        <v>0</v>
      </c>
      <c r="AI244" s="712"/>
      <c r="AJ244" s="708"/>
      <c r="AK244" s="733">
        <f t="shared" ref="AK244:AK245" si="299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0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1"/>
        <v>0</v>
      </c>
      <c r="V245" s="582">
        <f t="shared" si="292"/>
        <v>0</v>
      </c>
      <c r="W245" s="583"/>
      <c r="X245" s="584"/>
      <c r="Y245" s="581">
        <f t="shared" si="293"/>
        <v>0</v>
      </c>
      <c r="Z245" s="582">
        <f t="shared" si="294"/>
        <v>0</v>
      </c>
      <c r="AA245" s="583"/>
      <c r="AB245" s="584"/>
      <c r="AC245" s="581">
        <f t="shared" si="295"/>
        <v>0</v>
      </c>
      <c r="AD245" s="582">
        <f t="shared" si="296"/>
        <v>0</v>
      </c>
      <c r="AE245" s="585"/>
      <c r="AF245" s="584"/>
      <c r="AG245" s="581">
        <f t="shared" si="297"/>
        <v>0</v>
      </c>
      <c r="AH245" s="582">
        <f t="shared" si="298"/>
        <v>0</v>
      </c>
      <c r="AI245" s="585"/>
      <c r="AJ245" s="586"/>
      <c r="AK245" s="582">
        <f t="shared" si="299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4388.96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665</v>
      </c>
      <c r="N246" s="825"/>
      <c r="O246" s="828">
        <f>O14+O65+O160+O169+O174</f>
        <v>1000</v>
      </c>
      <c r="P246" s="825"/>
      <c r="Q246" s="828">
        <f>Q14+Q180</f>
        <v>0</v>
      </c>
      <c r="R246" s="825"/>
      <c r="S246" s="828">
        <f>S14+S169+S174</f>
        <v>170</v>
      </c>
      <c r="T246" s="825"/>
      <c r="U246" s="829"/>
      <c r="V246" s="830">
        <f>SUM(V14:V245)</f>
        <v>6223.96</v>
      </c>
      <c r="W246" s="825"/>
      <c r="X246" s="825"/>
      <c r="Y246" s="829"/>
      <c r="Z246" s="830">
        <f>SUM(Z14:Z245)</f>
        <v>6223.96</v>
      </c>
      <c r="AA246" s="825"/>
      <c r="AB246" s="825"/>
      <c r="AC246" s="825"/>
      <c r="AD246" s="830">
        <f>SUM(AD14:AD245)</f>
        <v>6223.96</v>
      </c>
      <c r="AE246" s="825"/>
      <c r="AF246" s="825"/>
      <c r="AG246" s="825"/>
      <c r="AH246" s="830">
        <f>SUM(AH14:AH245)</f>
        <v>6223.96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-6223.96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6223.96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73"/>
      <c r="E252" s="1073"/>
      <c r="F252" s="1073"/>
      <c r="G252" s="995">
        <f>'MATERIAL REQUEST'!H275</f>
        <v>1321.4949999999999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73"/>
      <c r="E253" s="1073"/>
      <c r="F253" s="1073"/>
      <c r="G253" s="206">
        <f>G251+G252</f>
        <v>7545.4549999999999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109" t="s">
        <v>473</v>
      </c>
      <c r="C2" s="1110"/>
      <c r="D2" s="1110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1265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8" t="s">
        <v>280</v>
      </c>
      <c r="C12" s="1209"/>
      <c r="D12" s="1209"/>
      <c r="E12" s="1209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1208</v>
      </c>
      <c r="H13" s="913" t="s">
        <v>1209</v>
      </c>
      <c r="I13" s="914" t="s">
        <v>946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1213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1221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1222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1214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1212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1215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963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1210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1218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948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1211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1216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1220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1219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1217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1223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1224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1263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1264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1256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19">
        <f>E47-E33</f>
        <v>6.7700000000000031</v>
      </c>
    </row>
    <row r="48" spans="2:15" s="274" customFormat="1" outlineLevel="1">
      <c r="B48" s="244">
        <v>2.3199999999999998</v>
      </c>
      <c r="C48" s="284" t="s">
        <v>1257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1258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1259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1260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1261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1262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949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950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628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962</v>
      </c>
      <c r="C83" s="552" t="s">
        <v>951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1009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1003</v>
      </c>
      <c r="C94" s="284" t="s">
        <v>1004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1005</v>
      </c>
      <c r="C100" s="284" t="s">
        <v>1006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818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898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899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900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901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917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918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1010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1011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1012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906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907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1007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1008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1071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908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908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752</v>
      </c>
      <c r="D196" s="410"/>
      <c r="E196" s="411"/>
      <c r="G196" s="550" t="s">
        <v>24</v>
      </c>
      <c r="H196" s="916" t="s">
        <v>946</v>
      </c>
      <c r="I196" s="916"/>
      <c r="J196" s="917"/>
    </row>
    <row r="197" spans="2:10" s="274" customFormat="1" outlineLevel="1">
      <c r="B197" s="520">
        <v>13.01</v>
      </c>
      <c r="C197" s="521" t="s">
        <v>835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836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837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1045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1204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1047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1048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1205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1049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1050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1051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751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750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749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838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684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685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686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687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688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689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690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691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692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693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694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956</v>
      </c>
      <c r="C224" s="552" t="s">
        <v>958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957</v>
      </c>
      <c r="C225" s="552" t="s">
        <v>959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698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695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696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697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1232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1233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952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953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858</v>
      </c>
      <c r="D241" s="558" t="s">
        <v>857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954</v>
      </c>
      <c r="C242" s="572" t="s">
        <v>955</v>
      </c>
      <c r="D242" s="573" t="s">
        <v>857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952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952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4">
        <v>16.100000000000001</v>
      </c>
      <c r="C245" s="218" t="s">
        <v>1238</v>
      </c>
      <c r="D245" s="433" t="s">
        <v>1239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88"/>
      <c r="E251" s="1188"/>
    </row>
    <row r="252" spans="1:15" ht="18">
      <c r="B252" s="10"/>
      <c r="C252" s="11"/>
      <c r="D252" s="1188"/>
      <c r="E252" s="1188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998</v>
      </c>
      <c r="C2" s="607" t="s">
        <v>1000</v>
      </c>
      <c r="D2" s="607" t="s">
        <v>999</v>
      </c>
    </row>
    <row r="3" spans="2:4">
      <c r="B3" s="605"/>
      <c r="C3" s="606" t="s">
        <v>1073</v>
      </c>
      <c r="D3" s="606" t="s">
        <v>1073</v>
      </c>
    </row>
    <row r="4" spans="2:4">
      <c r="B4" s="605">
        <v>1</v>
      </c>
      <c r="C4" s="606" t="s">
        <v>1001</v>
      </c>
      <c r="D4" s="606" t="s">
        <v>1074</v>
      </c>
    </row>
    <row r="5" spans="2:4">
      <c r="B5" s="605">
        <v>2</v>
      </c>
      <c r="C5" s="606" t="s">
        <v>1076</v>
      </c>
      <c r="D5" s="606" t="s">
        <v>1075</v>
      </c>
    </row>
    <row r="6" spans="2:4">
      <c r="B6" s="605">
        <v>3</v>
      </c>
      <c r="C6" s="606" t="s">
        <v>1077</v>
      </c>
      <c r="D6" s="832" t="s">
        <v>1078</v>
      </c>
    </row>
    <row r="7" spans="2:4">
      <c r="B7" s="605">
        <v>4</v>
      </c>
      <c r="C7" s="606" t="s">
        <v>1079</v>
      </c>
      <c r="D7" s="606" t="s">
        <v>1080</v>
      </c>
    </row>
    <row r="8" spans="2:4">
      <c r="B8" s="605">
        <v>5</v>
      </c>
      <c r="C8" s="606" t="s">
        <v>1081</v>
      </c>
      <c r="D8" s="606" t="s">
        <v>1082</v>
      </c>
    </row>
    <row r="9" spans="2:4">
      <c r="B9" s="605">
        <v>6</v>
      </c>
      <c r="C9" s="606" t="s">
        <v>1083</v>
      </c>
      <c r="D9" s="606" t="s">
        <v>1084</v>
      </c>
    </row>
    <row r="10" spans="2:4">
      <c r="B10" s="605">
        <v>7</v>
      </c>
      <c r="C10" s="606" t="s">
        <v>1085</v>
      </c>
      <c r="D10" s="606" t="s">
        <v>1086</v>
      </c>
    </row>
    <row r="11" spans="2:4">
      <c r="B11" s="605">
        <v>8</v>
      </c>
      <c r="C11" s="606" t="s">
        <v>1087</v>
      </c>
      <c r="D11" s="606" t="s">
        <v>1094</v>
      </c>
    </row>
    <row r="12" spans="2:4">
      <c r="B12" s="605"/>
      <c r="C12" s="606" t="s">
        <v>1088</v>
      </c>
      <c r="D12" s="606" t="s">
        <v>1095</v>
      </c>
    </row>
    <row r="13" spans="2:4">
      <c r="B13" s="605"/>
      <c r="C13" s="606" t="s">
        <v>1089</v>
      </c>
      <c r="D13" s="606" t="s">
        <v>1096</v>
      </c>
    </row>
    <row r="14" spans="2:4">
      <c r="B14" s="605"/>
      <c r="C14" s="606" t="s">
        <v>1090</v>
      </c>
      <c r="D14" s="606" t="s">
        <v>1097</v>
      </c>
    </row>
    <row r="15" spans="2:4">
      <c r="B15" s="831"/>
      <c r="C15" s="832" t="s">
        <v>1091</v>
      </c>
      <c r="D15" s="606" t="s">
        <v>1098</v>
      </c>
    </row>
    <row r="16" spans="2:4">
      <c r="B16" s="831"/>
      <c r="C16" s="832" t="s">
        <v>1092</v>
      </c>
      <c r="D16" s="606" t="s">
        <v>1099</v>
      </c>
    </row>
    <row r="17" spans="2:4">
      <c r="B17" s="831"/>
      <c r="C17" s="832" t="s">
        <v>1093</v>
      </c>
      <c r="D17" s="606" t="s">
        <v>1100</v>
      </c>
    </row>
    <row r="18" spans="2:4">
      <c r="B18" s="605">
        <v>9</v>
      </c>
      <c r="C18" s="606" t="s">
        <v>1101</v>
      </c>
      <c r="D18" s="606" t="s">
        <v>1102</v>
      </c>
    </row>
    <row r="19" spans="2:4">
      <c r="B19" s="605">
        <v>10</v>
      </c>
      <c r="C19" s="606" t="s">
        <v>1103</v>
      </c>
      <c r="D19" s="604" t="s">
        <v>1104</v>
      </c>
    </row>
    <row r="20" spans="2:4">
      <c r="B20" s="605">
        <v>11</v>
      </c>
      <c r="C20" s="606" t="s">
        <v>1105</v>
      </c>
      <c r="D20" s="606" t="s">
        <v>1106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opLeftCell="A245" zoomScale="80" zoomScaleNormal="80" workbookViewId="0">
      <selection activeCell="F230" sqref="F230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3" t="str">
        <f>'Infra Build BOQ'!B2:I2</f>
        <v>77G0056723  /  77G0056723</v>
      </c>
      <c r="C1" s="1134"/>
      <c r="D1" s="1134"/>
      <c r="E1" s="1134"/>
      <c r="F1" s="1134"/>
      <c r="G1" s="1134"/>
      <c r="H1" s="1135"/>
    </row>
    <row r="2" spans="2:24" ht="15.6">
      <c r="B2" s="88" t="s">
        <v>1</v>
      </c>
      <c r="C2" s="1136" t="str">
        <f>'Infra Build BOQ'!C3</f>
        <v>77G0056723  /  77G0056723</v>
      </c>
      <c r="D2" s="1137"/>
      <c r="E2" s="1142" t="s">
        <v>362</v>
      </c>
      <c r="F2" s="1143"/>
      <c r="G2" s="1111" t="str">
        <f>'Infra Build BOQ'!F3</f>
        <v>G1VDA066</v>
      </c>
      <c r="H2" s="1113"/>
    </row>
    <row r="3" spans="2:24" ht="15.6">
      <c r="B3" s="89" t="s">
        <v>0</v>
      </c>
      <c r="C3" s="1138" t="str">
        <f>'Infra Build BOQ'!C4</f>
        <v>VODACOM</v>
      </c>
      <c r="D3" s="1139"/>
      <c r="E3" s="1144" t="s">
        <v>2</v>
      </c>
      <c r="F3" s="1145"/>
      <c r="G3" s="1114" t="str">
        <f>'Infra Build BOQ'!F4</f>
        <v>WITKOPPEN RD</v>
      </c>
      <c r="H3" s="1116"/>
    </row>
    <row r="4" spans="2:24" ht="15.6">
      <c r="B4" s="90" t="s">
        <v>437</v>
      </c>
      <c r="C4" s="1138">
        <f>'EXE Dashboard'!C22</f>
        <v>0</v>
      </c>
      <c r="D4" s="1139"/>
      <c r="E4" s="1144" t="s">
        <v>3</v>
      </c>
      <c r="F4" s="1145"/>
      <c r="G4" s="1117">
        <f>'Infra Build BOQ'!F5</f>
        <v>45160</v>
      </c>
      <c r="H4" s="1119"/>
    </row>
    <row r="5" spans="2:24" ht="16.2" thickBot="1">
      <c r="B5" s="29" t="s">
        <v>230</v>
      </c>
      <c r="C5" s="1140" t="s">
        <v>439</v>
      </c>
      <c r="D5" s="1141"/>
      <c r="E5" s="1146" t="s">
        <v>361</v>
      </c>
      <c r="F5" s="1147"/>
      <c r="G5" s="1148" t="str">
        <f>'Infra Build BOQ'!F6</f>
        <v xml:space="preserve"> Sunninghill Access POP - BLUE STRIPE T/A CONTRON IT - Car Service City  - Sandton</v>
      </c>
      <c r="H5" s="1149"/>
    </row>
    <row r="6" spans="2:24" ht="15" thickBot="1"/>
    <row r="7" spans="2:24" ht="15" thickBot="1">
      <c r="B7" s="1130" t="s">
        <v>441</v>
      </c>
      <c r="C7" s="1131"/>
      <c r="D7" s="1131"/>
      <c r="E7" s="1131"/>
      <c r="F7" s="1131"/>
      <c r="G7" s="1131"/>
      <c r="H7" s="1131"/>
      <c r="I7" s="1130" t="s">
        <v>442</v>
      </c>
      <c r="J7" s="1131"/>
      <c r="K7" s="1131"/>
      <c r="L7" s="1131"/>
      <c r="M7" s="1130" t="s">
        <v>443</v>
      </c>
      <c r="N7" s="1131"/>
      <c r="O7" s="1131"/>
      <c r="P7" s="1131"/>
      <c r="Q7" s="1130" t="s">
        <v>444</v>
      </c>
      <c r="R7" s="1131"/>
      <c r="S7" s="1131"/>
      <c r="T7" s="1131"/>
      <c r="U7" s="1130" t="s">
        <v>445</v>
      </c>
      <c r="V7" s="1131"/>
      <c r="W7" s="1131"/>
      <c r="X7" s="1132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INFO'!I68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INFO'!I71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INFO'!I75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INFO'!I83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INFO'!I84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INFO'!I85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INFO'!I86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925</v>
      </c>
      <c r="D19" s="537" t="s">
        <v>931</v>
      </c>
      <c r="E19" s="185" t="s">
        <v>23</v>
      </c>
      <c r="F19" s="187">
        <f>'ROUTE INFO'!I76</f>
        <v>74</v>
      </c>
      <c r="G19" s="538">
        <v>2.65</v>
      </c>
      <c r="H19" s="535">
        <f t="shared" si="27"/>
        <v>196.1</v>
      </c>
      <c r="I19" s="536"/>
      <c r="J19" s="463">
        <f t="shared" ref="J19:J24" si="36">I19+F19</f>
        <v>74</v>
      </c>
      <c r="K19" s="464">
        <f t="shared" ref="K19:K24" si="37">J19*G19</f>
        <v>196.1</v>
      </c>
      <c r="L19" s="473"/>
      <c r="M19" s="458"/>
      <c r="N19" s="463">
        <f t="shared" ref="N19:N24" si="38">M19+J19</f>
        <v>74</v>
      </c>
      <c r="O19" s="464">
        <f t="shared" ref="O19:O24" si="39">N19*G19</f>
        <v>196.1</v>
      </c>
      <c r="P19" s="473"/>
      <c r="Q19" s="458"/>
      <c r="R19" s="463">
        <f t="shared" ref="R19:R24" si="40">Q19+N19</f>
        <v>74</v>
      </c>
      <c r="S19" s="464">
        <f t="shared" ref="S19:S24" si="41">R19*G19</f>
        <v>196.1</v>
      </c>
      <c r="T19" s="473"/>
      <c r="U19" s="458"/>
      <c r="V19" s="463">
        <f t="shared" ref="V19:V24" si="42">U19+R19</f>
        <v>74</v>
      </c>
      <c r="W19" s="464">
        <f t="shared" ref="W19:W24" si="43">V19*G19</f>
        <v>196.1</v>
      </c>
      <c r="X19" s="459"/>
    </row>
    <row r="20" spans="2:24" ht="15.6" customHeight="1">
      <c r="B20" s="183" t="s">
        <v>423</v>
      </c>
      <c r="C20" s="534" t="s">
        <v>926</v>
      </c>
      <c r="D20" s="537" t="s">
        <v>932</v>
      </c>
      <c r="E20" s="185" t="s">
        <v>23</v>
      </c>
      <c r="F20" s="187">
        <f>'ROUTE INFO'!I77</f>
        <v>0</v>
      </c>
      <c r="G20" s="538">
        <v>2.85</v>
      </c>
      <c r="H20" s="535">
        <f t="shared" si="27"/>
        <v>0</v>
      </c>
      <c r="I20" s="536"/>
      <c r="J20" s="463">
        <f t="shared" si="36"/>
        <v>0</v>
      </c>
      <c r="K20" s="464">
        <f t="shared" si="37"/>
        <v>0</v>
      </c>
      <c r="L20" s="473"/>
      <c r="M20" s="458"/>
      <c r="N20" s="463">
        <f t="shared" si="38"/>
        <v>0</v>
      </c>
      <c r="O20" s="464">
        <f t="shared" si="39"/>
        <v>0</v>
      </c>
      <c r="P20" s="473"/>
      <c r="Q20" s="458"/>
      <c r="R20" s="463">
        <f t="shared" si="40"/>
        <v>0</v>
      </c>
      <c r="S20" s="464">
        <f t="shared" si="41"/>
        <v>0</v>
      </c>
      <c r="T20" s="473"/>
      <c r="U20" s="458"/>
      <c r="V20" s="463">
        <f t="shared" si="42"/>
        <v>0</v>
      </c>
      <c r="W20" s="464">
        <f t="shared" si="43"/>
        <v>0</v>
      </c>
      <c r="X20" s="459"/>
    </row>
    <row r="21" spans="2:24" ht="15.6" customHeight="1">
      <c r="B21" s="183" t="s">
        <v>423</v>
      </c>
      <c r="C21" s="534" t="s">
        <v>927</v>
      </c>
      <c r="D21" s="537" t="s">
        <v>933</v>
      </c>
      <c r="E21" s="185" t="s">
        <v>23</v>
      </c>
      <c r="F21" s="187">
        <f>'ROUTE INFO'!I78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928</v>
      </c>
      <c r="D22" s="537" t="s">
        <v>934</v>
      </c>
      <c r="E22" s="185" t="s">
        <v>23</v>
      </c>
      <c r="F22" s="187">
        <f>'ROUTE INFO'!I79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929</v>
      </c>
      <c r="D23" s="537" t="s">
        <v>935</v>
      </c>
      <c r="E23" s="185" t="s">
        <v>23</v>
      </c>
      <c r="F23" s="187">
        <f>'ROUTE INFO'!I80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930</v>
      </c>
      <c r="D24" s="537" t="s">
        <v>936</v>
      </c>
      <c r="E24" s="185" t="s">
        <v>23</v>
      </c>
      <c r="F24" s="187">
        <f>'ROUTE INFO'!I81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INFO'!I58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INFO'!I57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INFO'!I56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1198</v>
      </c>
      <c r="D28" s="497" t="s">
        <v>1188</v>
      </c>
      <c r="E28" s="185" t="s">
        <v>23</v>
      </c>
      <c r="F28" s="187">
        <f>'ROUTE INFO'!I61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1199</v>
      </c>
      <c r="D29" s="497" t="s">
        <v>1200</v>
      </c>
      <c r="E29" s="185" t="s">
        <v>23</v>
      </c>
      <c r="F29" s="187">
        <f>'ROUTE INFO'!I62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1149</v>
      </c>
      <c r="D30" s="497" t="s">
        <v>1147</v>
      </c>
      <c r="E30" s="185" t="s">
        <v>23</v>
      </c>
      <c r="F30" s="187">
        <f>'ROUTE INFO'!I63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1150</v>
      </c>
      <c r="D31" s="497" t="s">
        <v>902</v>
      </c>
      <c r="E31" s="185" t="s">
        <v>23</v>
      </c>
      <c r="F31" s="187">
        <f>'ROUTE INFO'!I64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1151</v>
      </c>
      <c r="D32" s="497" t="s">
        <v>903</v>
      </c>
      <c r="E32" s="185" t="s">
        <v>23</v>
      </c>
      <c r="F32" s="187">
        <f>'ROUTE INFO'!I65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1152</v>
      </c>
      <c r="D33" s="497" t="s">
        <v>904</v>
      </c>
      <c r="E33" s="185" t="s">
        <v>23</v>
      </c>
      <c r="F33" s="187">
        <f>'ROUTE INFO'!I66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1153</v>
      </c>
      <c r="D34" s="497" t="s">
        <v>1148</v>
      </c>
      <c r="E34" s="185" t="s">
        <v>23</v>
      </c>
      <c r="F34" s="187">
        <f>'ROUTE INFO'!I67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INFO'!I55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INFO'!I54</f>
        <v>0</v>
      </c>
      <c r="G36" s="311">
        <v>6.11</v>
      </c>
      <c r="H36" s="457">
        <f t="shared" si="0"/>
        <v>0</v>
      </c>
      <c r="I36" s="458"/>
      <c r="J36" s="463">
        <f t="shared" ref="J36" si="53">I36+F36</f>
        <v>0</v>
      </c>
      <c r="K36" s="464">
        <f t="shared" ref="K36" si="54">J36*G36</f>
        <v>0</v>
      </c>
      <c r="L36" s="473"/>
      <c r="M36" s="458"/>
      <c r="N36" s="463">
        <f t="shared" ref="N36" si="55">M36+J36</f>
        <v>0</v>
      </c>
      <c r="O36" s="464">
        <f t="shared" ref="O36" si="56">N36*G36</f>
        <v>0</v>
      </c>
      <c r="P36" s="473"/>
      <c r="Q36" s="458"/>
      <c r="R36" s="463">
        <f t="shared" ref="R36" si="57">Q36+N36</f>
        <v>0</v>
      </c>
      <c r="S36" s="464">
        <f t="shared" ref="S36" si="58">R36*G36</f>
        <v>0</v>
      </c>
      <c r="T36" s="473"/>
      <c r="U36" s="458"/>
      <c r="V36" s="463">
        <f t="shared" ref="V36" si="59">U36+R36</f>
        <v>0</v>
      </c>
      <c r="W36" s="464">
        <f t="shared" ref="W36" si="60">V36*G36</f>
        <v>0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INFO'!I59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INFO'!I60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INFO'!I90</f>
        <v>61.95</v>
      </c>
      <c r="G39" s="263">
        <v>5.2</v>
      </c>
      <c r="H39" s="457">
        <f t="shared" si="0"/>
        <v>322.14000000000004</v>
      </c>
      <c r="I39" s="458"/>
      <c r="J39" s="463">
        <f t="shared" si="1"/>
        <v>61.95</v>
      </c>
      <c r="K39" s="464">
        <f t="shared" si="2"/>
        <v>322.14000000000004</v>
      </c>
      <c r="L39" s="473"/>
      <c r="M39" s="458"/>
      <c r="N39" s="463">
        <f t="shared" si="3"/>
        <v>61.95</v>
      </c>
      <c r="O39" s="464">
        <f t="shared" si="4"/>
        <v>322.14000000000004</v>
      </c>
      <c r="P39" s="473"/>
      <c r="Q39" s="458"/>
      <c r="R39" s="463">
        <f t="shared" si="5"/>
        <v>61.95</v>
      </c>
      <c r="S39" s="464">
        <f t="shared" si="6"/>
        <v>322.14000000000004</v>
      </c>
      <c r="T39" s="473"/>
      <c r="U39" s="458"/>
      <c r="V39" s="463">
        <f t="shared" si="7"/>
        <v>61.95</v>
      </c>
      <c r="W39" s="464">
        <f t="shared" si="8"/>
        <v>322.14000000000004</v>
      </c>
      <c r="X39" s="459"/>
    </row>
    <row r="40" spans="2:24" ht="15.6" customHeight="1">
      <c r="B40" s="183" t="s">
        <v>424</v>
      </c>
      <c r="C40" s="184" t="s">
        <v>613</v>
      </c>
      <c r="D40" s="186" t="s">
        <v>610</v>
      </c>
      <c r="E40" s="185" t="s">
        <v>23</v>
      </c>
      <c r="F40" s="187">
        <f>'ROUTE INFO'!I91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614</v>
      </c>
      <c r="D41" s="185" t="s">
        <v>611</v>
      </c>
      <c r="E41" s="185" t="s">
        <v>23</v>
      </c>
      <c r="F41" s="187">
        <f>'ROUTE INFO'!I92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615</v>
      </c>
      <c r="D42" s="185" t="s">
        <v>612</v>
      </c>
      <c r="E42" s="185" t="s">
        <v>23</v>
      </c>
      <c r="F42" s="187">
        <f>'ROUTE INFO'!I93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INFO'!I94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INFO'!I95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INFO'!I96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721</v>
      </c>
      <c r="D50" s="444" t="s">
        <v>728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722</v>
      </c>
      <c r="D51" s="444" t="s">
        <v>723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726</v>
      </c>
      <c r="D52" s="444" t="s">
        <v>727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729</v>
      </c>
      <c r="D53" s="444" t="s">
        <v>730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INFO'!F94</f>
        <v>0</v>
      </c>
      <c r="G54" s="262">
        <v>24.2</v>
      </c>
      <c r="H54" s="457">
        <f t="shared" si="79"/>
        <v>0</v>
      </c>
      <c r="I54" s="458"/>
      <c r="J54" s="463">
        <f t="shared" si="80"/>
        <v>0</v>
      </c>
      <c r="K54" s="464">
        <f t="shared" si="81"/>
        <v>0</v>
      </c>
      <c r="L54" s="473"/>
      <c r="M54" s="458"/>
      <c r="N54" s="463">
        <f t="shared" si="82"/>
        <v>0</v>
      </c>
      <c r="O54" s="464">
        <f t="shared" si="83"/>
        <v>0</v>
      </c>
      <c r="P54" s="473"/>
      <c r="Q54" s="458"/>
      <c r="R54" s="463">
        <f t="shared" si="84"/>
        <v>0</v>
      </c>
      <c r="S54" s="464">
        <f t="shared" si="85"/>
        <v>0</v>
      </c>
      <c r="T54" s="473"/>
      <c r="U54" s="458"/>
      <c r="V54" s="463">
        <f t="shared" si="86"/>
        <v>0</v>
      </c>
      <c r="W54" s="464">
        <f t="shared" si="87"/>
        <v>0</v>
      </c>
      <c r="X54" s="459"/>
    </row>
    <row r="55" spans="2:24" ht="15.6">
      <c r="B55" s="318" t="s">
        <v>424</v>
      </c>
      <c r="C55" s="319" t="s">
        <v>708</v>
      </c>
      <c r="D55" s="320" t="s">
        <v>709</v>
      </c>
      <c r="E55" s="320" t="s">
        <v>23</v>
      </c>
      <c r="F55" s="321">
        <f>'ROUTE INFO'!F95*1.1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724</v>
      </c>
      <c r="D56" s="444" t="s">
        <v>725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INFO'!F93*1.1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INFO'!F92*1.1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>
        <f>GETPIVOTDATA("DISTANCE",'ROUTE INFO'!$N$72,"DUCT TYPE","DIRECT BURIED")</f>
        <v>22</v>
      </c>
      <c r="G59" s="262">
        <v>1</v>
      </c>
      <c r="H59" s="457">
        <f t="shared" si="0"/>
        <v>22</v>
      </c>
      <c r="I59" s="458"/>
      <c r="J59" s="463">
        <f t="shared" si="1"/>
        <v>22</v>
      </c>
      <c r="K59" s="464">
        <f t="shared" si="2"/>
        <v>22</v>
      </c>
      <c r="L59" s="473"/>
      <c r="M59" s="458"/>
      <c r="N59" s="463">
        <f t="shared" si="3"/>
        <v>22</v>
      </c>
      <c r="O59" s="464">
        <f t="shared" si="4"/>
        <v>22</v>
      </c>
      <c r="P59" s="473"/>
      <c r="Q59" s="458"/>
      <c r="R59" s="463">
        <f t="shared" si="5"/>
        <v>22</v>
      </c>
      <c r="S59" s="464">
        <f t="shared" si="6"/>
        <v>22</v>
      </c>
      <c r="T59" s="473"/>
      <c r="U59" s="458"/>
      <c r="V59" s="463">
        <f t="shared" si="7"/>
        <v>22</v>
      </c>
      <c r="W59" s="464">
        <f t="shared" si="8"/>
        <v>22</v>
      </c>
      <c r="X59" s="459"/>
    </row>
    <row r="60" spans="2:24" ht="15.6">
      <c r="B60" s="183" t="s">
        <v>424</v>
      </c>
      <c r="C60" s="184" t="s">
        <v>468</v>
      </c>
      <c r="D60" s="236" t="s">
        <v>701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847</v>
      </c>
      <c r="D62" s="500" t="s">
        <v>843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848</v>
      </c>
      <c r="D63" s="500" t="s">
        <v>844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849</v>
      </c>
      <c r="D64" s="500" t="s">
        <v>845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850</v>
      </c>
      <c r="D65" s="500" t="s">
        <v>846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869</v>
      </c>
      <c r="D66" s="500" t="s">
        <v>882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702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870</v>
      </c>
      <c r="D70" s="514" t="s">
        <v>905</v>
      </c>
      <c r="E70" s="514" t="s">
        <v>23</v>
      </c>
      <c r="F70" s="508">
        <f>GETPIVOTDATA("DISTANCE",'ROUTE INFO'!$K$95,"TRENCH TYPE","TRUNKING 25x25")</f>
        <v>3</v>
      </c>
      <c r="G70" s="516">
        <v>25</v>
      </c>
      <c r="H70" s="457">
        <f t="shared" si="105"/>
        <v>75</v>
      </c>
      <c r="I70" s="458"/>
      <c r="J70" s="463">
        <f t="shared" ref="J70:J80" si="124">I70+F70</f>
        <v>3</v>
      </c>
      <c r="K70" s="464">
        <f t="shared" ref="K70:K80" si="125">J70*G70</f>
        <v>75</v>
      </c>
      <c r="L70" s="473"/>
      <c r="M70" s="458"/>
      <c r="N70" s="463">
        <f t="shared" ref="N70:N80" si="126">M70+J70</f>
        <v>3</v>
      </c>
      <c r="O70" s="464">
        <f t="shared" ref="O70:O80" si="127">N70*G70</f>
        <v>75</v>
      </c>
      <c r="P70" s="473"/>
      <c r="Q70" s="458"/>
      <c r="R70" s="463">
        <f t="shared" ref="R70:R80" si="128">Q70+N70</f>
        <v>3</v>
      </c>
      <c r="S70" s="464">
        <f t="shared" ref="S70:S80" si="129">R70*G70</f>
        <v>75</v>
      </c>
      <c r="T70" s="473"/>
      <c r="U70" s="458"/>
      <c r="V70" s="463">
        <f t="shared" ref="V70:V80" si="130">U70+R70</f>
        <v>3</v>
      </c>
      <c r="W70" s="464">
        <f t="shared" ref="W70:W80" si="131">V70*G70</f>
        <v>75</v>
      </c>
      <c r="X70" s="459"/>
    </row>
    <row r="71" spans="2:24" ht="15.6">
      <c r="B71" s="503" t="s">
        <v>424</v>
      </c>
      <c r="C71" s="513" t="s">
        <v>871</v>
      </c>
      <c r="D71" s="514" t="s">
        <v>880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872</v>
      </c>
      <c r="D72" s="514" t="s">
        <v>877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873</v>
      </c>
      <c r="D73" s="514" t="s">
        <v>878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874</v>
      </c>
      <c r="D74" s="514" t="s">
        <v>879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875</v>
      </c>
      <c r="D75" s="514" t="s">
        <v>881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885</v>
      </c>
      <c r="D76" s="514" t="s">
        <v>884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710</v>
      </c>
      <c r="D77" s="185" t="s">
        <v>385</v>
      </c>
      <c r="E77" s="185" t="s">
        <v>23</v>
      </c>
      <c r="F77" s="97">
        <f>GETPIVOTDATA("DISTANCE",'ROUTE INFO'!$N$72,"DUCT TYPE","25MM PVC")</f>
        <v>6</v>
      </c>
      <c r="G77" s="262">
        <v>3.8</v>
      </c>
      <c r="H77" s="457">
        <f t="shared" si="0"/>
        <v>22.799999999999997</v>
      </c>
      <c r="I77" s="458"/>
      <c r="J77" s="463">
        <f t="shared" si="124"/>
        <v>6</v>
      </c>
      <c r="K77" s="464">
        <f t="shared" si="125"/>
        <v>22.799999999999997</v>
      </c>
      <c r="L77" s="473"/>
      <c r="M77" s="458"/>
      <c r="N77" s="463">
        <f t="shared" si="126"/>
        <v>6</v>
      </c>
      <c r="O77" s="464">
        <f t="shared" si="127"/>
        <v>22.799999999999997</v>
      </c>
      <c r="P77" s="473"/>
      <c r="Q77" s="458"/>
      <c r="R77" s="463">
        <f t="shared" si="128"/>
        <v>6</v>
      </c>
      <c r="S77" s="464">
        <f t="shared" si="129"/>
        <v>22.799999999999997</v>
      </c>
      <c r="T77" s="473"/>
      <c r="U77" s="458"/>
      <c r="V77" s="463">
        <f t="shared" si="130"/>
        <v>6</v>
      </c>
      <c r="W77" s="464">
        <f t="shared" si="131"/>
        <v>22.799999999999997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>
        <f>F77/4</f>
        <v>1.5</v>
      </c>
      <c r="G78" s="262">
        <v>0.83</v>
      </c>
      <c r="H78" s="457">
        <f t="shared" si="0"/>
        <v>1.2449999999999999</v>
      </c>
      <c r="I78" s="458"/>
      <c r="J78" s="463">
        <f t="shared" si="124"/>
        <v>1.5</v>
      </c>
      <c r="K78" s="464">
        <f t="shared" si="125"/>
        <v>1.2449999999999999</v>
      </c>
      <c r="L78" s="473"/>
      <c r="M78" s="458"/>
      <c r="N78" s="463">
        <f t="shared" si="126"/>
        <v>1.5</v>
      </c>
      <c r="O78" s="464">
        <f t="shared" si="127"/>
        <v>1.2449999999999999</v>
      </c>
      <c r="P78" s="473"/>
      <c r="Q78" s="458"/>
      <c r="R78" s="463">
        <f t="shared" si="128"/>
        <v>1.5</v>
      </c>
      <c r="S78" s="464">
        <f t="shared" si="129"/>
        <v>1.2449999999999999</v>
      </c>
      <c r="T78" s="473"/>
      <c r="U78" s="458"/>
      <c r="V78" s="463">
        <f t="shared" si="130"/>
        <v>1.5</v>
      </c>
      <c r="W78" s="464">
        <f t="shared" si="131"/>
        <v>1.2449999999999999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707</v>
      </c>
      <c r="D82" s="185" t="s">
        <v>390</v>
      </c>
      <c r="E82" s="185" t="s">
        <v>26</v>
      </c>
      <c r="F82" s="97">
        <f>F77</f>
        <v>6</v>
      </c>
      <c r="G82" s="262">
        <v>1.1100000000000001</v>
      </c>
      <c r="H82" s="457">
        <f t="shared" si="0"/>
        <v>6.66</v>
      </c>
      <c r="I82" s="458"/>
      <c r="J82" s="463">
        <f t="shared" si="1"/>
        <v>6</v>
      </c>
      <c r="K82" s="464">
        <f t="shared" si="2"/>
        <v>6.66</v>
      </c>
      <c r="L82" s="473"/>
      <c r="M82" s="458"/>
      <c r="N82" s="463">
        <f t="shared" si="3"/>
        <v>6</v>
      </c>
      <c r="O82" s="464">
        <f t="shared" si="4"/>
        <v>6.66</v>
      </c>
      <c r="P82" s="473"/>
      <c r="Q82" s="458"/>
      <c r="R82" s="463">
        <f t="shared" si="5"/>
        <v>6</v>
      </c>
      <c r="S82" s="464">
        <f t="shared" si="6"/>
        <v>6.66</v>
      </c>
      <c r="T82" s="473"/>
      <c r="U82" s="458"/>
      <c r="V82" s="463">
        <f t="shared" si="7"/>
        <v>6</v>
      </c>
      <c r="W82" s="464">
        <f t="shared" si="8"/>
        <v>6.66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INFO'!F98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883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863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864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865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887</v>
      </c>
      <c r="D98" s="185" t="s">
        <v>866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888</v>
      </c>
      <c r="D99" s="185" t="s">
        <v>896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889</v>
      </c>
      <c r="D100" s="185" t="s">
        <v>895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890</v>
      </c>
      <c r="D101" s="185" t="s">
        <v>894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891</v>
      </c>
      <c r="D102" s="185" t="s">
        <v>897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892</v>
      </c>
      <c r="D103" s="185" t="s">
        <v>867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893</v>
      </c>
      <c r="D104" s="185" t="s">
        <v>868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830</v>
      </c>
      <c r="C105" s="235" t="s">
        <v>832</v>
      </c>
      <c r="D105" s="454" t="s">
        <v>828</v>
      </c>
      <c r="E105" s="185" t="s">
        <v>26</v>
      </c>
      <c r="F105" s="321">
        <f>'ROUTE INFO'!F61+'ROUTE INFO'!F63+'ROUTE INFO'!F65+'ROUTE INFO'!F67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830</v>
      </c>
      <c r="C106" s="235" t="s">
        <v>833</v>
      </c>
      <c r="D106" s="454" t="s">
        <v>829</v>
      </c>
      <c r="E106" s="185" t="s">
        <v>26</v>
      </c>
      <c r="F106" s="321">
        <f>'ROUTE INFO'!F62+'ROUTE INFO'!F64+'ROUTE INFO'!F66+'ROUTE INFO'!F68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830</v>
      </c>
      <c r="C107" s="235" t="s">
        <v>886</v>
      </c>
      <c r="D107" s="454" t="s">
        <v>855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830</v>
      </c>
      <c r="C108" s="513" t="s">
        <v>921</v>
      </c>
      <c r="D108" s="454" t="s">
        <v>919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830</v>
      </c>
      <c r="C109" s="235" t="s">
        <v>922</v>
      </c>
      <c r="D109" s="454" t="s">
        <v>920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830</v>
      </c>
      <c r="C110" s="235" t="s">
        <v>923</v>
      </c>
      <c r="D110" s="454" t="s">
        <v>924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830</v>
      </c>
      <c r="C111" s="545" t="s">
        <v>1235</v>
      </c>
      <c r="D111" s="546" t="s">
        <v>943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830</v>
      </c>
      <c r="C112" s="545" t="s">
        <v>1236</v>
      </c>
      <c r="D112" s="546" t="s">
        <v>944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830</v>
      </c>
      <c r="C113" s="545" t="s">
        <v>1237</v>
      </c>
      <c r="D113" s="546" t="s">
        <v>945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831</v>
      </c>
      <c r="C114" s="235" t="s">
        <v>859</v>
      </c>
      <c r="D114" s="454" t="s">
        <v>861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831</v>
      </c>
      <c r="C115" s="235" t="s">
        <v>1013</v>
      </c>
      <c r="D115" s="454" t="s">
        <v>1172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831</v>
      </c>
      <c r="C116" s="884" t="s">
        <v>860</v>
      </c>
      <c r="D116" s="507" t="s">
        <v>862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831</v>
      </c>
      <c r="C117" s="884" t="s">
        <v>1015</v>
      </c>
      <c r="D117" s="507" t="s">
        <v>1014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831</v>
      </c>
      <c r="C118" s="884" t="s">
        <v>1018</v>
      </c>
      <c r="D118" s="507" t="s">
        <v>1019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831</v>
      </c>
      <c r="C119" s="884" t="s">
        <v>1017</v>
      </c>
      <c r="D119" s="507" t="s">
        <v>1016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831</v>
      </c>
      <c r="C120" s="884" t="s">
        <v>1039</v>
      </c>
      <c r="D120" s="507" t="s">
        <v>1041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831</v>
      </c>
      <c r="C121" s="885" t="s">
        <v>1040</v>
      </c>
      <c r="D121" s="615" t="s">
        <v>1042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831</v>
      </c>
      <c r="C122" s="885" t="s">
        <v>1043</v>
      </c>
      <c r="D122" s="615" t="s">
        <v>1044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831</v>
      </c>
      <c r="C123" s="235" t="s">
        <v>1022</v>
      </c>
      <c r="D123" s="454" t="s">
        <v>1201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831</v>
      </c>
      <c r="C124" s="235" t="s">
        <v>1024</v>
      </c>
      <c r="D124" s="454" t="s">
        <v>1025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831</v>
      </c>
      <c r="C125" s="235" t="s">
        <v>1026</v>
      </c>
      <c r="D125" s="454" t="s">
        <v>1027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831</v>
      </c>
      <c r="C126" s="235" t="s">
        <v>1029</v>
      </c>
      <c r="D126" s="454" t="s">
        <v>1202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831</v>
      </c>
      <c r="C127" s="235" t="s">
        <v>1031</v>
      </c>
      <c r="D127" s="454" t="s">
        <v>1030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831</v>
      </c>
      <c r="C128" s="235" t="s">
        <v>1033</v>
      </c>
      <c r="D128" s="454" t="s">
        <v>1032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831</v>
      </c>
      <c r="C129" s="610" t="s">
        <v>1034</v>
      </c>
      <c r="D129" s="611" t="s">
        <v>1046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831</v>
      </c>
      <c r="C130" s="235" t="s">
        <v>1020</v>
      </c>
      <c r="D130" s="454" t="s">
        <v>834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831</v>
      </c>
      <c r="C131" s="235" t="s">
        <v>1021</v>
      </c>
      <c r="D131" s="454" t="s">
        <v>856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831</v>
      </c>
      <c r="C132" s="235" t="s">
        <v>1036</v>
      </c>
      <c r="D132" s="454" t="s">
        <v>1035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831</v>
      </c>
      <c r="C133" s="235" t="s">
        <v>1037</v>
      </c>
      <c r="D133" s="454" t="s">
        <v>1038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961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815</v>
      </c>
      <c r="D142" s="454" t="s">
        <v>816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629</v>
      </c>
      <c r="D144" s="333" t="s">
        <v>630</v>
      </c>
      <c r="E144" s="185" t="s">
        <v>26</v>
      </c>
      <c r="F144" s="188">
        <f>'ROUTE INFO'!F57+'ROUTE INFO'!F58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631</v>
      </c>
      <c r="D145" s="333" t="s">
        <v>700</v>
      </c>
      <c r="E145" s="185" t="s">
        <v>26</v>
      </c>
      <c r="F145" s="188">
        <f>'ROUTE INFO'!F58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740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INFO'!C66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INFO'!C67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INFO'!C68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622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INFO'!C53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INFO'!C54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INFO'!C55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INFO'!C56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6">
      <c r="B164" s="183" t="s">
        <v>429</v>
      </c>
      <c r="C164" s="184" t="s">
        <v>258</v>
      </c>
      <c r="D164" s="185" t="s">
        <v>703</v>
      </c>
      <c r="E164" s="185" t="s">
        <v>26</v>
      </c>
      <c r="F164" s="190">
        <f>'ROUTE INFO'!C57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705</v>
      </c>
      <c r="D165" s="185" t="s">
        <v>704</v>
      </c>
      <c r="E165" s="185" t="s">
        <v>26</v>
      </c>
      <c r="F165" s="190">
        <f>'ROUTE INFO'!C58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821</v>
      </c>
      <c r="D170" s="191" t="s">
        <v>822</v>
      </c>
      <c r="E170" s="185" t="s">
        <v>26</v>
      </c>
      <c r="F170" s="190">
        <f>'ROUTE INFO'!C59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INFO'!C60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823</v>
      </c>
      <c r="D172" s="191" t="s">
        <v>824</v>
      </c>
      <c r="E172" s="185" t="s">
        <v>26</v>
      </c>
      <c r="F172" s="190">
        <f>'ROUTE INFO'!C61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INFO'!C64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825</v>
      </c>
      <c r="D174" s="191" t="s">
        <v>826</v>
      </c>
      <c r="E174" s="185" t="s">
        <v>26</v>
      </c>
      <c r="F174" s="190">
        <f>'ROUTE INFO'!C65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621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720</v>
      </c>
      <c r="D177" s="185" t="s">
        <v>580</v>
      </c>
      <c r="E177" s="185" t="s">
        <v>26</v>
      </c>
      <c r="F177" s="98">
        <f>2</f>
        <v>2</v>
      </c>
      <c r="G177" s="263">
        <v>16.95</v>
      </c>
      <c r="H177" s="457">
        <f t="shared" ref="H177:H274" si="355">F177*G177</f>
        <v>33.9</v>
      </c>
      <c r="I177" s="458"/>
      <c r="J177" s="463">
        <f t="shared" ref="J177:J274" si="356">I177+F177</f>
        <v>2</v>
      </c>
      <c r="K177" s="464">
        <f t="shared" ref="K177:K274" si="357">J177*G177</f>
        <v>33.9</v>
      </c>
      <c r="L177" s="473"/>
      <c r="M177" s="458"/>
      <c r="N177" s="463">
        <f t="shared" ref="N177:N274" si="358">M177+J177</f>
        <v>2</v>
      </c>
      <c r="O177" s="464">
        <f t="shared" ref="O177:O274" si="359">N177*G177</f>
        <v>33.9</v>
      </c>
      <c r="P177" s="473"/>
      <c r="Q177" s="458"/>
      <c r="R177" s="463">
        <f t="shared" ref="R177:R274" si="360">Q177+N177</f>
        <v>2</v>
      </c>
      <c r="S177" s="464">
        <f t="shared" ref="S177:S274" si="361">R177*G177</f>
        <v>33.9</v>
      </c>
      <c r="T177" s="473"/>
      <c r="U177" s="458"/>
      <c r="V177" s="463">
        <f>U177+R177</f>
        <v>2</v>
      </c>
      <c r="W177" s="464">
        <f>V177*G177</f>
        <v>33.9</v>
      </c>
      <c r="X177" s="459"/>
    </row>
    <row r="178" spans="2:24" ht="15.6">
      <c r="B178" s="183" t="s">
        <v>429</v>
      </c>
      <c r="C178" s="442" t="s">
        <v>731</v>
      </c>
      <c r="D178" s="444" t="s">
        <v>732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737</v>
      </c>
      <c r="D179" s="444" t="s">
        <v>738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733</v>
      </c>
      <c r="D180" s="185" t="s">
        <v>735</v>
      </c>
      <c r="E180" s="185" t="s">
        <v>26</v>
      </c>
      <c r="F180" s="98">
        <v>1</v>
      </c>
      <c r="G180" s="263">
        <v>11.65</v>
      </c>
      <c r="H180" s="457">
        <f t="shared" si="371"/>
        <v>11.65</v>
      </c>
      <c r="I180" s="458"/>
      <c r="J180" s="463">
        <f t="shared" si="372"/>
        <v>1</v>
      </c>
      <c r="K180" s="464">
        <f t="shared" si="373"/>
        <v>11.65</v>
      </c>
      <c r="L180" s="473"/>
      <c r="M180" s="458"/>
      <c r="N180" s="463">
        <f t="shared" si="374"/>
        <v>1</v>
      </c>
      <c r="O180" s="464">
        <f t="shared" si="375"/>
        <v>11.65</v>
      </c>
      <c r="P180" s="473"/>
      <c r="Q180" s="458"/>
      <c r="R180" s="463">
        <f t="shared" si="376"/>
        <v>1</v>
      </c>
      <c r="S180" s="464">
        <f t="shared" si="377"/>
        <v>11.65</v>
      </c>
      <c r="T180" s="473"/>
      <c r="U180" s="458"/>
      <c r="V180" s="463">
        <f t="shared" si="378"/>
        <v>1</v>
      </c>
      <c r="W180" s="464">
        <f t="shared" si="379"/>
        <v>11.65</v>
      </c>
      <c r="X180" s="459"/>
    </row>
    <row r="181" spans="2:24" ht="15.6">
      <c r="B181" s="183" t="s">
        <v>429</v>
      </c>
      <c r="C181" s="442" t="s">
        <v>734</v>
      </c>
      <c r="D181" s="444" t="s">
        <v>736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1127</v>
      </c>
      <c r="D182" s="611" t="s">
        <v>1107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1128</v>
      </c>
      <c r="D183" s="611" t="s">
        <v>1108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1129</v>
      </c>
      <c r="D184" s="611" t="s">
        <v>1109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1130</v>
      </c>
      <c r="D185" s="611" t="s">
        <v>1110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1131</v>
      </c>
      <c r="D186" s="611" t="s">
        <v>1111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1132</v>
      </c>
      <c r="D187" s="611" t="s">
        <v>1112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1133</v>
      </c>
      <c r="D188" s="611" t="s">
        <v>1113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1134</v>
      </c>
      <c r="D189" s="611" t="s">
        <v>1114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1135</v>
      </c>
      <c r="D190" s="611" t="s">
        <v>1115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1136</v>
      </c>
      <c r="D191" s="611" t="s">
        <v>1116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1137</v>
      </c>
      <c r="D192" s="611" t="s">
        <v>1117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1138</v>
      </c>
      <c r="D193" s="611" t="s">
        <v>1118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1139</v>
      </c>
      <c r="D194" s="611" t="s">
        <v>1119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1140</v>
      </c>
      <c r="D195" s="611" t="s">
        <v>1120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1141</v>
      </c>
      <c r="D196" s="611" t="s">
        <v>1121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1142</v>
      </c>
      <c r="D197" s="611" t="s">
        <v>1122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1143</v>
      </c>
      <c r="D198" s="611" t="s">
        <v>1123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1144</v>
      </c>
      <c r="D199" s="611" t="s">
        <v>1124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1145</v>
      </c>
      <c r="D200" s="611" t="s">
        <v>1125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1146</v>
      </c>
      <c r="D201" s="611" t="s">
        <v>1126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916</v>
      </c>
      <c r="D202" s="191" t="s">
        <v>914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915</v>
      </c>
      <c r="D203" s="191" t="s">
        <v>716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618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739</v>
      </c>
      <c r="D205" s="191" t="s">
        <v>617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619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620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711</v>
      </c>
      <c r="D208" s="443" t="s">
        <v>715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718</v>
      </c>
      <c r="D209" s="443" t="s">
        <v>717</v>
      </c>
      <c r="E209" s="185" t="s">
        <v>26</v>
      </c>
      <c r="F209" s="445"/>
      <c r="G209" s="446">
        <v>3</v>
      </c>
      <c r="H209" s="457">
        <f t="shared" si="398"/>
        <v>0</v>
      </c>
      <c r="I209" s="458"/>
      <c r="J209" s="463">
        <f t="shared" si="399"/>
        <v>0</v>
      </c>
      <c r="K209" s="464">
        <f t="shared" si="400"/>
        <v>0</v>
      </c>
      <c r="L209" s="473"/>
      <c r="M209" s="458"/>
      <c r="N209" s="463">
        <f t="shared" si="401"/>
        <v>0</v>
      </c>
      <c r="O209" s="464">
        <f t="shared" si="402"/>
        <v>0</v>
      </c>
      <c r="P209" s="473"/>
      <c r="Q209" s="458"/>
      <c r="R209" s="463">
        <f t="shared" si="403"/>
        <v>0</v>
      </c>
      <c r="S209" s="464">
        <f t="shared" si="404"/>
        <v>0</v>
      </c>
      <c r="T209" s="473"/>
      <c r="U209" s="458"/>
      <c r="V209" s="463">
        <f t="shared" si="405"/>
        <v>0</v>
      </c>
      <c r="W209" s="464">
        <f t="shared" si="406"/>
        <v>0</v>
      </c>
      <c r="X209" s="459"/>
    </row>
    <row r="210" spans="2:24" ht="15.6">
      <c r="B210" s="183" t="s">
        <v>429</v>
      </c>
      <c r="C210" s="442" t="s">
        <v>719</v>
      </c>
      <c r="D210" s="443" t="s">
        <v>712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713</v>
      </c>
      <c r="D211" s="443" t="s">
        <v>714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964</v>
      </c>
      <c r="C212" s="564" t="s">
        <v>966</v>
      </c>
      <c r="D212" s="565" t="s">
        <v>965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964</v>
      </c>
      <c r="C213" s="564" t="s">
        <v>967</v>
      </c>
      <c r="D213" s="565" t="s">
        <v>965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964</v>
      </c>
      <c r="C214" s="564" t="s">
        <v>969</v>
      </c>
      <c r="D214" s="565" t="s">
        <v>968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964</v>
      </c>
      <c r="C215" s="564" t="s">
        <v>971</v>
      </c>
      <c r="D215" s="565" t="s">
        <v>970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964</v>
      </c>
      <c r="C216" s="564" t="s">
        <v>973</v>
      </c>
      <c r="D216" s="565" t="s">
        <v>972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964</v>
      </c>
      <c r="C217" s="564" t="s">
        <v>974</v>
      </c>
      <c r="D217" s="565" t="s">
        <v>974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964</v>
      </c>
      <c r="C218" s="564" t="s">
        <v>979</v>
      </c>
      <c r="D218" s="565" t="s">
        <v>975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964</v>
      </c>
      <c r="C219" s="564" t="s">
        <v>980</v>
      </c>
      <c r="D219" s="565" t="s">
        <v>976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964</v>
      </c>
      <c r="C220" s="564" t="s">
        <v>996</v>
      </c>
      <c r="D220" s="565" t="s">
        <v>997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964</v>
      </c>
      <c r="C221" s="564" t="s">
        <v>981</v>
      </c>
      <c r="D221" s="565" t="s">
        <v>977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964</v>
      </c>
      <c r="C222" s="564" t="s">
        <v>982</v>
      </c>
      <c r="D222" s="565" t="s">
        <v>978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964</v>
      </c>
      <c r="C223" s="564" t="s">
        <v>983</v>
      </c>
      <c r="D223" s="565" t="s">
        <v>984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964</v>
      </c>
      <c r="C224" s="564" t="s">
        <v>985</v>
      </c>
      <c r="D224" s="565" t="s">
        <v>986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964</v>
      </c>
      <c r="C225" s="564" t="s">
        <v>987</v>
      </c>
      <c r="D225" s="565" t="s">
        <v>988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964</v>
      </c>
      <c r="C226" s="564" t="s">
        <v>989</v>
      </c>
      <c r="D226" s="565" t="s">
        <v>991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964</v>
      </c>
      <c r="C227" s="564" t="s">
        <v>990</v>
      </c>
      <c r="D227" s="565" t="s">
        <v>992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964</v>
      </c>
      <c r="C228" s="610" t="s">
        <v>1234</v>
      </c>
      <c r="D228" s="926" t="s">
        <v>1225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964</v>
      </c>
      <c r="C229" s="564" t="s">
        <v>994</v>
      </c>
      <c r="D229" s="565" t="s">
        <v>993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632</v>
      </c>
      <c r="C230" s="184" t="s">
        <v>642</v>
      </c>
      <c r="D230" s="335" t="s">
        <v>633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632</v>
      </c>
      <c r="C231" s="184" t="s">
        <v>643</v>
      </c>
      <c r="D231" s="335" t="s">
        <v>634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632</v>
      </c>
      <c r="C232" s="184" t="s">
        <v>644</v>
      </c>
      <c r="D232" s="335" t="s">
        <v>635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632</v>
      </c>
      <c r="C233" s="184" t="s">
        <v>645</v>
      </c>
      <c r="D233" s="335" t="s">
        <v>636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632</v>
      </c>
      <c r="C234" s="184" t="s">
        <v>646</v>
      </c>
      <c r="D234" s="335" t="s">
        <v>637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632</v>
      </c>
      <c r="C235" s="184" t="s">
        <v>647</v>
      </c>
      <c r="D235" s="335" t="s">
        <v>638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632</v>
      </c>
      <c r="C236" s="184" t="s">
        <v>648</v>
      </c>
      <c r="D236" s="335" t="s">
        <v>639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632</v>
      </c>
      <c r="C237" s="184" t="s">
        <v>649</v>
      </c>
      <c r="D237" s="335" t="s">
        <v>664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632</v>
      </c>
      <c r="C238" s="184" t="s">
        <v>650</v>
      </c>
      <c r="D238" s="335" t="s">
        <v>640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632</v>
      </c>
      <c r="C239" s="184" t="s">
        <v>651</v>
      </c>
      <c r="D239" s="335" t="s">
        <v>665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632</v>
      </c>
      <c r="C240" s="184" t="s">
        <v>652</v>
      </c>
      <c r="D240" s="335" t="s">
        <v>641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851</v>
      </c>
      <c r="C241" s="504" t="s">
        <v>852</v>
      </c>
      <c r="D241" s="505" t="s">
        <v>853</v>
      </c>
      <c r="E241" s="506" t="s">
        <v>854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661</v>
      </c>
      <c r="C242" s="452" t="s">
        <v>653</v>
      </c>
      <c r="D242" s="453" t="s">
        <v>658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661</v>
      </c>
      <c r="C243" s="452" t="s">
        <v>654</v>
      </c>
      <c r="D243" s="453" t="s">
        <v>745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661</v>
      </c>
      <c r="C244" s="452" t="s">
        <v>655</v>
      </c>
      <c r="D244" s="453" t="s">
        <v>814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661</v>
      </c>
      <c r="C245" s="452" t="s">
        <v>744</v>
      </c>
      <c r="D245" s="453" t="s">
        <v>746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662</v>
      </c>
      <c r="C246" s="452" t="s">
        <v>656</v>
      </c>
      <c r="D246" s="453" t="s">
        <v>741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662</v>
      </c>
      <c r="C247" s="452" t="s">
        <v>657</v>
      </c>
      <c r="D247" s="453" t="s">
        <v>742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662</v>
      </c>
      <c r="C248" s="452" t="s">
        <v>743</v>
      </c>
      <c r="D248" s="453" t="s">
        <v>827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663</v>
      </c>
      <c r="C249" s="452" t="s">
        <v>659</v>
      </c>
      <c r="D249" s="453" t="s">
        <v>747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663</v>
      </c>
      <c r="C250" s="452" t="s">
        <v>660</v>
      </c>
      <c r="D250" s="453" t="s">
        <v>748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INFO'!F74+'ROUTE INFO'!F75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1055</v>
      </c>
      <c r="C263" s="620" t="s">
        <v>1056</v>
      </c>
      <c r="D263" s="621" t="s">
        <v>1229</v>
      </c>
      <c r="E263" s="621" t="s">
        <v>26</v>
      </c>
      <c r="F263" s="187">
        <f>'ROUTE INFO'!C69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1055</v>
      </c>
      <c r="C264" s="620" t="s">
        <v>1057</v>
      </c>
      <c r="D264" s="621" t="s">
        <v>1228</v>
      </c>
      <c r="E264" s="621" t="s">
        <v>26</v>
      </c>
      <c r="F264" s="187">
        <f>'ROUTE INFO'!C69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1055</v>
      </c>
      <c r="C265" s="620" t="s">
        <v>1058</v>
      </c>
      <c r="D265" s="621" t="s">
        <v>1227</v>
      </c>
      <c r="E265" s="621" t="s">
        <v>26</v>
      </c>
      <c r="F265" s="187">
        <f>'ROUTE INFO'!C69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1055</v>
      </c>
      <c r="C266" s="620" t="s">
        <v>1059</v>
      </c>
      <c r="D266" s="621" t="s">
        <v>1226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1055</v>
      </c>
      <c r="C267" s="620" t="s">
        <v>1230</v>
      </c>
      <c r="D267" s="621" t="s">
        <v>1231</v>
      </c>
      <c r="E267" s="621" t="s">
        <v>23</v>
      </c>
      <c r="F267" s="187">
        <f>'ROUTE INFO'!C69*5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1055</v>
      </c>
      <c r="C268" s="620" t="s">
        <v>1060</v>
      </c>
      <c r="D268" s="621" t="s">
        <v>1061</v>
      </c>
      <c r="E268" s="621" t="s">
        <v>23</v>
      </c>
      <c r="F268" s="187">
        <f>'ROUTE INFO'!I75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1055</v>
      </c>
      <c r="C269" s="620" t="s">
        <v>1062</v>
      </c>
      <c r="D269" s="621" t="s">
        <v>1063</v>
      </c>
      <c r="E269" s="621" t="s">
        <v>23</v>
      </c>
      <c r="F269" s="187">
        <f>'ROUTE INFO'!I73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1055</v>
      </c>
      <c r="C270" s="620" t="s">
        <v>1064</v>
      </c>
      <c r="D270" s="621" t="s">
        <v>1065</v>
      </c>
      <c r="E270" s="621" t="s">
        <v>23</v>
      </c>
      <c r="F270" s="187">
        <f>'ROUTE INFO'!I74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1055</v>
      </c>
      <c r="C271" s="620" t="s">
        <v>1066</v>
      </c>
      <c r="D271" s="621" t="s">
        <v>1067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1055</v>
      </c>
      <c r="C272" s="620" t="s">
        <v>1068</v>
      </c>
      <c r="D272" s="621" t="s">
        <v>1069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50" t="s">
        <v>59</v>
      </c>
      <c r="E275" s="1150"/>
      <c r="F275" s="1150"/>
      <c r="G275" s="1150"/>
      <c r="H275" s="462">
        <f>SUM(H9:H274)</f>
        <v>1321.4949999999999</v>
      </c>
      <c r="J275" s="195" t="s">
        <v>59</v>
      </c>
      <c r="K275" s="462">
        <f>SUM(K9:K274)</f>
        <v>1321.4949999999999</v>
      </c>
      <c r="L275" s="460"/>
      <c r="M275" s="195"/>
      <c r="N275" s="195" t="s">
        <v>59</v>
      </c>
      <c r="O275" s="462">
        <f>SUM(O9:O274)</f>
        <v>1321.4949999999999</v>
      </c>
      <c r="P275" s="460"/>
      <c r="Q275" s="195"/>
      <c r="R275" s="195" t="s">
        <v>59</v>
      </c>
      <c r="S275" s="462">
        <f>SUM(S9:S274)</f>
        <v>1321.4949999999999</v>
      </c>
      <c r="T275" s="460"/>
      <c r="U275" s="195"/>
      <c r="V275" s="195" t="s">
        <v>59</v>
      </c>
      <c r="W275" s="462">
        <f>SUM(W9:W274)</f>
        <v>1321.4949999999999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D275:G275"/>
    <mergeCell ref="B7:H7"/>
    <mergeCell ref="I7:L7"/>
    <mergeCell ref="M7:P7"/>
    <mergeCell ref="Q7:T7"/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INFO'!F82</f>
        <v>0</v>
      </c>
      <c r="J7" s="45">
        <f>'ROUTE INFO'!F83</f>
        <v>0</v>
      </c>
      <c r="K7" s="45">
        <f>'ROUTE INFO'!F84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INFO'!F85</f>
        <v>0</v>
      </c>
      <c r="J19" s="45">
        <f>'ROUTE INFO'!F86</f>
        <v>0</v>
      </c>
      <c r="K19" s="45">
        <f>'ROUTE INFO'!F87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2" t="s">
        <v>682</v>
      </c>
      <c r="B1" s="1163"/>
      <c r="C1" s="1163"/>
      <c r="D1" s="1163"/>
      <c r="E1" s="1164"/>
      <c r="G1" s="1159" t="s">
        <v>667</v>
      </c>
      <c r="H1" s="1160"/>
      <c r="I1" s="1160"/>
      <c r="J1" s="1161"/>
    </row>
    <row r="2" spans="1:10" ht="16.2" thickBot="1">
      <c r="A2" s="1162" t="s">
        <v>560</v>
      </c>
      <c r="B2" s="1164"/>
      <c r="C2" s="358"/>
      <c r="D2" s="1163" t="s">
        <v>561</v>
      </c>
      <c r="E2" s="1164"/>
      <c r="G2" s="364" t="s">
        <v>668</v>
      </c>
      <c r="H2" s="365">
        <v>-0.2</v>
      </c>
      <c r="I2" s="366" t="s">
        <v>669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670</v>
      </c>
      <c r="H3" s="369">
        <v>-0.5</v>
      </c>
      <c r="I3" s="370" t="s">
        <v>671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672</v>
      </c>
      <c r="H4" s="369">
        <v>-0.1</v>
      </c>
      <c r="I4" s="370" t="s">
        <v>671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666</v>
      </c>
      <c r="H5" s="373">
        <v>-1</v>
      </c>
      <c r="I5" s="374" t="s">
        <v>671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673</v>
      </c>
      <c r="H7" s="437">
        <v>9740</v>
      </c>
      <c r="I7" s="438" t="s">
        <v>699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674</v>
      </c>
      <c r="H8" s="400">
        <v>2</v>
      </c>
      <c r="I8" s="384" t="s">
        <v>675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676</v>
      </c>
      <c r="H9" s="439">
        <v>8</v>
      </c>
      <c r="I9" s="440" t="s">
        <v>677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678</v>
      </c>
      <c r="H10" s="388">
        <f>(H7/1000)*H2</f>
        <v>-1.9480000000000002</v>
      </c>
      <c r="I10" s="389" t="s">
        <v>669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679</v>
      </c>
      <c r="H11" s="383">
        <f>H8*H3</f>
        <v>-1</v>
      </c>
      <c r="I11" s="384" t="s">
        <v>671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680</v>
      </c>
      <c r="H12" s="383">
        <f>H9*H4</f>
        <v>-0.8</v>
      </c>
      <c r="I12" s="384" t="s">
        <v>671</v>
      </c>
      <c r="J12" s="379"/>
    </row>
    <row r="13" spans="1:10" ht="16.2" thickBot="1">
      <c r="A13" s="1171" t="s">
        <v>683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671</v>
      </c>
      <c r="J13" s="393"/>
    </row>
    <row r="14" spans="1:10" ht="16.2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681</v>
      </c>
      <c r="H14" s="395">
        <f>SUM(H10:H13)</f>
        <v>-4.7480000000000002</v>
      </c>
      <c r="I14" s="396" t="s">
        <v>671</v>
      </c>
      <c r="J14" s="397"/>
    </row>
    <row r="15" spans="1:10" ht="16.2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1180</v>
      </c>
      <c r="B1" s="844"/>
      <c r="C1" s="844"/>
      <c r="E1" s="845"/>
      <c r="F1" s="846" t="s">
        <v>1206</v>
      </c>
      <c r="G1" s="846" t="s">
        <v>1207</v>
      </c>
      <c r="H1" s="846" t="s">
        <v>1174</v>
      </c>
      <c r="I1" s="846" t="s">
        <v>1175</v>
      </c>
      <c r="J1" s="846" t="s">
        <v>1176</v>
      </c>
      <c r="K1" s="846" t="s">
        <v>1177</v>
      </c>
      <c r="L1" s="846" t="s">
        <v>1178</v>
      </c>
    </row>
    <row r="2" spans="1:12" ht="15" thickBot="1">
      <c r="A2" s="847" t="s">
        <v>1158</v>
      </c>
      <c r="B2" s="848" t="s">
        <v>1159</v>
      </c>
      <c r="C2" s="849" t="s">
        <v>1160</v>
      </c>
      <c r="D2" s="850" t="s">
        <v>1161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1162</v>
      </c>
      <c r="B3" s="852" t="s">
        <v>1039</v>
      </c>
      <c r="C3" s="853" t="s">
        <v>1163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1179</v>
      </c>
      <c r="B4" s="856" t="s">
        <v>1043</v>
      </c>
      <c r="C4" s="857" t="s">
        <v>1163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1164</v>
      </c>
      <c r="B5" s="859" t="s">
        <v>1165</v>
      </c>
      <c r="C5" s="857" t="s">
        <v>1163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1169</v>
      </c>
      <c r="B6" s="856" t="s">
        <v>1036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1170</v>
      </c>
      <c r="B7" s="861" t="s">
        <v>1037</v>
      </c>
      <c r="C7" s="862" t="s">
        <v>1163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1196</v>
      </c>
      <c r="B9" s="844"/>
      <c r="C9" s="844"/>
      <c r="E9" s="845"/>
      <c r="F9" s="846" t="s">
        <v>1206</v>
      </c>
      <c r="G9" s="846" t="s">
        <v>1207</v>
      </c>
      <c r="H9" s="846" t="s">
        <v>1174</v>
      </c>
      <c r="I9" s="846" t="s">
        <v>1175</v>
      </c>
      <c r="J9" s="846" t="s">
        <v>1176</v>
      </c>
      <c r="K9" s="846" t="s">
        <v>1177</v>
      </c>
      <c r="L9" s="846" t="s">
        <v>1178</v>
      </c>
    </row>
    <row r="10" spans="1:12" ht="15" thickBot="1">
      <c r="A10" s="867" t="s">
        <v>1158</v>
      </c>
      <c r="B10" s="868" t="s">
        <v>1159</v>
      </c>
      <c r="C10" s="869" t="s">
        <v>1160</v>
      </c>
      <c r="D10" s="870" t="s">
        <v>1161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1162</v>
      </c>
      <c r="B11" s="872" t="s">
        <v>1039</v>
      </c>
      <c r="C11" s="873" t="s">
        <v>1163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1179</v>
      </c>
      <c r="B12" s="856" t="s">
        <v>1043</v>
      </c>
      <c r="C12" s="875" t="s">
        <v>1163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1166</v>
      </c>
      <c r="B13" s="876" t="s">
        <v>1165</v>
      </c>
      <c r="C13" s="877" t="s">
        <v>1163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1156</v>
      </c>
      <c r="B15" s="844"/>
      <c r="C15" s="844"/>
      <c r="E15" s="845"/>
      <c r="F15" s="846" t="s">
        <v>1206</v>
      </c>
      <c r="G15" s="846" t="s">
        <v>1207</v>
      </c>
      <c r="H15" s="846" t="s">
        <v>1174</v>
      </c>
      <c r="I15" s="846" t="s">
        <v>1175</v>
      </c>
      <c r="J15" s="846" t="s">
        <v>1176</v>
      </c>
      <c r="K15" s="846" t="s">
        <v>1177</v>
      </c>
      <c r="L15" s="846" t="s">
        <v>1178</v>
      </c>
    </row>
    <row r="16" spans="1:12" ht="15" thickBot="1">
      <c r="A16" s="867" t="s">
        <v>1158</v>
      </c>
      <c r="B16" s="868" t="s">
        <v>1159</v>
      </c>
      <c r="C16" s="869" t="s">
        <v>1160</v>
      </c>
      <c r="D16" s="870" t="s">
        <v>1161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1167</v>
      </c>
      <c r="B17" s="856" t="s">
        <v>1040</v>
      </c>
      <c r="C17" s="875" t="s">
        <v>1163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1179</v>
      </c>
      <c r="B18" s="856" t="s">
        <v>1043</v>
      </c>
      <c r="C18" s="875" t="s">
        <v>1163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1168</v>
      </c>
      <c r="B19" s="859" t="s">
        <v>1165</v>
      </c>
      <c r="C19" s="875" t="s">
        <v>1163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834</v>
      </c>
      <c r="B20" s="856" t="s">
        <v>1021</v>
      </c>
      <c r="C20" s="875" t="s">
        <v>1163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1169</v>
      </c>
      <c r="B21" s="856" t="s">
        <v>1036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1170</v>
      </c>
      <c r="B22" s="861" t="s">
        <v>1037</v>
      </c>
      <c r="C22" s="877" t="s">
        <v>1163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1197</v>
      </c>
      <c r="B24" s="844"/>
      <c r="C24" s="844"/>
      <c r="E24" s="845"/>
      <c r="F24" s="846" t="s">
        <v>1206</v>
      </c>
      <c r="G24" s="846" t="s">
        <v>1207</v>
      </c>
      <c r="H24" s="846" t="s">
        <v>1174</v>
      </c>
      <c r="I24" s="846" t="s">
        <v>1175</v>
      </c>
      <c r="J24" s="846" t="s">
        <v>1176</v>
      </c>
      <c r="K24" s="846" t="s">
        <v>1177</v>
      </c>
      <c r="L24" s="846" t="s">
        <v>1178</v>
      </c>
    </row>
    <row r="25" spans="1:12" ht="15" thickBot="1">
      <c r="A25" s="867" t="s">
        <v>1158</v>
      </c>
      <c r="B25" s="868" t="s">
        <v>1159</v>
      </c>
      <c r="C25" s="869" t="s">
        <v>1160</v>
      </c>
      <c r="D25" s="870" t="s">
        <v>1161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1167</v>
      </c>
      <c r="B26" s="856" t="s">
        <v>1040</v>
      </c>
      <c r="C26" s="875" t="s">
        <v>1163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1179</v>
      </c>
      <c r="B27" s="856" t="s">
        <v>1043</v>
      </c>
      <c r="C27" s="875" t="s">
        <v>1163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1168</v>
      </c>
      <c r="B28" s="876" t="s">
        <v>1165</v>
      </c>
      <c r="C28" s="877" t="s">
        <v>1163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1171</v>
      </c>
      <c r="B30" s="844"/>
      <c r="C30" s="844"/>
      <c r="F30" s="846" t="s">
        <v>1206</v>
      </c>
      <c r="G30" s="846" t="s">
        <v>1207</v>
      </c>
      <c r="H30" s="846" t="s">
        <v>1174</v>
      </c>
      <c r="I30" s="846" t="s">
        <v>1175</v>
      </c>
      <c r="J30" s="846" t="s">
        <v>1176</v>
      </c>
      <c r="K30" s="846" t="s">
        <v>1177</v>
      </c>
      <c r="L30" s="846" t="s">
        <v>1178</v>
      </c>
    </row>
    <row r="31" spans="1:12" ht="15" thickBot="1">
      <c r="A31" s="867" t="s">
        <v>1158</v>
      </c>
      <c r="B31" s="868" t="s">
        <v>1159</v>
      </c>
      <c r="C31" s="869" t="s">
        <v>1160</v>
      </c>
      <c r="D31" s="870" t="s">
        <v>1161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1014</v>
      </c>
      <c r="B32" s="856" t="s">
        <v>1015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862</v>
      </c>
      <c r="B33" s="856" t="s">
        <v>860</v>
      </c>
      <c r="C33" s="875" t="s">
        <v>1163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1019</v>
      </c>
      <c r="B34" s="856" t="s">
        <v>1018</v>
      </c>
      <c r="C34" s="875" t="s">
        <v>1163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1016</v>
      </c>
      <c r="B35" s="856" t="s">
        <v>1017</v>
      </c>
      <c r="C35" s="875" t="s">
        <v>1163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1172</v>
      </c>
      <c r="B36" s="861" t="s">
        <v>1013</v>
      </c>
      <c r="C36" s="877" t="s">
        <v>1163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9" t="s">
        <v>1158</v>
      </c>
      <c r="B39" s="1180"/>
      <c r="C39" s="1181"/>
      <c r="D39" s="880" t="s">
        <v>1173</v>
      </c>
    </row>
    <row r="40" spans="1:12">
      <c r="A40" s="1182" t="s">
        <v>1172</v>
      </c>
      <c r="B40" s="1183"/>
      <c r="C40" s="1184"/>
      <c r="D40" s="881">
        <f>F36+G36+H36+I36+J36+K36+L36</f>
        <v>0</v>
      </c>
    </row>
    <row r="41" spans="1:12">
      <c r="A41" s="1173" t="s">
        <v>862</v>
      </c>
      <c r="B41" s="1174"/>
      <c r="C41" s="1175"/>
      <c r="D41" s="882">
        <f>F33+G33+H33+I33+J33+K33+L33</f>
        <v>0</v>
      </c>
    </row>
    <row r="42" spans="1:12">
      <c r="A42" s="1173" t="s">
        <v>1014</v>
      </c>
      <c r="B42" s="1174"/>
      <c r="C42" s="1175"/>
      <c r="D42" s="882">
        <f>F32+G32+H32+I32+J32+K32+L32</f>
        <v>0</v>
      </c>
    </row>
    <row r="43" spans="1:12">
      <c r="A43" s="1173" t="s">
        <v>1019</v>
      </c>
      <c r="B43" s="1174"/>
      <c r="C43" s="1175"/>
      <c r="D43" s="882">
        <f>F34+G34+H34+I34+J34+K34+L34</f>
        <v>0</v>
      </c>
    </row>
    <row r="44" spans="1:12">
      <c r="A44" s="1173" t="s">
        <v>1016</v>
      </c>
      <c r="B44" s="1174"/>
      <c r="C44" s="1175"/>
      <c r="D44" s="882">
        <f>F35+G35+H35+I35+J35+K35+L35</f>
        <v>0</v>
      </c>
    </row>
    <row r="45" spans="1:12">
      <c r="A45" s="1173" t="s">
        <v>1162</v>
      </c>
      <c r="B45" s="1174"/>
      <c r="C45" s="1175"/>
      <c r="D45" s="882">
        <f>F3+G3+H3+I3+J3+K3+L3+F11+G11+H11+I11+J11+K11+L11</f>
        <v>0</v>
      </c>
    </row>
    <row r="46" spans="1:12">
      <c r="A46" s="1173" t="s">
        <v>1167</v>
      </c>
      <c r="B46" s="1174"/>
      <c r="C46" s="1175"/>
      <c r="D46" s="882">
        <f>F17+G17+H17+I17+J17+K17+L17+F26+G26+H26+I26+J26+K26+L26</f>
        <v>0</v>
      </c>
    </row>
    <row r="47" spans="1:12">
      <c r="A47" s="1173" t="s">
        <v>1044</v>
      </c>
      <c r="B47" s="1174"/>
      <c r="C47" s="1175"/>
      <c r="D47" s="882">
        <f>H4+I4+J4+K4+L4+H12+I12+J12+K12+L12+H18+I18+J18+K18+L18+H27+I27+J27+K27+L27</f>
        <v>0</v>
      </c>
    </row>
    <row r="48" spans="1:12">
      <c r="A48" s="1173" t="s">
        <v>1023</v>
      </c>
      <c r="B48" s="1174"/>
      <c r="C48" s="1175"/>
      <c r="D48" s="882">
        <f>H5+I5+H19+I19+H28+I28</f>
        <v>0</v>
      </c>
    </row>
    <row r="49" spans="1:4">
      <c r="A49" s="1173" t="s">
        <v>1025</v>
      </c>
      <c r="B49" s="1174"/>
      <c r="C49" s="1175"/>
      <c r="D49" s="882">
        <f>J5+K5+J19+K19+J28+K28</f>
        <v>0</v>
      </c>
    </row>
    <row r="50" spans="1:4">
      <c r="A50" s="1173" t="s">
        <v>1027</v>
      </c>
      <c r="B50" s="1174"/>
      <c r="C50" s="1175"/>
      <c r="D50" s="882">
        <f>L5+L19+L28</f>
        <v>0</v>
      </c>
    </row>
    <row r="51" spans="1:4">
      <c r="A51" s="1173" t="s">
        <v>1028</v>
      </c>
      <c r="B51" s="1174"/>
      <c r="C51" s="1175"/>
      <c r="D51" s="882">
        <f>H13+I13</f>
        <v>0</v>
      </c>
    </row>
    <row r="52" spans="1:4">
      <c r="A52" s="1173" t="s">
        <v>1030</v>
      </c>
      <c r="B52" s="1174"/>
      <c r="C52" s="1175"/>
      <c r="D52" s="882">
        <f>J13</f>
        <v>0</v>
      </c>
    </row>
    <row r="53" spans="1:4">
      <c r="A53" s="1173" t="s">
        <v>1032</v>
      </c>
      <c r="B53" s="1174"/>
      <c r="C53" s="1175"/>
      <c r="D53" s="882">
        <f>K13</f>
        <v>0</v>
      </c>
    </row>
    <row r="54" spans="1:4">
      <c r="A54" s="1173" t="s">
        <v>1046</v>
      </c>
      <c r="B54" s="1174"/>
      <c r="C54" s="1175"/>
      <c r="D54" s="882">
        <f>L13</f>
        <v>0</v>
      </c>
    </row>
    <row r="55" spans="1:4">
      <c r="A55" s="1173" t="s">
        <v>834</v>
      </c>
      <c r="B55" s="1174"/>
      <c r="C55" s="1175"/>
      <c r="D55" s="882">
        <f>H20+I20+J20+K20+L20</f>
        <v>0</v>
      </c>
    </row>
    <row r="56" spans="1:4">
      <c r="A56" s="1173" t="s">
        <v>1169</v>
      </c>
      <c r="B56" s="1174"/>
      <c r="C56" s="1175"/>
      <c r="D56" s="882">
        <f>H6+I6+J6+K6+L6+H21+I21+J21+K21+L21</f>
        <v>0</v>
      </c>
    </row>
    <row r="57" spans="1:4" ht="15" thickBot="1">
      <c r="A57" s="1176" t="s">
        <v>1170</v>
      </c>
      <c r="B57" s="1177"/>
      <c r="C57" s="1178"/>
      <c r="D57" s="883">
        <f>H7+I7+J7+K7+L7+H22+I22+J22+K22+L22</f>
        <v>0</v>
      </c>
    </row>
  </sheetData>
  <mergeCells count="19">
    <mergeCell ref="A39:C39"/>
    <mergeCell ref="A45:C45"/>
    <mergeCell ref="A46:C46"/>
    <mergeCell ref="A47:C47"/>
    <mergeCell ref="A48:C48"/>
    <mergeCell ref="A40:C40"/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 filterMode="1">
    <pageSetUpPr fitToPage="1"/>
  </sheetPr>
  <dimension ref="A1:S111"/>
  <sheetViews>
    <sheetView topLeftCell="A58" zoomScale="70" zoomScaleNormal="70" workbookViewId="0">
      <selection activeCell="M88" sqref="M88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7.77734375" style="23" bestFit="1" customWidth="1"/>
    <col min="12" max="12" width="21.5546875" style="23" bestFit="1" customWidth="1"/>
    <col min="13" max="14" width="17.77734375" style="23" bestFit="1" customWidth="1"/>
    <col min="15" max="15" width="21.5546875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800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616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812</v>
      </c>
      <c r="E2" s="1009"/>
      <c r="F2" s="1013"/>
      <c r="G2" s="1010"/>
      <c r="H2" s="1011"/>
      <c r="I2" s="1012">
        <v>0</v>
      </c>
      <c r="J2" s="1009" t="s">
        <v>1279</v>
      </c>
      <c r="K2" s="1009" t="s">
        <v>1279</v>
      </c>
      <c r="L2" s="1009" t="s">
        <v>1279</v>
      </c>
      <c r="M2" s="1009" t="s">
        <v>785</v>
      </c>
      <c r="N2" s="1009" t="s">
        <v>937</v>
      </c>
      <c r="O2" s="1009">
        <v>5</v>
      </c>
      <c r="P2" s="1009"/>
      <c r="Q2" s="1009"/>
      <c r="R2" s="1009"/>
      <c r="S2" s="1009"/>
    </row>
    <row r="3" spans="1:19" s="219" customFormat="1">
      <c r="A3" s="1006" t="str">
        <f t="shared" ref="A3:A49" si="0">IF(C3="",B3,C3)</f>
        <v>n/a</v>
      </c>
      <c r="B3" s="1007" t="str">
        <f t="shared" ref="B3:B49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3"/>
      <c r="G3" s="1010"/>
      <c r="H3" s="1011"/>
      <c r="I3" s="1012">
        <v>2</v>
      </c>
      <c r="J3" s="1009" t="s">
        <v>1279</v>
      </c>
      <c r="K3" s="1009" t="s">
        <v>1279</v>
      </c>
      <c r="L3" s="1009" t="s">
        <v>1279</v>
      </c>
      <c r="M3" s="1009" t="s">
        <v>785</v>
      </c>
      <c r="N3" s="1009" t="s">
        <v>937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3"/>
      <c r="G4" s="1010"/>
      <c r="H4" s="1011"/>
      <c r="I4" s="1012">
        <v>26</v>
      </c>
      <c r="J4" s="1009" t="s">
        <v>1278</v>
      </c>
      <c r="K4" s="1009" t="s">
        <v>1278</v>
      </c>
      <c r="L4" s="1009" t="s">
        <v>1278</v>
      </c>
      <c r="M4" s="1009" t="s">
        <v>785</v>
      </c>
      <c r="N4" s="1009" t="s">
        <v>937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3"/>
      <c r="G5" s="1010"/>
      <c r="H5" s="1011"/>
      <c r="I5" s="1012">
        <v>3</v>
      </c>
      <c r="J5" s="1009" t="s">
        <v>911</v>
      </c>
      <c r="K5" s="1009" t="s">
        <v>911</v>
      </c>
      <c r="L5" s="1009" t="s">
        <v>911</v>
      </c>
      <c r="M5" s="1009" t="s">
        <v>785</v>
      </c>
      <c r="N5" s="1009" t="s">
        <v>937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3"/>
      <c r="G6" s="1010"/>
      <c r="H6" s="1011"/>
      <c r="I6" s="1012">
        <v>6</v>
      </c>
      <c r="J6" s="1009" t="s">
        <v>776</v>
      </c>
      <c r="K6" s="1009" t="s">
        <v>776</v>
      </c>
      <c r="L6" s="1009" t="s">
        <v>776</v>
      </c>
      <c r="M6" s="1009" t="s">
        <v>785</v>
      </c>
      <c r="N6" s="1009" t="s">
        <v>937</v>
      </c>
      <c r="O6" s="1009"/>
      <c r="P6" s="1009"/>
      <c r="Q6" s="1009"/>
      <c r="R6" s="1009"/>
      <c r="S6" s="1009"/>
    </row>
    <row r="7" spans="1:19" s="219" customFormat="1">
      <c r="A7" s="1006" t="str">
        <f t="shared" si="0"/>
        <v>n/a</v>
      </c>
      <c r="B7" s="1007" t="str">
        <f t="shared" si="1"/>
        <v>n/a</v>
      </c>
      <c r="C7" s="1008"/>
      <c r="D7" s="1009"/>
      <c r="E7" s="1009"/>
      <c r="F7" s="1013"/>
      <c r="G7" s="1010"/>
      <c r="H7" s="1011"/>
      <c r="I7" s="1012">
        <v>14</v>
      </c>
      <c r="J7" s="1009" t="s">
        <v>326</v>
      </c>
      <c r="K7" s="1009" t="s">
        <v>798</v>
      </c>
      <c r="L7" s="1009" t="s">
        <v>767</v>
      </c>
      <c r="M7" s="1009" t="s">
        <v>785</v>
      </c>
      <c r="N7" s="1009" t="s">
        <v>937</v>
      </c>
      <c r="O7" s="1009"/>
      <c r="P7" s="1009"/>
      <c r="Q7" s="1009"/>
      <c r="R7" s="1009"/>
      <c r="S7" s="1009"/>
    </row>
    <row r="8" spans="1:19" s="219" customFormat="1">
      <c r="A8" s="1006" t="str">
        <f t="shared" si="0"/>
        <v>CA40DD9E9E</v>
      </c>
      <c r="B8" s="1007" t="str">
        <f t="shared" si="1"/>
        <v>CA40DD9E9E</v>
      </c>
      <c r="C8" s="1008"/>
      <c r="D8" s="1009"/>
      <c r="E8" s="1009" t="s">
        <v>757</v>
      </c>
      <c r="F8" s="1013" t="s">
        <v>1277</v>
      </c>
      <c r="G8" s="1010">
        <v>-26.036342399999999</v>
      </c>
      <c r="H8" s="1011">
        <v>28.052346780000001</v>
      </c>
      <c r="I8" s="1012">
        <v>8</v>
      </c>
      <c r="J8" s="1009" t="s">
        <v>326</v>
      </c>
      <c r="K8" s="1009" t="s">
        <v>792</v>
      </c>
      <c r="L8" s="1009" t="s">
        <v>767</v>
      </c>
      <c r="M8" s="1009" t="s">
        <v>785</v>
      </c>
      <c r="N8" s="1009" t="s">
        <v>937</v>
      </c>
      <c r="O8" s="1009">
        <v>10</v>
      </c>
      <c r="P8" s="1009"/>
      <c r="Q8" s="1009"/>
      <c r="R8" s="1009"/>
      <c r="S8" s="1009"/>
    </row>
    <row r="9" spans="1:19" s="219" customFormat="1" hidden="1">
      <c r="A9" s="1006" t="str">
        <f t="shared" si="0"/>
        <v>n/a</v>
      </c>
      <c r="B9" s="1007" t="str">
        <f t="shared" si="1"/>
        <v>n/a</v>
      </c>
      <c r="C9" s="1008"/>
      <c r="D9" s="1009"/>
      <c r="E9" s="1009"/>
      <c r="F9" s="1013"/>
      <c r="G9" s="1010"/>
      <c r="H9" s="1011"/>
      <c r="I9" s="1012"/>
      <c r="J9" s="1009"/>
      <c r="K9" s="1009"/>
      <c r="L9" s="1009"/>
      <c r="M9" s="1009"/>
      <c r="N9" s="1009"/>
      <c r="O9" s="1009"/>
      <c r="P9" s="1009"/>
      <c r="Q9" s="1009"/>
      <c r="R9" s="1009"/>
      <c r="S9" s="1009"/>
    </row>
    <row r="10" spans="1:19" s="219" customFormat="1" hidden="1">
      <c r="A10" s="1006" t="str">
        <f t="shared" si="0"/>
        <v>n/a</v>
      </c>
      <c r="B10" s="1007" t="str">
        <f t="shared" si="1"/>
        <v>n/a</v>
      </c>
      <c r="C10" s="1008"/>
      <c r="D10" s="1009"/>
      <c r="E10" s="1009"/>
      <c r="F10" s="1013"/>
      <c r="G10" s="1010"/>
      <c r="H10" s="1011"/>
      <c r="I10" s="1012"/>
      <c r="J10" s="1009"/>
      <c r="K10" s="1009"/>
      <c r="L10" s="1009"/>
      <c r="M10" s="1009"/>
      <c r="N10" s="1009"/>
      <c r="O10" s="1009"/>
      <c r="P10" s="1009"/>
      <c r="Q10" s="1009"/>
      <c r="R10" s="1009"/>
      <c r="S10" s="1009"/>
    </row>
    <row r="11" spans="1:19" s="219" customFormat="1" hidden="1">
      <c r="A11" s="1006" t="str">
        <f t="shared" si="0"/>
        <v>n/a</v>
      </c>
      <c r="B11" s="1007" t="str">
        <f t="shared" si="1"/>
        <v>n/a</v>
      </c>
      <c r="C11" s="1008"/>
      <c r="D11" s="1009"/>
      <c r="E11" s="1009"/>
      <c r="F11" s="1013"/>
      <c r="G11" s="1010"/>
      <c r="H11" s="1011"/>
      <c r="I11" s="1012"/>
      <c r="J11" s="1009"/>
      <c r="K11" s="1009"/>
      <c r="L11" s="1009"/>
      <c r="M11" s="1009"/>
      <c r="N11" s="1009"/>
      <c r="O11" s="1009"/>
      <c r="P11" s="1009"/>
      <c r="Q11" s="1009"/>
      <c r="R11" s="1009"/>
      <c r="S11" s="1009"/>
    </row>
    <row r="12" spans="1:19" s="219" customFormat="1" hidden="1">
      <c r="A12" s="1006" t="str">
        <f t="shared" si="0"/>
        <v>n/a</v>
      </c>
      <c r="B12" s="1007" t="str">
        <f t="shared" si="1"/>
        <v>n/a</v>
      </c>
      <c r="C12" s="1008"/>
      <c r="D12" s="1009"/>
      <c r="E12" s="1009"/>
      <c r="F12" s="1013"/>
      <c r="G12" s="1010"/>
      <c r="H12" s="1011"/>
      <c r="I12" s="1012"/>
      <c r="J12" s="1009"/>
      <c r="K12" s="1009"/>
      <c r="L12" s="1009"/>
      <c r="M12" s="1009"/>
      <c r="N12" s="1009"/>
      <c r="O12" s="1009"/>
      <c r="P12" s="1009"/>
      <c r="Q12" s="1009"/>
      <c r="R12" s="1009"/>
      <c r="S12" s="1009"/>
    </row>
    <row r="13" spans="1:19" s="219" customFormat="1" hidden="1">
      <c r="A13" s="1006" t="str">
        <f t="shared" si="0"/>
        <v>n/a</v>
      </c>
      <c r="B13" s="1007" t="str">
        <f t="shared" si="1"/>
        <v>n/a</v>
      </c>
      <c r="C13" s="1008"/>
      <c r="D13" s="1009"/>
      <c r="E13" s="1009"/>
      <c r="F13" s="1013"/>
      <c r="G13" s="1010"/>
      <c r="H13" s="1011"/>
      <c r="I13" s="1012"/>
      <c r="J13" s="1009"/>
      <c r="K13" s="1009"/>
      <c r="L13" s="1009"/>
      <c r="M13" s="1009"/>
      <c r="N13" s="1009"/>
      <c r="O13" s="1009"/>
      <c r="P13" s="1009"/>
      <c r="Q13" s="1009"/>
      <c r="R13" s="1009"/>
      <c r="S13" s="1009"/>
    </row>
    <row r="14" spans="1:19" s="219" customFormat="1" hidden="1">
      <c r="A14" s="1006" t="str">
        <f t="shared" si="0"/>
        <v>n/a</v>
      </c>
      <c r="B14" s="1007" t="str">
        <f t="shared" si="1"/>
        <v>n/a</v>
      </c>
      <c r="C14" s="1008"/>
      <c r="D14" s="1009"/>
      <c r="E14" s="1009"/>
      <c r="F14" s="1013"/>
      <c r="G14" s="1010"/>
      <c r="H14" s="1011"/>
      <c r="I14" s="1012"/>
      <c r="J14" s="1009"/>
      <c r="K14" s="1009"/>
      <c r="L14" s="1009"/>
      <c r="M14" s="1009"/>
      <c r="N14" s="1009"/>
      <c r="O14" s="1009"/>
      <c r="P14" s="1009"/>
      <c r="Q14" s="1009"/>
      <c r="R14" s="1009"/>
      <c r="S14" s="1009"/>
    </row>
    <row r="15" spans="1:19" s="219" customFormat="1" hidden="1">
      <c r="A15" s="1006" t="str">
        <f t="shared" si="0"/>
        <v>n/a</v>
      </c>
      <c r="B15" s="1007" t="str">
        <f t="shared" si="1"/>
        <v>n/a</v>
      </c>
      <c r="C15" s="1008"/>
      <c r="D15" s="1009"/>
      <c r="E15" s="1009"/>
      <c r="F15" s="1013"/>
      <c r="G15" s="1010"/>
      <c r="H15" s="1011"/>
      <c r="I15" s="1012"/>
      <c r="J15" s="1009"/>
      <c r="K15" s="1009"/>
      <c r="L15" s="1009"/>
      <c r="M15" s="1009"/>
      <c r="N15" s="1009"/>
      <c r="O15" s="1009"/>
      <c r="P15" s="1009"/>
      <c r="Q15" s="1009"/>
      <c r="R15" s="1009"/>
      <c r="S15" s="1009"/>
    </row>
    <row r="16" spans="1:19" s="219" customFormat="1" hidden="1">
      <c r="A16" s="1006" t="str">
        <f t="shared" si="0"/>
        <v>n/a</v>
      </c>
      <c r="B16" s="1007" t="str">
        <f t="shared" si="1"/>
        <v>n/a</v>
      </c>
      <c r="C16" s="1008"/>
      <c r="D16" s="1009"/>
      <c r="E16" s="1009"/>
      <c r="F16" s="1013"/>
      <c r="G16" s="1010"/>
      <c r="H16" s="1011"/>
      <c r="I16" s="1012"/>
      <c r="J16" s="1009"/>
      <c r="K16" s="1009"/>
      <c r="L16" s="1009"/>
      <c r="M16" s="1009"/>
      <c r="N16" s="1009"/>
      <c r="O16" s="1009"/>
      <c r="P16" s="1009"/>
      <c r="Q16" s="1009"/>
      <c r="R16" s="1009"/>
      <c r="S16" s="1009"/>
    </row>
    <row r="17" spans="1:19" s="219" customFormat="1" hidden="1">
      <c r="A17" s="1006" t="str">
        <f t="shared" si="0"/>
        <v>n/a</v>
      </c>
      <c r="B17" s="1007" t="str">
        <f t="shared" si="1"/>
        <v>n/a</v>
      </c>
      <c r="C17" s="1008"/>
      <c r="D17" s="1009"/>
      <c r="E17" s="1009"/>
      <c r="F17" s="1013"/>
      <c r="G17" s="1010"/>
      <c r="H17" s="1011"/>
      <c r="I17" s="1012"/>
      <c r="J17" s="1009"/>
      <c r="K17" s="1009"/>
      <c r="L17" s="1009"/>
      <c r="M17" s="1009"/>
      <c r="N17" s="1009"/>
      <c r="O17" s="1009"/>
      <c r="P17" s="1009"/>
      <c r="Q17" s="1009"/>
      <c r="R17" s="1009"/>
      <c r="S17" s="1009"/>
    </row>
    <row r="18" spans="1:19" s="219" customFormat="1" hidden="1">
      <c r="A18" s="1006" t="str">
        <f t="shared" si="0"/>
        <v>n/a</v>
      </c>
      <c r="B18" s="1007" t="str">
        <f t="shared" si="1"/>
        <v>n/a</v>
      </c>
      <c r="C18" s="1008"/>
      <c r="D18" s="1009"/>
      <c r="E18" s="1009"/>
      <c r="F18" s="1013"/>
      <c r="G18" s="1010"/>
      <c r="H18" s="1011"/>
      <c r="I18" s="1012"/>
      <c r="J18" s="1009"/>
      <c r="K18" s="1009"/>
      <c r="L18" s="1009"/>
      <c r="M18" s="1009"/>
      <c r="N18" s="1009"/>
      <c r="O18" s="1009"/>
      <c r="P18" s="1009"/>
      <c r="Q18" s="1009"/>
      <c r="R18" s="1009"/>
      <c r="S18" s="1009"/>
    </row>
    <row r="19" spans="1:19" s="219" customFormat="1" hidden="1">
      <c r="A19" s="1006" t="str">
        <f t="shared" si="0"/>
        <v>n/a</v>
      </c>
      <c r="B19" s="1007" t="str">
        <f t="shared" si="1"/>
        <v>n/a</v>
      </c>
      <c r="C19" s="1008"/>
      <c r="D19" s="1009"/>
      <c r="E19" s="1009"/>
      <c r="F19" s="1013"/>
      <c r="G19" s="1010"/>
      <c r="H19" s="1011"/>
      <c r="I19" s="1012"/>
      <c r="J19" s="1009"/>
      <c r="K19" s="1009"/>
      <c r="L19" s="1009"/>
      <c r="M19" s="1009"/>
      <c r="N19" s="1009"/>
      <c r="O19" s="1009"/>
      <c r="P19" s="1009"/>
      <c r="Q19" s="1009"/>
      <c r="R19" s="1009"/>
      <c r="S19" s="1009"/>
    </row>
    <row r="20" spans="1:19" s="219" customFormat="1" hidden="1">
      <c r="A20" s="1006" t="str">
        <f t="shared" si="0"/>
        <v>n/a</v>
      </c>
      <c r="B20" s="1007" t="str">
        <f t="shared" si="1"/>
        <v>n/a</v>
      </c>
      <c r="C20" s="1008"/>
      <c r="D20" s="1009"/>
      <c r="E20" s="1009"/>
      <c r="F20" s="1013"/>
      <c r="G20" s="1010"/>
      <c r="H20" s="1011"/>
      <c r="I20" s="1012"/>
      <c r="J20" s="1009"/>
      <c r="K20" s="1009"/>
      <c r="L20" s="1009"/>
      <c r="M20" s="1009"/>
      <c r="N20" s="1009"/>
      <c r="O20" s="1009"/>
      <c r="P20" s="1009"/>
      <c r="Q20" s="1009"/>
      <c r="R20" s="1009"/>
      <c r="S20" s="1009"/>
    </row>
    <row r="21" spans="1:19" s="219" customFormat="1" hidden="1">
      <c r="A21" s="1006" t="str">
        <f t="shared" si="0"/>
        <v>n/a</v>
      </c>
      <c r="B21" s="1007" t="str">
        <f t="shared" si="1"/>
        <v>n/a</v>
      </c>
      <c r="C21" s="1008"/>
      <c r="D21" s="1009"/>
      <c r="E21" s="1009"/>
      <c r="F21" s="1013"/>
      <c r="G21" s="1010"/>
      <c r="H21" s="1011"/>
      <c r="I21" s="1012"/>
      <c r="J21" s="1009"/>
      <c r="K21" s="1009"/>
      <c r="L21" s="1009"/>
      <c r="M21" s="1009"/>
      <c r="N21" s="1009"/>
      <c r="O21" s="1009"/>
      <c r="P21" s="1009"/>
      <c r="Q21" s="1009"/>
      <c r="R21" s="1009"/>
      <c r="S21" s="1009"/>
    </row>
    <row r="22" spans="1:19" s="219" customFormat="1" hidden="1">
      <c r="A22" s="1006" t="str">
        <f t="shared" si="0"/>
        <v>n/a</v>
      </c>
      <c r="B22" s="1007" t="str">
        <f t="shared" si="1"/>
        <v>n/a</v>
      </c>
      <c r="C22" s="1008"/>
      <c r="D22" s="1009"/>
      <c r="E22" s="1009"/>
      <c r="F22" s="1013"/>
      <c r="G22" s="1010"/>
      <c r="H22" s="1011"/>
      <c r="I22" s="1012"/>
      <c r="J22" s="1009"/>
      <c r="K22" s="1009"/>
      <c r="L22" s="1009"/>
      <c r="M22" s="1009"/>
      <c r="N22" s="1009"/>
      <c r="O22" s="1009"/>
      <c r="P22" s="1009"/>
      <c r="Q22" s="1009"/>
      <c r="R22" s="1009"/>
      <c r="S22" s="1009"/>
    </row>
    <row r="23" spans="1:19" s="219" customFormat="1" hidden="1">
      <c r="A23" s="1006" t="str">
        <f t="shared" si="0"/>
        <v>n/a</v>
      </c>
      <c r="B23" s="1007" t="str">
        <f t="shared" si="1"/>
        <v>n/a</v>
      </c>
      <c r="C23" s="1008"/>
      <c r="D23" s="1009"/>
      <c r="E23" s="1009"/>
      <c r="F23" s="1013"/>
      <c r="G23" s="1010"/>
      <c r="H23" s="1011"/>
      <c r="I23" s="1012"/>
      <c r="J23" s="1009"/>
      <c r="K23" s="1009"/>
      <c r="L23" s="1009"/>
      <c r="M23" s="1009"/>
      <c r="N23" s="1009"/>
      <c r="O23" s="1009"/>
      <c r="P23" s="1009"/>
      <c r="Q23" s="1009"/>
      <c r="R23" s="1009"/>
      <c r="S23" s="1009"/>
    </row>
    <row r="24" spans="1:19" s="219" customFormat="1" hidden="1">
      <c r="A24" s="1006" t="str">
        <f t="shared" si="0"/>
        <v>n/a</v>
      </c>
      <c r="B24" s="1007" t="str">
        <f t="shared" si="1"/>
        <v>n/a</v>
      </c>
      <c r="C24" s="1008"/>
      <c r="D24" s="1009"/>
      <c r="E24" s="1009"/>
      <c r="F24" s="1013"/>
      <c r="G24" s="1010"/>
      <c r="H24" s="1011"/>
      <c r="I24" s="1012"/>
      <c r="J24" s="1009"/>
      <c r="K24" s="1009"/>
      <c r="L24" s="1009"/>
      <c r="M24" s="1009"/>
      <c r="N24" s="1009"/>
      <c r="O24" s="1009"/>
      <c r="P24" s="1009"/>
      <c r="Q24" s="1009"/>
      <c r="R24" s="1009"/>
      <c r="S24" s="1009"/>
    </row>
    <row r="25" spans="1:19" s="219" customFormat="1" hidden="1">
      <c r="A25" s="1006" t="str">
        <f t="shared" si="0"/>
        <v>n/a</v>
      </c>
      <c r="B25" s="1007" t="str">
        <f t="shared" si="1"/>
        <v>n/a</v>
      </c>
      <c r="C25" s="1008"/>
      <c r="D25" s="1009"/>
      <c r="E25" s="1009"/>
      <c r="F25" s="1013"/>
      <c r="G25" s="1010"/>
      <c r="H25" s="1011"/>
      <c r="I25" s="1012"/>
      <c r="J25" s="1009"/>
      <c r="K25" s="1009"/>
      <c r="L25" s="1009"/>
      <c r="M25" s="1009"/>
      <c r="N25" s="1009"/>
      <c r="O25" s="1009"/>
      <c r="P25" s="1009"/>
      <c r="Q25" s="1009"/>
      <c r="R25" s="1009"/>
      <c r="S25" s="1009"/>
    </row>
    <row r="26" spans="1:19" s="219" customFormat="1" hidden="1">
      <c r="A26" s="1006" t="str">
        <f t="shared" si="0"/>
        <v>n/a</v>
      </c>
      <c r="B26" s="1007" t="str">
        <f t="shared" si="1"/>
        <v>n/a</v>
      </c>
      <c r="C26" s="1008"/>
      <c r="D26" s="1009"/>
      <c r="E26" s="1009"/>
      <c r="F26" s="1013"/>
      <c r="G26" s="1010"/>
      <c r="H26" s="1011"/>
      <c r="I26" s="1012"/>
      <c r="J26" s="1009"/>
      <c r="K26" s="1009"/>
      <c r="L26" s="1009"/>
      <c r="M26" s="1009"/>
      <c r="N26" s="1009"/>
      <c r="O26" s="1009"/>
      <c r="P26" s="1009"/>
      <c r="Q26" s="1009"/>
      <c r="R26" s="1009"/>
      <c r="S26" s="1009"/>
    </row>
    <row r="27" spans="1:19" s="219" customFormat="1" hidden="1">
      <c r="A27" s="1006" t="str">
        <f t="shared" si="0"/>
        <v>n/a</v>
      </c>
      <c r="B27" s="1007" t="str">
        <f t="shared" si="1"/>
        <v>n/a</v>
      </c>
      <c r="C27" s="1008"/>
      <c r="D27" s="1009"/>
      <c r="E27" s="1009"/>
      <c r="F27" s="1013"/>
      <c r="G27" s="1010"/>
      <c r="H27" s="1011"/>
      <c r="I27" s="1012"/>
      <c r="J27" s="1009"/>
      <c r="K27" s="1009"/>
      <c r="L27" s="1009"/>
      <c r="M27" s="1009"/>
      <c r="N27" s="1009"/>
      <c r="O27" s="1009"/>
      <c r="P27" s="1009"/>
      <c r="Q27" s="1009"/>
      <c r="R27" s="1009"/>
      <c r="S27" s="1009"/>
    </row>
    <row r="28" spans="1:19" s="219" customFormat="1" hidden="1">
      <c r="A28" s="1006" t="str">
        <f t="shared" si="0"/>
        <v>n/a</v>
      </c>
      <c r="B28" s="1007" t="str">
        <f t="shared" si="1"/>
        <v>n/a</v>
      </c>
      <c r="C28" s="1008"/>
      <c r="D28" s="1009"/>
      <c r="E28" s="1009"/>
      <c r="F28" s="1013"/>
      <c r="G28" s="1010"/>
      <c r="H28" s="1011"/>
      <c r="I28" s="1012"/>
      <c r="J28" s="1009"/>
      <c r="K28" s="1009"/>
      <c r="L28" s="1009"/>
      <c r="M28" s="1009"/>
      <c r="N28" s="1009"/>
      <c r="O28" s="1009"/>
      <c r="P28" s="1009"/>
      <c r="Q28" s="1009"/>
      <c r="R28" s="1009"/>
      <c r="S28" s="1009"/>
    </row>
    <row r="29" spans="1:19" s="219" customFormat="1" hidden="1">
      <c r="A29" s="1006" t="str">
        <f t="shared" si="0"/>
        <v>n/a</v>
      </c>
      <c r="B29" s="1007" t="str">
        <f t="shared" si="1"/>
        <v>n/a</v>
      </c>
      <c r="C29" s="1008"/>
      <c r="D29" s="1009"/>
      <c r="E29" s="1009"/>
      <c r="F29" s="1013"/>
      <c r="G29" s="1010"/>
      <c r="H29" s="1011"/>
      <c r="I29" s="1012"/>
      <c r="J29" s="1009"/>
      <c r="K29" s="1009"/>
      <c r="L29" s="1009"/>
      <c r="M29" s="1009"/>
      <c r="N29" s="1009"/>
      <c r="O29" s="1009"/>
      <c r="P29" s="1009"/>
      <c r="Q29" s="1009"/>
      <c r="R29" s="1009"/>
      <c r="S29" s="1009"/>
    </row>
    <row r="30" spans="1:19" s="219" customFormat="1" hidden="1">
      <c r="A30" s="1006" t="str">
        <f t="shared" si="0"/>
        <v>n/a</v>
      </c>
      <c r="B30" s="1007" t="str">
        <f t="shared" si="1"/>
        <v>n/a</v>
      </c>
      <c r="C30" s="1008"/>
      <c r="D30" s="1009"/>
      <c r="E30" s="1009"/>
      <c r="F30" s="1013"/>
      <c r="G30" s="1010"/>
      <c r="H30" s="1011"/>
      <c r="I30" s="1012"/>
      <c r="J30" s="1009"/>
      <c r="K30" s="1009"/>
      <c r="L30" s="1009"/>
      <c r="M30" s="1009"/>
      <c r="N30" s="1009"/>
      <c r="O30" s="1009"/>
      <c r="P30" s="1009"/>
      <c r="Q30" s="1009"/>
      <c r="R30" s="1009"/>
      <c r="S30" s="1009"/>
    </row>
    <row r="31" spans="1:19" s="219" customFormat="1" hidden="1">
      <c r="A31" s="1006" t="str">
        <f t="shared" si="0"/>
        <v>n/a</v>
      </c>
      <c r="B31" s="1007" t="str">
        <f t="shared" si="1"/>
        <v>n/a</v>
      </c>
      <c r="C31" s="1008"/>
      <c r="D31" s="1009"/>
      <c r="E31" s="1009"/>
      <c r="F31" s="1013"/>
      <c r="G31" s="1010"/>
      <c r="H31" s="1011"/>
      <c r="I31" s="1012"/>
      <c r="J31" s="1009"/>
      <c r="K31" s="1009"/>
      <c r="L31" s="1009"/>
      <c r="M31" s="1009"/>
      <c r="N31" s="1009"/>
      <c r="O31" s="1009"/>
      <c r="P31" s="1009"/>
      <c r="Q31" s="1009"/>
      <c r="R31" s="1009"/>
      <c r="S31" s="1009"/>
    </row>
    <row r="32" spans="1:19" s="219" customFormat="1" hidden="1">
      <c r="A32" s="1006" t="str">
        <f t="shared" si="0"/>
        <v>n/a</v>
      </c>
      <c r="B32" s="1007" t="str">
        <f t="shared" si="1"/>
        <v>n/a</v>
      </c>
      <c r="C32" s="1008"/>
      <c r="D32" s="1009"/>
      <c r="E32" s="1009"/>
      <c r="F32" s="1013"/>
      <c r="G32" s="1010"/>
      <c r="H32" s="1011"/>
      <c r="I32" s="1012"/>
      <c r="J32" s="1009"/>
      <c r="K32" s="1009"/>
      <c r="L32" s="1009"/>
      <c r="M32" s="1009"/>
      <c r="N32" s="1009"/>
      <c r="O32" s="1009"/>
      <c r="P32" s="1009"/>
      <c r="Q32" s="1009"/>
      <c r="R32" s="1009"/>
      <c r="S32" s="1009"/>
    </row>
    <row r="33" spans="1:19" s="219" customFormat="1" hidden="1">
      <c r="A33" s="1006" t="str">
        <f t="shared" si="0"/>
        <v>n/a</v>
      </c>
      <c r="B33" s="1007" t="str">
        <f t="shared" si="1"/>
        <v>n/a</v>
      </c>
      <c r="C33" s="1008"/>
      <c r="D33" s="1009"/>
      <c r="E33" s="1009"/>
      <c r="F33" s="1013"/>
      <c r="G33" s="1010"/>
      <c r="H33" s="1011"/>
      <c r="I33" s="1012"/>
      <c r="J33" s="1009"/>
      <c r="K33" s="1009"/>
      <c r="L33" s="1009"/>
      <c r="M33" s="1009"/>
      <c r="N33" s="1009"/>
      <c r="O33" s="1009"/>
      <c r="P33" s="1009"/>
      <c r="Q33" s="1009"/>
      <c r="R33" s="1009"/>
      <c r="S33" s="1009"/>
    </row>
    <row r="34" spans="1:19" s="219" customFormat="1" hidden="1">
      <c r="A34" s="1006" t="str">
        <f t="shared" si="0"/>
        <v>n/a</v>
      </c>
      <c r="B34" s="1007" t="str">
        <f t="shared" si="1"/>
        <v>n/a</v>
      </c>
      <c r="C34" s="1008"/>
      <c r="D34" s="1009"/>
      <c r="E34" s="1009"/>
      <c r="F34" s="1013"/>
      <c r="G34" s="1010"/>
      <c r="H34" s="1011"/>
      <c r="I34" s="1012"/>
      <c r="J34" s="1009"/>
      <c r="K34" s="1009"/>
      <c r="L34" s="1009"/>
      <c r="M34" s="1009"/>
      <c r="N34" s="1009"/>
      <c r="O34" s="1009"/>
      <c r="P34" s="1009"/>
      <c r="Q34" s="1009"/>
      <c r="R34" s="1009"/>
      <c r="S34" s="1009"/>
    </row>
    <row r="35" spans="1:19" s="219" customFormat="1" hidden="1">
      <c r="A35" s="1006" t="str">
        <f t="shared" si="0"/>
        <v>n/a</v>
      </c>
      <c r="B35" s="1007" t="str">
        <f t="shared" si="1"/>
        <v>n/a</v>
      </c>
      <c r="C35" s="1008"/>
      <c r="D35" s="1009"/>
      <c r="E35" s="1009"/>
      <c r="F35" s="1013"/>
      <c r="G35" s="1010"/>
      <c r="H35" s="1011"/>
      <c r="I35" s="1012"/>
      <c r="J35" s="1009"/>
      <c r="K35" s="1009"/>
      <c r="L35" s="1009"/>
      <c r="M35" s="1009"/>
      <c r="N35" s="1009"/>
      <c r="O35" s="1009"/>
      <c r="P35" s="1009"/>
      <c r="Q35" s="1009"/>
      <c r="R35" s="1009"/>
      <c r="S35" s="1009"/>
    </row>
    <row r="36" spans="1:19" s="219" customFormat="1" hidden="1">
      <c r="A36" s="1006" t="str">
        <f t="shared" si="0"/>
        <v>n/a</v>
      </c>
      <c r="B36" s="1007" t="str">
        <f t="shared" si="1"/>
        <v>n/a</v>
      </c>
      <c r="C36" s="1008"/>
      <c r="D36" s="1009"/>
      <c r="E36" s="1009"/>
      <c r="F36" s="1013"/>
      <c r="G36" s="1010"/>
      <c r="H36" s="1011"/>
      <c r="I36" s="1012"/>
      <c r="J36" s="1009"/>
      <c r="K36" s="1009"/>
      <c r="L36" s="1009"/>
      <c r="M36" s="1009"/>
      <c r="N36" s="1009"/>
      <c r="O36" s="1009"/>
      <c r="P36" s="1009"/>
      <c r="Q36" s="1009"/>
      <c r="R36" s="1009"/>
      <c r="S36" s="1009"/>
    </row>
    <row r="37" spans="1:19" s="219" customFormat="1" hidden="1">
      <c r="A37" s="1006" t="str">
        <f t="shared" si="0"/>
        <v>n/a</v>
      </c>
      <c r="B37" s="1007" t="str">
        <f t="shared" si="1"/>
        <v>n/a</v>
      </c>
      <c r="C37" s="1008"/>
      <c r="D37" s="1009"/>
      <c r="E37" s="1009"/>
      <c r="F37" s="1013"/>
      <c r="G37" s="1010"/>
      <c r="H37" s="1011"/>
      <c r="I37" s="1012"/>
      <c r="J37" s="1009"/>
      <c r="K37" s="1009"/>
      <c r="L37" s="1009"/>
      <c r="M37" s="1009"/>
      <c r="N37" s="1009"/>
      <c r="O37" s="1009"/>
      <c r="P37" s="1009"/>
      <c r="Q37" s="1009"/>
      <c r="R37" s="1009"/>
      <c r="S37" s="1009"/>
    </row>
    <row r="38" spans="1:19" s="219" customFormat="1" hidden="1">
      <c r="A38" s="1006" t="str">
        <f t="shared" si="0"/>
        <v>n/a</v>
      </c>
      <c r="B38" s="1007" t="str">
        <f t="shared" si="1"/>
        <v>n/a</v>
      </c>
      <c r="C38" s="1008"/>
      <c r="D38" s="1009"/>
      <c r="E38" s="1009"/>
      <c r="F38" s="1013"/>
      <c r="G38" s="1010"/>
      <c r="H38" s="1011"/>
      <c r="I38" s="1012"/>
      <c r="J38" s="1009"/>
      <c r="K38" s="1009"/>
      <c r="L38" s="1009"/>
      <c r="M38" s="1009"/>
      <c r="N38" s="1009"/>
      <c r="O38" s="1009"/>
      <c r="P38" s="1009"/>
      <c r="Q38" s="1009"/>
      <c r="R38" s="1009"/>
      <c r="S38" s="1009"/>
    </row>
    <row r="39" spans="1:19" s="219" customFormat="1" hidden="1">
      <c r="A39" s="1006" t="str">
        <f t="shared" si="0"/>
        <v>n/a</v>
      </c>
      <c r="B39" s="1007" t="str">
        <f t="shared" si="1"/>
        <v>n/a</v>
      </c>
      <c r="C39" s="1008"/>
      <c r="D39" s="1009"/>
      <c r="E39" s="1009"/>
      <c r="F39" s="1013"/>
      <c r="G39" s="1010"/>
      <c r="H39" s="1011"/>
      <c r="I39" s="1012"/>
      <c r="J39" s="1009"/>
      <c r="K39" s="1009"/>
      <c r="L39" s="1009"/>
      <c r="M39" s="1009"/>
      <c r="N39" s="1009"/>
      <c r="O39" s="1009"/>
      <c r="P39" s="1009"/>
      <c r="Q39" s="1009"/>
      <c r="R39" s="1009"/>
      <c r="S39" s="1009"/>
    </row>
    <row r="40" spans="1:19" s="219" customFormat="1" hidden="1">
      <c r="A40" s="1006" t="str">
        <f t="shared" si="0"/>
        <v>n/a</v>
      </c>
      <c r="B40" s="1007" t="str">
        <f t="shared" si="1"/>
        <v>n/a</v>
      </c>
      <c r="C40" s="1008"/>
      <c r="D40" s="1009"/>
      <c r="E40" s="1009"/>
      <c r="F40" s="1013"/>
      <c r="G40" s="1010"/>
      <c r="H40" s="1011"/>
      <c r="I40" s="1012"/>
      <c r="J40" s="1009"/>
      <c r="K40" s="1009"/>
      <c r="L40" s="1009"/>
      <c r="M40" s="1009"/>
      <c r="N40" s="1009"/>
      <c r="O40" s="1009"/>
      <c r="P40" s="1009"/>
      <c r="Q40" s="1009"/>
      <c r="R40" s="1009"/>
      <c r="S40" s="1009"/>
    </row>
    <row r="41" spans="1:19" s="219" customFormat="1" hidden="1">
      <c r="A41" s="1006" t="str">
        <f t="shared" si="0"/>
        <v>n/a</v>
      </c>
      <c r="B41" s="1007" t="str">
        <f t="shared" si="1"/>
        <v>n/a</v>
      </c>
      <c r="C41" s="1008"/>
      <c r="D41" s="1009"/>
      <c r="E41" s="1009"/>
      <c r="F41" s="1013"/>
      <c r="G41" s="1010"/>
      <c r="H41" s="1011"/>
      <c r="I41" s="1012"/>
      <c r="J41" s="1009"/>
      <c r="K41" s="1009"/>
      <c r="L41" s="1009"/>
      <c r="M41" s="1009"/>
      <c r="N41" s="1009"/>
      <c r="O41" s="1009"/>
      <c r="P41" s="1009"/>
      <c r="Q41" s="1009"/>
      <c r="R41" s="1009"/>
      <c r="S41" s="1009"/>
    </row>
    <row r="42" spans="1:19" s="219" customFormat="1" hidden="1">
      <c r="A42" s="1006" t="str">
        <f t="shared" si="0"/>
        <v>n/a</v>
      </c>
      <c r="B42" s="1007" t="str">
        <f t="shared" si="1"/>
        <v>n/a</v>
      </c>
      <c r="C42" s="1008"/>
      <c r="D42" s="1009"/>
      <c r="E42" s="1009"/>
      <c r="F42" s="1013"/>
      <c r="G42" s="1010"/>
      <c r="H42" s="1011"/>
      <c r="I42" s="1012"/>
      <c r="J42" s="1009"/>
      <c r="K42" s="1009"/>
      <c r="L42" s="1009"/>
      <c r="M42" s="1009"/>
      <c r="N42" s="1009"/>
      <c r="O42" s="1009"/>
      <c r="P42" s="1009"/>
      <c r="Q42" s="1009"/>
      <c r="R42" s="1009"/>
      <c r="S42" s="1009"/>
    </row>
    <row r="43" spans="1:19" s="219" customFormat="1" hidden="1">
      <c r="A43" s="1006" t="str">
        <f t="shared" si="0"/>
        <v>n/a</v>
      </c>
      <c r="B43" s="1007" t="str">
        <f t="shared" si="1"/>
        <v>n/a</v>
      </c>
      <c r="C43" s="1008"/>
      <c r="D43" s="1009"/>
      <c r="E43" s="1009"/>
      <c r="F43" s="1013"/>
      <c r="G43" s="1010"/>
      <c r="H43" s="1011"/>
      <c r="I43" s="1012"/>
      <c r="J43" s="1009"/>
      <c r="K43" s="1009"/>
      <c r="L43" s="1009"/>
      <c r="M43" s="1009"/>
      <c r="N43" s="1009"/>
      <c r="O43" s="1009"/>
      <c r="P43" s="1009"/>
      <c r="Q43" s="1009"/>
      <c r="R43" s="1009"/>
      <c r="S43" s="1009"/>
    </row>
    <row r="44" spans="1:19" s="219" customFormat="1" hidden="1">
      <c r="A44" s="1006" t="str">
        <f t="shared" si="0"/>
        <v>n/a</v>
      </c>
      <c r="B44" s="1007" t="str">
        <f t="shared" si="1"/>
        <v>n/a</v>
      </c>
      <c r="C44" s="1008"/>
      <c r="D44" s="1009"/>
      <c r="E44" s="1009"/>
      <c r="F44" s="1013"/>
      <c r="G44" s="1010"/>
      <c r="H44" s="1011"/>
      <c r="I44" s="1012"/>
      <c r="J44" s="1009"/>
      <c r="K44" s="1009"/>
      <c r="L44" s="1009"/>
      <c r="M44" s="1009"/>
      <c r="N44" s="1009"/>
      <c r="O44" s="1009"/>
      <c r="P44" s="1009"/>
      <c r="Q44" s="1009"/>
      <c r="R44" s="1009"/>
      <c r="S44" s="1009"/>
    </row>
    <row r="45" spans="1:19" s="219" customFormat="1" hidden="1">
      <c r="A45" s="1006" t="str">
        <f t="shared" si="0"/>
        <v>n/a</v>
      </c>
      <c r="B45" s="1007" t="str">
        <f t="shared" si="1"/>
        <v>n/a</v>
      </c>
      <c r="C45" s="1008"/>
      <c r="D45" s="1009"/>
      <c r="E45" s="1009"/>
      <c r="F45" s="1013"/>
      <c r="G45" s="1010"/>
      <c r="H45" s="1011"/>
      <c r="I45" s="1012"/>
      <c r="J45" s="1009"/>
      <c r="K45" s="1009"/>
      <c r="L45" s="1009"/>
      <c r="M45" s="1009"/>
      <c r="N45" s="1009"/>
      <c r="O45" s="1009"/>
      <c r="P45" s="1009"/>
      <c r="Q45" s="1009"/>
      <c r="R45" s="1009"/>
      <c r="S45" s="1009"/>
    </row>
    <row r="46" spans="1:19" s="219" customFormat="1" hidden="1">
      <c r="A46" s="1006" t="str">
        <f t="shared" si="0"/>
        <v>n/a</v>
      </c>
      <c r="B46" s="1007" t="str">
        <f t="shared" si="1"/>
        <v>n/a</v>
      </c>
      <c r="C46" s="1008"/>
      <c r="D46" s="1009"/>
      <c r="E46" s="1009"/>
      <c r="F46" s="1013"/>
      <c r="G46" s="1010"/>
      <c r="H46" s="1011"/>
      <c r="I46" s="1012"/>
      <c r="J46" s="1009"/>
      <c r="K46" s="1009"/>
      <c r="L46" s="1009"/>
      <c r="M46" s="1009"/>
      <c r="N46" s="1009"/>
      <c r="O46" s="1009"/>
      <c r="P46" s="1009"/>
      <c r="Q46" s="1009"/>
      <c r="R46" s="1009"/>
      <c r="S46" s="1009"/>
    </row>
    <row r="47" spans="1:19" s="219" customFormat="1" hidden="1">
      <c r="A47" s="1006" t="str">
        <f t="shared" si="0"/>
        <v>n/a</v>
      </c>
      <c r="B47" s="1007" t="str">
        <f t="shared" si="1"/>
        <v>n/a</v>
      </c>
      <c r="C47" s="1008"/>
      <c r="D47" s="1009"/>
      <c r="E47" s="1009"/>
      <c r="F47" s="1013"/>
      <c r="G47" s="1010"/>
      <c r="H47" s="1011"/>
      <c r="I47" s="1012"/>
      <c r="J47" s="1009"/>
      <c r="K47" s="1009"/>
      <c r="L47" s="1009"/>
      <c r="M47" s="1009"/>
      <c r="N47" s="1009"/>
      <c r="O47" s="1009"/>
      <c r="P47" s="1009"/>
      <c r="Q47" s="1009"/>
      <c r="R47" s="1009"/>
      <c r="S47" s="1009"/>
    </row>
    <row r="48" spans="1:19" s="219" customFormat="1" hidden="1">
      <c r="A48" s="1006" t="str">
        <f t="shared" si="0"/>
        <v>n/a</v>
      </c>
      <c r="B48" s="1007" t="str">
        <f t="shared" si="1"/>
        <v>n/a</v>
      </c>
      <c r="C48" s="1008"/>
      <c r="D48" s="1009"/>
      <c r="E48" s="1009"/>
      <c r="F48" s="1013"/>
      <c r="G48" s="1010"/>
      <c r="H48" s="1011"/>
      <c r="I48" s="1012"/>
      <c r="J48" s="1009"/>
      <c r="K48" s="1009"/>
      <c r="L48" s="1009"/>
      <c r="M48" s="1009"/>
      <c r="N48" s="1009"/>
      <c r="O48" s="1009"/>
      <c r="P48" s="1009"/>
      <c r="Q48" s="1009"/>
      <c r="R48" s="1009"/>
      <c r="S48" s="1009"/>
    </row>
    <row r="49" spans="1:19" s="219" customFormat="1" hidden="1">
      <c r="A49" s="1006" t="str">
        <f t="shared" si="0"/>
        <v>n/a</v>
      </c>
      <c r="B49" s="1007" t="str">
        <f t="shared" si="1"/>
        <v>n/a</v>
      </c>
      <c r="C49" s="1008"/>
      <c r="D49" s="1009"/>
      <c r="E49" s="1009"/>
      <c r="F49" s="1013"/>
      <c r="G49" s="1010"/>
      <c r="H49" s="1011"/>
      <c r="I49" s="1012"/>
      <c r="J49" s="1009"/>
      <c r="K49" s="1009"/>
      <c r="L49" s="1009"/>
      <c r="M49" s="1009"/>
      <c r="N49" s="1009"/>
      <c r="O49" s="1009"/>
      <c r="P49" s="1009"/>
      <c r="Q49" s="1009"/>
      <c r="R49" s="1009"/>
      <c r="S49" s="1009"/>
    </row>
    <row r="50" spans="1:19" s="219" customFormat="1"/>
    <row r="51" spans="1:19" s="219" customFormat="1" ht="15" thickBot="1">
      <c r="H51" s="220" t="s">
        <v>304</v>
      </c>
      <c r="I51" s="221">
        <f>SUM(I2:I49)</f>
        <v>59</v>
      </c>
      <c r="O51" s="221">
        <f>SUM(O2:O49)</f>
        <v>15</v>
      </c>
      <c r="P51" s="221">
        <f>SUM(P2:P49)</f>
        <v>0</v>
      </c>
    </row>
    <row r="52" spans="1:19" ht="15.6" thickTop="1" thickBot="1"/>
    <row r="53" spans="1:19" ht="15" thickBot="1">
      <c r="A53" s="222" t="s">
        <v>812</v>
      </c>
      <c r="C53" s="326">
        <f>COUNTIFS(D2:D49,A53)</f>
        <v>1</v>
      </c>
      <c r="E53" s="222" t="s">
        <v>531</v>
      </c>
      <c r="F53" s="896">
        <f>COUNTIFS(E2:E49,E53)</f>
        <v>0</v>
      </c>
      <c r="H53" s="222" t="s">
        <v>913</v>
      </c>
      <c r="I53" s="896">
        <f>IFERROR(GETPIVOTDATA("Sum of DISTANCE",$K$54,"CABLE TYPE","EXISTING CABLE"),0)</f>
        <v>0</v>
      </c>
      <c r="K53" s="1185" t="s">
        <v>627</v>
      </c>
      <c r="L53" s="1187"/>
      <c r="M53" s="1187"/>
      <c r="N53" s="1186"/>
      <c r="P53"/>
    </row>
    <row r="54" spans="1:19">
      <c r="A54" s="490" t="s">
        <v>801</v>
      </c>
      <c r="C54" s="491">
        <f>COUNTIFS(D2:D49,A54)</f>
        <v>0</v>
      </c>
      <c r="E54" s="312" t="s">
        <v>240</v>
      </c>
      <c r="F54" s="897">
        <f>COUNTIFS(E2:E49,E54)</f>
        <v>0</v>
      </c>
      <c r="H54" s="315" t="s">
        <v>537</v>
      </c>
      <c r="I54" s="910">
        <f>IFERROR(GETPIVOTDATA("Sum of DISTANCE",$K$54,"CABLE TYPE","MF 12"),0)+IFERROR(GETPIVOTDATA("Sum of SLACK",$K$54,"CABLE TYPE","MF 12"),0)+IFERROR(GETPIVOTDATA("Sum of INVERT",$K$54,"CABLE TYPE","MF 12"),0)</f>
        <v>0</v>
      </c>
      <c r="K54" s="313" t="s">
        <v>550</v>
      </c>
      <c r="L54" t="s">
        <v>551</v>
      </c>
      <c r="M54" t="s">
        <v>552</v>
      </c>
      <c r="N54" t="s">
        <v>553</v>
      </c>
      <c r="P54"/>
    </row>
    <row r="55" spans="1:19">
      <c r="A55" s="490" t="s">
        <v>802</v>
      </c>
      <c r="C55" s="491">
        <f>COUNTIFS(D2:D49,A55)</f>
        <v>0</v>
      </c>
      <c r="E55" s="223" t="s">
        <v>241</v>
      </c>
      <c r="F55" s="898">
        <f>COUNTIFS(E2:E49,E55)</f>
        <v>0</v>
      </c>
      <c r="H55" s="315" t="s">
        <v>538</v>
      </c>
      <c r="I55" s="910">
        <f>IFERROR(GETPIVOTDATA("Sum of DISTANCE",$K$54,"CABLE TYPE","MF 24"),0)+IFERROR(GETPIVOTDATA("Sum of SLACK",$K$54,"CABLE TYPE","MF 24"),0)+IFERROR(GETPIVOTDATA("Sum of INVERT",$K$54,"CABLE TYPE","MF 24"),0)</f>
        <v>0</v>
      </c>
      <c r="K55" s="314" t="s">
        <v>937</v>
      </c>
      <c r="L55" s="1218">
        <v>59</v>
      </c>
      <c r="M55" s="1218">
        <v>15</v>
      </c>
      <c r="N55" s="1218"/>
      <c r="P55"/>
    </row>
    <row r="56" spans="1:19">
      <c r="A56" s="490" t="s">
        <v>803</v>
      </c>
      <c r="C56" s="491">
        <f>COUNTIFS(D2:D49,A56)</f>
        <v>0</v>
      </c>
      <c r="E56" s="223" t="s">
        <v>756</v>
      </c>
      <c r="F56" s="898">
        <f>COUNTIFS(E2:E49,E56)</f>
        <v>0</v>
      </c>
      <c r="H56" s="315" t="s">
        <v>539</v>
      </c>
      <c r="I56" s="910">
        <f>IFERROR(GETPIVOTDATA("Sum of DISTANCE",$K$54,"CABLE TYPE","MF 48"),0)+IFERROR(GETPIVOTDATA("Sum of SLACK",$K$54,"CABLE TYPE","MF 48"),0)+IFERROR(GETPIVOTDATA("Sum of INVERT",$K$54,"CABLE TYPE","MF 48"),0)</f>
        <v>0</v>
      </c>
      <c r="K56" s="314" t="s">
        <v>549</v>
      </c>
      <c r="L56" s="1218">
        <v>59</v>
      </c>
      <c r="M56" s="1218">
        <v>15</v>
      </c>
      <c r="N56" s="1218"/>
      <c r="O56"/>
      <c r="P56"/>
    </row>
    <row r="57" spans="1:19">
      <c r="A57" s="490" t="s">
        <v>804</v>
      </c>
      <c r="C57" s="491">
        <f>COUNTIFS(D2:D49,A57)</f>
        <v>0</v>
      </c>
      <c r="E57" s="223" t="s">
        <v>519</v>
      </c>
      <c r="F57" s="898">
        <f>COUNTIFS(E2:E49,E57)</f>
        <v>0</v>
      </c>
      <c r="H57" s="315" t="s">
        <v>540</v>
      </c>
      <c r="I57" s="910">
        <f>IFERROR(GETPIVOTDATA("Sum of DISTANCE",$K$54,"CABLE TYPE","MF 72"),0)+IFERROR(GETPIVOTDATA("Sum of SLACK",$K$54,"CABLE TYPE","MF 72"),0)+IFERROR(GETPIVOTDATA("Sum of INVERT",$K$54,"CABLE TYPE","MF 72"),0)</f>
        <v>0</v>
      </c>
      <c r="K57"/>
      <c r="L57"/>
      <c r="M57"/>
      <c r="N57"/>
      <c r="O57"/>
      <c r="P57"/>
    </row>
    <row r="58" spans="1:19">
      <c r="A58" s="490" t="s">
        <v>805</v>
      </c>
      <c r="C58" s="491">
        <f>COUNTIFS(D2:D49,A58)</f>
        <v>0</v>
      </c>
      <c r="E58" s="223" t="s">
        <v>520</v>
      </c>
      <c r="F58" s="898">
        <f>COUNTIFS(E2:E49,E58)</f>
        <v>0</v>
      </c>
      <c r="H58" s="315" t="s">
        <v>541</v>
      </c>
      <c r="I58" s="910">
        <f>IFERROR(GETPIVOTDATA("Sum of DISTANCE",$K$54,"CABLE TYPE","MF 96"),0)+IFERROR(GETPIVOTDATA("Sum of SLACK",$K$54,"CABLE TYPE","MF 96"),0)+IFERROR(GETPIVOTDATA("Sum of INVERT",$K$54,"CABLE TYPE","MF 96"),0)</f>
        <v>0</v>
      </c>
      <c r="K58"/>
      <c r="L58"/>
      <c r="M58"/>
      <c r="N58"/>
      <c r="O58"/>
      <c r="P58"/>
    </row>
    <row r="59" spans="1:19">
      <c r="A59" s="490" t="s">
        <v>806</v>
      </c>
      <c r="C59" s="491">
        <f>COUNTIFS(D2:D49,A59)</f>
        <v>0</v>
      </c>
      <c r="E59" s="223" t="s">
        <v>1053</v>
      </c>
      <c r="F59" s="898">
        <f>COUNTIFS(E2:E49,E59)</f>
        <v>0</v>
      </c>
      <c r="H59" s="315" t="s">
        <v>542</v>
      </c>
      <c r="I59" s="910">
        <f>IFERROR(GETPIVOTDATA("Sum of DISTANCE",$K$54,"CABLE TYPE","MF 144"),0)+IFERROR(GETPIVOTDATA("Sum of SLACK",$K$54,"CABLE TYPE","MF 144"),0)+IFERROR(GETPIVOTDATA("Sum of INVERT",$K$54,"CABLE TYPE","MF 144"),0)</f>
        <v>0</v>
      </c>
      <c r="K59"/>
      <c r="L59"/>
      <c r="M59"/>
      <c r="N59"/>
      <c r="O59"/>
      <c r="P59"/>
    </row>
    <row r="60" spans="1:19">
      <c r="A60" s="490" t="s">
        <v>807</v>
      </c>
      <c r="C60" s="491">
        <f>COUNTIFS(D2:D49,A60)</f>
        <v>0</v>
      </c>
      <c r="E60" s="223" t="s">
        <v>1054</v>
      </c>
      <c r="F60" s="898">
        <f>COUNTIFS(E2:E49,E60)</f>
        <v>0</v>
      </c>
      <c r="H60" s="315" t="s">
        <v>543</v>
      </c>
      <c r="I60" s="910">
        <f>IFERROR(GETPIVOTDATA("Sum of DISTANCE",$K$54,"CABLE TYPE","MF 288"),0)+IFERROR(GETPIVOTDATA("Sum of SLACK",$K$54,"CABLE TYPE","MF 288"),0)+IFERROR(GETPIVOTDATA("Sum of INVERT",$K$54,"CABLE TYPE","MF 288"),0)</f>
        <v>0</v>
      </c>
      <c r="K60"/>
      <c r="L60"/>
      <c r="M60"/>
      <c r="N60"/>
      <c r="O60"/>
      <c r="P60"/>
    </row>
    <row r="61" spans="1:19">
      <c r="A61" s="490" t="s">
        <v>808</v>
      </c>
      <c r="C61" s="491">
        <f>COUNTIFS(D2:D49,A61)</f>
        <v>0</v>
      </c>
      <c r="E61" s="886" t="s">
        <v>1191</v>
      </c>
      <c r="F61" s="899">
        <f>COUNTIFS(E2:E49,E61)</f>
        <v>0</v>
      </c>
      <c r="H61" s="886" t="s">
        <v>1185</v>
      </c>
      <c r="I61" s="910">
        <f>IFERROR(GETPIVOTDATA("Sum of DISTANCE",$K$54,"CABLE TYPE","AC 4 (Drop Cable)"),0)+IFERROR(GETPIVOTDATA("Sum of SLACK",$K$54,"CABLE TYPE","AC 4 (Drop Cable)"),0)+IFERROR(GETPIVOTDATA("Sum of INVERT",$K$54,"CABLE TYPE","AC 4 (Drop Cable)"),0)</f>
        <v>0</v>
      </c>
      <c r="K61"/>
      <c r="L61"/>
      <c r="M61"/>
      <c r="N61"/>
      <c r="O61"/>
      <c r="P61"/>
    </row>
    <row r="62" spans="1:19">
      <c r="A62" s="490" t="s">
        <v>809</v>
      </c>
      <c r="C62" s="491">
        <f>COUNTIFS(D2:D49,A62)</f>
        <v>0</v>
      </c>
      <c r="E62" s="886" t="s">
        <v>1187</v>
      </c>
      <c r="F62" s="899">
        <f>COUNTIFS(E2:E49,E62)</f>
        <v>0</v>
      </c>
      <c r="H62" s="886" t="s">
        <v>1203</v>
      </c>
      <c r="I62" s="910">
        <f>IFERROR(GETPIVOTDATA("Sum of DISTANCE",$K$54,"CABLE TYPE","AC 8"),0)+IFERROR(GETPIVOTDATA("Sum of SLACK",$K$54,"CABLE TYPE","AC 8"),0)+IFERROR(GETPIVOTDATA("Sum of INVERT",$K$54,"CABLE TYPE","AC 8"),0)</f>
        <v>0</v>
      </c>
      <c r="K62"/>
      <c r="L62"/>
      <c r="M62"/>
      <c r="N62"/>
      <c r="O62"/>
      <c r="P62"/>
    </row>
    <row r="63" spans="1:19">
      <c r="A63" s="490" t="s">
        <v>820</v>
      </c>
      <c r="C63" s="491">
        <f>COUNTIFS(D2:D49,A63)</f>
        <v>0</v>
      </c>
      <c r="E63" s="886" t="s">
        <v>1192</v>
      </c>
      <c r="F63" s="899">
        <f>COUNTIFS(E2:E49,E63)</f>
        <v>0</v>
      </c>
      <c r="H63" s="487" t="s">
        <v>1154</v>
      </c>
      <c r="I63" s="910">
        <f>IFERROR(GETPIVOTDATA("Sum of DISTANCE",$K$54,"CABLE TYPE","AC 12"),0)+IFERROR(GETPIVOTDATA("Sum of SLACK",$K$54,"CABLE TYPE","AC 12"),0)+IFERROR(GETPIVOTDATA("Sum of INVERT",$K$54,"CABLE TYPE","AC 12"),0)</f>
        <v>0</v>
      </c>
      <c r="K63"/>
      <c r="L63"/>
      <c r="M63"/>
      <c r="N63"/>
      <c r="O63"/>
      <c r="P63"/>
    </row>
    <row r="64" spans="1:19">
      <c r="A64" s="490" t="s">
        <v>810</v>
      </c>
      <c r="C64" s="491">
        <f>COUNTIFS(D2:D49,A64)</f>
        <v>0</v>
      </c>
      <c r="E64" s="886" t="s">
        <v>1189</v>
      </c>
      <c r="F64" s="899">
        <f>COUNTIFS(E2:E49,E64)</f>
        <v>0</v>
      </c>
      <c r="H64" s="487" t="s">
        <v>753</v>
      </c>
      <c r="I64" s="910">
        <f>IFERROR(GETPIVOTDATA("Sum of DISTANCE",$K$54,"CABLE TYPE","AC 24"),0)+IFERROR(GETPIVOTDATA("Sum of SLACK",$K$54,"CABLE TYPE","AC 24"),0)+IFERROR(GETPIVOTDATA("Sum of INVERT",$K$54,"CABLE TYPE","AC 24"),0)</f>
        <v>0</v>
      </c>
      <c r="K64"/>
      <c r="L64"/>
      <c r="M64"/>
      <c r="N64"/>
      <c r="O64"/>
      <c r="P64"/>
    </row>
    <row r="65" spans="1:16">
      <c r="A65" s="490" t="s">
        <v>811</v>
      </c>
      <c r="C65" s="491">
        <f>COUNTIFS(D2:D49,A65)</f>
        <v>0</v>
      </c>
      <c r="E65" s="886" t="s">
        <v>1193</v>
      </c>
      <c r="F65" s="899">
        <f>COUNTIFS(E2:E49,E65)</f>
        <v>0</v>
      </c>
      <c r="H65" s="487" t="s">
        <v>754</v>
      </c>
      <c r="I65" s="910">
        <f>IFERROR(GETPIVOTDATA("Sum of DISTANCE",$K$54,"CABLE TYPE","AC 48"),0)+IFERROR(GETPIVOTDATA("Sum of SLACK",$K$54,"CABLE TYPE","AC 48"),0)+IFERROR(GETPIVOTDATA("Sum of INVERT",$K$54,"CABLE TYPE","AC 48"),0)</f>
        <v>0</v>
      </c>
      <c r="K65"/>
      <c r="L65"/>
      <c r="M65"/>
      <c r="N65"/>
      <c r="O65"/>
      <c r="P65"/>
    </row>
    <row r="66" spans="1:16">
      <c r="A66" s="912" t="s">
        <v>1249</v>
      </c>
      <c r="C66" s="841">
        <f>COUNTIFS(D2:D49,A66)</f>
        <v>0</v>
      </c>
      <c r="E66" s="886" t="s">
        <v>1190</v>
      </c>
      <c r="F66" s="899">
        <f>COUNTIFS(E3:E50,E66)</f>
        <v>0</v>
      </c>
      <c r="H66" s="487" t="s">
        <v>755</v>
      </c>
      <c r="I66" s="910">
        <f>IFERROR(GETPIVOTDATA("Sum of DISTANCE",$K$54,"CABLE TYPE","AC 72"),0)+IFERROR(GETPIVOTDATA("Sum of SLACK",$K$54,"CABLE TYPE","AC 72"),0)+IFERROR(GETPIVOTDATA("Sum of INVERT",$K$54,"CABLE TYPE","AC 72"),0)</f>
        <v>0</v>
      </c>
      <c r="K66"/>
      <c r="L66"/>
      <c r="M66"/>
      <c r="N66"/>
      <c r="O66"/>
    </row>
    <row r="67" spans="1:16">
      <c r="A67" s="912" t="s">
        <v>1250</v>
      </c>
      <c r="C67" s="841">
        <f>COUNTIFS(D2:D49,A67)</f>
        <v>0</v>
      </c>
      <c r="E67" s="886" t="s">
        <v>1194</v>
      </c>
      <c r="F67" s="899">
        <f>COUNTIFS(E2:E49,E67)</f>
        <v>0</v>
      </c>
      <c r="H67" s="487" t="s">
        <v>1155</v>
      </c>
      <c r="I67" s="910">
        <f>IFERROR(GETPIVOTDATA("Sum of DISTANCE",$K$54,"CABLE TYPE","AC 144"),0)+IFERROR(GETPIVOTDATA("Sum of SLACK",$K$54,"CABLE TYPE","AC 144"),0)+IFERROR(GETPIVOTDATA("Sum of INVERT",$K$54,"CABLE TYPE","AC 144"),0)</f>
        <v>0</v>
      </c>
      <c r="K67"/>
      <c r="L67"/>
      <c r="M67"/>
      <c r="N67"/>
      <c r="O67"/>
    </row>
    <row r="68" spans="1:16">
      <c r="A68" s="912" t="s">
        <v>1251</v>
      </c>
      <c r="C68" s="841">
        <f>COUNTIFS(D2:D49,A68)</f>
        <v>0</v>
      </c>
      <c r="E68" s="886" t="s">
        <v>1195</v>
      </c>
      <c r="F68" s="899">
        <f>COUNTIFS(E2:E49,E68)</f>
        <v>0</v>
      </c>
      <c r="H68" s="315" t="s">
        <v>555</v>
      </c>
      <c r="I68" s="910">
        <f>IFERROR(GETPIVOTDATA("Sum of DISTANCE",$K$54,"CABLE TYPE","CST 144"),0)+IFERROR(GETPIVOTDATA("Sum of SLACK",$K$54,"CABLE TYPE","CST 144"),0)+IFERROR(GETPIVOTDATA("Sum of INVERT",$K$54,"CABLE TYPE","CST 144"),0)</f>
        <v>0</v>
      </c>
      <c r="K68"/>
      <c r="L68"/>
      <c r="M68"/>
      <c r="N68"/>
      <c r="O68"/>
    </row>
    <row r="69" spans="1:16">
      <c r="A69" s="912" t="s">
        <v>1252</v>
      </c>
      <c r="C69" s="841">
        <f>COUNTIFS(D2:D49,A69)</f>
        <v>0</v>
      </c>
      <c r="E69" s="886" t="s">
        <v>1181</v>
      </c>
      <c r="F69" s="899">
        <f>COUNTIFS(E6:E53,E69)</f>
        <v>0</v>
      </c>
      <c r="H69" s="315" t="s">
        <v>556</v>
      </c>
      <c r="I69" s="910">
        <f>IFERROR(GETPIVOTDATA("Sum of DISTANCE",$K$54,"CABLE TYPE","CST 288"),0)+IFERROR(GETPIVOTDATA("Sum of SLACK",$K$54,"CABLE TYPE","CST 288"),0)+IFERROR(GETPIVOTDATA("Sum of INVERT",$K$54,"CABLE TYPE","CST 288"),0)</f>
        <v>0</v>
      </c>
    </row>
    <row r="70" spans="1:16" ht="15" thickBot="1">
      <c r="A70" s="912" t="s">
        <v>1253</v>
      </c>
      <c r="C70" s="841">
        <f>COUNTIFS(D2:D49,A70)</f>
        <v>0</v>
      </c>
      <c r="E70" s="886" t="s">
        <v>1182</v>
      </c>
      <c r="F70" s="899">
        <f>COUNTIFS(E6:E53,E70)</f>
        <v>0</v>
      </c>
      <c r="H70" s="315" t="s">
        <v>544</v>
      </c>
      <c r="I70" s="910">
        <f>IFERROR(GETPIVOTDATA("Sum of DISTANCE",$K$54,"CABLE TYPE","FOCUS 72"),0)+IFERROR(GETPIVOTDATA("Sum of SLACK",$K$54,"CABLE TYPE","FOCUS 72"),0)+IFERROR(GETPIVOTDATA("Sum of INVERT",$K$54,"CABLE TYPE","FOCUS 72"),0)</f>
        <v>0</v>
      </c>
      <c r="N70"/>
    </row>
    <row r="71" spans="1:16" ht="15" thickBot="1">
      <c r="A71" s="912" t="s">
        <v>1254</v>
      </c>
      <c r="C71" s="841">
        <f>COUNTIFS(D2:D49,A71)</f>
        <v>0</v>
      </c>
      <c r="E71" s="886" t="s">
        <v>1184</v>
      </c>
      <c r="F71" s="899">
        <f>COUNTIFS(E6:E53,E71)</f>
        <v>0</v>
      </c>
      <c r="H71" s="315" t="s">
        <v>545</v>
      </c>
      <c r="I71" s="910">
        <f>IFERROR(GETPIVOTDATA("Sum of DISTANCE",$K$54,"CABLE TYPE","FOCUS 144"),0)+IFERROR(GETPIVOTDATA("Sum of SLACK",$K$54,"CABLE TYPE","FOCUS 144"),0)+IFERROR(GETPIVOTDATA("Sum of INVERT",$K$54,"CABLE TYPE","FOCUS 144"),0)</f>
        <v>0</v>
      </c>
      <c r="K71" s="1185" t="s">
        <v>623</v>
      </c>
      <c r="L71" s="1186"/>
      <c r="N71" s="1185" t="s">
        <v>625</v>
      </c>
      <c r="O71" s="1186"/>
    </row>
    <row r="72" spans="1:16">
      <c r="A72" s="912" t="s">
        <v>1255</v>
      </c>
      <c r="C72" s="841">
        <f>COUNTIFS(D2:D49,A72)</f>
        <v>0</v>
      </c>
      <c r="E72" s="886" t="s">
        <v>1183</v>
      </c>
      <c r="F72" s="899">
        <f>COUNTIFS(E6:E53,E72)</f>
        <v>0</v>
      </c>
      <c r="H72" s="323" t="s">
        <v>546</v>
      </c>
      <c r="I72" s="911">
        <f>IFERROR(GETPIVOTDATA("Sum of DISTANCE",$K$54,"CABLE TYPE","FOCUS 288"),0)+IFERROR(GETPIVOTDATA("Sum of SLACK",$K$54,"CABLE TYPE","FOCUS 288"),0)+IFERROR(GETPIVOTDATA("Sum of INVERT",$K$54,"CABLE TYPE","FOCUS 288"),0)</f>
        <v>0</v>
      </c>
      <c r="K72" s="313" t="s">
        <v>550</v>
      </c>
      <c r="L72" t="s">
        <v>551</v>
      </c>
      <c r="M72"/>
      <c r="N72" s="313" t="s">
        <v>550</v>
      </c>
      <c r="O72" t="s">
        <v>551</v>
      </c>
      <c r="P72"/>
    </row>
    <row r="73" spans="1:16" ht="15" thickBot="1">
      <c r="A73" s="488" t="s">
        <v>813</v>
      </c>
      <c r="C73" s="489">
        <f>COUNTIFS(D2:D49,A73)</f>
        <v>0</v>
      </c>
      <c r="E73" s="223" t="s">
        <v>757</v>
      </c>
      <c r="F73" s="898">
        <f>COUNTIFS(E2:E49,E73)</f>
        <v>1</v>
      </c>
      <c r="H73" s="912" t="s">
        <v>1244</v>
      </c>
      <c r="I73" s="911">
        <f>IFERROR(GETPIVOTDATA("Sum of DISTANCE",$K$54,"CABLE TYPE","VERTICASA (2X12) 24F"),0)+IFERROR(GETPIVOTDATA("Sum of SLACK",$K$54,"CABLE TYPE","VERTICASA (2X12) 24F"),0)+IFERROR(GETPIVOTDATA("Sum of INVERT",$K$54,"CABLE TYPE","VERTICASA (2X12) 24F"),0)</f>
        <v>0</v>
      </c>
      <c r="K73" s="314" t="s">
        <v>785</v>
      </c>
      <c r="L73" s="1217">
        <v>59</v>
      </c>
      <c r="M73"/>
      <c r="N73" s="314" t="s">
        <v>1279</v>
      </c>
      <c r="O73" s="1217">
        <v>2</v>
      </c>
      <c r="P73"/>
    </row>
    <row r="74" spans="1:16">
      <c r="E74" s="223" t="s">
        <v>158</v>
      </c>
      <c r="F74" s="898">
        <f>COUNTIFS(E2:E49,E74)</f>
        <v>0</v>
      </c>
      <c r="H74" s="912" t="s">
        <v>1245</v>
      </c>
      <c r="I74" s="911">
        <f>IFERROR(GETPIVOTDATA("Sum of DISTANCE",$K$54,"CABLE TYPE","VERTICASA (2X24) 48F"),0)+IFERROR(GETPIVOTDATA("Sum of SLACK",$K$54,"CABLE TYPE","VERTICASA (2X24) 48F"),0)+IFERROR(GETPIVOTDATA("Sum of INVERT",$K$54,"CABLE TYPE","VERTICASA (2X24) 48F"),0)</f>
        <v>0</v>
      </c>
      <c r="K74" s="314" t="s">
        <v>549</v>
      </c>
      <c r="L74" s="1217">
        <v>59</v>
      </c>
      <c r="M74"/>
      <c r="N74" s="314" t="s">
        <v>1278</v>
      </c>
      <c r="O74" s="1217">
        <v>26</v>
      </c>
      <c r="P74"/>
    </row>
    <row r="75" spans="1:16" ht="15" thickBot="1">
      <c r="E75" s="223" t="s">
        <v>758</v>
      </c>
      <c r="F75" s="898">
        <f>COUNTIFS(E2:E49,E75)</f>
        <v>0</v>
      </c>
      <c r="H75" s="323" t="s">
        <v>1246</v>
      </c>
      <c r="I75" s="911">
        <f>IFERROR(GETPIVOTDATA("Sum of DISTANCE",$K$54,"CABLE TYPE","VERTICASA (2X48) 96F"),0)+IFERROR(GETPIVOTDATA("Sum of SLACK",$K$54,"CABLE TYPE","VERTICASA (2X48) 96F"),0)+IFERROR(GETPIVOTDATA("Sum of INVERT",$K$54,"CABLE TYPE","VERTICASA (2X48) 96F"),0)</f>
        <v>0</v>
      </c>
      <c r="K75"/>
      <c r="L75"/>
      <c r="M75"/>
      <c r="N75" s="314" t="s">
        <v>911</v>
      </c>
      <c r="O75" s="1217">
        <v>3</v>
      </c>
      <c r="P75"/>
    </row>
    <row r="76" spans="1:16">
      <c r="E76" s="223" t="s">
        <v>759</v>
      </c>
      <c r="F76" s="898">
        <f>COUNTIFS(E2:E49,E76)</f>
        <v>0</v>
      </c>
      <c r="H76" s="539" t="s">
        <v>937</v>
      </c>
      <c r="I76" s="907">
        <f>IFERROR(GETPIVOTDATA("Sum of DISTANCE",$K$54,"CABLE TYPE","2 F DUAL DROP CABLE"),0)+IFERROR(GETPIVOTDATA("Sum of SLACK",$K$54,"CABLE TYPE","2 F DUAL DROP CABLE"),0)+IFERROR(GETPIVOTDATA("Sum of INVERT",$K$54,"CABLE TYPE","2 F DUAL DROP CABLE"),0)</f>
        <v>74</v>
      </c>
      <c r="K76"/>
      <c r="L76"/>
      <c r="M76"/>
      <c r="N76" s="314" t="s">
        <v>776</v>
      </c>
      <c r="O76" s="1217">
        <v>6</v>
      </c>
      <c r="P76"/>
    </row>
    <row r="77" spans="1:16">
      <c r="E77" s="436" t="s">
        <v>817</v>
      </c>
      <c r="F77" s="898">
        <f>COUNTIFS(E2:E49,E77)</f>
        <v>0</v>
      </c>
      <c r="H77" s="540" t="s">
        <v>938</v>
      </c>
      <c r="I77" s="908">
        <f>IFERROR(GETPIVOTDATA("Sum of DISTANCE",$K$54,"CABLE TYPE","4 F DUAL DROP CABLE"),0)+IFERROR(GETPIVOTDATA("Sum of SLACK",$K$54,"CABLE TYPE","4 F DUAL DROP CABLE"),0)+IFERROR(GETPIVOTDATA("Sum of INVERT",$K$54,"CABLE TYPE","4 F DUAL DROP CABLE"),0)</f>
        <v>0</v>
      </c>
      <c r="K77"/>
      <c r="L77"/>
      <c r="M77"/>
      <c r="N77" s="314" t="s">
        <v>767</v>
      </c>
      <c r="O77" s="1217">
        <v>22</v>
      </c>
      <c r="P77"/>
    </row>
    <row r="78" spans="1:16">
      <c r="E78" s="224" t="s">
        <v>819</v>
      </c>
      <c r="F78" s="900">
        <f>COUNTIFS(E2:E49,E78)</f>
        <v>0</v>
      </c>
      <c r="H78" s="540" t="s">
        <v>939</v>
      </c>
      <c r="I78" s="908">
        <f>IFERROR(GETPIVOTDATA("Sum of DISTANCE",$K$54,"CABLE TYPE","6 F DUAL DROP CABLE"),0)+IFERROR(GETPIVOTDATA("Sum of SLACK",$K$54,"CABLE TYPE","6 F DUAL DROP CABLE"),0)+IFERROR(GETPIVOTDATA("Sum of INVERT",$K$54,"CABLE TYPE","6 F DUAL DROP CABLE"),0)</f>
        <v>0</v>
      </c>
      <c r="K78"/>
      <c r="L78"/>
      <c r="M78"/>
      <c r="N78" s="314" t="s">
        <v>549</v>
      </c>
      <c r="O78" s="1217">
        <v>59</v>
      </c>
      <c r="P78"/>
    </row>
    <row r="79" spans="1:16" ht="15" thickBot="1">
      <c r="E79" s="225" t="s">
        <v>760</v>
      </c>
      <c r="F79" s="901">
        <f>COUNTIFS(E2:E49,E79)</f>
        <v>0</v>
      </c>
      <c r="H79" s="540" t="s">
        <v>940</v>
      </c>
      <c r="I79" s="908">
        <f>IFERROR(GETPIVOTDATA("Sum of DISTANCE",$K$54,"CABLE TYPE","8 F DUAL DROP CABLE"),0)+IFERROR(GETPIVOTDATA("Sum of SLACK",$K$54,"CABLE TYPE","8 F DUAL DROP CABLE"),0)+IFERROR(GETPIVOTDATA("Sum of INVERT",$K$54,"CABLE TYPE","8 F DUAL DROP CABLE"),0)</f>
        <v>0</v>
      </c>
      <c r="K79"/>
      <c r="L79"/>
      <c r="M79"/>
      <c r="N79"/>
      <c r="O79"/>
      <c r="P79"/>
    </row>
    <row r="80" spans="1:16">
      <c r="F80" s="329"/>
      <c r="H80" s="540" t="s">
        <v>941</v>
      </c>
      <c r="I80" s="908">
        <f>IFERROR(GETPIVOTDATA("Sum of DISTANCE",$K$54,"CABLE TYPE","12 F DUAL DROP CABLE"),0)+IFERROR(GETPIVOTDATA("Sum of SLACK",$K$54,"CABLE TYPE","12 F DUAL DROP CABLE"),0)+IFERROR(GETPIVOTDATA("Sum of INVERT",$K$54,"CABLE TYPE","12 F DUAL DROP CABLE"),0)</f>
        <v>0</v>
      </c>
      <c r="K80"/>
      <c r="L80"/>
      <c r="M80"/>
      <c r="N80"/>
      <c r="O80"/>
      <c r="P80"/>
    </row>
    <row r="81" spans="5:16" ht="15" thickBot="1">
      <c r="F81" s="329"/>
      <c r="H81" s="541" t="s">
        <v>942</v>
      </c>
      <c r="I81" s="909">
        <f>IFERROR(GETPIVOTDATA("Sum of DISTANCE",$K$54,"CABLE TYPE","24 F DUAL DROP CABLE"),0)+IFERROR(GETPIVOTDATA("Sum of SLACK",$K$54,"CABLE TYPE","24 F DUAL DROP CABLE"),0)+IFERROR(GETPIVOTDATA("Sum of INVERT",$K$54,"CABLE TYPE","24 F DUAL DROP CABLE"),0)</f>
        <v>0</v>
      </c>
      <c r="K81"/>
      <c r="L81"/>
      <c r="M81"/>
      <c r="N81"/>
      <c r="O81"/>
      <c r="P81"/>
    </row>
    <row r="82" spans="5:16" ht="15" thickBot="1">
      <c r="E82" s="222" t="s">
        <v>761</v>
      </c>
      <c r="F82" s="896">
        <f>COUNTIFS(J2:J49,E82)</f>
        <v>0</v>
      </c>
      <c r="H82" s="623" t="s">
        <v>1070</v>
      </c>
      <c r="I82" s="624">
        <f>SUM(I76:I81)</f>
        <v>74</v>
      </c>
      <c r="K82" s="1185" t="s">
        <v>624</v>
      </c>
      <c r="L82" s="1186"/>
      <c r="M82"/>
      <c r="N82"/>
      <c r="O82"/>
      <c r="P82"/>
    </row>
    <row r="83" spans="5:16">
      <c r="E83" s="223" t="s">
        <v>762</v>
      </c>
      <c r="F83" s="898">
        <f>COUNTIFS(J2:J49,E83)</f>
        <v>0</v>
      </c>
      <c r="H83" s="222" t="s">
        <v>781</v>
      </c>
      <c r="I83" s="896">
        <f>IFERROR(GETPIVOTDATA("CABLE TYPE",$K$83,"CABLE TYPE","10m Wall Box Cable"),0)</f>
        <v>0</v>
      </c>
      <c r="K83" s="313" t="s">
        <v>550</v>
      </c>
      <c r="L83" t="s">
        <v>594</v>
      </c>
      <c r="M83"/>
      <c r="N83"/>
      <c r="O83"/>
      <c r="P83"/>
    </row>
    <row r="84" spans="5:16">
      <c r="E84" s="223" t="s">
        <v>763</v>
      </c>
      <c r="F84" s="898">
        <f>COUNTIFS(J2:J49,E84)</f>
        <v>0</v>
      </c>
      <c r="H84" s="324" t="s">
        <v>782</v>
      </c>
      <c r="I84" s="903">
        <f>IFERROR(GETPIVOTDATA("CABLE TYPE",$K$83,"CABLE TYPE","30m Wall Box Cable"),0)</f>
        <v>0</v>
      </c>
      <c r="K84" s="314" t="s">
        <v>1266</v>
      </c>
      <c r="L84" s="1218"/>
      <c r="M84"/>
      <c r="P84"/>
    </row>
    <row r="85" spans="5:16">
      <c r="E85" s="223" t="s">
        <v>764</v>
      </c>
      <c r="F85" s="898">
        <f>COUNTIFS(J2:J49,E85)</f>
        <v>0</v>
      </c>
      <c r="H85" s="324" t="s">
        <v>783</v>
      </c>
      <c r="I85" s="903">
        <f>IFERROR(GETPIVOTDATA("CABLE TYPE",$K$83,"CABLE TYPE","70m Wall Box Cable"),0)</f>
        <v>0</v>
      </c>
      <c r="K85" s="314" t="s">
        <v>549</v>
      </c>
      <c r="L85" s="1218"/>
      <c r="M85"/>
      <c r="P85"/>
    </row>
    <row r="86" spans="5:16" ht="15" thickBot="1">
      <c r="E86" s="223" t="s">
        <v>765</v>
      </c>
      <c r="F86" s="898">
        <f>COUNTIFS(J2:J49,E86)</f>
        <v>0</v>
      </c>
      <c r="H86" s="325" t="s">
        <v>784</v>
      </c>
      <c r="I86" s="905">
        <f>IFERROR(GETPIVOTDATA("CABLE TYPE",$K$83,"CABLE TYPE","100m Wall Box Cable"),0)</f>
        <v>0</v>
      </c>
      <c r="K86"/>
      <c r="L86"/>
      <c r="M86"/>
      <c r="N86"/>
      <c r="O86"/>
      <c r="P86"/>
    </row>
    <row r="87" spans="5:16" ht="15" thickBot="1">
      <c r="E87" s="225" t="s">
        <v>766</v>
      </c>
      <c r="F87" s="901">
        <f>COUNTIFS(J2:J49,E87)</f>
        <v>0</v>
      </c>
      <c r="I87" s="328">
        <f>(I83*10)+(I84*30)+(I85*70)+(I86*100)</f>
        <v>0</v>
      </c>
      <c r="K87"/>
      <c r="L87"/>
      <c r="M87"/>
      <c r="N87"/>
      <c r="O87"/>
      <c r="P87"/>
    </row>
    <row r="88" spans="5:16" ht="15" thickBot="1">
      <c r="K88"/>
      <c r="L88"/>
      <c r="M88"/>
      <c r="N88"/>
      <c r="O88"/>
      <c r="P88"/>
    </row>
    <row r="89" spans="5:16" ht="15" thickBot="1">
      <c r="H89" s="222" t="s">
        <v>1248</v>
      </c>
      <c r="I89" s="896">
        <f>IFERROR(GETPIVOTDATA("Sum of DISTANCE",$K$72,"SUB DUCT","EXISTING DUCTING"),0)</f>
        <v>0</v>
      </c>
      <c r="K89"/>
      <c r="L89"/>
      <c r="M89"/>
      <c r="N89"/>
      <c r="O89"/>
      <c r="P89"/>
    </row>
    <row r="90" spans="5:16">
      <c r="E90" s="222" t="s">
        <v>767</v>
      </c>
      <c r="F90" s="896">
        <f>IFERROR(GETPIVOTDATA("Sum of DISTANCE",$N$72,"DUCT TYPE","Direct Buried"),0)</f>
        <v>22</v>
      </c>
      <c r="H90" s="330" t="s">
        <v>785</v>
      </c>
      <c r="I90" s="902">
        <f>IFERROR(GETPIVOTDATA("Sum of DISTANCE",$K$72,"SUB DUCT","14/10-1 Way"),0)+IFERROR((GETPIVOTDATA("Sum of DISTANCE",$K$72,"SUB DUCT","14/10-1 Way")*5%),0)</f>
        <v>61.95</v>
      </c>
      <c r="K90"/>
      <c r="L90"/>
      <c r="M90"/>
      <c r="N90"/>
      <c r="O90"/>
      <c r="P90"/>
    </row>
    <row r="91" spans="5:16">
      <c r="E91" s="330" t="s">
        <v>831</v>
      </c>
      <c r="F91" s="902">
        <f>IFERROR(GETPIVOTDATA("Sum of DISTANCE",$N$72,"DUCT TYPE","AERIAL"),0)</f>
        <v>0</v>
      </c>
      <c r="H91" s="487" t="s">
        <v>786</v>
      </c>
      <c r="I91" s="906">
        <f>IFERROR(GETPIVOTDATA("Sum of DISTANCE",$K$72,"SUB DUCT","14/10-2 Way"),0)+IFERROR((GETPIVOTDATA("Sum of DISTANCE",$K$72,"SUB DUCT","14/10-2 Way")*5%),0)</f>
        <v>0</v>
      </c>
      <c r="K91"/>
      <c r="L91"/>
      <c r="M91"/>
      <c r="N91"/>
      <c r="O91"/>
      <c r="P91"/>
    </row>
    <row r="92" spans="5:16">
      <c r="E92" s="330" t="s">
        <v>768</v>
      </c>
      <c r="F92" s="902">
        <f>IFERROR(GETPIVOTDATA("Sum of DISTANCE",$N$72,"DUCT TYPE","40mm Aggri"),0)</f>
        <v>0</v>
      </c>
      <c r="H92" s="487" t="s">
        <v>787</v>
      </c>
      <c r="I92" s="906">
        <f>IFERROR(GETPIVOTDATA("Sum of DISTANCE",$K$72,"SUB DUCT","14/10-4 Way"),0)+IFERROR((GETPIVOTDATA("Sum of DISTANCE",$K$72,"SUB DUCT","14/10-4 Way")*5%),0)</f>
        <v>0</v>
      </c>
      <c r="K92"/>
      <c r="L92"/>
      <c r="M92"/>
      <c r="N92"/>
      <c r="O92"/>
      <c r="P92"/>
    </row>
    <row r="93" spans="5:16" ht="15" thickBot="1">
      <c r="E93" s="324" t="s">
        <v>769</v>
      </c>
      <c r="F93" s="903">
        <f>IFERROR(GETPIVOTDATA("Sum of DISTANCE",$N$72,"DUCT TYPE","50mm Aggri"),0)+IFERROR(GETPIVOTDATA("Sum of Slack",$N$95,"MH TYPE","New Pole 7,2m (Route Start)"),0)+IFERROR(GETPIVOTDATA("Sum of Slack",$N$95,"MH TYPE","New Pole 9m (Route Start)"),0)+IFERROR(GETPIVOTDATA("Sum of Slack",$N$95,"MH TYPE","Existing Pole (Route Start)"),0)</f>
        <v>0</v>
      </c>
      <c r="H93" s="487" t="s">
        <v>788</v>
      </c>
      <c r="I93" s="906">
        <f>IFERROR(GETPIVOTDATA("Sum of DISTANCE",$K$72,"SUB DUCT","14/10-7 Way"),0)+IFERROR((GETPIVOTDATA("Sum of DISTANCE",$K$72,"SUB DUCT","14/10-7 Way")*5%),0)</f>
        <v>0</v>
      </c>
      <c r="K93"/>
      <c r="L93"/>
      <c r="M93"/>
      <c r="N93"/>
      <c r="O93"/>
      <c r="P93"/>
    </row>
    <row r="94" spans="5:16" ht="15" thickBot="1">
      <c r="E94" s="324" t="s">
        <v>770</v>
      </c>
      <c r="F94" s="903">
        <f>IFERROR(GETPIVOTDATA("Sum of DISTANCE",$N$72,"DUCT TYPE","110mm HDPE pipe"),0)</f>
        <v>0</v>
      </c>
      <c r="H94" s="487" t="s">
        <v>789</v>
      </c>
      <c r="I94" s="906">
        <f>IFERROR(GETPIVOTDATA("Sum of DISTANCE",$K$72,"SUB DUCT","12/10-2 Way"),0)+IFERROR((GETPIVOTDATA("Sum of DISTANCE",$K$72,"SUB DUCT","12/10-2 Way")*5%),0)</f>
        <v>0</v>
      </c>
      <c r="K94" s="1185" t="s">
        <v>626</v>
      </c>
      <c r="L94" s="1186"/>
      <c r="N94" s="1185" t="s">
        <v>1186</v>
      </c>
      <c r="O94" s="1186"/>
      <c r="P94"/>
    </row>
    <row r="95" spans="5:16">
      <c r="E95" s="331" t="s">
        <v>771</v>
      </c>
      <c r="F95" s="904">
        <f>IFERROR(GETPIVOTDATA("Sum of DISTANCE",$N$72,"DUCT TYPE","110MM DRILL PIPE"),0)</f>
        <v>0</v>
      </c>
      <c r="H95" s="487" t="s">
        <v>790</v>
      </c>
      <c r="I95" s="906">
        <f>IFERROR(GETPIVOTDATA("Sum of DISTANCE",$K$72,"SUB DUCT","12/10-4 Way"),0)+IFERROR((GETPIVOTDATA("Sum of DISTANCE",$K$72,"SUB DUCT","12/10-4 Way")*5%),0)</f>
        <v>0</v>
      </c>
      <c r="K95" s="313" t="s">
        <v>550</v>
      </c>
      <c r="L95" t="s">
        <v>551</v>
      </c>
      <c r="N95" s="313" t="s">
        <v>550</v>
      </c>
      <c r="O95" t="s">
        <v>552</v>
      </c>
      <c r="P95"/>
    </row>
    <row r="96" spans="5:16">
      <c r="E96" s="331" t="s">
        <v>772</v>
      </c>
      <c r="F96" s="904">
        <f>IFERROR(GETPIVOTDATA("Sum of DISTANCE",$N$72,"DUCT TYPE","50mm Bosal"),0)</f>
        <v>0</v>
      </c>
      <c r="H96" s="886" t="s">
        <v>791</v>
      </c>
      <c r="I96" s="899">
        <f>IFERROR(GETPIVOTDATA("Sum of DISTANCE",$K$72,"SUB DUCT","12/10-7 Way"),0)+IFERROR((GETPIVOTDATA("Sum of DISTANCE",$K$72,"SUB DUCT","12/10-7 Way")*5%),0)</f>
        <v>0</v>
      </c>
      <c r="K96" s="314" t="s">
        <v>1279</v>
      </c>
      <c r="L96" s="1217">
        <v>2</v>
      </c>
      <c r="N96" s="314" t="s">
        <v>1266</v>
      </c>
      <c r="O96" s="1217">
        <v>5</v>
      </c>
      <c r="P96"/>
    </row>
    <row r="97" spans="5:16">
      <c r="E97" s="331" t="s">
        <v>773</v>
      </c>
      <c r="F97" s="904">
        <f>IFERROR(GETPIVOTDATA("Sum of DISTANCE",$N$72,"DUCT TYPE","Existing Duct"),0)</f>
        <v>0</v>
      </c>
      <c r="H97" s="330" t="s">
        <v>1247</v>
      </c>
      <c r="I97" s="902">
        <f>IFERROR(GETPIVOTDATA("Sum of DISTANCE",$K$72,"SUB DUCT","DIRECT"),0)</f>
        <v>0</v>
      </c>
      <c r="K97" s="314" t="s">
        <v>1278</v>
      </c>
      <c r="L97" s="1217">
        <v>26</v>
      </c>
      <c r="N97" s="314" t="s">
        <v>757</v>
      </c>
      <c r="O97" s="1217">
        <v>10</v>
      </c>
      <c r="P97"/>
    </row>
    <row r="98" spans="5:16" ht="15" thickBot="1">
      <c r="E98" s="436" t="s">
        <v>774</v>
      </c>
      <c r="F98" s="904">
        <f>IFERROR(GETPIVOTDATA("Sum of DISTANCE",$N$72,"DUCT TYPE","25mm Sprague"),0)</f>
        <v>0</v>
      </c>
      <c r="H98" s="1000" t="s">
        <v>831</v>
      </c>
      <c r="I98" s="1001">
        <f>IFERROR(GETPIVOTDATA("Sum of DISTANCE",$K$72,"SUB DUCT","AERIAL"),0)+IFERROR((GETPIVOTDATA("Sum of DISTANCE",$K$72,"SUB DUCT","AERIAL")*10%),0)</f>
        <v>0</v>
      </c>
      <c r="K98" s="314" t="s">
        <v>911</v>
      </c>
      <c r="L98" s="1217">
        <v>3</v>
      </c>
      <c r="N98" s="314" t="s">
        <v>549</v>
      </c>
      <c r="O98" s="1217">
        <v>15</v>
      </c>
      <c r="P98"/>
    </row>
    <row r="99" spans="5:16">
      <c r="E99" s="436" t="s">
        <v>775</v>
      </c>
      <c r="F99" s="904">
        <f>IFERROR(GETPIVOTDATA("Sum of DISTANCE",$N$72,"DUCT TYPE","50mm Sprague"),0)</f>
        <v>0</v>
      </c>
      <c r="K99" s="314" t="s">
        <v>776</v>
      </c>
      <c r="L99" s="1217">
        <v>6</v>
      </c>
      <c r="N99"/>
      <c r="O99"/>
      <c r="P99"/>
    </row>
    <row r="100" spans="5:16" ht="15" thickBot="1">
      <c r="E100" s="436" t="s">
        <v>776</v>
      </c>
      <c r="F100" s="904">
        <f>IFERROR(GETPIVOTDATA("Sum of DISTANCE",$N$72,"DUCT TYPE","25mm PVC"),0)</f>
        <v>6</v>
      </c>
      <c r="K100" s="314" t="s">
        <v>798</v>
      </c>
      <c r="L100" s="1217">
        <v>14</v>
      </c>
      <c r="N100"/>
      <c r="O100"/>
      <c r="P100"/>
    </row>
    <row r="101" spans="5:16">
      <c r="E101" s="436" t="s">
        <v>777</v>
      </c>
      <c r="F101" s="904">
        <f>IFERROR(GETPIVOTDATA("Sum of DISTANCE",$N$72,"DUCT TYPE","50mm PVC"),0)</f>
        <v>0</v>
      </c>
      <c r="H101" s="222" t="s">
        <v>1243</v>
      </c>
      <c r="I101" s="896">
        <f>IFERROR(GETPIVOTDATA("Sum of DISTANCE",$K$95,"TRENCH TYPE","IN BUILDING"),0)</f>
        <v>0</v>
      </c>
      <c r="K101" s="314" t="s">
        <v>792</v>
      </c>
      <c r="L101" s="1217">
        <v>8</v>
      </c>
      <c r="N101"/>
      <c r="O101"/>
    </row>
    <row r="102" spans="5:16">
      <c r="E102" s="436" t="s">
        <v>910</v>
      </c>
      <c r="F102" s="904">
        <f>IFERROR(GETPIVOTDATA("Sum of DISTANCE",$N$72,"DUCT TYPE","TRUNKING 16x16"),0)</f>
        <v>0</v>
      </c>
      <c r="H102" s="330" t="s">
        <v>792</v>
      </c>
      <c r="I102" s="902">
        <f>IFERROR(GETPIVOTDATA("Sum of DISTANCE",$K$95,"TRENCH TYPE","Soil"),0)</f>
        <v>8</v>
      </c>
      <c r="K102" s="314" t="s">
        <v>549</v>
      </c>
      <c r="L102" s="1217">
        <v>59</v>
      </c>
    </row>
    <row r="103" spans="5:16">
      <c r="E103" s="436" t="s">
        <v>911</v>
      </c>
      <c r="F103" s="904">
        <f>IFERROR(GETPIVOTDATA("Sum of DISTANCE",$N$72,"DUCT TYPE","TRUNKING 25x25"),0)</f>
        <v>3</v>
      </c>
      <c r="H103" s="330" t="s">
        <v>831</v>
      </c>
      <c r="I103" s="902">
        <f>IFERROR(GETPIVOTDATA("Sum of DISTANCE",$K$95,"TRENCH TYPE","AERIAL"),0)</f>
        <v>0</v>
      </c>
      <c r="K103"/>
      <c r="L103"/>
    </row>
    <row r="104" spans="5:16">
      <c r="E104" s="436" t="s">
        <v>912</v>
      </c>
      <c r="F104" s="904">
        <f>IFERROR(GETPIVOTDATA("Sum of DISTANCE",$N$72,"DUCT TYPE","TRUNKING 40x40"),0)</f>
        <v>0</v>
      </c>
      <c r="H104" s="324" t="s">
        <v>793</v>
      </c>
      <c r="I104" s="903">
        <f>IFERROR(GETPIVOTDATA("Sum of DISTANCE",$K$95,"TRENCH TYPE","DW Paving"),0)</f>
        <v>0</v>
      </c>
      <c r="K104"/>
      <c r="L104"/>
    </row>
    <row r="105" spans="5:16">
      <c r="E105" s="436" t="s">
        <v>909</v>
      </c>
      <c r="F105" s="904">
        <f>IFERROR(GETPIVOTDATA("Sum of DISTANCE",$N$72,"DUCT TYPE","EXISTING TRUNKING"),0)</f>
        <v>0</v>
      </c>
      <c r="H105" s="324" t="s">
        <v>794</v>
      </c>
      <c r="I105" s="903">
        <f>IFERROR(GETPIVOTDATA("Sum of DISTANCE",$K$95,"TRENCH TYPE","DW Asphalt"),0)</f>
        <v>0</v>
      </c>
      <c r="K105"/>
      <c r="L105"/>
    </row>
    <row r="106" spans="5:16">
      <c r="E106" s="436" t="s">
        <v>778</v>
      </c>
      <c r="F106" s="904">
        <f>IFERROR(GETPIVOTDATA("Sum of DISTANCE",$N$72,"DUCT TYPE","Existing Cable Tray"),0)</f>
        <v>0</v>
      </c>
      <c r="H106" s="324" t="s">
        <v>795</v>
      </c>
      <c r="I106" s="903">
        <f>IFERROR(GETPIVOTDATA("Sum of DISTANCE",$K$95,"TRENCH TYPE","RC Drill"),0)</f>
        <v>0</v>
      </c>
      <c r="K106"/>
      <c r="L106"/>
    </row>
    <row r="107" spans="5:16">
      <c r="E107" s="436" t="s">
        <v>779</v>
      </c>
      <c r="F107" s="904">
        <f>IFERROR(GETPIVOTDATA("Sum of DISTANCE",$N$72,"DUCT TYPE","Cable Tray"),0)</f>
        <v>0</v>
      </c>
      <c r="H107" s="324" t="s">
        <v>796</v>
      </c>
      <c r="I107" s="903">
        <f>IFERROR(GETPIVOTDATA("Sum of DISTANCE",$K$95,"TRENCH TYPE","DW Drill"),0)</f>
        <v>0</v>
      </c>
    </row>
    <row r="108" spans="5:16">
      <c r="E108" s="331" t="s">
        <v>158</v>
      </c>
      <c r="F108" s="904">
        <f>IFERROR(GETPIVOTDATA("Sum of DISTANCE",$N$72,"DUCT TYPE","Sewer"),0)</f>
        <v>0</v>
      </c>
      <c r="H108" s="324" t="s">
        <v>797</v>
      </c>
      <c r="I108" s="903">
        <f>IFERROR(GETPIVOTDATA("Sum of DISTANCE",$K$95,"TRENCH TYPE","Tar Cut"),0)</f>
        <v>0</v>
      </c>
    </row>
    <row r="109" spans="5:16">
      <c r="E109" s="331" t="s">
        <v>758</v>
      </c>
      <c r="F109" s="904">
        <f>IFERROR(GETPIVOTDATA("Sum of DISTANCE",$N$72,"DUCT TYPE","Stormwater"),0)</f>
        <v>0</v>
      </c>
      <c r="H109" s="324" t="s">
        <v>798</v>
      </c>
      <c r="I109" s="903">
        <f>IFERROR(GETPIVOTDATA("Sum of DISTANCE",$K$95,"TRENCH TYPE","Paving"),0)</f>
        <v>14</v>
      </c>
    </row>
    <row r="110" spans="5:16" ht="15" thickBot="1">
      <c r="E110" s="325" t="s">
        <v>780</v>
      </c>
      <c r="F110" s="905">
        <f>IFERROR(GETPIVOTDATA("Sum of DISTANCE",$N$72,"DUCT TYPE","3rd Party Duct"),0)</f>
        <v>0</v>
      </c>
      <c r="H110" s="512" t="s">
        <v>876</v>
      </c>
      <c r="I110" s="903">
        <f>IFERROR(GETPIVOTDATA("Sum of DISTANCE",$K$95,"TRENCH TYPE","Landscape"),0)</f>
        <v>0</v>
      </c>
    </row>
    <row r="111" spans="5:16" ht="15" thickBot="1">
      <c r="H111" s="325" t="s">
        <v>799</v>
      </c>
      <c r="I111" s="905">
        <f>IFERROR(GETPIVOTDATA("Sum of DISTANCE",$K$95,"TRENCH TYPE","Concrete"),0)</f>
        <v>0</v>
      </c>
    </row>
  </sheetData>
  <autoFilter ref="A1:S49" xr:uid="{00000000-0009-0000-0000-000006000000}">
    <filterColumn colId="8">
      <customFilters>
        <customFilter operator="notEqual" val=" "/>
      </customFilters>
    </filterColumn>
  </autoFilter>
  <mergeCells count="6">
    <mergeCell ref="K94:L94"/>
    <mergeCell ref="K53:N53"/>
    <mergeCell ref="K71:L71"/>
    <mergeCell ref="K82:L82"/>
    <mergeCell ref="N71:O71"/>
    <mergeCell ref="N94:O94"/>
  </mergeCells>
  <phoneticPr fontId="139" type="noConversion"/>
  <dataValidations count="6">
    <dataValidation type="list" allowBlank="1" showInputMessage="1" showErrorMessage="1" sqref="J5:K6 L5:L49" xr:uid="{00000000-0002-0000-0600-000004000000}">
      <formula1>$E$90:$E$110</formula1>
    </dataValidation>
    <dataValidation type="list" allowBlank="1" showInputMessage="1" showErrorMessage="1" sqref="E2:E49" xr:uid="{00000000-0002-0000-0600-000001000000}">
      <formula1>$E$53:$E$79</formula1>
    </dataValidation>
    <dataValidation type="list" allowBlank="1" showInputMessage="1" showErrorMessage="1" sqref="K7:K49" xr:uid="{00000000-0002-0000-0600-000003000000}">
      <formula1>$H$101:$H$111</formula1>
    </dataValidation>
    <dataValidation type="list" allowBlank="1" showInputMessage="1" showErrorMessage="1" sqref="D2:D49" xr:uid="{00000000-0002-0000-0600-000002000000}">
      <formula1>$A$53:$A$73</formula1>
    </dataValidation>
    <dataValidation type="list" allowBlank="1" showInputMessage="1" showErrorMessage="1" sqref="N2:N49" xr:uid="{00000000-0002-0000-0600-000005000000}">
      <formula1>$H$53:$H$86</formula1>
    </dataValidation>
    <dataValidation type="list" allowBlank="1" showInputMessage="1" showErrorMessage="1" sqref="M2:M49" xr:uid="{00000000-0002-0000-0600-000000000000}">
      <formula1>$H$89:$H$98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M26" sqref="M26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pdfxml.1" shapeId="45059" r:id="rId4">
          <object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15</xdr:col>
                <xdr:colOff>541020</xdr:colOff>
                <xdr:row>37</xdr:row>
                <xdr:rowOff>83820</xdr:rowOff>
              </to>
            </anchor>
          </objectPr>
        </oleObject>
      </mc:Choice>
      <mc:Fallback>
        <oleObject progId="Acrobat.pdfxml.1" shapeId="45059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Nonoko Matlawe</cp:lastModifiedBy>
  <cp:lastPrinted>2021-10-11T09:54:34Z</cp:lastPrinted>
  <dcterms:created xsi:type="dcterms:W3CDTF">2013-02-18T15:08:29Z</dcterms:created>
  <dcterms:modified xsi:type="dcterms:W3CDTF">2023-08-22T14:28:48Z</dcterms:modified>
</cp:coreProperties>
</file>