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hamandlas\Desktop\Sipha Planing\roots butchery\"/>
    </mc:Choice>
  </mc:AlternateContent>
  <xr:revisionPtr revIDLastSave="0" documentId="13_ncr:1_{3301F7AA-28CC-411F-A523-A15D2E75D378}" xr6:coauthVersionLast="47" xr6:coauthVersionMax="47" xr10:uidLastSave="{00000000-0000-0000-0000-000000000000}"/>
  <bookViews>
    <workbookView xWindow="22932" yWindow="-108" windowWidth="23256" windowHeight="12456" tabRatio="839" activeTab="2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state="hidden" r:id="rId4"/>
    <sheet name="FIBRE BUDGET CALC" sheetId="30" state="hidden" r:id="rId5"/>
    <sheet name="AERIAL REQUIREMENTS" sheetId="33" state="hidden" r:id="rId6"/>
    <sheet name="SPLICE PLAN" sheetId="31" state="hidden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110" r:id="rId22"/>
    <pivotCache cacheId="113" r:id="rId23"/>
    <pivotCache cacheId="116" r:id="rId24"/>
    <pivotCache cacheId="119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7" l="1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26" i="10"/>
  <c r="F267" i="23" s="1"/>
  <c r="I30" i="10"/>
  <c r="I55" i="10"/>
  <c r="I53" i="10"/>
  <c r="I29" i="10"/>
  <c r="I32" i="10"/>
  <c r="I46" i="10"/>
  <c r="I54" i="10"/>
  <c r="I31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59" i="10"/>
  <c r="I60" i="10"/>
  <c r="I58" i="10"/>
  <c r="F48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23" i="10"/>
  <c r="F22" i="10"/>
  <c r="F21" i="10"/>
  <c r="F19" i="10"/>
  <c r="F18" i="10"/>
  <c r="I47" i="10"/>
  <c r="I10" i="10"/>
  <c r="F50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29" i="10"/>
  <c r="F28" i="10"/>
  <c r="F27" i="10"/>
  <c r="F26" i="10"/>
  <c r="F25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29" i="10"/>
  <c r="C25" i="10"/>
  <c r="F158" i="23" s="1"/>
  <c r="F24" i="10"/>
  <c r="F20" i="10"/>
  <c r="C28" i="10"/>
  <c r="C27" i="10"/>
  <c r="C24" i="10"/>
  <c r="F156" i="23" s="1"/>
  <c r="C23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20" i="10"/>
  <c r="I24" i="10"/>
  <c r="I48" i="10"/>
  <c r="I49" i="10"/>
  <c r="I18" i="10"/>
  <c r="I51" i="10"/>
  <c r="I52" i="10"/>
  <c r="I19" i="10"/>
  <c r="I50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49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34" i="10"/>
  <c r="I37" i="10"/>
  <c r="I38" i="10"/>
  <c r="I33" i="10"/>
  <c r="I36" i="10"/>
  <c r="I35" i="10"/>
  <c r="I39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62" i="10"/>
  <c r="F60" i="10"/>
  <c r="F61" i="10"/>
  <c r="F59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Y155" i="9"/>
  <c r="Y151" i="9"/>
  <c r="AK150" i="9"/>
  <c r="Y131" i="17" s="1"/>
  <c r="AK146" i="9"/>
  <c r="Y127" i="17" s="1"/>
  <c r="AK154" i="9"/>
  <c r="Y135" i="17" s="1"/>
  <c r="Y147" i="9"/>
  <c r="AC156" i="9" l="1"/>
  <c r="Z152" i="9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67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52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21" i="10"/>
  <c r="I22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20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34" i="10"/>
  <c r="F101" i="9" s="1"/>
  <c r="C30" i="10"/>
  <c r="C22" i="10"/>
  <c r="F174" i="23" s="1"/>
  <c r="C21" i="10"/>
  <c r="F173" i="23" s="1"/>
  <c r="C19" i="10"/>
  <c r="C18" i="10"/>
  <c r="F172" i="23" s="1"/>
  <c r="C17" i="10"/>
  <c r="F171" i="23" s="1"/>
  <c r="C16" i="10"/>
  <c r="F170" i="23" s="1"/>
  <c r="C15" i="10"/>
  <c r="F165" i="23" s="1"/>
  <c r="C14" i="10"/>
  <c r="F164" i="23" s="1"/>
  <c r="C13" i="10"/>
  <c r="F163" i="23" s="1"/>
  <c r="C12" i="10"/>
  <c r="F162" i="23" s="1"/>
  <c r="C11" i="10"/>
  <c r="F161" i="23" s="1"/>
  <c r="C10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23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58" i="10"/>
  <c r="F56" i="10"/>
  <c r="F64" i="10"/>
  <c r="F57" i="10"/>
  <c r="F63" i="10"/>
  <c r="F55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53" i="10"/>
  <c r="F67" i="10"/>
  <c r="F54" i="10"/>
  <c r="F65" i="10"/>
  <c r="F66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61" i="10"/>
  <c r="I41" i="10"/>
  <c r="I40" i="10"/>
  <c r="I63" i="10"/>
  <c r="I62" i="10"/>
  <c r="I68" i="10"/>
  <c r="F47" i="10"/>
  <c r="I42" i="10"/>
  <c r="I65" i="10"/>
  <c r="I66" i="10"/>
  <c r="I43" i="10"/>
  <c r="F51" i="10"/>
  <c r="I64" i="10"/>
  <c r="I12" i="22" l="1"/>
  <c r="I10" i="22"/>
  <c r="I24" i="22"/>
  <c r="I23" i="22"/>
  <c r="I25" i="22"/>
  <c r="I44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42" i="17" l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8" i="10" l="1"/>
  <c r="O8" i="10"/>
  <c r="I8" i="10"/>
  <c r="I17" i="10"/>
  <c r="I27" i="10"/>
  <c r="I25" i="10"/>
  <c r="I11" i="10"/>
  <c r="I13" i="10"/>
  <c r="I28" i="10"/>
  <c r="I14" i="10"/>
  <c r="I12" i="10"/>
  <c r="I15" i="10"/>
  <c r="I16" i="10"/>
  <c r="I26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10" i="10"/>
  <c r="F92" i="9" s="1"/>
  <c r="F11" i="10"/>
  <c r="F93" i="9" s="1"/>
  <c r="J36" i="23"/>
  <c r="N36" i="23" s="1"/>
  <c r="H36" i="23"/>
  <c r="F35" i="10"/>
  <c r="F102" i="9" s="1"/>
  <c r="F92" i="17" s="1"/>
  <c r="F13" i="10"/>
  <c r="F97" i="9" s="1"/>
  <c r="F14" i="10"/>
  <c r="F15" i="10"/>
  <c r="F16" i="10"/>
  <c r="F105" i="9" s="1"/>
  <c r="F95" i="17" s="1"/>
  <c r="F17" i="10"/>
  <c r="F106" i="9" s="1"/>
  <c r="F96" i="17" s="1"/>
  <c r="H158" i="23"/>
  <c r="J158" i="23"/>
  <c r="K158" i="23" s="1"/>
  <c r="H160" i="23"/>
  <c r="J160" i="23"/>
  <c r="N160" i="23" s="1"/>
  <c r="F36" i="10"/>
  <c r="F39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12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40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41" i="10"/>
  <c r="K7" i="15" s="1"/>
  <c r="P185" i="9" s="1"/>
  <c r="E186" i="9"/>
  <c r="Q186" i="9" s="1"/>
  <c r="G21" i="27" s="1"/>
  <c r="E187" i="9"/>
  <c r="AK187" i="9" s="1"/>
  <c r="Y22" i="27" s="1"/>
  <c r="F44" i="10"/>
  <c r="K19" i="15" s="1"/>
  <c r="P187" i="9" s="1"/>
  <c r="E188" i="9"/>
  <c r="AK188" i="9" s="1"/>
  <c r="Y23" i="27" s="1"/>
  <c r="F43" i="10"/>
  <c r="J19" i="15" s="1"/>
  <c r="E189" i="9"/>
  <c r="AK189" i="9" s="1"/>
  <c r="Y24" i="27" s="1"/>
  <c r="F42" i="10"/>
  <c r="I19" i="15" s="1"/>
  <c r="P189" i="9" s="1"/>
  <c r="E190" i="9"/>
  <c r="Q190" i="9" s="1"/>
  <c r="G25" i="27" s="1"/>
  <c r="E191" i="9"/>
  <c r="Q191" i="9" s="1"/>
  <c r="G26" i="27" s="1"/>
  <c r="Q15" i="9"/>
  <c r="G151" i="23"/>
  <c r="F31" i="10"/>
  <c r="F32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30" i="10"/>
  <c r="F33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AD144" i="9" l="1"/>
  <c r="R125" i="17" s="1"/>
  <c r="Q21" i="20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<sst xmlns="http://schemas.openxmlformats.org/spreadsheetml/2006/main" count="2734" uniqueCount="1278">
  <si>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</si>
  <si>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</si>
  <si>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</si>
  <si>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</si>
  <si>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</si>
  <si>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</si>
  <si>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</si>
  <si>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</si>
  <si>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</si>
  <si>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</si>
  <si>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</si>
  <si>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</si>
  <si>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</si>
  <si>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</si>
  <si>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</si>
  <si>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</si>
  <si>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</si>
  <si>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</si>
  <si>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</si>
  <si>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</si>
  <si>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</si>
  <si>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</si>
  <si>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</si>
  <si>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</si>
  <si>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</si>
  <si>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</si>
  <si>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</si>
  <si>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</si>
  <si>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</si>
  <si>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</si>
  <si>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</si>
  <si>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</si>
  <si>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</si>
  <si>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</si>
  <si>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</si>
  <si>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</si>
  <si>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</si>
  <si>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</si>
  <si>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</si>
  <si>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</si>
  <si>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</si>
  <si>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</si>
  <si>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</si>
  <si>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</si>
  <si>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</si>
  <si>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</si>
  <si>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</si>
  <si>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</si>
  <si>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</si>
  <si>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</si>
  <si>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</si>
  <si>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</si>
  <si>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</si>
  <si>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</si>
  <si>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</si>
  <si>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</si>
  <si>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</si>
  <si>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</si>
  <si>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</si>
  <si>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</si>
  <si>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</si>
  <si>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</si>
  <si>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</si>
  <si>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</si>
  <si>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</si>
  <si>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</si>
  <si>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</si>
  <si>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</si>
  <si>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</si>
  <si>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</si>
  <si>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</si>
  <si>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</si>
  <si>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</si>
  <si>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</si>
  <si>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</si>
  <si>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</si>
  <si>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</si>
  <si>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</si>
  <si>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</si>
  <si>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</si>
  <si>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</si>
  <si>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</si>
  <si>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</si>
  <si>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</si>
  <si>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</si>
  <si>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</si>
  <si>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</si>
  <si>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</si>
  <si>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</si>
  <si>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</si>
  <si>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</si>
  <si>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</si>
  <si>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</si>
  <si>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</si>
  <si>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</si>
  <si>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</si>
  <si>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</si>
  <si>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</si>
  <si>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</si>
  <si>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</si>
  <si>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</si>
  <si>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</si>
  <si>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</si>
  <si>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</si>
  <si>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</si>
  <si>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</si>
  <si>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</si>
  <si>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</si>
  <si>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</si>
  <si>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</si>
  <si>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</si>
  <si>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</si>
  <si>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</si>
  <si>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</si>
  <si>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</si>
  <si>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</si>
  <si>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</si>
  <si>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</si>
  <si>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</si>
  <si>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</si>
  <si>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</si>
  <si>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</si>
  <si>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</si>
  <si>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</si>
  <si>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</si>
  <si>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</si>
  <si>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</si>
  <si>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</si>
  <si>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</si>
  <si>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</si>
  <si>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</si>
  <si>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</si>
  <si>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</si>
  <si>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</si>
  <si>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</si>
  <si>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</si>
  <si>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</si>
  <si>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</si>
  <si>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</si>
  <si>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</si>
  <si>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</si>
  <si>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</si>
  <si>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</si>
  <si>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</si>
  <si>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</si>
  <si>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</si>
  <si>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</si>
  <si>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</si>
  <si>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</si>
  <si>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</si>
  <si>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</si>
  <si>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</si>
  <si>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</si>
  <si>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</si>
  <si>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</si>
  <si>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</si>
  <si>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</si>
  <si>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</si>
  <si>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</si>
  <si>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</si>
  <si>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</si>
  <si>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</si>
  <si>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</si>
  <si>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</si>
  <si>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</si>
  <si>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</si>
  <si>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</si>
  <si>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</si>
  <si>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</si>
  <si>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</si>
  <si>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</si>
  <si>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</si>
  <si>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</si>
  <si>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</si>
  <si>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</si>
  <si>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</si>
  <si>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</si>
  <si>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</si>
  <si>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</si>
  <si>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</si>
  <si>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</si>
  <si>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</si>
  <si>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</si>
  <si>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</si>
  <si>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</si>
  <si>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</si>
  <si>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</si>
  <si>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</si>
  <si>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</si>
  <si>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</si>
  <si>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</si>
  <si>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</si>
  <si>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</si>
  <si>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</si>
  <si>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</si>
  <si>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</si>
  <si>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</si>
  <si>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</si>
  <si>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</si>
  <si>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</si>
  <si>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</si>
  <si>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</si>
  <si>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</si>
  <si>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</si>
  <si>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</si>
  <si>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</si>
  <si>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</si>
  <si>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</si>
  <si>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</si>
  <si>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</si>
  <si>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</si>
  <si>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</si>
  <si>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</si>
  <si>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</si>
  <si>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</si>
  <si>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</si>
  <si>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</si>
  <si>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</si>
  <si>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</si>
  <si>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</si>
  <si>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</si>
  <si>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</si>
  <si>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</si>
  <si>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</si>
  <si>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</si>
  <si>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</si>
  <si>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</si>
  <si>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</si>
  <si>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</si>
  <si>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</si>
  <si>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</si>
  <si>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</si>
  <si>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</si>
  <si>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</si>
  <si>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</si>
  <si>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</si>
  <si>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</si>
  <si>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</si>
  <si>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</si>
  <si>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</si>
  <si>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</si>
  <si>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</si>
  <si>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</si>
  <si>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</si>
  <si>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</si>
  <si>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</si>
  <si>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</si>
  <si>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</si>
  <si>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</si>
  <si>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</si>
  <si>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</si>
  <si>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</si>
  <si>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</si>
  <si>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</si>
  <si>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</si>
  <si>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</si>
  <si>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</si>
  <si>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</si>
  <si>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</si>
  <si>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</si>
  <si>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</si>
  <si>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</si>
  <si>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</si>
  <si>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</si>
  <si>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</si>
  <si>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</si>
  <si>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</si>
  <si>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</si>
  <si>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</si>
  <si>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</si>
  <si>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</si>
  <si>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</si>
  <si>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</si>
  <si>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</si>
  <si>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</si>
  <si>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</si>
  <si>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</si>
  <si>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</si>
  <si>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</si>
  <si>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</si>
  <si>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</si>
  <si>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</si>
  <si>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</si>
  <si>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</si>
  <si>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</si>
  <si>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</si>
  <si>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</si>
  <si>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</si>
  <si>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</si>
  <si>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</si>
  <si>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</si>
  <si>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</si>
  <si>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</si>
  <si>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</si>
  <si>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</si>
  <si>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</si>
  <si>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</si>
  <si>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</si>
  <si>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</si>
  <si>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</si>
  <si>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</si>
  <si>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</si>
  <si>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</si>
  <si>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</si>
  <si>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</si>
  <si>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</si>
  <si>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</si>
  <si>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</si>
  <si>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</si>
  <si>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</si>
  <si>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</si>
  <si>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</si>
  <si>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</si>
  <si>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</si>
  <si>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</si>
  <si>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</si>
  <si>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</si>
  <si>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</si>
  <si>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</si>
  <si>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</si>
  <si>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</si>
  <si>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</si>
  <si>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</si>
  <si>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</si>
  <si>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</si>
  <si>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</si>
  <si>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</si>
  <si>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</si>
  <si>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</si>
  <si>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</si>
  <si>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</si>
  <si>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</si>
  <si>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</si>
  <si>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</si>
  <si>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</si>
  <si>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</si>
  <si>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</si>
  <si>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</si>
  <si>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</si>
  <si>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</si>
  <si>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</si>
  <si>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</si>
  <si>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</si>
  <si>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</si>
  <si>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</si>
  <si>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</si>
  <si>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</si>
  <si>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</si>
  <si>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</si>
  <si>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</si>
  <si>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</si>
  <si>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</si>
  <si>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</si>
  <si>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</si>
  <si>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</si>
  <si>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</si>
  <si>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</si>
  <si>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</si>
  <si>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</si>
  <si>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</si>
  <si>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</si>
  <si>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</si>
  <si>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</si>
  <si>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</si>
  <si>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</si>
  <si>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</si>
  <si>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</si>
  <si>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</si>
  <si>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</si>
  <si>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</si>
  <si>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</si>
  <si>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</si>
  <si>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</si>
  <si>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</si>
  <si>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</si>
  <si>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</si>
  <si>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</si>
  <si>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</si>
  <si>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</si>
  <si>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</si>
  <si>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</si>
  <si>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</si>
  <si>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</si>
  <si>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</si>
  <si>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</si>
  <si>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</si>
  <si>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</si>
  <si>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</si>
  <si>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</si>
  <si>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</si>
  <si>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</si>
  <si>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</si>
  <si>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</si>
  <si>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</si>
  <si>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</si>
  <si>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</si>
  <si>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</si>
  <si>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</si>
  <si>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</si>
  <si>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</si>
  <si>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</si>
  <si>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</si>
  <si>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</si>
  <si>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</si>
  <si>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</si>
  <si>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</si>
  <si>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</si>
  <si>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</si>
  <si>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</si>
  <si>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</si>
  <si>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</si>
  <si>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</si>
  <si>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</si>
  <si>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</si>
  <si>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</si>
  <si>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</si>
  <si>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</si>
  <si>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</si>
  <si>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</si>
  <si>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</si>
  <si>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</si>
  <si>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</si>
  <si>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</si>
  <si>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</si>
  <si>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</si>
  <si>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</si>
  <si>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</si>
  <si>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</si>
  <si>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</si>
  <si>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</si>
  <si>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</si>
  <si>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</si>
  <si>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</si>
  <si>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</si>
  <si>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</si>
  <si>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</si>
  <si>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</si>
  <si>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</si>
  <si>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</si>
  <si>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</si>
  <si>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</si>
  <si>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</si>
  <si>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</si>
  <si>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</si>
  <si>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</si>
  <si>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</si>
  <si>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</si>
  <si>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</si>
  <si>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</si>
  <si>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</si>
  <si>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</si>
  <si>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</si>
  <si>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</si>
  <si>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</si>
  <si>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</si>
  <si>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</si>
  <si>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</si>
  <si>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</si>
  <si>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</si>
  <si>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</si>
  <si>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</si>
  <si>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</si>
  <si>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</si>
  <si>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</si>
  <si>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</si>
  <si>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</si>
  <si>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</si>
  <si>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</si>
  <si>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</si>
  <si>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</si>
  <si>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</si>
  <si>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</si>
  <si>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</si>
  <si>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</si>
  <si>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</si>
  <si>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</si>
  <si>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</si>
  <si>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</si>
  <si>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</si>
  <si>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</si>
  <si>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</si>
  <si>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</si>
  <si>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</si>
  <si>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</si>
  <si>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</si>
  <si>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</si>
  <si>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</si>
  <si>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</si>
  <si>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</si>
  <si>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</si>
  <si>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</si>
  <si>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</si>
  <si>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</si>
  <si>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</si>
  <si>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</si>
  <si>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</si>
  <si>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</si>
  <si>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</si>
  <si>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</si>
  <si>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</si>
  <si>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</si>
  <si>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</si>
  <si>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</si>
  <si>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</si>
  <si>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</si>
  <si>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</si>
  <si>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</si>
  <si>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</si>
  <si>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</si>
  <si>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</si>
  <si>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</si>
  <si>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</si>
  <si>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</si>
  <si>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</si>
  <si>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</si>
  <si>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</si>
  <si>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</si>
  <si>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</si>
  <si>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</si>
  <si>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</si>
  <si>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</si>
  <si>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</si>
  <si>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</si>
  <si>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</si>
  <si>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</si>
  <si>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</si>
  <si>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</si>
  <si>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</si>
  <si>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</si>
  <si>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</si>
  <si>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</si>
  <si>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</si>
  <si>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</si>
  <si>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</si>
  <si>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</si>
  <si>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</si>
  <si>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</si>
  <si>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</si>
  <si>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</si>
  <si>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</si>
  <si>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</si>
  <si>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</si>
  <si>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</si>
  <si>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</si>
  <si>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</si>
  <si>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</si>
  <si>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</si>
  <si>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</si>
  <si>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</si>
  <si>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</si>
  <si>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</si>
  <si>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</si>
  <si>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</si>
  <si>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</si>
  <si>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</si>
  <si>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</si>
  <si>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</si>
  <si>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</si>
  <si>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</si>
  <si>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</si>
  <si>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</si>
  <si>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</si>
  <si>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</si>
  <si>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</si>
  <si>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</si>
  <si>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</si>
  <si>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</si>
  <si>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</si>
  <si>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</si>
  <si>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</si>
  <si>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</si>
  <si>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</si>
  <si>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</si>
  <si>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</si>
  <si>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</si>
  <si>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</si>
  <si>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</si>
  <si>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</si>
  <si>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</si>
  <si>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</si>
  <si>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</si>
  <si>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</si>
  <si>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</si>
  <si>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</si>
  <si>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</si>
  <si>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</si>
  <si>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</si>
  <si>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</si>
  <si>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</si>
  <si>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</si>
  <si>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</si>
  <si>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</si>
  <si>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</si>
  <si>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</si>
  <si>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</si>
  <si>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</si>
  <si>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</si>
  <si>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</si>
  <si>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</si>
  <si>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</si>
  <si>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</si>
  <si>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</si>
  <si>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</si>
  <si>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</si>
  <si>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</si>
  <si>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</si>
  <si>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</si>
  <si>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</si>
  <si>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</si>
  <si>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</si>
  <si>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</si>
  <si>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</si>
  <si>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</si>
  <si>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</si>
  <si>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</si>
  <si>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</si>
  <si>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</si>
  <si>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</si>
  <si>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</si>
  <si>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</si>
  <si>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</si>
  <si>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</si>
  <si>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</si>
  <si>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</si>
  <si>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</si>
  <si>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</si>
  <si>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</si>
  <si>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</si>
  <si>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</si>
  <si>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</si>
  <si>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</si>
  <si>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</si>
  <si>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</si>
  <si>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</si>
  <si>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</si>
  <si>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</si>
  <si>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</si>
  <si>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</si>
  <si>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</si>
  <si>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</si>
  <si>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</si>
  <si>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</si>
  <si>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</si>
  <si>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</si>
  <si>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</si>
  <si>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</si>
  <si>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</si>
  <si>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</si>
  <si>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</si>
  <si>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</si>
  <si>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</si>
  <si>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</si>
  <si>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</si>
  <si>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</si>
  <si>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</si>
  <si>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</si>
  <si>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</si>
  <si>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</si>
  <si>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</si>
  <si>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</si>
  <si>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</si>
  <si>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</si>
  <si>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</si>
  <si>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</si>
  <si>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</si>
  <si>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</si>
  <si>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</si>
  <si>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</si>
  <si>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</si>
  <si>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</si>
  <si>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</si>
  <si>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</si>
  <si>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</si>
  <si>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</si>
  <si>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</si>
  <si>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</si>
  <si>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</si>
  <si>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</si>
  <si>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</si>
  <si>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</si>
  <si>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</si>
  <si>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</si>
  <si>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</si>
  <si>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</si>
  <si>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</si>
  <si>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</si>
  <si>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</si>
  <si>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</si>
  <si>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</si>
  <si>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</si>
  <si>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</si>
  <si>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</si>
  <si>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</si>
  <si>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</si>
  <si>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</si>
  <si>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</si>
  <si>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</si>
  <si>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</si>
  <si>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</si>
  <si>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</si>
  <si>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</si>
  <si>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</si>
  <si>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</si>
  <si>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</si>
  <si>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</si>
  <si>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</si>
  <si>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</si>
  <si>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</si>
  <si>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</si>
  <si>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</si>
  <si>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</si>
  <si>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</si>
  <si>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</si>
  <si>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</si>
  <si>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</si>
  <si>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</si>
  <si>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</si>
  <si>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</si>
  <si>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</si>
  <si>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</si>
  <si>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</si>
  <si>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</si>
  <si>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</si>
  <si>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</si>
  <si>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</si>
  <si>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</si>
  <si>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</si>
  <si>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</si>
  <si>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</si>
  <si>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</si>
  <si>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</si>
  <si>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</si>
  <si>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</si>
  <si>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</si>
  <si>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</si>
  <si>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</si>
  <si>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</si>
  <si>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</si>
  <si>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</si>
  <si>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</si>
  <si>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</si>
  <si>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</si>
  <si>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</si>
  <si>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</si>
  <si>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</si>
  <si>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</si>
  <si>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</si>
  <si>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</si>
  <si>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</si>
  <si>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</si>
  <si>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</si>
  <si>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</si>
  <si>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</si>
  <si>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</si>
  <si>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</si>
  <si>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</si>
  <si>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</si>
  <si>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</si>
  <si>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</si>
  <si>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</si>
  <si>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</si>
  <si>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</si>
  <si>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</si>
  <si>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</si>
  <si>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</si>
  <si>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</si>
  <si>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</si>
  <si>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</si>
  <si>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</si>
  <si>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</si>
  <si>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</si>
  <si>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</si>
  <si>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</si>
  <si>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</si>
  <si>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</si>
  <si>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</si>
  <si>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</si>
  <si>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</si>
  <si>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</si>
  <si>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</si>
  <si>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</si>
  <si>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</si>
  <si>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</si>
  <si>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</si>
  <si>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</si>
  <si>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</si>
  <si>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</si>
  <si>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</si>
  <si>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</si>
  <si>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</si>
  <si>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</si>
  <si>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</si>
  <si>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</si>
  <si>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</si>
  <si>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</si>
  <si>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</si>
  <si>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</si>
  <si>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</si>
  <si>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</si>
  <si>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</si>
  <si>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</si>
  <si>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</si>
  <si>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</si>
  <si>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</si>
  <si>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</si>
  <si>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</si>
  <si>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</si>
  <si>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</si>
  <si>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</si>
  <si>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</si>
  <si>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</si>
  <si>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</si>
  <si>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</si>
  <si>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</si>
  <si>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</si>
  <si>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</si>
  <si>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</si>
  <si>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</si>
  <si>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</si>
  <si>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</si>
  <si>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</si>
  <si>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</si>
  <si>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</si>
  <si>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</si>
  <si>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</si>
  <si>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</si>
  <si>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</si>
  <si>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</si>
  <si>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</si>
  <si>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</si>
  <si>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</si>
  <si>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</si>
  <si>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</si>
  <si>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</si>
  <si>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</si>
  <si>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</si>
  <si>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</si>
  <si>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</si>
  <si>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</si>
  <si>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</si>
  <si>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</si>
  <si>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</si>
  <si>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</si>
  <si>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</si>
  <si>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</si>
  <si>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</si>
  <si>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</si>
  <si>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</si>
  <si>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</si>
  <si>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</si>
  <si>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</si>
  <si>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</si>
  <si>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</si>
  <si>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</si>
  <si>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</si>
  <si>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</si>
  <si>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</si>
  <si>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</si>
  <si>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</si>
  <si>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</si>
  <si>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</si>
  <si>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</si>
  <si>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</si>
  <si>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</si>
  <si>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</si>
  <si>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</si>
  <si>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</si>
  <si>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</si>
  <si>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</si>
  <si>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</si>
  <si>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</si>
  <si>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</si>
  <si>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</si>
  <si>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</si>
  <si>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</si>
  <si>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</si>
  <si>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</si>
  <si>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</si>
  <si>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</si>
  <si>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</si>
  <si>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</si>
  <si>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</si>
  <si>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</si>
  <si>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</si>
  <si>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</si>
  <si>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</si>
  <si>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</si>
  <si>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</si>
  <si>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</si>
  <si>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</si>
  <si>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</si>
  <si>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</si>
  <si>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</si>
  <si>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</si>
  <si>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</si>
  <si>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</si>
  <si>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</si>
  <si>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</si>
  <si>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</si>
  <si>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</si>
  <si>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</si>
  <si>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</si>
  <si>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</si>
  <si>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</si>
  <si>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</si>
  <si>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</si>
  <si>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</si>
  <si>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</si>
  <si>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</si>
  <si>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</si>
  <si>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</si>
  <si>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</si>
  <si>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</si>
  <si>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</si>
  <si>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</si>
  <si>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</si>
  <si>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</si>
  <si>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</si>
  <si>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</si>
  <si>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</si>
  <si>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</si>
  <si>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</si>
  <si>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</si>
  <si>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</si>
  <si>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</si>
  <si>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</si>
  <si>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</si>
  <si>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</si>
  <si>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</si>
  <si>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</si>
  <si>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</si>
  <si>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</si>
  <si>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</si>
  <si>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</si>
  <si>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</si>
  <si>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</si>
  <si>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</si>
  <si>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</si>
  <si>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</si>
  <si>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</si>
  <si>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</si>
  <si>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</si>
  <si>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</si>
  <si>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</si>
  <si>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</si>
  <si>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</si>
  <si>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</si>
  <si>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</si>
  <si>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</si>
  <si>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</si>
  <si>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</si>
  <si>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</si>
  <si>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</si>
  <si>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</si>
  <si>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</si>
  <si>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</si>
  <si>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</si>
  <si>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</si>
  <si>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</si>
  <si>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</si>
  <si>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</si>
  <si>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</si>
  <si>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</si>
  <si>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</si>
  <si>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</si>
  <si>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</si>
  <si>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</si>
  <si>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</si>
  <si>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</si>
  <si>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</si>
  <si>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</si>
  <si>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</si>
  <si>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</si>
  <si>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</si>
  <si>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</si>
  <si>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</si>
  <si>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</si>
  <si>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</si>
  <si>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</si>
  <si>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</si>
  <si>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</si>
  <si>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</si>
  <si>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</si>
  <si>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</si>
  <si>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</si>
  <si>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</si>
  <si>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</si>
  <si>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</si>
  <si>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</si>
  <si>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</si>
  <si>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</si>
  <si>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</si>
  <si>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</si>
  <si>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</si>
  <si>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</si>
  <si>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</si>
  <si>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</si>
  <si>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</si>
  <si>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</si>
  <si>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</si>
  <si>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</si>
  <si>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</si>
  <si>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</si>
  <si>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</si>
  <si>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</si>
  <si>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</si>
  <si>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</si>
  <si>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</si>
  <si>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</si>
  <si>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</si>
  <si>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</si>
  <si>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</si>
  <si>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</si>
  <si>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</si>
  <si>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</si>
  <si>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</si>
  <si>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</si>
  <si>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</si>
  <si>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</si>
  <si>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</si>
  <si>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</si>
  <si>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</si>
  <si>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</si>
  <si>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</si>
  <si>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</si>
  <si>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</si>
  <si>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</si>
  <si>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</si>
  <si>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</si>
  <si>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</si>
  <si>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</si>
  <si>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</si>
  <si>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</si>
  <si>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</si>
  <si>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</si>
  <si>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</si>
  <si>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</si>
  <si>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</si>
  <si>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</si>
  <si>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</si>
  <si>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</si>
  <si>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</si>
  <si>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</si>
  <si>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</si>
  <si>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</si>
  <si>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</si>
  <si>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</si>
  <si>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</si>
  <si>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</si>
  <si>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</si>
  <si>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</si>
  <si>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</si>
  <si>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</si>
  <si>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</si>
  <si>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</si>
  <si>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</si>
  <si>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</si>
  <si>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</si>
  <si>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</si>
  <si>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</si>
  <si>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</si>
  <si>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</si>
  <si>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</si>
  <si>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</si>
  <si>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</si>
  <si>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</si>
  <si>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</si>
  <si>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</si>
  <si>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</si>
  <si>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</si>
  <si>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</si>
  <si>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</si>
  <si>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</si>
  <si>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</si>
  <si>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</si>
  <si>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</si>
  <si>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</si>
  <si>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</si>
  <si>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</si>
  <si>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</si>
  <si>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</si>
  <si>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</si>
  <si>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</si>
  <si>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</si>
  <si>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</si>
  <si>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</si>
  <si>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</si>
  <si>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</si>
  <si>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</si>
  <si>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</si>
  <si>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</si>
  <si>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</si>
  <si>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</si>
  <si>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</si>
  <si>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</si>
  <si>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</si>
  <si>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</si>
  <si>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</si>
  <si>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</si>
  <si>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</si>
  <si>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</si>
  <si>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</si>
  <si>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</si>
  <si>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</si>
  <si>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</si>
  <si>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</si>
  <si>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</si>
  <si>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</si>
  <si>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</si>
  <si>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</si>
  <si>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</si>
  <si>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</si>
  <si>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</si>
  <si>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</si>
  <si>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</si>
  <si>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</si>
  <si>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</si>
  <si>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</si>
  <si>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</si>
  <si>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</si>
  <si>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</si>
  <si>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</si>
  <si>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</si>
  <si>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</si>
  <si>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</si>
  <si>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</si>
  <si>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</si>
  <si>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</si>
  <si>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</si>
  <si>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</si>
  <si>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</si>
  <si>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</si>
  <si>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</si>
  <si>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</si>
  <si>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</si>
  <si>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</si>
  <si>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</si>
  <si>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</si>
  <si>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</si>
  <si>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</si>
  <si>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</si>
  <si>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</si>
  <si>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</si>
  <si>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</si>
  <si>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</si>
  <si>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</si>
  <si>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</si>
  <si>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</si>
  <si>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</si>
  <si>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</si>
  <si>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</si>
  <si>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</si>
  <si>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</si>
  <si>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</si>
  <si>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</si>
  <si>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</si>
  <si>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</si>
  <si>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</si>
  <si>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</si>
  <si>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</si>
  <si>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</si>
  <si>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</si>
  <si>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</si>
  <si>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</si>
  <si>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</si>
  <si>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</si>
  <si>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</si>
  <si>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</si>
  <si>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</si>
  <si>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</si>
  <si>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</si>
  <si>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</si>
  <si>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</si>
  <si>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</si>
  <si>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</si>
  <si>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</si>
  <si>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</si>
  <si>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</si>
  <si>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</si>
  <si>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</si>
  <si>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</si>
  <si>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</si>
  <si>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</si>
  <si>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</si>
  <si>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</si>
  <si>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</si>
  <si>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</si>
  <si>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</si>
  <si>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</si>
  <si>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</si>
  <si>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</si>
  <si>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</si>
  <si>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</si>
  <si>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</si>
  <si>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</si>
  <si>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</si>
  <si>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</si>
  <si>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</si>
  <si>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</si>
  <si>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</si>
  <si>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</si>
  <si>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</si>
  <si>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</si>
  <si>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</si>
  <si>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</si>
  <si>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</si>
  <si>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</si>
  <si>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</si>
  <si>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</si>
  <si>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</si>
  <si>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</si>
  <si>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</si>
  <si>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</si>
  <si>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</si>
  <si>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</si>
  <si>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</si>
  <si>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</si>
  <si>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</si>
  <si>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</si>
  <si>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</si>
  <si>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</si>
  <si>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</si>
  <si>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</si>
  <si>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</si>
  <si>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</si>
  <si>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</si>
  <si>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</si>
  <si>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</si>
  <si>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</si>
  <si>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</si>
  <si>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</si>
  <si>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</si>
  <si>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</si>
  <si>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</si>
  <si>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</si>
  <si>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</si>
  <si>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</si>
  <si>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</si>
  <si>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</si>
  <si>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</si>
  <si>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</si>
  <si>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</si>
  <si>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</si>
  <si>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</si>
  <si>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</si>
  <si>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</si>
  <si>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</si>
  <si>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</si>
  <si>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</si>
  <si>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</si>
  <si>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</si>
  <si>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</si>
  <si>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</si>
  <si>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</si>
  <si>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</si>
  <si>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</si>
  <si>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</si>
  <si>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</si>
  <si>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</si>
  <si>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</si>
  <si>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</si>
  <si>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</si>
  <si>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</si>
  <si>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</si>
  <si>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</si>
  <si>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</si>
  <si>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</si>
  <si>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77K0057591</t>
  </si>
  <si>
    <t xml:space="preserve">Eletronic Communications Network (Pty) Ltd </t>
  </si>
  <si>
    <t>Siphamandla Sokhela</t>
  </si>
  <si>
    <t>Phoenix Industrial Access PoP - ECN - Roots Dube Village</t>
  </si>
  <si>
    <t>Ethekwini</t>
  </si>
  <si>
    <t>08/18/2023</t>
  </si>
  <si>
    <t>Desrae Naidoo</t>
  </si>
  <si>
    <t>202 3 /08/24</t>
  </si>
  <si>
    <t>Date: 2023/08/25</t>
  </si>
  <si>
    <t>Link Business</t>
  </si>
  <si>
    <t>In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</si>
</sst>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19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52" borderId="38" xfId="0" applyFont="1" applyFill="1" applyBorder="1" applyAlignment="1">
      <alignment horizontal="left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93" fillId="0" borderId="0" xfId="0" applyFont="1" applyAlignment="1">
      <alignment horizontal="left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120" fillId="0" borderId="0" xfId="0" applyFont="1" applyAlignment="1">
      <alignment horizontal="right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1330099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8.438202430552" missingItemsLimit="0" createdVersion="5" refreshedVersion="8" minRefreshableVersion="3" recordCount="5" xr:uid="{00000000-000A-0000-FFFF-FFFF02000000}">
  <cacheSource type="worksheet">
    <worksheetSource ref="I1:O6" sheet="ROUTE INFO"/>
  </cacheSource>
  <cacheFields count="7"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 count="1">
        <m/>
      </sharedItems>
    </cacheField>
    <cacheField name="DUCT TYPE" numFmtId="0">
      <sharedItems containsBlank="1" count="4">
        <m/>
        <s v="3RD PARTY DUCT"/>
        <s v="TRUNKING 25x25"/>
        <s v="25MM PVC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8.438202777776" missingItemsLimit="0" createdVersion="5" refreshedVersion="8" minRefreshableVersion="3" recordCount="5" xr:uid="{00000000-000A-0000-FFFF-FFFF01000000}">
  <cacheSource type="worksheet">
    <worksheetSource ref="N1:N6" sheet="ROUTE INFO"/>
  </cacheSource>
  <cacheFields count="1">
    <cacheField name="CABLE TYPE" numFmtId="0">
      <sharedItems containsBlank="1" count="2">
        <m/>
        <s v="4 F DUAL DROP C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8.438203124999" missingItemsLimit="0" createdVersion="5" refreshedVersion="8" minRefreshableVersion="3" recordCount="5" xr:uid="{00000000-000A-0000-FFFF-FFFF00000000}">
  <cacheSource type="worksheet">
    <worksheetSource ref="I1:P6" sheet="ROUTE INFO"/>
  </cacheSource>
  <cacheFields count="8"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m/>
        <s v="4 F DUAL DROP CABLE"/>
      </sharedItems>
    </cacheField>
    <cacheField name="SLACK" numFmtId="0">
      <sharedItems containsString="0" containsBlank="1" containsNumber="1" containsInteger="1" minValue="10" maxValue="15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8.438203240737" missingItemsLimit="0" createdVersion="7" refreshedVersion="8" minRefreshableVersion="3" recordCount="5" xr:uid="{2CCD5A82-5FD0-40A4-84FC-D6BD9F1FDA5E}">
  <cacheSource type="worksheet">
    <worksheetSource ref="E1:O6" sheet="ROUTE INFO"/>
  </cacheSource>
  <cacheFields count="11">
    <cacheField name="MH TYPE" numFmtId="0">
      <sharedItems containsNonDate="0" containsString="0" containsBlank="1" count="1">
        <m/>
      </sharedItems>
    </cacheField>
    <cacheField name="LOCATION" numFmtId="0">
      <sharedItems containsNonDate="0" containsString="0"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x v="0"/>
    <x v="0"/>
    <x v="0"/>
    <m/>
    <n v="10"/>
  </r>
  <r>
    <n v="3"/>
    <s v="In Building"/>
    <x v="0"/>
    <x v="1"/>
    <x v="1"/>
    <s v="4 F DUAL DROP CABLE"/>
    <m/>
  </r>
  <r>
    <n v="3"/>
    <s v="In Building"/>
    <x v="0"/>
    <x v="2"/>
    <x v="1"/>
    <s v="4 F DUAL DROP CABLE"/>
    <m/>
  </r>
  <r>
    <n v="17"/>
    <s v="In Building"/>
    <x v="0"/>
    <x v="3"/>
    <x v="1"/>
    <s v="4 F DUAL DROP CABLE"/>
    <m/>
  </r>
  <r>
    <n v="32"/>
    <s v="In Building"/>
    <x v="0"/>
    <x v="3"/>
    <x v="1"/>
    <s v="4 F DUAL DROP CABLE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m/>
    <m/>
    <m/>
    <x v="0"/>
    <n v="10"/>
    <m/>
  </r>
  <r>
    <n v="3"/>
    <s v="In Building"/>
    <m/>
    <s v="3RD PARTY DUCT"/>
    <s v="14/10-1 WAY"/>
    <x v="1"/>
    <m/>
    <m/>
  </r>
  <r>
    <n v="3"/>
    <s v="In Building"/>
    <m/>
    <s v="TRUNKING 25x25"/>
    <s v="14/10-1 WAY"/>
    <x v="1"/>
    <m/>
    <m/>
  </r>
  <r>
    <n v="17"/>
    <s v="In Building"/>
    <m/>
    <s v="25MM PVC"/>
    <s v="14/10-1 WAY"/>
    <x v="1"/>
    <m/>
    <m/>
  </r>
  <r>
    <n v="32"/>
    <s v="In Building"/>
    <m/>
    <s v="25MM PVC"/>
    <s v="14/10-1 WAY"/>
    <x v="1"/>
    <n v="1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m/>
    <n v="0"/>
    <m/>
    <m/>
    <m/>
    <m/>
    <m/>
    <n v="10"/>
  </r>
  <r>
    <x v="0"/>
    <m/>
    <m/>
    <m/>
    <n v="3"/>
    <s v="In Building"/>
    <m/>
    <s v="3RD PARTY DUCT"/>
    <s v="14/10-1 WAY"/>
    <s v="4 F DUAL DROP CABLE"/>
    <m/>
  </r>
  <r>
    <x v="0"/>
    <m/>
    <m/>
    <m/>
    <n v="3"/>
    <s v="In Building"/>
    <m/>
    <s v="TRUNKING 25x25"/>
    <s v="14/10-1 WAY"/>
    <s v="4 F DUAL DROP CABLE"/>
    <m/>
  </r>
  <r>
    <x v="0"/>
    <m/>
    <m/>
    <m/>
    <n v="17"/>
    <s v="In Building"/>
    <m/>
    <s v="25MM PVC"/>
    <s v="14/10-1 WAY"/>
    <s v="4 F DUAL DROP CABLE"/>
    <m/>
  </r>
  <r>
    <x v="0"/>
    <m/>
    <m/>
    <m/>
    <n v="32"/>
    <s v="In Building"/>
    <m/>
    <s v="25MM PVC"/>
    <s v="14/10-1 WAY"/>
    <s v="4 F DUAL DROP CABLE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29:O34" firstHeaderRow="1" firstDataRow="1" firstDataCol="1"/>
  <pivotFields count="7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11:N14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52:O54" firstHeaderRow="1" firstDataRow="1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29:L32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40:L43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2:L54" firstHeaderRow="1" firstDataRow="1" firstDataCol="1"/>
  <pivotFields count="7"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opLeftCell="A36" zoomScale="80" zoomScaleNormal="80" workbookViewId="0">
      <selection activeCell="F26" sqref="F26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38" t="str">
        <f>'Master BOQ Pricing_2018-01-08'!B1</f>
        <v>To Be viewed in conjunction with BOS_000-MS-BO-010 Rev 5</v>
      </c>
      <c r="C1" s="1038"/>
      <c r="D1" s="1038"/>
      <c r="E1" s="1038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39" t="s">
        <v>448</v>
      </c>
      <c r="M3" s="1040"/>
      <c r="N3" s="1041" t="s">
        <v>454</v>
      </c>
      <c r="O3" s="1042"/>
      <c r="S3" s="239"/>
      <c r="T3" s="240"/>
    </row>
    <row r="4" spans="1:25" ht="14.4">
      <c r="B4" s="834" t="s">
        <v>707</v>
      </c>
      <c r="C4" s="1035" t="s">
        <v>1267</v>
      </c>
      <c r="D4" s="1036"/>
      <c r="E4" s="1036"/>
      <c r="F4" s="1037"/>
      <c r="H4" s="637" t="s">
        <v>333</v>
      </c>
      <c r="I4" s="675">
        <f>'Infra Build BOQ'!G251</f>
        <v>2743.67</v>
      </c>
      <c r="K4" s="655" t="s">
        <v>446</v>
      </c>
      <c r="L4" s="1047" t="str">
        <f>'CIVIL SI'!C6</f>
        <v>INTERNAL OR CONTRACTOR NAME</v>
      </c>
      <c r="M4" s="1048"/>
      <c r="N4" s="1051">
        <f>'CIVIL SI'!Y199</f>
        <v>0</v>
      </c>
      <c r="O4" s="1052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30" t="s">
        <v>1267</v>
      </c>
      <c r="D5" s="1031"/>
      <c r="E5" s="1031"/>
      <c r="F5" s="1032"/>
      <c r="H5" s="639" t="s">
        <v>334</v>
      </c>
      <c r="I5" s="676">
        <f>'Infra Build BOQ'!G252</f>
        <v>2154.8000000000002</v>
      </c>
      <c r="J5" s="656"/>
      <c r="K5" s="657" t="s">
        <v>447</v>
      </c>
      <c r="L5" s="1049" t="str">
        <f>'JETTING SI'!C6</f>
        <v>INTERNAL OR CONTRACTOR NAME</v>
      </c>
      <c r="M5" s="1050"/>
      <c r="N5" s="1053">
        <f>'JETTING SI'!Y32</f>
        <v>0</v>
      </c>
      <c r="O5" s="1054"/>
      <c r="S5" s="239"/>
      <c r="T5" s="240"/>
    </row>
    <row r="6" spans="1:25" ht="15" thickBot="1">
      <c r="B6" s="835" t="s">
        <v>0</v>
      </c>
      <c r="C6" s="1030" t="s">
        <v>1268</v>
      </c>
      <c r="D6" s="1031"/>
      <c r="E6" s="1031"/>
      <c r="F6" s="1032"/>
      <c r="H6" s="658" t="s">
        <v>336</v>
      </c>
      <c r="I6" s="635">
        <f>I4+I5</f>
        <v>4898.47</v>
      </c>
      <c r="K6" s="657" t="s">
        <v>325</v>
      </c>
      <c r="L6" s="1049" t="str">
        <f>'DRILLING SI'!C6</f>
        <v>INTERNAL OR CONTRACTOR NAME</v>
      </c>
      <c r="M6" s="1050"/>
      <c r="N6" s="1053">
        <f>'DRILLING SI'!Y25</f>
        <v>0</v>
      </c>
      <c r="O6" s="1054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30" t="s">
        <v>1276</v>
      </c>
      <c r="D7" s="1031"/>
      <c r="E7" s="1031"/>
      <c r="F7" s="1032"/>
      <c r="K7" s="657" t="s">
        <v>449</v>
      </c>
      <c r="L7" s="1049" t="str">
        <f>'REINSTATEMENT SI'!C6</f>
        <v>INTERNAL OR CONTRACTOR NAME</v>
      </c>
      <c r="M7" s="1050"/>
      <c r="N7" s="1053">
        <f>'REINSTATEMENT SI'!Y24</f>
        <v>0</v>
      </c>
      <c r="O7" s="1054"/>
      <c r="S7" s="239"/>
      <c r="T7" s="240"/>
    </row>
    <row r="8" spans="1:25" ht="15" thickBot="1">
      <c r="B8" s="835" t="s">
        <v>996</v>
      </c>
      <c r="C8" s="1030" t="s">
        <v>1002</v>
      </c>
      <c r="D8" s="1031"/>
      <c r="E8" s="1031"/>
      <c r="F8" s="1032"/>
      <c r="K8" s="657" t="s">
        <v>450</v>
      </c>
      <c r="L8" s="1049" t="str">
        <f>'FLOATING SI'!C6</f>
        <v>INTERNAL OR CONTRACTOR NAME</v>
      </c>
      <c r="M8" s="1050"/>
      <c r="N8" s="1053">
        <f>'FLOATING SI'!Y36</f>
        <v>0</v>
      </c>
      <c r="O8" s="1054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1073</v>
      </c>
      <c r="C9" s="1043" t="str">
        <f>VLOOKUP(C8,'Network Types'!C2:D20,2,FALSE)</f>
        <v>Link Africa traditional network, including [PoPs, Fibre Routes Link Africa, and Connected Locations]</v>
      </c>
      <c r="D9" s="1044"/>
      <c r="E9" s="1044"/>
      <c r="F9" s="1045"/>
      <c r="H9" s="273" t="s">
        <v>348</v>
      </c>
      <c r="K9" s="679" t="s">
        <v>316</v>
      </c>
      <c r="L9" s="1062" t="str">
        <f>'FOCUS SI'!C6</f>
        <v>INTERNAL OR CONTRACTOR NAME</v>
      </c>
      <c r="M9" s="1063"/>
      <c r="N9" s="1055">
        <f>'FOCUS SI'!Y32</f>
        <v>0</v>
      </c>
      <c r="O9" s="1056"/>
      <c r="S9" s="239"/>
      <c r="T9" s="240"/>
    </row>
    <row r="10" spans="1:25" ht="15" thickBot="1">
      <c r="B10" s="835" t="s">
        <v>342</v>
      </c>
      <c r="C10" s="1030" t="s">
        <v>1272</v>
      </c>
      <c r="D10" s="1031"/>
      <c r="E10" s="1031"/>
      <c r="F10" s="1032"/>
      <c r="H10" s="637" t="s">
        <v>311</v>
      </c>
      <c r="I10" s="684">
        <f>IF(I45=0,(C51+C52+C63),(I35+I44+C51+C63))</f>
        <v>55</v>
      </c>
      <c r="K10" s="660" t="s">
        <v>451</v>
      </c>
      <c r="L10" s="1033" t="str">
        <f>'SPLICING SI'!C6</f>
        <v>INTERNAL OR CONTRACTOR NAME</v>
      </c>
      <c r="M10" s="1034"/>
      <c r="N10" s="1057">
        <f>'SPLICING SI'!Y24</f>
        <v>0</v>
      </c>
      <c r="O10" s="1058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30" t="s">
        <v>1269</v>
      </c>
      <c r="D11" s="1031"/>
      <c r="E11" s="1031"/>
      <c r="F11" s="1032"/>
      <c r="H11" s="659" t="s">
        <v>350</v>
      </c>
      <c r="I11" s="996">
        <f>ROUNDUP(I4/I10,2)</f>
        <v>49.89</v>
      </c>
      <c r="L11" s="1061" t="s">
        <v>453</v>
      </c>
      <c r="M11" s="1061"/>
      <c r="N11" s="1059">
        <f>SUM(O4:O10)</f>
        <v>0</v>
      </c>
      <c r="O11" s="1060"/>
      <c r="S11" s="239"/>
      <c r="T11" s="240"/>
    </row>
    <row r="12" spans="1:25" ht="14.4">
      <c r="B12" s="835" t="s">
        <v>307</v>
      </c>
      <c r="C12" s="1030" t="s">
        <v>1269</v>
      </c>
      <c r="D12" s="1031"/>
      <c r="E12" s="1031"/>
      <c r="F12" s="1032"/>
      <c r="H12" s="638" t="s">
        <v>327</v>
      </c>
      <c r="I12" s="636">
        <f>IF(I45=0,(C51+C52+C63),((I35+I36+I44)+(C51+C52+C63)))</f>
        <v>55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30"/>
      <c r="D13" s="1031"/>
      <c r="E13" s="1031"/>
      <c r="F13" s="1032"/>
      <c r="H13" s="661" t="s">
        <v>349</v>
      </c>
      <c r="I13" s="997">
        <f>ROUNDUP((I4+I5)/I12,2)</f>
        <v>89.070000000000007</v>
      </c>
      <c r="S13" s="239"/>
      <c r="T13" s="662"/>
      <c r="W13" s="1046"/>
      <c r="X13" s="1046"/>
      <c r="Y13" s="1046"/>
    </row>
    <row r="14" spans="1:25" ht="15" thickBot="1">
      <c r="B14" s="835" t="s">
        <v>309</v>
      </c>
      <c r="C14" s="1030"/>
      <c r="D14" s="1031"/>
      <c r="E14" s="1031"/>
      <c r="F14" s="1032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030" t="s">
        <v>1274</v>
      </c>
      <c r="D15" s="1031"/>
      <c r="E15" s="1031"/>
      <c r="F15" s="1032"/>
      <c r="H15" s="833" t="s">
        <v>514</v>
      </c>
    </row>
    <row r="16" spans="1:25" ht="14.4" thickBot="1">
      <c r="B16" s="836" t="s">
        <v>1242</v>
      </c>
      <c r="C16" s="1030" t="s">
        <v>1270</v>
      </c>
      <c r="D16" s="1031"/>
      <c r="E16" s="1031"/>
      <c r="F16" s="1032"/>
      <c r="H16" s="637" t="s">
        <v>512</v>
      </c>
      <c r="I16" s="998">
        <v>1100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30"/>
      <c r="D17" s="1031"/>
      <c r="E17" s="1031"/>
      <c r="F17" s="1032"/>
      <c r="H17" s="677" t="s">
        <v>513</v>
      </c>
      <c r="I17" s="683">
        <f>ROUNDUP(I16*12,2)</f>
        <v>13200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30" t="s">
        <v>1271</v>
      </c>
      <c r="D18" s="1031"/>
      <c r="E18" s="1031"/>
      <c r="F18" s="1032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030" t="s">
        <v>1275</v>
      </c>
      <c r="D19" s="1031"/>
      <c r="E19" s="1031"/>
      <c r="F19" s="1032"/>
      <c r="H19" s="640" t="s">
        <v>1243</v>
      </c>
      <c r="I19" s="641">
        <f>ROUNDUP((I6-I18)/I17,1)</f>
        <v>0.4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30"/>
      <c r="D20" s="1031"/>
      <c r="E20" s="1031"/>
      <c r="F20" s="1032"/>
      <c r="H20" s="640" t="s">
        <v>1241</v>
      </c>
      <c r="I20" s="641">
        <f>ROUNDUP(I19*12,0)</f>
        <v>5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30" t="s">
        <v>1273</v>
      </c>
      <c r="D21" s="1031"/>
      <c r="E21" s="1031"/>
      <c r="F21" s="1032"/>
    </row>
    <row r="22" spans="2:17" ht="15" customHeight="1" thickBot="1">
      <c r="B22" s="835" t="s">
        <v>460</v>
      </c>
      <c r="C22" s="1030"/>
      <c r="D22" s="1031"/>
      <c r="E22" s="1031"/>
      <c r="F22" s="1032"/>
      <c r="H22" s="665" t="s">
        <v>314</v>
      </c>
      <c r="K22" s="654" t="s">
        <v>230</v>
      </c>
      <c r="L22" s="1039" t="s">
        <v>466</v>
      </c>
      <c r="M22" s="1039"/>
      <c r="N22" s="1039" t="s">
        <v>456</v>
      </c>
      <c r="O22" s="1042"/>
    </row>
    <row r="23" spans="2:17" ht="14.4" thickBot="1">
      <c r="B23" s="837" t="s">
        <v>461</v>
      </c>
      <c r="C23" s="1064"/>
      <c r="D23" s="1065"/>
      <c r="E23" s="1065"/>
      <c r="F23" s="1066"/>
      <c r="H23" s="637" t="s">
        <v>316</v>
      </c>
      <c r="I23" s="1016">
        <f>IF(I45=0,C51/C64,(C51+I35)/(C64+I45))</f>
        <v>0</v>
      </c>
      <c r="K23" s="655" t="s">
        <v>457</v>
      </c>
      <c r="L23" s="1067">
        <f>SUMIF(L4:L10,K23,O4:O10)</f>
        <v>0</v>
      </c>
      <c r="M23" s="1067"/>
      <c r="N23" s="1069" t="e">
        <f>L23/N11</f>
        <v>#DIV/0!</v>
      </c>
      <c r="O23" s="1070"/>
    </row>
    <row r="24" spans="2:17" ht="14.4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68">
        <f>N11-L23</f>
        <v>0</v>
      </c>
      <c r="M24" s="1068"/>
      <c r="N24" s="1071" t="e">
        <f>L24/N11</f>
        <v>#DIV/0!</v>
      </c>
      <c r="O24" s="1072"/>
    </row>
    <row r="25" spans="2:17" ht="14.4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27"/>
      <c r="L33" s="1028"/>
      <c r="M33" s="1028"/>
      <c r="N33" s="1028"/>
      <c r="O33" s="1028"/>
      <c r="P33" s="1028"/>
      <c r="Q33" s="1029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1"/>
      <c r="L34" s="1022"/>
      <c r="M34" s="1022"/>
      <c r="N34" s="1022"/>
      <c r="O34" s="1022"/>
      <c r="P34" s="1022"/>
      <c r="Q34" s="1023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1"/>
      <c r="L35" s="1022"/>
      <c r="M35" s="1022"/>
      <c r="N35" s="1022"/>
      <c r="O35" s="1022"/>
      <c r="P35" s="1022"/>
      <c r="Q35" s="1023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1"/>
      <c r="L36" s="1022"/>
      <c r="M36" s="1022"/>
      <c r="N36" s="1022"/>
      <c r="O36" s="1022"/>
      <c r="P36" s="1022"/>
      <c r="Q36" s="1023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1"/>
      <c r="L37" s="1022"/>
      <c r="M37" s="1022"/>
      <c r="N37" s="1022"/>
      <c r="O37" s="1022"/>
      <c r="P37" s="1022"/>
      <c r="Q37" s="1023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1"/>
      <c r="L38" s="1022"/>
      <c r="M38" s="1022"/>
      <c r="N38" s="1022"/>
      <c r="O38" s="1022"/>
      <c r="P38" s="1022"/>
      <c r="Q38" s="1023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1"/>
      <c r="L39" s="1022"/>
      <c r="M39" s="1022"/>
      <c r="N39" s="1022"/>
      <c r="O39" s="1022"/>
      <c r="P39" s="1022"/>
      <c r="Q39" s="1023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1"/>
      <c r="L40" s="1022"/>
      <c r="M40" s="1022"/>
      <c r="N40" s="1022"/>
      <c r="O40" s="1022"/>
      <c r="P40" s="1022"/>
      <c r="Q40" s="1023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1"/>
      <c r="L41" s="1022"/>
      <c r="M41" s="1022"/>
      <c r="N41" s="1022"/>
      <c r="O41" s="1022"/>
      <c r="P41" s="1022"/>
      <c r="Q41" s="1023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1"/>
      <c r="L42" s="1022"/>
      <c r="M42" s="1022"/>
      <c r="N42" s="1022"/>
      <c r="O42" s="1022"/>
      <c r="P42" s="1022"/>
      <c r="Q42" s="1023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1"/>
      <c r="L43" s="1022"/>
      <c r="M43" s="1022"/>
      <c r="N43" s="1022"/>
      <c r="O43" s="1022"/>
      <c r="P43" s="1022"/>
      <c r="Q43" s="1023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1"/>
      <c r="L44" s="1022"/>
      <c r="M44" s="1022"/>
      <c r="N44" s="1022"/>
      <c r="O44" s="1022"/>
      <c r="P44" s="1022"/>
      <c r="Q44" s="1023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24"/>
      <c r="L45" s="1025"/>
      <c r="M45" s="1025"/>
      <c r="N45" s="1025"/>
      <c r="O45" s="1025"/>
      <c r="P45" s="1025"/>
      <c r="Q45" s="1026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27"/>
      <c r="L49" s="1028"/>
      <c r="M49" s="1028"/>
      <c r="N49" s="1028"/>
      <c r="O49" s="1028"/>
      <c r="P49" s="1028"/>
      <c r="Q49" s="1029"/>
    </row>
    <row r="50" spans="2:17" ht="15" customHeight="1">
      <c r="B50" s="638" t="s">
        <v>317</v>
      </c>
      <c r="C50" s="645">
        <v>0</v>
      </c>
      <c r="K50" s="1021"/>
      <c r="L50" s="1022"/>
      <c r="M50" s="1022"/>
      <c r="N50" s="1022"/>
      <c r="O50" s="1022"/>
      <c r="P50" s="1022"/>
      <c r="Q50" s="1023"/>
    </row>
    <row r="51" spans="2:17" ht="15" customHeight="1">
      <c r="B51" s="671" t="s">
        <v>319</v>
      </c>
      <c r="C51" s="672">
        <f>C49+C50</f>
        <v>0</v>
      </c>
      <c r="K51" s="1021"/>
      <c r="L51" s="1022"/>
      <c r="M51" s="1022"/>
      <c r="N51" s="1022"/>
      <c r="O51" s="1022"/>
      <c r="P51" s="1022"/>
      <c r="Q51" s="1023"/>
    </row>
    <row r="52" spans="2:17" ht="15" customHeight="1">
      <c r="B52" s="638" t="s">
        <v>322</v>
      </c>
      <c r="C52" s="645">
        <v>0</v>
      </c>
      <c r="K52" s="1021"/>
      <c r="L52" s="1022"/>
      <c r="M52" s="1022"/>
      <c r="N52" s="1022"/>
      <c r="O52" s="1022"/>
      <c r="P52" s="1022"/>
      <c r="Q52" s="1023"/>
    </row>
    <row r="53" spans="2:17" ht="15" customHeight="1">
      <c r="B53" s="638" t="s">
        <v>472</v>
      </c>
      <c r="C53" s="645">
        <v>0</v>
      </c>
      <c r="K53" s="1021"/>
      <c r="L53" s="1022"/>
      <c r="M53" s="1022"/>
      <c r="N53" s="1022"/>
      <c r="O53" s="1022"/>
      <c r="P53" s="1022"/>
      <c r="Q53" s="1023"/>
    </row>
    <row r="54" spans="2:17" ht="15" customHeight="1">
      <c r="B54" s="671" t="s">
        <v>323</v>
      </c>
      <c r="C54" s="672">
        <f>C52+C53</f>
        <v>0</v>
      </c>
      <c r="K54" s="1021"/>
      <c r="L54" s="1022"/>
      <c r="M54" s="1022"/>
      <c r="N54" s="1022"/>
      <c r="O54" s="1022"/>
      <c r="P54" s="1022"/>
      <c r="Q54" s="1023"/>
    </row>
    <row r="55" spans="2:17" ht="15" customHeight="1">
      <c r="B55" s="638" t="s">
        <v>321</v>
      </c>
      <c r="C55" s="645">
        <v>3</v>
      </c>
      <c r="K55" s="1021"/>
      <c r="L55" s="1022"/>
      <c r="M55" s="1022"/>
      <c r="N55" s="1022"/>
      <c r="O55" s="1022"/>
      <c r="P55" s="1022"/>
      <c r="Q55" s="1023"/>
    </row>
    <row r="56" spans="2:17" ht="15" customHeight="1">
      <c r="B56" s="638" t="s">
        <v>328</v>
      </c>
      <c r="C56" s="645">
        <v>0</v>
      </c>
      <c r="K56" s="1021"/>
      <c r="L56" s="1022"/>
      <c r="M56" s="1022"/>
      <c r="N56" s="1022"/>
      <c r="O56" s="1022"/>
      <c r="P56" s="1022"/>
      <c r="Q56" s="1023"/>
    </row>
    <row r="57" spans="2:17" ht="15" customHeight="1">
      <c r="B57" s="638" t="s">
        <v>329</v>
      </c>
      <c r="C57" s="645">
        <v>0</v>
      </c>
      <c r="K57" s="1021"/>
      <c r="L57" s="1022"/>
      <c r="M57" s="1022"/>
      <c r="N57" s="1022"/>
      <c r="O57" s="1022"/>
      <c r="P57" s="1022"/>
      <c r="Q57" s="1023"/>
    </row>
    <row r="58" spans="2:17" ht="15" customHeight="1">
      <c r="B58" s="638" t="s">
        <v>330</v>
      </c>
      <c r="C58" s="645">
        <v>0</v>
      </c>
      <c r="K58" s="1021"/>
      <c r="L58" s="1022"/>
      <c r="M58" s="1022"/>
      <c r="N58" s="1022"/>
      <c r="O58" s="1022"/>
      <c r="P58" s="1022"/>
      <c r="Q58" s="1023"/>
    </row>
    <row r="59" spans="2:17" ht="15" customHeight="1">
      <c r="B59" s="638" t="s">
        <v>325</v>
      </c>
      <c r="C59" s="645">
        <v>0</v>
      </c>
      <c r="K59" s="1021"/>
      <c r="L59" s="1022"/>
      <c r="M59" s="1022"/>
      <c r="N59" s="1022"/>
      <c r="O59" s="1022"/>
      <c r="P59" s="1022"/>
      <c r="Q59" s="1023"/>
    </row>
    <row r="60" spans="2:17" ht="15" customHeight="1">
      <c r="B60" s="638" t="s">
        <v>326</v>
      </c>
      <c r="C60" s="645">
        <v>0</v>
      </c>
      <c r="K60" s="1021"/>
      <c r="L60" s="1022"/>
      <c r="M60" s="1022"/>
      <c r="N60" s="1022"/>
      <c r="O60" s="1022"/>
      <c r="P60" s="1022"/>
      <c r="Q60" s="1023"/>
    </row>
    <row r="61" spans="2:17" ht="15" customHeight="1">
      <c r="B61" s="639" t="s">
        <v>1158</v>
      </c>
      <c r="C61" s="645">
        <v>0</v>
      </c>
      <c r="K61" s="1021"/>
      <c r="L61" s="1022"/>
      <c r="M61" s="1022"/>
      <c r="N61" s="1022"/>
      <c r="O61" s="1022"/>
      <c r="P61" s="1022"/>
      <c r="Q61" s="1023"/>
    </row>
    <row r="62" spans="2:17" ht="15" customHeight="1">
      <c r="B62" s="669" t="s">
        <v>331</v>
      </c>
      <c r="C62" s="647">
        <v>52</v>
      </c>
      <c r="K62" s="1021"/>
      <c r="L62" s="1022"/>
      <c r="M62" s="1022"/>
      <c r="N62" s="1022"/>
      <c r="O62" s="1022"/>
      <c r="P62" s="1022"/>
      <c r="Q62" s="1023"/>
    </row>
    <row r="63" spans="2:17" ht="15" customHeight="1" thickBot="1">
      <c r="B63" s="671" t="s">
        <v>961</v>
      </c>
      <c r="C63" s="672">
        <f>C55+C56+C57+C58+C59+C60+C61+C62</f>
        <v>55</v>
      </c>
      <c r="K63" s="1021"/>
      <c r="L63" s="1022"/>
      <c r="M63" s="1022"/>
      <c r="N63" s="1022"/>
      <c r="O63" s="1022"/>
      <c r="P63" s="1022"/>
      <c r="Q63" s="1023"/>
    </row>
    <row r="64" spans="2:17" ht="14.4" thickBot="1">
      <c r="B64" s="658" t="s">
        <v>327</v>
      </c>
      <c r="C64" s="646">
        <f>C51+C54+C63</f>
        <v>55</v>
      </c>
      <c r="K64" s="1024"/>
      <c r="L64" s="1025"/>
      <c r="M64" s="1025"/>
      <c r="N64" s="1025"/>
      <c r="O64" s="1025"/>
      <c r="P64" s="1025"/>
      <c r="Q64" s="1026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K45:Q45"/>
    <mergeCell ref="K49:Q49"/>
    <mergeCell ref="K50:Q50"/>
    <mergeCell ref="K51:Q51"/>
    <mergeCell ref="K52:Q52"/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098">
        <f>'Infra Build BOQ'!F3:K3</f>
        <v>0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101" t="str">
        <f>'Infra Build BOQ'!F4:K4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'EXE Dashboard'!C22</f>
        <v>0</v>
      </c>
      <c r="D5" s="1145" t="s">
        <v>3</v>
      </c>
      <c r="E5" s="1189"/>
      <c r="F5" s="1104" t="str">
        <f>'Infra Build BOQ'!F5:K5</f>
        <v>Date: 2023/08/25</v>
      </c>
      <c r="G5" s="1105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Phoenix Industrial Access PoP - ECN - Roots Dube Village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0</v>
      </c>
      <c r="G18" s="957">
        <f>'Infra Build BOQ'!G19</f>
        <v>0</v>
      </c>
      <c r="H18" s="973">
        <f>'Infra Build BOQ'!T19</f>
        <v>0</v>
      </c>
      <c r="I18" s="974">
        <f>'Infra Build BOQ'!U19</f>
        <v>0</v>
      </c>
      <c r="J18" s="975">
        <f>'Infra Build BOQ'!V19</f>
        <v>0</v>
      </c>
      <c r="K18" s="976">
        <f>'Infra Build BOQ'!W19</f>
        <v>0</v>
      </c>
      <c r="L18" s="973">
        <f>'Infra Build BOQ'!X19</f>
        <v>0</v>
      </c>
      <c r="M18" s="974">
        <f>'Infra Build BOQ'!Y19</f>
        <v>0</v>
      </c>
      <c r="N18" s="975">
        <f>'Infra Build BOQ'!Z19</f>
        <v>0</v>
      </c>
      <c r="O18" s="976">
        <f>'Infra Build BOQ'!AA19</f>
        <v>0</v>
      </c>
      <c r="P18" s="973">
        <f>'Infra Build BOQ'!AB19</f>
        <v>0</v>
      </c>
      <c r="Q18" s="974">
        <f>'Infra Build BOQ'!AC19</f>
        <v>0</v>
      </c>
      <c r="R18" s="975">
        <f>'Infra Build BOQ'!AD19</f>
        <v>0</v>
      </c>
      <c r="S18" s="976">
        <f>'Infra Build BOQ'!AE19</f>
        <v>0</v>
      </c>
      <c r="T18" s="973">
        <f>'Infra Build BOQ'!AF19</f>
        <v>0</v>
      </c>
      <c r="U18" s="974">
        <f>'Infra Build BOQ'!AG19</f>
        <v>0</v>
      </c>
      <c r="V18" s="975">
        <f>'Infra Build BOQ'!AH19</f>
        <v>0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0</v>
      </c>
      <c r="G21" s="957">
        <f>'Infra Build BOQ'!G22</f>
        <v>0</v>
      </c>
      <c r="H21" s="973">
        <f>'Infra Build BOQ'!T22</f>
        <v>0</v>
      </c>
      <c r="I21" s="974">
        <f>'Infra Build BOQ'!U22</f>
        <v>0</v>
      </c>
      <c r="J21" s="975">
        <f>'Infra Build BOQ'!V22</f>
        <v>0</v>
      </c>
      <c r="K21" s="976">
        <f>'Infra Build BOQ'!W22</f>
        <v>0</v>
      </c>
      <c r="L21" s="973">
        <f>'Infra Build BOQ'!X22</f>
        <v>0</v>
      </c>
      <c r="M21" s="974">
        <f>'Infra Build BOQ'!Y22</f>
        <v>0</v>
      </c>
      <c r="N21" s="975">
        <f>'Infra Build BOQ'!Z22</f>
        <v>0</v>
      </c>
      <c r="O21" s="976">
        <f>'Infra Build BOQ'!AA22</f>
        <v>0</v>
      </c>
      <c r="P21" s="973">
        <f>'Infra Build BOQ'!AB22</f>
        <v>0</v>
      </c>
      <c r="Q21" s="974">
        <f>'Infra Build BOQ'!AC22</f>
        <v>0</v>
      </c>
      <c r="R21" s="975">
        <f>'Infra Build BOQ'!AD22</f>
        <v>0</v>
      </c>
      <c r="S21" s="976">
        <f>'Infra Build BOQ'!AE22</f>
        <v>0</v>
      </c>
      <c r="T21" s="973">
        <f>'Infra Build BOQ'!AF22</f>
        <v>0</v>
      </c>
      <c r="U21" s="974">
        <f>'Infra Build BOQ'!AG22</f>
        <v>0</v>
      </c>
      <c r="V21" s="975">
        <f>'Infra Build BOQ'!AH22</f>
        <v>0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0</v>
      </c>
      <c r="G60" s="957">
        <f>'Infra Build BOQ'!G61</f>
        <v>0</v>
      </c>
      <c r="H60" s="973">
        <f>'Infra Build BOQ'!T61</f>
        <v>0</v>
      </c>
      <c r="I60" s="974">
        <f>'Infra Build BOQ'!U61</f>
        <v>0</v>
      </c>
      <c r="J60" s="975">
        <f>'Infra Build BOQ'!V61</f>
        <v>0</v>
      </c>
      <c r="K60" s="976">
        <f>'Infra Build BOQ'!W61</f>
        <v>0</v>
      </c>
      <c r="L60" s="973">
        <f>'Infra Build BOQ'!X61</f>
        <v>0</v>
      </c>
      <c r="M60" s="974">
        <f>'Infra Build BOQ'!Y61</f>
        <v>0</v>
      </c>
      <c r="N60" s="975">
        <f>'Infra Build BOQ'!Z61</f>
        <v>0</v>
      </c>
      <c r="O60" s="976">
        <f>'Infra Build BOQ'!AA61</f>
        <v>0</v>
      </c>
      <c r="P60" s="973">
        <f>'Infra Build BOQ'!AB61</f>
        <v>0</v>
      </c>
      <c r="Q60" s="974">
        <f>'Infra Build BOQ'!AC61</f>
        <v>0</v>
      </c>
      <c r="R60" s="975">
        <f>'Infra Build BOQ'!AD61</f>
        <v>0</v>
      </c>
      <c r="S60" s="976">
        <f>'Infra Build BOQ'!AE61</f>
        <v>0</v>
      </c>
      <c r="T60" s="973">
        <f>'Infra Build BOQ'!AF61</f>
        <v>0</v>
      </c>
      <c r="U60" s="974">
        <f>'Infra Build BOQ'!AG61</f>
        <v>0</v>
      </c>
      <c r="V60" s="975">
        <f>'Infra Build BOQ'!AH61</f>
        <v>0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0</v>
      </c>
      <c r="G65" s="957">
        <f>'Infra Build BOQ'!G66</f>
        <v>0</v>
      </c>
      <c r="H65" s="973">
        <f>'Infra Build BOQ'!T66</f>
        <v>0</v>
      </c>
      <c r="I65" s="974">
        <f>'Infra Build BOQ'!U66</f>
        <v>0</v>
      </c>
      <c r="J65" s="975">
        <f>'Infra Build BOQ'!V66</f>
        <v>0</v>
      </c>
      <c r="K65" s="976">
        <f>'Infra Build BOQ'!W66</f>
        <v>0</v>
      </c>
      <c r="L65" s="973">
        <f>'Infra Build BOQ'!X66</f>
        <v>0</v>
      </c>
      <c r="M65" s="974">
        <f>'Infra Build BOQ'!Y66</f>
        <v>0</v>
      </c>
      <c r="N65" s="975">
        <f>'Infra Build BOQ'!Z66</f>
        <v>0</v>
      </c>
      <c r="O65" s="976">
        <f>'Infra Build BOQ'!AA66</f>
        <v>0</v>
      </c>
      <c r="P65" s="973">
        <f>'Infra Build BOQ'!AB66</f>
        <v>0</v>
      </c>
      <c r="Q65" s="974">
        <f>'Infra Build BOQ'!AC66</f>
        <v>0</v>
      </c>
      <c r="R65" s="975">
        <f>'Infra Build BOQ'!AD66</f>
        <v>0</v>
      </c>
      <c r="S65" s="976">
        <f>'Infra Build BOQ'!AE66</f>
        <v>0</v>
      </c>
      <c r="T65" s="973">
        <f>'Infra Build BOQ'!AF66</f>
        <v>0</v>
      </c>
      <c r="U65" s="974">
        <f>'Infra Build BOQ'!AG66</f>
        <v>0</v>
      </c>
      <c r="V65" s="975">
        <f>'Infra Build BOQ'!AH66</f>
        <v>0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0</v>
      </c>
      <c r="G69" s="957">
        <f>'Infra Build BOQ'!G70</f>
        <v>0</v>
      </c>
      <c r="H69" s="973">
        <f>'Infra Build BOQ'!T70</f>
        <v>0</v>
      </c>
      <c r="I69" s="974">
        <f>'Infra Build BOQ'!U70</f>
        <v>0</v>
      </c>
      <c r="J69" s="975">
        <f>'Infra Build BOQ'!V70</f>
        <v>0</v>
      </c>
      <c r="K69" s="976">
        <f>'Infra Build BOQ'!W70</f>
        <v>0</v>
      </c>
      <c r="L69" s="973">
        <f>'Infra Build BOQ'!X70</f>
        <v>0</v>
      </c>
      <c r="M69" s="974">
        <f>'Infra Build BOQ'!Y70</f>
        <v>0</v>
      </c>
      <c r="N69" s="975">
        <f>'Infra Build BOQ'!Z70</f>
        <v>0</v>
      </c>
      <c r="O69" s="976">
        <f>'Infra Build BOQ'!AA70</f>
        <v>0</v>
      </c>
      <c r="P69" s="973">
        <f>'Infra Build BOQ'!AB70</f>
        <v>0</v>
      </c>
      <c r="Q69" s="974">
        <f>'Infra Build BOQ'!AC70</f>
        <v>0</v>
      </c>
      <c r="R69" s="975">
        <f>'Infra Build BOQ'!AD70</f>
        <v>0</v>
      </c>
      <c r="S69" s="976">
        <f>'Infra Build BOQ'!AE70</f>
        <v>0</v>
      </c>
      <c r="T69" s="973">
        <f>'Infra Build BOQ'!AF70</f>
        <v>0</v>
      </c>
      <c r="U69" s="974">
        <f>'Infra Build BOQ'!AG70</f>
        <v>0</v>
      </c>
      <c r="V69" s="975">
        <f>'Infra Build BOQ'!AH70</f>
        <v>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49</v>
      </c>
      <c r="G109" s="957">
        <f>'Infra Build BOQ'!G128</f>
        <v>803.11</v>
      </c>
      <c r="H109" s="973">
        <f>'Infra Build BOQ'!T128</f>
        <v>0</v>
      </c>
      <c r="I109" s="974">
        <f>'Infra Build BOQ'!U128</f>
        <v>49</v>
      </c>
      <c r="J109" s="975">
        <f>'Infra Build BOQ'!V128</f>
        <v>803.11</v>
      </c>
      <c r="K109" s="976">
        <f>'Infra Build BOQ'!W128</f>
        <v>0</v>
      </c>
      <c r="L109" s="973">
        <f>'Infra Build BOQ'!X128</f>
        <v>0</v>
      </c>
      <c r="M109" s="974">
        <f>'Infra Build BOQ'!Y128</f>
        <v>49</v>
      </c>
      <c r="N109" s="975">
        <f>'Infra Build BOQ'!Z128</f>
        <v>803.11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49</v>
      </c>
      <c r="R109" s="975">
        <f>'Infra Build BOQ'!AD128</f>
        <v>803.11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49</v>
      </c>
      <c r="V109" s="975">
        <f>'Infra Build BOQ'!AH128</f>
        <v>803.11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80</v>
      </c>
      <c r="G124" s="957">
        <f>'Infra Build BOQ'!G143</f>
        <v>520</v>
      </c>
      <c r="H124" s="973">
        <f>'Infra Build BOQ'!T143</f>
        <v>0</v>
      </c>
      <c r="I124" s="974">
        <f>'Infra Build BOQ'!U143</f>
        <v>80</v>
      </c>
      <c r="J124" s="975">
        <f>'Infra Build BOQ'!V143</f>
        <v>520</v>
      </c>
      <c r="K124" s="976">
        <f>'Infra Build BOQ'!W143</f>
        <v>0</v>
      </c>
      <c r="L124" s="973">
        <f>'Infra Build BOQ'!X143</f>
        <v>0</v>
      </c>
      <c r="M124" s="974">
        <f>'Infra Build BOQ'!Y143</f>
        <v>80</v>
      </c>
      <c r="N124" s="975">
        <f>'Infra Build BOQ'!Z143</f>
        <v>520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80</v>
      </c>
      <c r="R124" s="975">
        <f>'Infra Build BOQ'!AD143</f>
        <v>520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80</v>
      </c>
      <c r="V124" s="975">
        <f>'Infra Build BOQ'!AH143</f>
        <v>520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55</v>
      </c>
      <c r="G125" s="957">
        <f>'Infra Build BOQ'!G144</f>
        <v>357.5</v>
      </c>
      <c r="H125" s="973">
        <f>'Infra Build BOQ'!T144</f>
        <v>0</v>
      </c>
      <c r="I125" s="974">
        <f>'Infra Build BOQ'!U144</f>
        <v>55</v>
      </c>
      <c r="J125" s="975">
        <f>'Infra Build BOQ'!V144</f>
        <v>357.5</v>
      </c>
      <c r="K125" s="976">
        <f>'Infra Build BOQ'!W144</f>
        <v>0</v>
      </c>
      <c r="L125" s="973">
        <f>'Infra Build BOQ'!X144</f>
        <v>0</v>
      </c>
      <c r="M125" s="974">
        <f>'Infra Build BOQ'!Y144</f>
        <v>55</v>
      </c>
      <c r="N125" s="975">
        <f>'Infra Build BOQ'!Z144</f>
        <v>357.5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55</v>
      </c>
      <c r="R125" s="975">
        <f>'Infra Build BOQ'!AD144</f>
        <v>357.5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55</v>
      </c>
      <c r="V125" s="975">
        <f>'Infra Build BOQ'!AH144</f>
        <v>357.5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3</v>
      </c>
      <c r="G126" s="957">
        <f>'Infra Build BOQ'!G145</f>
        <v>49.17</v>
      </c>
      <c r="H126" s="973">
        <f>'Infra Build BOQ'!T145</f>
        <v>0</v>
      </c>
      <c r="I126" s="974">
        <f>'Infra Build BOQ'!U145</f>
        <v>3</v>
      </c>
      <c r="J126" s="975">
        <f>'Infra Build BOQ'!V145</f>
        <v>49.17</v>
      </c>
      <c r="K126" s="976">
        <f>'Infra Build BOQ'!W145</f>
        <v>0</v>
      </c>
      <c r="L126" s="973">
        <f>'Infra Build BOQ'!X145</f>
        <v>0</v>
      </c>
      <c r="M126" s="974">
        <f>'Infra Build BOQ'!Y145</f>
        <v>3</v>
      </c>
      <c r="N126" s="975">
        <f>'Infra Build BOQ'!Z145</f>
        <v>49.17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3</v>
      </c>
      <c r="R126" s="975">
        <f>'Infra Build BOQ'!AD145</f>
        <v>49.17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3</v>
      </c>
      <c r="V126" s="975">
        <f>'Infra Build BOQ'!AH145</f>
        <v>49.17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2</v>
      </c>
      <c r="G140" s="957">
        <f>'Infra Build BOQ'!G159</f>
        <v>50</v>
      </c>
      <c r="H140" s="973">
        <f>'Infra Build BOQ'!T159</f>
        <v>0</v>
      </c>
      <c r="I140" s="974">
        <f>'Infra Build BOQ'!U159</f>
        <v>2</v>
      </c>
      <c r="J140" s="975">
        <f>'Infra Build BOQ'!V159</f>
        <v>50</v>
      </c>
      <c r="K140" s="976">
        <f>'Infra Build BOQ'!W159</f>
        <v>0</v>
      </c>
      <c r="L140" s="973">
        <f>'Infra Build BOQ'!X159</f>
        <v>0</v>
      </c>
      <c r="M140" s="974">
        <f>'Infra Build BOQ'!Y159</f>
        <v>2</v>
      </c>
      <c r="N140" s="975">
        <f>'Infra Build BOQ'!Z159</f>
        <v>50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2</v>
      </c>
      <c r="R140" s="975">
        <f>'Infra Build BOQ'!AD159</f>
        <v>50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2</v>
      </c>
      <c r="V140" s="975">
        <f>'Infra Build BOQ'!AH159</f>
        <v>50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2528.67</v>
      </c>
      <c r="H199" s="145"/>
      <c r="I199" s="147"/>
      <c r="J199" s="148">
        <f>SUM(J13:J198)</f>
        <v>2528.67</v>
      </c>
      <c r="K199" s="145"/>
      <c r="L199" s="145"/>
      <c r="M199" s="147"/>
      <c r="N199" s="148">
        <f>SUM(N13:N198)</f>
        <v>2528.67</v>
      </c>
      <c r="R199" s="150">
        <f>SUM(R13:R198)</f>
        <v>2528.67</v>
      </c>
      <c r="V199" s="150">
        <f>SUM(V13:V198)</f>
        <v>2528.67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-2528.67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94"/>
      <c r="E205" s="1194"/>
      <c r="F205" s="1194"/>
      <c r="G205" s="12"/>
      <c r="H205" s="10"/>
      <c r="I205" s="10"/>
    </row>
    <row r="206" spans="1:26" ht="18">
      <c r="A206" s="10"/>
      <c r="B206" s="10"/>
      <c r="C206" s="11"/>
      <c r="D206" s="1194"/>
      <c r="E206" s="1194"/>
      <c r="F206" s="1194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D205:F205"/>
    <mergeCell ref="D206:F206"/>
    <mergeCell ref="B2:G2"/>
    <mergeCell ref="F8:G8"/>
    <mergeCell ref="F9:G9"/>
    <mergeCell ref="B11:G11"/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099">
        <f>'Infra Build BOQ'!F3</f>
        <v>0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101" t="str">
        <f>'Infra Build BOQ'!F4</f>
        <v>Ethekwini</v>
      </c>
      <c r="G4" s="1103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4" t="str">
        <f>'Infra Build BOQ'!F5</f>
        <v>Date: 2023/08/25</v>
      </c>
      <c r="G5" s="1106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Phoenix Industrial Access PoP - ECN - Roots Dube Village</v>
      </c>
      <c r="G6" s="1150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94"/>
      <c r="E38" s="1194"/>
      <c r="F38" s="10"/>
      <c r="G38" s="15"/>
      <c r="H38" s="10"/>
      <c r="I38" s="10"/>
    </row>
    <row r="39" spans="1:25" ht="18">
      <c r="A39" s="10"/>
      <c r="B39" s="10"/>
      <c r="C39" s="11"/>
      <c r="D39" s="1194"/>
      <c r="E39" s="1194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  <mergeCell ref="D6:E6"/>
    <mergeCell ref="B11:G11"/>
    <mergeCell ref="H11:Z11"/>
    <mergeCell ref="D38:E38"/>
    <mergeCell ref="D39:E3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099">
        <f>'Infra Build BOQ'!F3</f>
        <v>0</v>
      </c>
      <c r="G3" s="1100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102" t="str">
        <f>'Infra Build BOQ'!F4</f>
        <v>Ethekwini</v>
      </c>
      <c r="G4" s="1103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5" t="str">
        <f>'Infra Build BOQ'!F5</f>
        <v>Date: 2023/08/25</v>
      </c>
      <c r="G5" s="1106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93" t="str">
        <f>'Infra Build BOQ'!F6</f>
        <v>Phoenix Industrial Access PoP - ECN - Roots Dube Village</v>
      </c>
      <c r="G6" s="1197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132"/>
      <c r="G11" s="132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94"/>
      <c r="E31" s="1194"/>
      <c r="H31" s="10"/>
      <c r="I31" s="10"/>
    </row>
    <row r="32" spans="1:26" ht="18">
      <c r="A32" s="10"/>
      <c r="B32" s="10"/>
      <c r="C32" s="11"/>
      <c r="D32" s="1194"/>
      <c r="E32" s="1194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0"/>
      <c r="G2" s="110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099">
        <f>'Infra Build BOQ'!F3</f>
        <v>0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102" t="str">
        <f>'Infra Build BOQ'!F4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5" t="str">
        <f>'Infra Build BOQ'!F5</f>
        <v>Date: 2023/08/25</v>
      </c>
      <c r="G5" s="1105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93" t="str">
        <f>'Infra Build BOQ'!F6</f>
        <v>Phoenix Industrial Access PoP - ECN - Roots Dube Village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0</v>
      </c>
      <c r="G20" s="106">
        <f>'Infra Build BOQ'!M87</f>
        <v>0</v>
      </c>
      <c r="H20" s="91">
        <f>'Infra Build BOQ'!T87</f>
        <v>0</v>
      </c>
      <c r="I20" s="101">
        <f>'Infra Build BOQ'!U87</f>
        <v>0</v>
      </c>
      <c r="J20" s="117">
        <f>'Infra Build BOQ'!V87</f>
        <v>0</v>
      </c>
      <c r="K20" s="159">
        <f>'Infra Build BOQ'!W87</f>
        <v>0</v>
      </c>
      <c r="L20" s="91">
        <f>'Infra Build BOQ'!X87</f>
        <v>0</v>
      </c>
      <c r="M20" s="101">
        <f>'Infra Build BOQ'!Y87</f>
        <v>0</v>
      </c>
      <c r="N20" s="117">
        <f>'Infra Build BOQ'!Z87</f>
        <v>0</v>
      </c>
      <c r="O20" s="159">
        <f>'Infra Build BOQ'!AA87</f>
        <v>0</v>
      </c>
      <c r="P20" s="91">
        <f>'Infra Build BOQ'!AB87</f>
        <v>0</v>
      </c>
      <c r="Q20" s="101">
        <f>'Infra Build BOQ'!AC87</f>
        <v>0</v>
      </c>
      <c r="R20" s="117">
        <f>'Infra Build BOQ'!AD87</f>
        <v>0</v>
      </c>
      <c r="S20" s="159">
        <f>'Infra Build BOQ'!AE87</f>
        <v>0</v>
      </c>
      <c r="T20" s="91">
        <f>'Infra Build BOQ'!AF87</f>
        <v>0</v>
      </c>
      <c r="U20" s="101">
        <f>'Infra Build BOQ'!AG87</f>
        <v>0</v>
      </c>
      <c r="V20" s="117">
        <f>'Infra Build BOQ'!AH87</f>
        <v>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0</v>
      </c>
      <c r="H24" s="145"/>
      <c r="I24" s="147"/>
      <c r="J24" s="148">
        <f>SUM(J13:J23)</f>
        <v>0</v>
      </c>
      <c r="K24" s="145"/>
      <c r="L24" s="145"/>
      <c r="M24" s="147"/>
      <c r="N24" s="148">
        <f>SUM(N13:N23)</f>
        <v>0</v>
      </c>
      <c r="R24" s="150">
        <f>SUM(R13:R23)</f>
        <v>0</v>
      </c>
      <c r="V24" s="150">
        <f>SUM(V13:V23)</f>
        <v>0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0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 t="e">
        <f>J26/G24</f>
        <v>#DIV/0!</v>
      </c>
      <c r="K27" s="154"/>
      <c r="L27" s="154" t="s">
        <v>223</v>
      </c>
      <c r="M27" s="154"/>
      <c r="N27" s="157" t="e">
        <f>N26/J24</f>
        <v>#DIV/0!</v>
      </c>
      <c r="O27" s="154"/>
      <c r="P27" s="154" t="s">
        <v>225</v>
      </c>
      <c r="Q27" s="154"/>
      <c r="R27" s="157" t="e">
        <f>R26/N24</f>
        <v>#DIV/0!</v>
      </c>
      <c r="S27" s="154"/>
      <c r="T27" s="154" t="s">
        <v>227</v>
      </c>
      <c r="U27" s="154"/>
      <c r="V27" s="157" t="e">
        <f>V26/R24</f>
        <v>#DIV/0!</v>
      </c>
      <c r="W27" s="154"/>
      <c r="X27" s="154" t="s">
        <v>229</v>
      </c>
      <c r="Y27" s="157" t="e">
        <f>Y26/G24</f>
        <v>#DIV/0!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94"/>
      <c r="E30" s="1194"/>
      <c r="H30" s="10"/>
      <c r="I30" s="10"/>
    </row>
    <row r="31" spans="1:26" ht="18">
      <c r="A31" s="10"/>
      <c r="B31" s="10"/>
      <c r="C31" s="11"/>
      <c r="D31" s="1194"/>
      <c r="E31" s="1194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0"/>
      <c r="G2" s="110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198">
        <f>'Infra Build BOQ'!F3</f>
        <v>0</v>
      </c>
      <c r="G3" s="11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200" t="str">
        <f>'Infra Build BOQ'!F4</f>
        <v>Ethekwini</v>
      </c>
      <c r="G4" s="1201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202" t="str">
        <f>'Infra Build BOQ'!F5</f>
        <v>Date: 2023/08/25</v>
      </c>
      <c r="G5" s="1203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204" t="str">
        <f>'Infra Build BOQ'!F6</f>
        <v>Phoenix Industrial Access PoP - ECN - Roots Dube Village</v>
      </c>
      <c r="G6" s="1205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0</v>
      </c>
      <c r="G21" s="106">
        <f>'Infra Build BOQ'!O163</f>
        <v>0</v>
      </c>
      <c r="H21" s="91">
        <f>'Infra Build BOQ'!T163</f>
        <v>0</v>
      </c>
      <c r="I21" s="101">
        <f>'Infra Build BOQ'!U163</f>
        <v>0</v>
      </c>
      <c r="J21" s="117">
        <f>'Infra Build BOQ'!V163</f>
        <v>0</v>
      </c>
      <c r="K21" s="599">
        <f>'Infra Build BOQ'!W163</f>
        <v>0</v>
      </c>
      <c r="L21" s="91">
        <f>'Infra Build BOQ'!X163</f>
        <v>0</v>
      </c>
      <c r="M21" s="101">
        <f>'Infra Build BOQ'!Y163</f>
        <v>0</v>
      </c>
      <c r="N21" s="117">
        <f>'Infra Build BOQ'!Z163</f>
        <v>0</v>
      </c>
      <c r="O21" s="599">
        <f>'Infra Build BOQ'!AA163</f>
        <v>0</v>
      </c>
      <c r="P21" s="91">
        <f>'Infra Build BOQ'!AB163</f>
        <v>0</v>
      </c>
      <c r="Q21" s="101">
        <f>'Infra Build BOQ'!AC163</f>
        <v>0</v>
      </c>
      <c r="R21" s="117">
        <f>'Infra Build BOQ'!AD163</f>
        <v>0</v>
      </c>
      <c r="S21" s="599">
        <f>'Infra Build BOQ'!AE163</f>
        <v>0</v>
      </c>
      <c r="T21" s="91">
        <f>'Infra Build BOQ'!AF163</f>
        <v>0</v>
      </c>
      <c r="U21" s="101">
        <f>'Infra Build BOQ'!AG163</f>
        <v>0</v>
      </c>
      <c r="V21" s="117">
        <f>'Infra Build BOQ'!AH163</f>
        <v>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0</v>
      </c>
      <c r="G31" s="106">
        <f>'Infra Build BOQ'!O176</f>
        <v>0</v>
      </c>
      <c r="H31" s="91">
        <f>'Infra Build BOQ'!T176</f>
        <v>0</v>
      </c>
      <c r="I31" s="101">
        <f>'Infra Build BOQ'!U176</f>
        <v>0</v>
      </c>
      <c r="J31" s="117">
        <f>'Infra Build BOQ'!V176</f>
        <v>0</v>
      </c>
      <c r="K31" s="599">
        <f>'Infra Build BOQ'!W176</f>
        <v>0</v>
      </c>
      <c r="L31" s="91">
        <f>'Infra Build BOQ'!X176</f>
        <v>0</v>
      </c>
      <c r="M31" s="101">
        <f>'Infra Build BOQ'!Y176</f>
        <v>0</v>
      </c>
      <c r="N31" s="117">
        <f>'Infra Build BOQ'!Z176</f>
        <v>0</v>
      </c>
      <c r="O31" s="599">
        <f>'Infra Build BOQ'!AA176</f>
        <v>0</v>
      </c>
      <c r="P31" s="91">
        <f>'Infra Build BOQ'!AB176</f>
        <v>0</v>
      </c>
      <c r="Q31" s="101">
        <f>'Infra Build BOQ'!AC176</f>
        <v>0</v>
      </c>
      <c r="R31" s="117">
        <f>'Infra Build BOQ'!AD176</f>
        <v>0</v>
      </c>
      <c r="S31" s="599">
        <f>'Infra Build BOQ'!AE176</f>
        <v>0</v>
      </c>
      <c r="T31" s="91">
        <f>'Infra Build BOQ'!AF176</f>
        <v>0</v>
      </c>
      <c r="U31" s="101">
        <f>'Infra Build BOQ'!AG176</f>
        <v>0</v>
      </c>
      <c r="V31" s="117">
        <f>'Infra Build BOQ'!AH176</f>
        <v>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0</v>
      </c>
      <c r="H36" s="17"/>
      <c r="I36" s="50"/>
      <c r="J36" s="51">
        <f>SUM(J13:J35)</f>
        <v>0</v>
      </c>
      <c r="K36" s="17"/>
      <c r="L36" s="17"/>
      <c r="M36" s="50"/>
      <c r="N36" s="51">
        <f>SUM(N13:N35)</f>
        <v>0</v>
      </c>
      <c r="R36" s="74">
        <f>SUM(R13:R35)</f>
        <v>0</v>
      </c>
      <c r="V36" s="74">
        <f>SUM(V13:V35)</f>
        <v>0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 t="e">
        <f>J38/G36</f>
        <v>#DIV/0!</v>
      </c>
      <c r="K39" s="154"/>
      <c r="L39" s="154" t="s">
        <v>223</v>
      </c>
      <c r="M39" s="154"/>
      <c r="N39" s="157" t="e">
        <f>N38/J36</f>
        <v>#DIV/0!</v>
      </c>
      <c r="O39" s="154"/>
      <c r="P39" s="154" t="s">
        <v>225</v>
      </c>
      <c r="Q39" s="154"/>
      <c r="R39" s="157" t="e">
        <f>R38/N36</f>
        <v>#DIV/0!</v>
      </c>
      <c r="S39" s="154"/>
      <c r="T39" s="154" t="s">
        <v>227</v>
      </c>
      <c r="U39" s="154"/>
      <c r="V39" s="157" t="e">
        <f>V38/R36</f>
        <v>#DIV/0!</v>
      </c>
      <c r="W39" s="154"/>
      <c r="X39" s="154" t="s">
        <v>229</v>
      </c>
      <c r="Y39" s="157" t="e">
        <f>Y38/G36</f>
        <v>#DIV/0!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94"/>
      <c r="E42" s="1194"/>
      <c r="H42" s="10"/>
      <c r="I42" s="10"/>
    </row>
    <row r="43" spans="1:26" ht="18">
      <c r="A43" s="10"/>
      <c r="B43" s="10"/>
      <c r="C43" s="11"/>
      <c r="D43" s="1194"/>
      <c r="E43" s="1194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11:E11"/>
    <mergeCell ref="H11:Z11"/>
    <mergeCell ref="D42:E42"/>
    <mergeCell ref="D43:E43"/>
    <mergeCell ref="F3:G3"/>
    <mergeCell ref="F4:G4"/>
    <mergeCell ref="F5:G5"/>
    <mergeCell ref="F6:G6"/>
    <mergeCell ref="B2:E2"/>
    <mergeCell ref="D3:E3"/>
    <mergeCell ref="D4:E4"/>
    <mergeCell ref="H2:Z2"/>
    <mergeCell ref="H3:Z10"/>
    <mergeCell ref="D5:E5"/>
    <mergeCell ref="D6:E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4" t="str">
        <f>'Infra Build BOQ'!B2:I2</f>
        <v>77K0057591  /  77K0057591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098">
        <f>'Infra Build BOQ'!F3</f>
        <v>0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101" t="str">
        <f>'Infra Build BOQ'!F4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'EXE Dashboard'!C22</f>
        <v>0</v>
      </c>
      <c r="D5" s="1145" t="s">
        <v>3</v>
      </c>
      <c r="E5" s="1189"/>
      <c r="F5" s="1104" t="str">
        <f>'Infra Build BOQ'!F5</f>
        <v>Date: 2023/08/25</v>
      </c>
      <c r="G5" s="1102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Phoenix Industrial Access PoP - ECN - Roots Dube Village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94"/>
      <c r="E38" s="1194"/>
      <c r="F38" s="1194"/>
      <c r="G38" s="12"/>
      <c r="H38" s="10"/>
      <c r="I38" s="10"/>
    </row>
    <row r="39" spans="1:25" ht="18">
      <c r="A39" s="10"/>
      <c r="B39" s="10"/>
      <c r="C39" s="11"/>
      <c r="D39" s="1194"/>
      <c r="E39" s="1194"/>
      <c r="F39" s="1194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  <mergeCell ref="D39:F39"/>
    <mergeCell ref="F6:G6"/>
    <mergeCell ref="F8:G8"/>
    <mergeCell ref="F9:G9"/>
    <mergeCell ref="B11:G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6" t="str">
        <f>'Infra Build BOQ'!B2:I2</f>
        <v>77K0057591  /  77K0057591</v>
      </c>
      <c r="C2" s="1207"/>
      <c r="D2" s="1207"/>
      <c r="E2" s="1207"/>
      <c r="F2" s="110"/>
      <c r="G2" s="111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3" t="s">
        <v>362</v>
      </c>
      <c r="E3" s="1188"/>
      <c r="F3" s="1198">
        <f>'Infra Build BOQ'!F3</f>
        <v>0</v>
      </c>
      <c r="G3" s="11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5" t="s">
        <v>2</v>
      </c>
      <c r="E4" s="1189"/>
      <c r="F4" s="1200" t="str">
        <f>'Infra Build BOQ'!F4</f>
        <v>Ethekwini</v>
      </c>
      <c r="G4" s="1201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202" t="str">
        <f>'Infra Build BOQ'!F5</f>
        <v>Date: 2023/08/25</v>
      </c>
      <c r="G5" s="1203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204" t="str">
        <f>'Infra Build BOQ'!F6</f>
        <v>Phoenix Industrial Access PoP - ECN - Roots Dube Village</v>
      </c>
      <c r="G6" s="1205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600000000000001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94"/>
      <c r="E30" s="1194"/>
      <c r="H30" s="10"/>
      <c r="I30" s="10"/>
    </row>
    <row r="31" spans="1:28" ht="18">
      <c r="A31" s="10"/>
      <c r="B31" s="10"/>
      <c r="C31" s="11"/>
      <c r="D31" s="1194"/>
      <c r="E31" s="1194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224" activePane="bottomLeft" state="frozen"/>
      <selection pane="bottomLeft" activeCell="G238" sqref="G238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096" t="str">
        <f>C3</f>
        <v>77K0057591  /  77K0057591</v>
      </c>
      <c r="C2" s="1097"/>
      <c r="D2" s="1097"/>
      <c r="E2" s="1097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82"/>
      <c r="U2" s="1083"/>
      <c r="V2" s="1083"/>
      <c r="W2" s="1083"/>
      <c r="X2" s="1083"/>
      <c r="Y2" s="1083"/>
      <c r="Z2" s="1083"/>
      <c r="AA2" s="1083"/>
      <c r="AB2" s="1083"/>
      <c r="AC2" s="1083"/>
      <c r="AD2" s="1083"/>
      <c r="AE2" s="1083"/>
      <c r="AF2" s="1083"/>
      <c r="AG2" s="1083"/>
      <c r="AH2" s="1083"/>
      <c r="AI2" s="1083"/>
      <c r="AJ2" s="1083"/>
      <c r="AK2" s="1083"/>
      <c r="AL2" s="1084"/>
    </row>
    <row r="3" spans="1:38" ht="15.6">
      <c r="A3" s="27"/>
      <c r="B3" s="88" t="s">
        <v>1</v>
      </c>
      <c r="C3" s="178" t="str">
        <f>CONCATENATE('EXE Dashboard'!C4,"  /  ",'EXE Dashboard'!C5)</f>
        <v>77K0057591  /  77K0057591</v>
      </c>
      <c r="D3" s="1117" t="s">
        <v>362</v>
      </c>
      <c r="E3" s="1118"/>
      <c r="F3" s="1098">
        <f>'EXE Dashboard'!C17</f>
        <v>0</v>
      </c>
      <c r="G3" s="1099"/>
      <c r="H3" s="1099"/>
      <c r="I3" s="1099"/>
      <c r="J3" s="1099"/>
      <c r="K3" s="1100"/>
      <c r="L3" s="1073"/>
      <c r="M3" s="1074"/>
      <c r="N3" s="1074"/>
      <c r="O3" s="1074"/>
      <c r="P3" s="1074"/>
      <c r="Q3" s="1074"/>
      <c r="R3" s="1074"/>
      <c r="S3" s="1075"/>
      <c r="T3" s="1089" t="s">
        <v>279</v>
      </c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1089"/>
      <c r="AG3" s="1089"/>
      <c r="AH3" s="1089"/>
      <c r="AI3" s="1089"/>
      <c r="AJ3" s="1089"/>
      <c r="AK3" s="1089"/>
      <c r="AL3" s="1090"/>
    </row>
    <row r="4" spans="1:38" ht="16.5" customHeight="1">
      <c r="A4" s="27"/>
      <c r="B4" s="89" t="s">
        <v>0</v>
      </c>
      <c r="C4" s="449" t="str">
        <f>'EXE Dashboard'!C6</f>
        <v xml:space="preserve">Eletronic Communications Network (Pty) Ltd </v>
      </c>
      <c r="D4" s="1119" t="s">
        <v>2</v>
      </c>
      <c r="E4" s="1120"/>
      <c r="F4" s="1101" t="str">
        <f>'EXE Dashboard'!C18</f>
        <v>Ethekwini</v>
      </c>
      <c r="G4" s="1102"/>
      <c r="H4" s="1102"/>
      <c r="I4" s="1102"/>
      <c r="J4" s="1102"/>
      <c r="K4" s="1103"/>
      <c r="L4" s="1076"/>
      <c r="M4" s="1077"/>
      <c r="N4" s="1077"/>
      <c r="O4" s="1077"/>
      <c r="P4" s="1077"/>
      <c r="Q4" s="1077"/>
      <c r="R4" s="1077"/>
      <c r="S4" s="1078"/>
      <c r="T4" s="1091"/>
      <c r="U4" s="1091"/>
      <c r="V4" s="1091"/>
      <c r="W4" s="1091"/>
      <c r="X4" s="1091"/>
      <c r="Y4" s="1091"/>
      <c r="Z4" s="1091"/>
      <c r="AA4" s="1091"/>
      <c r="AB4" s="1091"/>
      <c r="AC4" s="1091"/>
      <c r="AD4" s="1091"/>
      <c r="AE4" s="1091"/>
      <c r="AF4" s="1091"/>
      <c r="AG4" s="1091"/>
      <c r="AH4" s="1091"/>
      <c r="AI4" s="1091"/>
      <c r="AJ4" s="1091"/>
      <c r="AK4" s="1091"/>
      <c r="AL4" s="1092"/>
    </row>
    <row r="5" spans="1:38" ht="16.5" customHeight="1">
      <c r="A5" s="27"/>
      <c r="B5" s="90" t="s">
        <v>306</v>
      </c>
      <c r="C5" s="449" t="str">
        <f>'EXE Dashboard'!C11</f>
        <v>Siphamandla Sokhela</v>
      </c>
      <c r="D5" s="1119" t="s">
        <v>3</v>
      </c>
      <c r="E5" s="1120"/>
      <c r="F5" s="1104" t="str">
        <f>'EXE Dashboard'!C19</f>
        <v>Date: 2023/08/25</v>
      </c>
      <c r="G5" s="1105"/>
      <c r="H5" s="1105"/>
      <c r="I5" s="1105"/>
      <c r="J5" s="1105"/>
      <c r="K5" s="1106"/>
      <c r="L5" s="1076"/>
      <c r="M5" s="1077"/>
      <c r="N5" s="1077"/>
      <c r="O5" s="1077"/>
      <c r="P5" s="1077"/>
      <c r="Q5" s="1077"/>
      <c r="R5" s="1077"/>
      <c r="S5" s="1078"/>
      <c r="T5" s="1091"/>
      <c r="U5" s="1091"/>
      <c r="V5" s="1091"/>
      <c r="W5" s="1091"/>
      <c r="X5" s="1091"/>
      <c r="Y5" s="1091"/>
      <c r="Z5" s="1091"/>
      <c r="AA5" s="1091"/>
      <c r="AB5" s="1091"/>
      <c r="AC5" s="1091"/>
      <c r="AD5" s="1091"/>
      <c r="AE5" s="1091"/>
      <c r="AF5" s="1091"/>
      <c r="AG5" s="1091"/>
      <c r="AH5" s="1091"/>
      <c r="AI5" s="1091"/>
      <c r="AJ5" s="1091"/>
      <c r="AK5" s="1091"/>
      <c r="AL5" s="1092"/>
    </row>
    <row r="6" spans="1:38" ht="16.5" customHeight="1">
      <c r="A6" s="27"/>
      <c r="B6" s="90" t="s">
        <v>307</v>
      </c>
      <c r="C6" s="449" t="str">
        <f>'EXE Dashboard'!C12</f>
        <v>Siphamandla Sokhela</v>
      </c>
      <c r="D6" s="1113" t="s">
        <v>361</v>
      </c>
      <c r="E6" s="1114"/>
      <c r="F6" s="1107" t="str">
        <f>'EXE Dashboard'!C16</f>
        <v>Phoenix Industrial Access PoP - ECN - Roots Dube Village</v>
      </c>
      <c r="G6" s="1108"/>
      <c r="H6" s="1108"/>
      <c r="I6" s="1108"/>
      <c r="J6" s="1108"/>
      <c r="K6" s="1109"/>
      <c r="L6" s="1076"/>
      <c r="M6" s="1077"/>
      <c r="N6" s="1077"/>
      <c r="O6" s="1077"/>
      <c r="P6" s="1077"/>
      <c r="Q6" s="1077"/>
      <c r="R6" s="1077"/>
      <c r="S6" s="1078"/>
      <c r="T6" s="1091"/>
      <c r="U6" s="1091"/>
      <c r="V6" s="1091"/>
      <c r="W6" s="1091"/>
      <c r="X6" s="1091"/>
      <c r="Y6" s="1091"/>
      <c r="Z6" s="1091"/>
      <c r="AA6" s="1091"/>
      <c r="AB6" s="1091"/>
      <c r="AC6" s="1091"/>
      <c r="AD6" s="1091"/>
      <c r="AE6" s="1091"/>
      <c r="AF6" s="1091"/>
      <c r="AG6" s="1091"/>
      <c r="AH6" s="1091"/>
      <c r="AI6" s="1091"/>
      <c r="AJ6" s="1091"/>
      <c r="AK6" s="1091"/>
      <c r="AL6" s="1092"/>
    </row>
    <row r="7" spans="1:38" ht="16.5" customHeight="1" thickBot="1">
      <c r="A7" s="27"/>
      <c r="B7" s="29" t="s">
        <v>462</v>
      </c>
      <c r="C7" s="609">
        <f>'EXE Dashboard'!C13</f>
        <v>0</v>
      </c>
      <c r="D7" s="1115"/>
      <c r="E7" s="1116"/>
      <c r="F7" s="1110"/>
      <c r="G7" s="1111"/>
      <c r="H7" s="1111"/>
      <c r="I7" s="1111"/>
      <c r="J7" s="1111"/>
      <c r="K7" s="1112"/>
      <c r="L7" s="1076"/>
      <c r="M7" s="1077"/>
      <c r="N7" s="1077"/>
      <c r="O7" s="1077"/>
      <c r="P7" s="1077"/>
      <c r="Q7" s="1077"/>
      <c r="R7" s="1077"/>
      <c r="S7" s="1078"/>
      <c r="T7" s="1091"/>
      <c r="U7" s="1091"/>
      <c r="V7" s="1091"/>
      <c r="W7" s="1091"/>
      <c r="X7" s="1091"/>
      <c r="Y7" s="1091"/>
      <c r="Z7" s="1091"/>
      <c r="AA7" s="1091"/>
      <c r="AB7" s="1091"/>
      <c r="AC7" s="1091"/>
      <c r="AD7" s="1091"/>
      <c r="AE7" s="1091"/>
      <c r="AF7" s="1091"/>
      <c r="AG7" s="1091"/>
      <c r="AH7" s="1091"/>
      <c r="AI7" s="1091"/>
      <c r="AJ7" s="1091"/>
      <c r="AK7" s="1091"/>
      <c r="AL7" s="1092"/>
    </row>
    <row r="8" spans="1:38" ht="17.25" customHeight="1" thickBot="1">
      <c r="A8" s="27"/>
      <c r="B8" s="29" t="s">
        <v>118</v>
      </c>
      <c r="C8" s="1121"/>
      <c r="D8" s="1122"/>
      <c r="E8" s="1123"/>
      <c r="F8" s="1127"/>
      <c r="G8" s="1128"/>
      <c r="H8" s="1128"/>
      <c r="I8" s="1128"/>
      <c r="J8" s="1128"/>
      <c r="K8" s="1129"/>
      <c r="L8" s="1076"/>
      <c r="M8" s="1077"/>
      <c r="N8" s="1077"/>
      <c r="O8" s="1077"/>
      <c r="P8" s="1077"/>
      <c r="Q8" s="1077"/>
      <c r="R8" s="1077"/>
      <c r="S8" s="1078"/>
      <c r="T8" s="1091"/>
      <c r="U8" s="1091"/>
      <c r="V8" s="1091"/>
      <c r="W8" s="1091"/>
      <c r="X8" s="1091"/>
      <c r="Y8" s="1091"/>
      <c r="Z8" s="1091"/>
      <c r="AA8" s="1091"/>
      <c r="AB8" s="1091"/>
      <c r="AC8" s="1091"/>
      <c r="AD8" s="1091"/>
      <c r="AE8" s="1091"/>
      <c r="AF8" s="1091"/>
      <c r="AG8" s="1091"/>
      <c r="AH8" s="1091"/>
      <c r="AI8" s="1091"/>
      <c r="AJ8" s="1091"/>
      <c r="AK8" s="1091"/>
      <c r="AL8" s="1092"/>
    </row>
    <row r="9" spans="1:38" ht="17.25" customHeight="1" thickBot="1">
      <c r="A9" s="27"/>
      <c r="B9" s="1124"/>
      <c r="C9" s="1125"/>
      <c r="D9" s="1125"/>
      <c r="E9" s="1126"/>
      <c r="F9" s="1127"/>
      <c r="G9" s="1128"/>
      <c r="H9" s="1128"/>
      <c r="I9" s="1128"/>
      <c r="J9" s="1128"/>
      <c r="K9" s="1129"/>
      <c r="L9" s="1076"/>
      <c r="M9" s="1077"/>
      <c r="N9" s="1077"/>
      <c r="O9" s="1077"/>
      <c r="P9" s="1077"/>
      <c r="Q9" s="1077"/>
      <c r="R9" s="1077"/>
      <c r="S9" s="1078"/>
      <c r="T9" s="1091"/>
      <c r="U9" s="1091"/>
      <c r="V9" s="1091"/>
      <c r="W9" s="1091"/>
      <c r="X9" s="1091"/>
      <c r="Y9" s="1091"/>
      <c r="Z9" s="1091"/>
      <c r="AA9" s="1091"/>
      <c r="AB9" s="1091"/>
      <c r="AC9" s="1091"/>
      <c r="AD9" s="1091"/>
      <c r="AE9" s="1091"/>
      <c r="AF9" s="1091"/>
      <c r="AG9" s="1091"/>
      <c r="AH9" s="1091"/>
      <c r="AI9" s="1091"/>
      <c r="AJ9" s="1091"/>
      <c r="AK9" s="1091"/>
      <c r="AL9" s="1092"/>
    </row>
    <row r="10" spans="1:38" ht="17.25" customHeight="1" thickBot="1">
      <c r="A10" s="27"/>
      <c r="B10" s="1124"/>
      <c r="C10" s="1125"/>
      <c r="D10" s="1125"/>
      <c r="E10" s="1126"/>
      <c r="F10" s="1127"/>
      <c r="G10" s="1128"/>
      <c r="H10" s="1128"/>
      <c r="I10" s="1128"/>
      <c r="J10" s="1128"/>
      <c r="K10" s="1129"/>
      <c r="L10" s="1076"/>
      <c r="M10" s="1077"/>
      <c r="N10" s="1077"/>
      <c r="O10" s="1077"/>
      <c r="P10" s="1077"/>
      <c r="Q10" s="1077"/>
      <c r="R10" s="1077"/>
      <c r="S10" s="1078"/>
      <c r="T10" s="1091"/>
      <c r="U10" s="1091"/>
      <c r="V10" s="1091"/>
      <c r="W10" s="1091"/>
      <c r="X10" s="1091"/>
      <c r="Y10" s="1091"/>
      <c r="Z10" s="1091"/>
      <c r="AA10" s="1091"/>
      <c r="AB10" s="1091"/>
      <c r="AC10" s="1091"/>
      <c r="AD10" s="1091"/>
      <c r="AE10" s="1091"/>
      <c r="AF10" s="1091"/>
      <c r="AG10" s="1091"/>
      <c r="AH10" s="1091"/>
      <c r="AI10" s="1091"/>
      <c r="AJ10" s="1091"/>
      <c r="AK10" s="1091"/>
      <c r="AL10" s="1092"/>
    </row>
    <row r="11" spans="1:38" ht="17.25" customHeight="1" thickBot="1">
      <c r="A11" s="27"/>
      <c r="B11" s="1124"/>
      <c r="C11" s="1125"/>
      <c r="D11" s="1125"/>
      <c r="E11" s="1126"/>
      <c r="F11" s="1127"/>
      <c r="G11" s="1128"/>
      <c r="H11" s="1128"/>
      <c r="I11" s="1128"/>
      <c r="J11" s="1128"/>
      <c r="K11" s="1129"/>
      <c r="L11" s="1079"/>
      <c r="M11" s="1080"/>
      <c r="N11" s="1080"/>
      <c r="O11" s="1080"/>
      <c r="P11" s="1080"/>
      <c r="Q11" s="1080"/>
      <c r="R11" s="1080"/>
      <c r="S11" s="1081"/>
      <c r="T11" s="1093"/>
      <c r="U11" s="1094"/>
      <c r="V11" s="1094"/>
      <c r="W11" s="1094"/>
      <c r="X11" s="1094"/>
      <c r="Y11" s="1094"/>
      <c r="Z11" s="1094"/>
      <c r="AA11" s="1094"/>
      <c r="AB11" s="1094"/>
      <c r="AC11" s="1094"/>
      <c r="AD11" s="1094"/>
      <c r="AE11" s="1094"/>
      <c r="AF11" s="1094"/>
      <c r="AG11" s="1094"/>
      <c r="AH11" s="1094"/>
      <c r="AI11" s="1094"/>
      <c r="AJ11" s="1094"/>
      <c r="AK11" s="1094"/>
      <c r="AL11" s="1095"/>
    </row>
    <row r="12" spans="1:38" ht="18.600000000000001" thickBot="1">
      <c r="A12" s="27"/>
      <c r="B12" s="1085" t="s">
        <v>280</v>
      </c>
      <c r="C12" s="1086"/>
      <c r="D12" s="1086"/>
      <c r="E12" s="1086"/>
      <c r="F12" s="1086"/>
      <c r="G12" s="1086"/>
      <c r="H12" s="1086"/>
      <c r="I12" s="1086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85"/>
      <c r="U12" s="1086"/>
      <c r="V12" s="1086"/>
      <c r="W12" s="1086"/>
      <c r="X12" s="1086"/>
      <c r="Y12" s="1086"/>
      <c r="Z12" s="1086"/>
      <c r="AA12" s="1086"/>
      <c r="AB12" s="1086"/>
      <c r="AC12" s="1086"/>
      <c r="AD12" s="1086"/>
      <c r="AE12" s="1086"/>
      <c r="AF12" s="1086"/>
      <c r="AG12" s="1086"/>
      <c r="AH12" s="1086"/>
      <c r="AI12" s="1086"/>
      <c r="AJ12" s="1086"/>
      <c r="AK12" s="1086"/>
      <c r="AL12" s="1087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0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/>
      <c r="G19" s="704">
        <f t="shared" si="1"/>
        <v>0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0</v>
      </c>
      <c r="V19" s="733">
        <f t="shared" ref="V19:V64" si="10">U19*E19</f>
        <v>0</v>
      </c>
      <c r="W19" s="710"/>
      <c r="X19" s="711"/>
      <c r="Y19" s="732">
        <f t="shared" si="2"/>
        <v>0</v>
      </c>
      <c r="Z19" s="733">
        <f t="shared" si="3"/>
        <v>0</v>
      </c>
      <c r="AA19" s="710"/>
      <c r="AB19" s="711"/>
      <c r="AC19" s="732">
        <f t="shared" si="4"/>
        <v>0</v>
      </c>
      <c r="AD19" s="733">
        <f t="shared" si="5"/>
        <v>0</v>
      </c>
      <c r="AE19" s="712"/>
      <c r="AF19" s="711"/>
      <c r="AG19" s="732">
        <f t="shared" si="6"/>
        <v>0</v>
      </c>
      <c r="AH19" s="733">
        <f t="shared" si="7"/>
        <v>0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/>
      <c r="G22" s="704">
        <f t="shared" si="1"/>
        <v>0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0</v>
      </c>
      <c r="V22" s="733">
        <f t="shared" ref="V22:V56" si="20">U22*E22</f>
        <v>0</v>
      </c>
      <c r="W22" s="710"/>
      <c r="X22" s="711"/>
      <c r="Y22" s="732">
        <f t="shared" si="12"/>
        <v>0</v>
      </c>
      <c r="Z22" s="733">
        <f t="shared" si="13"/>
        <v>0</v>
      </c>
      <c r="AA22" s="710"/>
      <c r="AB22" s="711"/>
      <c r="AC22" s="732">
        <f t="shared" si="14"/>
        <v>0</v>
      </c>
      <c r="AD22" s="733">
        <f t="shared" si="15"/>
        <v>0</v>
      </c>
      <c r="AE22" s="712"/>
      <c r="AF22" s="711"/>
      <c r="AG22" s="732">
        <f t="shared" si="16"/>
        <v>0</v>
      </c>
      <c r="AH22" s="733">
        <f t="shared" si="17"/>
        <v>0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0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/>
      <c r="G61" s="704">
        <f t="shared" si="1"/>
        <v>0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0</v>
      </c>
      <c r="V61" s="733">
        <f t="shared" si="10"/>
        <v>0</v>
      </c>
      <c r="W61" s="740"/>
      <c r="X61" s="739"/>
      <c r="Y61" s="732">
        <f t="shared" si="2"/>
        <v>0</v>
      </c>
      <c r="Z61" s="733">
        <f t="shared" si="3"/>
        <v>0</v>
      </c>
      <c r="AA61" s="710"/>
      <c r="AB61" s="711"/>
      <c r="AC61" s="732">
        <f t="shared" si="4"/>
        <v>0</v>
      </c>
      <c r="AD61" s="733">
        <f t="shared" si="5"/>
        <v>0</v>
      </c>
      <c r="AE61" s="712"/>
      <c r="AF61" s="711"/>
      <c r="AG61" s="732">
        <f t="shared" si="6"/>
        <v>0</v>
      </c>
      <c r="AH61" s="733">
        <f t="shared" si="7"/>
        <v>0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0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/>
      <c r="G66" s="704">
        <f>+F66*E66</f>
        <v>0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0</v>
      </c>
      <c r="V66" s="733">
        <f>U66*E66</f>
        <v>0</v>
      </c>
      <c r="W66" s="710"/>
      <c r="X66" s="711"/>
      <c r="Y66" s="732">
        <f t="shared" si="2"/>
        <v>0</v>
      </c>
      <c r="Z66" s="733">
        <f t="shared" si="3"/>
        <v>0</v>
      </c>
      <c r="AA66" s="710"/>
      <c r="AB66" s="711"/>
      <c r="AC66" s="732">
        <f t="shared" si="4"/>
        <v>0</v>
      </c>
      <c r="AD66" s="733">
        <f t="shared" si="5"/>
        <v>0</v>
      </c>
      <c r="AE66" s="712"/>
      <c r="AF66" s="711"/>
      <c r="AG66" s="732">
        <f t="shared" si="6"/>
        <v>0</v>
      </c>
      <c r="AH66" s="733">
        <f t="shared" si="7"/>
        <v>0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/>
      <c r="G70" s="704">
        <f t="shared" si="46"/>
        <v>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0</v>
      </c>
      <c r="V70" s="733">
        <f t="shared" si="48"/>
        <v>0</v>
      </c>
      <c r="W70" s="710"/>
      <c r="X70" s="711"/>
      <c r="Y70" s="732">
        <f t="shared" si="2"/>
        <v>0</v>
      </c>
      <c r="Z70" s="733">
        <f t="shared" si="3"/>
        <v>0</v>
      </c>
      <c r="AA70" s="710"/>
      <c r="AB70" s="711"/>
      <c r="AC70" s="732">
        <f t="shared" si="4"/>
        <v>0</v>
      </c>
      <c r="AD70" s="733">
        <f t="shared" si="5"/>
        <v>0</v>
      </c>
      <c r="AE70" s="712"/>
      <c r="AF70" s="711"/>
      <c r="AG70" s="732">
        <f t="shared" si="6"/>
        <v>0</v>
      </c>
      <c r="AH70" s="733">
        <f t="shared" si="7"/>
        <v>0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0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0</v>
      </c>
      <c r="M87" s="704">
        <f t="shared" si="59"/>
        <v>0</v>
      </c>
      <c r="N87" s="735"/>
      <c r="O87" s="736"/>
      <c r="P87" s="735"/>
      <c r="Q87" s="737"/>
      <c r="R87" s="738"/>
      <c r="S87" s="736"/>
      <c r="T87" s="739"/>
      <c r="U87" s="732">
        <f t="shared" si="60"/>
        <v>0</v>
      </c>
      <c r="V87" s="733">
        <f t="shared" si="61"/>
        <v>0</v>
      </c>
      <c r="W87" s="740"/>
      <c r="X87" s="739"/>
      <c r="Y87" s="732">
        <f t="shared" si="2"/>
        <v>0</v>
      </c>
      <c r="Z87" s="733">
        <f t="shared" si="3"/>
        <v>0</v>
      </c>
      <c r="AA87" s="710"/>
      <c r="AB87" s="711"/>
      <c r="AC87" s="732">
        <f t="shared" si="4"/>
        <v>0</v>
      </c>
      <c r="AD87" s="733">
        <f t="shared" si="5"/>
        <v>0</v>
      </c>
      <c r="AE87" s="712"/>
      <c r="AF87" s="711"/>
      <c r="AG87" s="732">
        <f t="shared" si="6"/>
        <v>0</v>
      </c>
      <c r="AH87" s="733">
        <f t="shared" si="7"/>
        <v>0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INFO'!F10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INFO'!F11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INFO'!F13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INFO'!F12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INFO'!F34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INFO'!F35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INFO'!F14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INFO'!F15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INFO'!F16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INFO'!F17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INFO'!F52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2028.67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>
        <v>49</v>
      </c>
      <c r="G128" s="704">
        <f t="shared" si="128"/>
        <v>803.11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49</v>
      </c>
      <c r="V128" s="733">
        <f t="shared" si="130"/>
        <v>803.11</v>
      </c>
      <c r="W128" s="710"/>
      <c r="X128" s="711"/>
      <c r="Y128" s="732">
        <f t="shared" si="100"/>
        <v>49</v>
      </c>
      <c r="Z128" s="733">
        <f t="shared" si="101"/>
        <v>803.11</v>
      </c>
      <c r="AA128" s="710"/>
      <c r="AB128" s="711"/>
      <c r="AC128" s="732">
        <f t="shared" si="102"/>
        <v>49</v>
      </c>
      <c r="AD128" s="733">
        <f t="shared" si="103"/>
        <v>803.11</v>
      </c>
      <c r="AE128" s="712"/>
      <c r="AF128" s="711"/>
      <c r="AG128" s="732">
        <f t="shared" si="104"/>
        <v>49</v>
      </c>
      <c r="AH128" s="733">
        <f t="shared" si="105"/>
        <v>803.11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80</v>
      </c>
      <c r="G143" s="704">
        <f t="shared" si="128"/>
        <v>520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80</v>
      </c>
      <c r="V143" s="733">
        <f t="shared" si="130"/>
        <v>520</v>
      </c>
      <c r="W143" s="710"/>
      <c r="X143" s="711"/>
      <c r="Y143" s="732">
        <f t="shared" si="100"/>
        <v>80</v>
      </c>
      <c r="Z143" s="733">
        <f t="shared" si="101"/>
        <v>520</v>
      </c>
      <c r="AA143" s="710"/>
      <c r="AB143" s="711"/>
      <c r="AC143" s="732">
        <f t="shared" si="102"/>
        <v>80</v>
      </c>
      <c r="AD143" s="733">
        <f t="shared" si="103"/>
        <v>520</v>
      </c>
      <c r="AE143" s="712"/>
      <c r="AF143" s="711"/>
      <c r="AG143" s="732">
        <f t="shared" si="104"/>
        <v>80</v>
      </c>
      <c r="AH143" s="733">
        <f t="shared" si="105"/>
        <v>520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v>55</v>
      </c>
      <c r="G144" s="704">
        <f t="shared" si="128"/>
        <v>357.5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55</v>
      </c>
      <c r="V144" s="733">
        <f t="shared" si="130"/>
        <v>357.5</v>
      </c>
      <c r="W144" s="710"/>
      <c r="X144" s="711"/>
      <c r="Y144" s="732">
        <f t="shared" si="100"/>
        <v>55</v>
      </c>
      <c r="Z144" s="733">
        <f t="shared" si="101"/>
        <v>357.5</v>
      </c>
      <c r="AA144" s="710"/>
      <c r="AB144" s="711"/>
      <c r="AC144" s="732">
        <f t="shared" si="102"/>
        <v>55</v>
      </c>
      <c r="AD144" s="733">
        <f t="shared" si="103"/>
        <v>357.5</v>
      </c>
      <c r="AE144" s="712"/>
      <c r="AF144" s="711"/>
      <c r="AG144" s="732">
        <f t="shared" si="104"/>
        <v>55</v>
      </c>
      <c r="AH144" s="733">
        <f t="shared" si="105"/>
        <v>357.5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3</v>
      </c>
      <c r="G145" s="704">
        <f t="shared" ref="G145:G158" si="131">+F145*E145</f>
        <v>49.17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3</v>
      </c>
      <c r="V145" s="733">
        <f t="shared" ref="V145:V158" si="133">U145*E145</f>
        <v>49.17</v>
      </c>
      <c r="W145" s="710"/>
      <c r="X145" s="711"/>
      <c r="Y145" s="732">
        <f t="shared" ref="Y145:Y158" si="134">X145+U145</f>
        <v>3</v>
      </c>
      <c r="Z145" s="733">
        <f t="shared" ref="Z145:Z158" si="135">Y145*E145</f>
        <v>49.17</v>
      </c>
      <c r="AA145" s="710"/>
      <c r="AB145" s="711"/>
      <c r="AC145" s="732">
        <f t="shared" ref="AC145:AC158" si="136">AB145+Y145</f>
        <v>3</v>
      </c>
      <c r="AD145" s="733">
        <f t="shared" ref="AD145:AD158" si="137">AC145*E145</f>
        <v>49.17</v>
      </c>
      <c r="AE145" s="712"/>
      <c r="AF145" s="711"/>
      <c r="AG145" s="732">
        <f t="shared" ref="AG145:AG158" si="138">AF145+AC145</f>
        <v>3</v>
      </c>
      <c r="AH145" s="733">
        <f t="shared" ref="AH145:AH158" si="139">AG145*E145</f>
        <v>49.17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2</v>
      </c>
      <c r="G159" s="704">
        <f t="shared" ref="G159" si="141">+F159*E159</f>
        <v>50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2</v>
      </c>
      <c r="V159" s="733">
        <f t="shared" ref="V159" si="143">U159*E159</f>
        <v>50</v>
      </c>
      <c r="W159" s="710"/>
      <c r="X159" s="711"/>
      <c r="Y159" s="732">
        <f t="shared" ref="Y159" si="144">X159+U159</f>
        <v>2</v>
      </c>
      <c r="Z159" s="733">
        <f t="shared" ref="Z159" si="145">Y159*E159</f>
        <v>50</v>
      </c>
      <c r="AA159" s="710"/>
      <c r="AB159" s="711"/>
      <c r="AC159" s="732">
        <f t="shared" ref="AC159" si="146">AB159+Y159</f>
        <v>2</v>
      </c>
      <c r="AD159" s="733">
        <f t="shared" ref="AD159" si="147">AC159*E159</f>
        <v>50</v>
      </c>
      <c r="AE159" s="712"/>
      <c r="AF159" s="711"/>
      <c r="AG159" s="732">
        <f t="shared" ref="AG159" si="148">AF159+AC159</f>
        <v>2</v>
      </c>
      <c r="AH159" s="733">
        <f t="shared" ref="AH159" si="149">AG159*E159</f>
        <v>50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/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/>
      <c r="O163" s="704">
        <f t="shared" ref="O163" si="151">+N163*$E163</f>
        <v>0</v>
      </c>
      <c r="P163" s="767"/>
      <c r="Q163" s="768"/>
      <c r="R163" s="769"/>
      <c r="S163" s="729"/>
      <c r="T163" s="711"/>
      <c r="U163" s="732">
        <f>T163+N163</f>
        <v>0</v>
      </c>
      <c r="V163" s="733">
        <f>U163*E163</f>
        <v>0</v>
      </c>
      <c r="W163" s="710"/>
      <c r="X163" s="711"/>
      <c r="Y163" s="732">
        <f t="shared" si="100"/>
        <v>0</v>
      </c>
      <c r="Z163" s="733">
        <f t="shared" si="101"/>
        <v>0</v>
      </c>
      <c r="AA163" s="710"/>
      <c r="AB163" s="711"/>
      <c r="AC163" s="732">
        <f t="shared" si="102"/>
        <v>0</v>
      </c>
      <c r="AD163" s="733">
        <f t="shared" si="103"/>
        <v>0</v>
      </c>
      <c r="AE163" s="712"/>
      <c r="AF163" s="711"/>
      <c r="AG163" s="732">
        <f t="shared" si="104"/>
        <v>0</v>
      </c>
      <c r="AH163" s="733">
        <f t="shared" si="105"/>
        <v>0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/>
      <c r="O176" s="704">
        <f t="shared" ref="O176" si="167">+N176*$E176</f>
        <v>0</v>
      </c>
      <c r="P176" s="767"/>
      <c r="Q176" s="768"/>
      <c r="R176" s="769"/>
      <c r="S176" s="729"/>
      <c r="T176" s="711"/>
      <c r="U176" s="732">
        <f>T176+N176</f>
        <v>0</v>
      </c>
      <c r="V176" s="733">
        <f>U176*E176</f>
        <v>0</v>
      </c>
      <c r="W176" s="710"/>
      <c r="X176" s="711"/>
      <c r="Y176" s="732">
        <f>X176+U176</f>
        <v>0</v>
      </c>
      <c r="Z176" s="733">
        <f t="shared" si="101"/>
        <v>0</v>
      </c>
      <c r="AA176" s="710"/>
      <c r="AB176" s="711"/>
      <c r="AC176" s="732">
        <f>AB176+Y176</f>
        <v>0</v>
      </c>
      <c r="AD176" s="733">
        <f t="shared" si="103"/>
        <v>0</v>
      </c>
      <c r="AE176" s="712"/>
      <c r="AF176" s="711"/>
      <c r="AG176" s="732">
        <f>AF176+AC176</f>
        <v>0</v>
      </c>
      <c r="AH176" s="733">
        <f t="shared" si="105"/>
        <v>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2528.67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0</v>
      </c>
      <c r="N246" s="825"/>
      <c r="O246" s="828">
        <f>O14+O65+O160+O169+O174</f>
        <v>0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2743.67</v>
      </c>
      <c r="W246" s="825"/>
      <c r="X246" s="825"/>
      <c r="Y246" s="829"/>
      <c r="Z246" s="830">
        <f>SUM(Z14:Z245)</f>
        <v>2743.67</v>
      </c>
      <c r="AA246" s="825"/>
      <c r="AB246" s="825"/>
      <c r="AC246" s="825"/>
      <c r="AD246" s="830">
        <f>SUM(AD14:AD245)</f>
        <v>2743.67</v>
      </c>
      <c r="AE246" s="825"/>
      <c r="AF246" s="825"/>
      <c r="AG246" s="825"/>
      <c r="AH246" s="830">
        <f>SUM(AH14:AH245)</f>
        <v>2743.67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-2743.67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2743.67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88"/>
      <c r="E252" s="1088"/>
      <c r="F252" s="1088"/>
      <c r="G252" s="995">
        <f>'MATERIAL REQUEST'!H275</f>
        <v>2154.8000000000002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88"/>
      <c r="E253" s="1088"/>
      <c r="F253" s="1088"/>
      <c r="G253" s="206">
        <f>G251+G252</f>
        <v>4898.47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096" t="s">
        <v>473</v>
      </c>
      <c r="C2" s="1097"/>
      <c r="D2" s="1097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8" t="s">
        <v>280</v>
      </c>
      <c r="C12" s="1209"/>
      <c r="D12" s="1209"/>
      <c r="E12" s="1209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94"/>
      <c r="E251" s="1194"/>
    </row>
    <row r="252" spans="1:15" ht="18">
      <c r="B252" s="10"/>
      <c r="C252" s="11"/>
      <c r="D252" s="1194"/>
      <c r="E252" s="1194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abSelected="1" topLeftCell="A50" zoomScale="80" zoomScaleNormal="80" workbookViewId="0">
      <selection activeCell="D229" sqref="D229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4" t="str">
        <f>'Infra Build BOQ'!B2:I2</f>
        <v>77K0057591  /  77K0057591</v>
      </c>
      <c r="C1" s="1135"/>
      <c r="D1" s="1135"/>
      <c r="E1" s="1135"/>
      <c r="F1" s="1135"/>
      <c r="G1" s="1135"/>
      <c r="H1" s="1136"/>
    </row>
    <row r="2" spans="2:24" ht="15.6">
      <c r="B2" s="88" t="s">
        <v>1</v>
      </c>
      <c r="C2" s="1137" t="str">
        <f>'Infra Build BOQ'!C3</f>
        <v>77K0057591  /  77K0057591</v>
      </c>
      <c r="D2" s="1138"/>
      <c r="E2" s="1143" t="s">
        <v>362</v>
      </c>
      <c r="F2" s="1144"/>
      <c r="G2" s="1098">
        <f>'Infra Build BOQ'!F3</f>
        <v>0</v>
      </c>
      <c r="H2" s="1100"/>
    </row>
    <row r="3" spans="2:24" ht="15.6">
      <c r="B3" s="89" t="s">
        <v>0</v>
      </c>
      <c r="C3" s="1139" t="str">
        <f>'Infra Build BOQ'!C4</f>
        <v xml:space="preserve">Eletronic Communications Network (Pty) Ltd </v>
      </c>
      <c r="D3" s="1140"/>
      <c r="E3" s="1145" t="s">
        <v>2</v>
      </c>
      <c r="F3" s="1146"/>
      <c r="G3" s="1101" t="str">
        <f>'Infra Build BOQ'!F4</f>
        <v>Ethekwini</v>
      </c>
      <c r="H3" s="1103"/>
    </row>
    <row r="4" spans="2:24" ht="15.6">
      <c r="B4" s="90" t="s">
        <v>437</v>
      </c>
      <c r="C4" s="1139">
        <f>'EXE Dashboard'!C22</f>
        <v>0</v>
      </c>
      <c r="D4" s="1140"/>
      <c r="E4" s="1145" t="s">
        <v>3</v>
      </c>
      <c r="F4" s="1146"/>
      <c r="G4" s="1104" t="str">
        <f>'Infra Build BOQ'!F5</f>
        <v>Date: 2023/08/25</v>
      </c>
      <c r="H4" s="1106"/>
    </row>
    <row r="5" spans="2:24" ht="16.2" thickBot="1">
      <c r="B5" s="29" t="s">
        <v>230</v>
      </c>
      <c r="C5" s="1141" t="s">
        <v>439</v>
      </c>
      <c r="D5" s="1142"/>
      <c r="E5" s="1147" t="s">
        <v>361</v>
      </c>
      <c r="F5" s="1148"/>
      <c r="G5" s="1149" t="str">
        <f>'Infra Build BOQ'!F6</f>
        <v>Phoenix Industrial Access PoP - ECN - Roots Dube Village</v>
      </c>
      <c r="H5" s="1150"/>
    </row>
    <row r="6" spans="2:24" ht="15" thickBot="1"/>
    <row r="7" spans="2:24" ht="15" thickBot="1">
      <c r="B7" s="1131" t="s">
        <v>441</v>
      </c>
      <c r="C7" s="1132"/>
      <c r="D7" s="1132"/>
      <c r="E7" s="1132"/>
      <c r="F7" s="1132"/>
      <c r="G7" s="1132"/>
      <c r="H7" s="1132"/>
      <c r="I7" s="1131" t="s">
        <v>442</v>
      </c>
      <c r="J7" s="1132"/>
      <c r="K7" s="1132"/>
      <c r="L7" s="1132"/>
      <c r="M7" s="1131" t="s">
        <v>443</v>
      </c>
      <c r="N7" s="1132"/>
      <c r="O7" s="1132"/>
      <c r="P7" s="1132"/>
      <c r="Q7" s="1131" t="s">
        <v>444</v>
      </c>
      <c r="R7" s="1132"/>
      <c r="S7" s="1132"/>
      <c r="T7" s="1132"/>
      <c r="U7" s="1131" t="s">
        <v>445</v>
      </c>
      <c r="V7" s="1132"/>
      <c r="W7" s="1132"/>
      <c r="X7" s="1133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INFO'!I25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INFO'!I28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INFO'!I32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INFO'!I40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INFO'!I41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INFO'!I42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INFO'!I43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INFO'!I33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INFO'!I34</f>
        <v>70</v>
      </c>
      <c r="G20" s="538">
        <v>2.85</v>
      </c>
      <c r="H20" s="535">
        <f t="shared" si="27"/>
        <v>199.5</v>
      </c>
      <c r="I20" s="536"/>
      <c r="J20" s="463">
        <f t="shared" si="36"/>
        <v>70</v>
      </c>
      <c r="K20" s="464">
        <f t="shared" si="37"/>
        <v>199.5</v>
      </c>
      <c r="L20" s="473"/>
      <c r="M20" s="458"/>
      <c r="N20" s="463">
        <f t="shared" si="38"/>
        <v>70</v>
      </c>
      <c r="O20" s="464">
        <f t="shared" si="39"/>
        <v>199.5</v>
      </c>
      <c r="P20" s="473"/>
      <c r="Q20" s="458"/>
      <c r="R20" s="463">
        <f t="shared" si="40"/>
        <v>70</v>
      </c>
      <c r="S20" s="464">
        <f t="shared" si="41"/>
        <v>199.5</v>
      </c>
      <c r="T20" s="473"/>
      <c r="U20" s="458"/>
      <c r="V20" s="463">
        <f t="shared" si="42"/>
        <v>70</v>
      </c>
      <c r="W20" s="464">
        <f t="shared" si="43"/>
        <v>199.5</v>
      </c>
      <c r="X20" s="459"/>
    </row>
    <row r="21" spans="2:24" ht="15.6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INFO'!I35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INFO'!I36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INFO'!I37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INFO'!I38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INFO'!I15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INFO'!I14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INFO'!I13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INFO'!I18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INFO'!I19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INFO'!I20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INFO'!I21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INFO'!I22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INFO'!I23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INFO'!I24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INFO'!I12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INFO'!I11</f>
        <v>0</v>
      </c>
      <c r="G36" s="311">
        <v>6.11</v>
      </c>
      <c r="H36" s="457">
        <f t="shared" si="0"/>
        <v>0</v>
      </c>
      <c r="I36" s="458"/>
      <c r="J36" s="463">
        <f t="shared" ref="J36" si="53">I36+F36</f>
        <v>0</v>
      </c>
      <c r="K36" s="464">
        <f t="shared" ref="K36" si="54">J36*G36</f>
        <v>0</v>
      </c>
      <c r="L36" s="473"/>
      <c r="M36" s="458"/>
      <c r="N36" s="463">
        <f t="shared" ref="N36" si="55">M36+J36</f>
        <v>0</v>
      </c>
      <c r="O36" s="464">
        <f t="shared" ref="O36" si="56">N36*G36</f>
        <v>0</v>
      </c>
      <c r="P36" s="473"/>
      <c r="Q36" s="458"/>
      <c r="R36" s="463">
        <f t="shared" ref="R36" si="57">Q36+N36</f>
        <v>0</v>
      </c>
      <c r="S36" s="464">
        <f t="shared" ref="S36" si="58">R36*G36</f>
        <v>0</v>
      </c>
      <c r="T36" s="473"/>
      <c r="U36" s="458"/>
      <c r="V36" s="463">
        <f t="shared" ref="V36" si="59">U36+R36</f>
        <v>0</v>
      </c>
      <c r="W36" s="464">
        <f t="shared" ref="W36" si="60">V36*G36</f>
        <v>0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INFO'!I16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INFO'!I17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INFO'!I47</f>
        <v>57.75</v>
      </c>
      <c r="G39" s="263">
        <v>5.2</v>
      </c>
      <c r="H39" s="457">
        <f t="shared" si="0"/>
        <v>300.3</v>
      </c>
      <c r="I39" s="458"/>
      <c r="J39" s="463">
        <f t="shared" si="1"/>
        <v>57.75</v>
      </c>
      <c r="K39" s="464">
        <f t="shared" si="2"/>
        <v>300.3</v>
      </c>
      <c r="L39" s="473"/>
      <c r="M39" s="458"/>
      <c r="N39" s="463">
        <f t="shared" si="3"/>
        <v>57.75</v>
      </c>
      <c r="O39" s="464">
        <f t="shared" si="4"/>
        <v>300.3</v>
      </c>
      <c r="P39" s="473"/>
      <c r="Q39" s="458"/>
      <c r="R39" s="463">
        <f t="shared" si="5"/>
        <v>57.75</v>
      </c>
      <c r="S39" s="464">
        <f t="shared" si="6"/>
        <v>300.3</v>
      </c>
      <c r="T39" s="473"/>
      <c r="U39" s="458"/>
      <c r="V39" s="463">
        <f t="shared" si="7"/>
        <v>57.75</v>
      </c>
      <c r="W39" s="464">
        <f t="shared" si="8"/>
        <v>300.3</v>
      </c>
      <c r="X39" s="459"/>
    </row>
    <row r="40" spans="2:24" ht="15.6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INFO'!I48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INFO'!I49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INFO'!I50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INFO'!I51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INFO'!I52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INFO'!I53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INFO'!F51</f>
        <v>0</v>
      </c>
      <c r="G54" s="262">
        <v>24.2</v>
      </c>
      <c r="H54" s="457">
        <f t="shared" si="79"/>
        <v>0</v>
      </c>
      <c r="I54" s="458"/>
      <c r="J54" s="463">
        <f t="shared" si="80"/>
        <v>0</v>
      </c>
      <c r="K54" s="464">
        <f t="shared" si="81"/>
        <v>0</v>
      </c>
      <c r="L54" s="473"/>
      <c r="M54" s="458"/>
      <c r="N54" s="463">
        <f t="shared" si="82"/>
        <v>0</v>
      </c>
      <c r="O54" s="464">
        <f t="shared" si="83"/>
        <v>0</v>
      </c>
      <c r="P54" s="473"/>
      <c r="Q54" s="458"/>
      <c r="R54" s="463">
        <f t="shared" si="84"/>
        <v>0</v>
      </c>
      <c r="S54" s="464">
        <f t="shared" si="85"/>
        <v>0</v>
      </c>
      <c r="T54" s="473"/>
      <c r="U54" s="458"/>
      <c r="V54" s="463">
        <f t="shared" si="86"/>
        <v>0</v>
      </c>
      <c r="W54" s="464">
        <f t="shared" si="87"/>
        <v>0</v>
      </c>
      <c r="X54" s="459"/>
    </row>
    <row r="55" spans="2:24" ht="15.6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INFO'!F52*1.1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INFO'!F50*1.1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INFO'!F49*1.1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/>
      <c r="G59" s="262">
        <v>1</v>
      </c>
      <c r="H59" s="457">
        <f t="shared" si="0"/>
        <v>0</v>
      </c>
      <c r="I59" s="458"/>
      <c r="J59" s="463">
        <f t="shared" si="1"/>
        <v>0</v>
      </c>
      <c r="K59" s="464">
        <f t="shared" si="2"/>
        <v>0</v>
      </c>
      <c r="L59" s="473"/>
      <c r="M59" s="458"/>
      <c r="N59" s="463">
        <f t="shared" si="3"/>
        <v>0</v>
      </c>
      <c r="O59" s="464">
        <f t="shared" si="4"/>
        <v>0</v>
      </c>
      <c r="P59" s="473"/>
      <c r="Q59" s="458"/>
      <c r="R59" s="463">
        <f t="shared" si="5"/>
        <v>0</v>
      </c>
      <c r="S59" s="464">
        <f t="shared" si="6"/>
        <v>0</v>
      </c>
      <c r="T59" s="473"/>
      <c r="U59" s="458"/>
      <c r="V59" s="463">
        <f t="shared" si="7"/>
        <v>0</v>
      </c>
      <c r="W59" s="464">
        <f t="shared" si="8"/>
        <v>0</v>
      </c>
      <c r="X59" s="459"/>
    </row>
    <row r="60" spans="2:24" ht="15.6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3</v>
      </c>
      <c r="G70" s="516">
        <v>25</v>
      </c>
      <c r="H70" s="457">
        <f t="shared" si="105"/>
        <v>75</v>
      </c>
      <c r="I70" s="458"/>
      <c r="J70" s="463">
        <f t="shared" ref="J70:J80" si="124">I70+F70</f>
        <v>3</v>
      </c>
      <c r="K70" s="464">
        <f t="shared" ref="K70:K80" si="125">J70*G70</f>
        <v>75</v>
      </c>
      <c r="L70" s="473"/>
      <c r="M70" s="458"/>
      <c r="N70" s="463">
        <f t="shared" ref="N70:N80" si="126">M70+J70</f>
        <v>3</v>
      </c>
      <c r="O70" s="464">
        <f t="shared" ref="O70:O80" si="127">N70*G70</f>
        <v>75</v>
      </c>
      <c r="P70" s="473"/>
      <c r="Q70" s="458"/>
      <c r="R70" s="463">
        <f t="shared" ref="R70:R80" si="128">Q70+N70</f>
        <v>3</v>
      </c>
      <c r="S70" s="464">
        <f t="shared" ref="S70:S80" si="129">R70*G70</f>
        <v>75</v>
      </c>
      <c r="T70" s="473"/>
      <c r="U70" s="458"/>
      <c r="V70" s="463">
        <f t="shared" ref="V70:V80" si="130">U70+R70</f>
        <v>3</v>
      </c>
      <c r="W70" s="464">
        <f t="shared" ref="W70:W80" si="131">V70*G70</f>
        <v>75</v>
      </c>
      <c r="X70" s="459"/>
    </row>
    <row r="71" spans="2:24" ht="15.6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INFO'!F55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INFO'!F18+'ROUTE INFO'!F20+'ROUTE INFO'!F22+'ROUTE INFO'!F24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INFO'!F19+'ROUTE INFO'!F21+'ROUTE INFO'!F23+'ROUTE INFO'!F25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INFO'!F14+'ROUTE INFO'!F15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INFO'!F15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INFO'!C23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INFO'!C24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INFO'!C25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INFO'!C10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INFO'!C11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INFO'!C12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INFO'!C13</f>
        <v>1</v>
      </c>
      <c r="G163" s="262">
        <v>950</v>
      </c>
      <c r="H163" s="457">
        <f t="shared" si="0"/>
        <v>950</v>
      </c>
      <c r="I163" s="458"/>
      <c r="J163" s="463">
        <f t="shared" si="1"/>
        <v>1</v>
      </c>
      <c r="K163" s="464">
        <f t="shared" si="2"/>
        <v>950</v>
      </c>
      <c r="L163" s="473"/>
      <c r="M163" s="458"/>
      <c r="N163" s="463">
        <f t="shared" si="3"/>
        <v>1</v>
      </c>
      <c r="O163" s="464">
        <f t="shared" si="4"/>
        <v>950</v>
      </c>
      <c r="P163" s="473"/>
      <c r="Q163" s="458"/>
      <c r="R163" s="463">
        <f t="shared" si="5"/>
        <v>1</v>
      </c>
      <c r="S163" s="464">
        <f t="shared" si="6"/>
        <v>950</v>
      </c>
      <c r="T163" s="473"/>
      <c r="U163" s="458"/>
      <c r="V163" s="463">
        <f t="shared" si="7"/>
        <v>1</v>
      </c>
      <c r="W163" s="464">
        <f t="shared" si="8"/>
        <v>950</v>
      </c>
      <c r="X163" s="459"/>
    </row>
    <row r="164" spans="2:24" ht="15.6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INFO'!C14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INFO'!C15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INFO'!C16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INFO'!C17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INFO'!C18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INFO'!C21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INFO'!C22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721</v>
      </c>
      <c r="D177" s="185" t="s">
        <v>580</v>
      </c>
      <c r="E177" s="185" t="s">
        <v>26</v>
      </c>
      <c r="F177" s="98"/>
      <c r="G177" s="263">
        <v>16.95</v>
      </c>
      <c r="H177" s="457">
        <f t="shared" ref="H177:H274" si="355">F177*G177</f>
        <v>0</v>
      </c>
      <c r="I177" s="458"/>
      <c r="J177" s="463">
        <f t="shared" ref="J177:J274" si="356">I177+F177</f>
        <v>0</v>
      </c>
      <c r="K177" s="464">
        <f t="shared" ref="K177:K274" si="357">J177*G177</f>
        <v>0</v>
      </c>
      <c r="L177" s="473"/>
      <c r="M177" s="458"/>
      <c r="N177" s="463">
        <f t="shared" ref="N177:N274" si="358">M177+J177</f>
        <v>0</v>
      </c>
      <c r="O177" s="464">
        <f t="shared" ref="O177:O274" si="359">N177*G177</f>
        <v>0</v>
      </c>
      <c r="P177" s="473"/>
      <c r="Q177" s="458"/>
      <c r="R177" s="463">
        <f t="shared" ref="R177:R274" si="360">Q177+N177</f>
        <v>0</v>
      </c>
      <c r="S177" s="464">
        <f t="shared" ref="S177:S274" si="361">R177*G177</f>
        <v>0</v>
      </c>
      <c r="T177" s="473"/>
      <c r="U177" s="458"/>
      <c r="V177" s="463">
        <f>U177+R177</f>
        <v>0</v>
      </c>
      <c r="W177" s="464">
        <f>V177*G177</f>
        <v>0</v>
      </c>
      <c r="X177" s="459"/>
    </row>
    <row r="178" spans="2:24" ht="15.6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734</v>
      </c>
      <c r="D180" s="185" t="s">
        <v>736</v>
      </c>
      <c r="E180" s="185" t="s">
        <v>26</v>
      </c>
      <c r="F180" s="98"/>
      <c r="G180" s="263">
        <v>11.65</v>
      </c>
      <c r="H180" s="457">
        <f t="shared" si="371"/>
        <v>0</v>
      </c>
      <c r="I180" s="458"/>
      <c r="J180" s="463">
        <f t="shared" si="372"/>
        <v>0</v>
      </c>
      <c r="K180" s="464">
        <f t="shared" si="373"/>
        <v>0</v>
      </c>
      <c r="L180" s="473"/>
      <c r="M180" s="458"/>
      <c r="N180" s="463">
        <f t="shared" si="374"/>
        <v>0</v>
      </c>
      <c r="O180" s="464">
        <f t="shared" si="375"/>
        <v>0</v>
      </c>
      <c r="P180" s="473"/>
      <c r="Q180" s="458"/>
      <c r="R180" s="463">
        <f t="shared" si="376"/>
        <v>0</v>
      </c>
      <c r="S180" s="464">
        <f t="shared" si="377"/>
        <v>0</v>
      </c>
      <c r="T180" s="473"/>
      <c r="U180" s="458"/>
      <c r="V180" s="463">
        <f t="shared" si="378"/>
        <v>0</v>
      </c>
      <c r="W180" s="464">
        <f t="shared" si="379"/>
        <v>0</v>
      </c>
      <c r="X180" s="459"/>
    </row>
    <row r="181" spans="2:24" ht="15.6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719</v>
      </c>
      <c r="D209" s="443" t="s">
        <v>718</v>
      </c>
      <c r="E209" s="185" t="s">
        <v>26</v>
      </c>
      <c r="F209" s="445"/>
      <c r="G209" s="446">
        <v>3</v>
      </c>
      <c r="H209" s="457">
        <f t="shared" si="398"/>
        <v>0</v>
      </c>
      <c r="I209" s="458"/>
      <c r="J209" s="463">
        <f t="shared" si="399"/>
        <v>0</v>
      </c>
      <c r="K209" s="464">
        <f t="shared" si="400"/>
        <v>0</v>
      </c>
      <c r="L209" s="473"/>
      <c r="M209" s="458"/>
      <c r="N209" s="463">
        <f t="shared" si="401"/>
        <v>0</v>
      </c>
      <c r="O209" s="464">
        <f t="shared" si="402"/>
        <v>0</v>
      </c>
      <c r="P209" s="473"/>
      <c r="Q209" s="458"/>
      <c r="R209" s="463">
        <f t="shared" si="403"/>
        <v>0</v>
      </c>
      <c r="S209" s="464">
        <f t="shared" si="404"/>
        <v>0</v>
      </c>
      <c r="T209" s="473"/>
      <c r="U209" s="458"/>
      <c r="V209" s="463">
        <f t="shared" si="405"/>
        <v>0</v>
      </c>
      <c r="W209" s="464">
        <f t="shared" si="406"/>
        <v>0</v>
      </c>
      <c r="X209" s="459"/>
    </row>
    <row r="210" spans="2:24" ht="15.6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INFO'!F31+'ROUTE INFO'!F32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INFO'!C26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INFO'!C26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INFO'!C26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INFO'!C26*5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INFO'!I32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INFO'!I30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INFO'!I31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30" t="s">
        <v>59</v>
      </c>
      <c r="E275" s="1130"/>
      <c r="F275" s="1130"/>
      <c r="G275" s="1130"/>
      <c r="H275" s="462">
        <f>SUM(H9:H274)</f>
        <v>2154.8000000000002</v>
      </c>
      <c r="J275" s="195" t="s">
        <v>59</v>
      </c>
      <c r="K275" s="462">
        <f>SUM(K9:K274)</f>
        <v>2154.8000000000002</v>
      </c>
      <c r="L275" s="460"/>
      <c r="M275" s="195"/>
      <c r="N275" s="195" t="s">
        <v>59</v>
      </c>
      <c r="O275" s="462">
        <f>SUM(O9:O274)</f>
        <v>2154.8000000000002</v>
      </c>
      <c r="P275" s="460"/>
      <c r="Q275" s="195"/>
      <c r="R275" s="195" t="s">
        <v>59</v>
      </c>
      <c r="S275" s="462">
        <f>SUM(S9:S274)</f>
        <v>2154.8000000000002</v>
      </c>
      <c r="T275" s="460"/>
      <c r="U275" s="195"/>
      <c r="V275" s="195" t="s">
        <v>59</v>
      </c>
      <c r="W275" s="462">
        <f>SUM(W9:W274)</f>
        <v>2154.8000000000002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  <mergeCell ref="D275:G275"/>
    <mergeCell ref="B7:H7"/>
    <mergeCell ref="I7:L7"/>
    <mergeCell ref="M7:P7"/>
    <mergeCell ref="Q7:T7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INFO'!F39</f>
        <v>0</v>
      </c>
      <c r="J7" s="45">
        <f>'ROUTE INFO'!F40</f>
        <v>0</v>
      </c>
      <c r="K7" s="45">
        <f>'ROUTE INFO'!F41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INFO'!F42</f>
        <v>0</v>
      </c>
      <c r="J19" s="45">
        <f>'ROUTE INFO'!F43</f>
        <v>0</v>
      </c>
      <c r="K19" s="45">
        <f>'ROUTE INFO'!F44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2" t="s">
        <v>683</v>
      </c>
      <c r="B1" s="1163"/>
      <c r="C1" s="1163"/>
      <c r="D1" s="1163"/>
      <c r="E1" s="1164"/>
      <c r="G1" s="1159" t="s">
        <v>668</v>
      </c>
      <c r="H1" s="1160"/>
      <c r="I1" s="1160"/>
      <c r="J1" s="1161"/>
    </row>
    <row r="2" spans="1:10" ht="16.2" thickBot="1">
      <c r="A2" s="1162" t="s">
        <v>560</v>
      </c>
      <c r="B2" s="1164"/>
      <c r="C2" s="358"/>
      <c r="D2" s="1163" t="s">
        <v>561</v>
      </c>
      <c r="E2" s="1164"/>
      <c r="G2" s="364" t="s">
        <v>669</v>
      </c>
      <c r="H2" s="365">
        <v>-0.2</v>
      </c>
      <c r="I2" s="366" t="s">
        <v>670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.2" thickBot="1">
      <c r="A13" s="1171" t="s">
        <v>684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.2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.2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3" t="s">
        <v>1159</v>
      </c>
      <c r="B39" s="1174"/>
      <c r="C39" s="1175"/>
      <c r="D39" s="880" t="s">
        <v>1174</v>
      </c>
    </row>
    <row r="40" spans="1:12">
      <c r="A40" s="1179" t="s">
        <v>1173</v>
      </c>
      <c r="B40" s="1180"/>
      <c r="C40" s="1181"/>
      <c r="D40" s="881">
        <f>F36+G36+H36+I36+J36+K36+L36</f>
        <v>0</v>
      </c>
    </row>
    <row r="41" spans="1:12">
      <c r="A41" s="1176" t="s">
        <v>863</v>
      </c>
      <c r="B41" s="1177"/>
      <c r="C41" s="1178"/>
      <c r="D41" s="882">
        <f>F33+G33+H33+I33+J33+K33+L33</f>
        <v>0</v>
      </c>
    </row>
    <row r="42" spans="1:12">
      <c r="A42" s="1176" t="s">
        <v>1015</v>
      </c>
      <c r="B42" s="1177"/>
      <c r="C42" s="1178"/>
      <c r="D42" s="882">
        <f>F32+G32+H32+I32+J32+K32+L32</f>
        <v>0</v>
      </c>
    </row>
    <row r="43" spans="1:12">
      <c r="A43" s="1176" t="s">
        <v>1020</v>
      </c>
      <c r="B43" s="1177"/>
      <c r="C43" s="1178"/>
      <c r="D43" s="882">
        <f>F34+G34+H34+I34+J34+K34+L34</f>
        <v>0</v>
      </c>
    </row>
    <row r="44" spans="1:12">
      <c r="A44" s="1176" t="s">
        <v>1017</v>
      </c>
      <c r="B44" s="1177"/>
      <c r="C44" s="1178"/>
      <c r="D44" s="882">
        <f>F35+G35+H35+I35+J35+K35+L35</f>
        <v>0</v>
      </c>
    </row>
    <row r="45" spans="1:12">
      <c r="A45" s="1176" t="s">
        <v>1163</v>
      </c>
      <c r="B45" s="1177"/>
      <c r="C45" s="1178"/>
      <c r="D45" s="882">
        <f>F3+G3+H3+I3+J3+K3+L3+F11+G11+H11+I11+J11+K11+L11</f>
        <v>0</v>
      </c>
    </row>
    <row r="46" spans="1:12">
      <c r="A46" s="1176" t="s">
        <v>1168</v>
      </c>
      <c r="B46" s="1177"/>
      <c r="C46" s="1178"/>
      <c r="D46" s="882">
        <f>F17+G17+H17+I17+J17+K17+L17+F26+G26+H26+I26+J26+K26+L26</f>
        <v>0</v>
      </c>
    </row>
    <row r="47" spans="1:12">
      <c r="A47" s="1176" t="s">
        <v>1045</v>
      </c>
      <c r="B47" s="1177"/>
      <c r="C47" s="1178"/>
      <c r="D47" s="882">
        <f>H4+I4+J4+K4+L4+H12+I12+J12+K12+L12+H18+I18+J18+K18+L18+H27+I27+J27+K27+L27</f>
        <v>0</v>
      </c>
    </row>
    <row r="48" spans="1:12">
      <c r="A48" s="1176" t="s">
        <v>1024</v>
      </c>
      <c r="B48" s="1177"/>
      <c r="C48" s="1178"/>
      <c r="D48" s="882">
        <f>H5+I5+H19+I19+H28+I28</f>
        <v>0</v>
      </c>
    </row>
    <row r="49" spans="1:4">
      <c r="A49" s="1176" t="s">
        <v>1026</v>
      </c>
      <c r="B49" s="1177"/>
      <c r="C49" s="1178"/>
      <c r="D49" s="882">
        <f>J5+K5+J19+K19+J28+K28</f>
        <v>0</v>
      </c>
    </row>
    <row r="50" spans="1:4">
      <c r="A50" s="1176" t="s">
        <v>1028</v>
      </c>
      <c r="B50" s="1177"/>
      <c r="C50" s="1178"/>
      <c r="D50" s="882">
        <f>L5+L19+L28</f>
        <v>0</v>
      </c>
    </row>
    <row r="51" spans="1:4">
      <c r="A51" s="1176" t="s">
        <v>1029</v>
      </c>
      <c r="B51" s="1177"/>
      <c r="C51" s="1178"/>
      <c r="D51" s="882">
        <f>H13+I13</f>
        <v>0</v>
      </c>
    </row>
    <row r="52" spans="1:4">
      <c r="A52" s="1176" t="s">
        <v>1031</v>
      </c>
      <c r="B52" s="1177"/>
      <c r="C52" s="1178"/>
      <c r="D52" s="882">
        <f>J13</f>
        <v>0</v>
      </c>
    </row>
    <row r="53" spans="1:4">
      <c r="A53" s="1176" t="s">
        <v>1033</v>
      </c>
      <c r="B53" s="1177"/>
      <c r="C53" s="1178"/>
      <c r="D53" s="882">
        <f>K13</f>
        <v>0</v>
      </c>
    </row>
    <row r="54" spans="1:4">
      <c r="A54" s="1176" t="s">
        <v>1047</v>
      </c>
      <c r="B54" s="1177"/>
      <c r="C54" s="1178"/>
      <c r="D54" s="882">
        <f>L13</f>
        <v>0</v>
      </c>
    </row>
    <row r="55" spans="1:4">
      <c r="A55" s="1176" t="s">
        <v>835</v>
      </c>
      <c r="B55" s="1177"/>
      <c r="C55" s="1178"/>
      <c r="D55" s="882">
        <f>H20+I20+J20+K20+L20</f>
        <v>0</v>
      </c>
    </row>
    <row r="56" spans="1:4">
      <c r="A56" s="1176" t="s">
        <v>1170</v>
      </c>
      <c r="B56" s="1177"/>
      <c r="C56" s="1178"/>
      <c r="D56" s="882">
        <f>H6+I6+J6+K6+L6+H21+I21+J21+K21+L21</f>
        <v>0</v>
      </c>
    </row>
    <row r="57" spans="1:4" ht="15" thickBot="1">
      <c r="A57" s="1182" t="s">
        <v>1171</v>
      </c>
      <c r="B57" s="1183"/>
      <c r="C57" s="1184"/>
      <c r="D57" s="883">
        <f>H7+I7+J7+K7+L7+H22+I22+J22+K22+L22</f>
        <v>0</v>
      </c>
    </row>
  </sheetData>
  <mergeCells count="19"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  <mergeCell ref="A39:C39"/>
    <mergeCell ref="A45:C45"/>
    <mergeCell ref="A46:C46"/>
    <mergeCell ref="A47:C47"/>
    <mergeCell ref="A48:C48"/>
    <mergeCell ref="A40:C4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68"/>
  <sheetViews>
    <sheetView topLeftCell="D1" zoomScale="70" zoomScaleNormal="70" workbookViewId="0">
      <selection activeCell="I3" sqref="I3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9.77734375" style="23" bestFit="1" customWidth="1"/>
    <col min="12" max="12" width="16.109375" style="23" bestFit="1" customWidth="1"/>
    <col min="13" max="13" width="13" style="23" bestFit="1" customWidth="1"/>
    <col min="14" max="14" width="13.88671875" style="23" bestFit="1" customWidth="1"/>
    <col min="15" max="15" width="13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/>
      <c r="G2" s="1011"/>
      <c r="H2" s="1012"/>
      <c r="I2" s="1013">
        <v>0</v>
      </c>
      <c r="J2" s="1009"/>
      <c r="K2" s="1009"/>
      <c r="L2" s="1009"/>
      <c r="M2" s="1009"/>
      <c r="N2" s="1009"/>
      <c r="O2" s="1009">
        <v>10</v>
      </c>
      <c r="P2" s="1009"/>
      <c r="Q2" s="1009"/>
      <c r="R2" s="1009"/>
      <c r="S2" s="1009"/>
    </row>
    <row r="3" spans="1:19" s="219" customFormat="1">
      <c r="A3" s="1006" t="str">
        <f t="shared" ref="A3:A6" si="0">IF(C3="",B3,C3)</f>
        <v>n/a</v>
      </c>
      <c r="B3" s="1007" t="str">
        <f t="shared" ref="B3:B6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4"/>
      <c r="G3" s="1011"/>
      <c r="H3" s="1012"/>
      <c r="I3" s="1013">
        <v>3</v>
      </c>
      <c r="J3" s="1009" t="s">
        <v>1277</v>
      </c>
      <c r="K3" s="1009"/>
      <c r="L3" s="1009" t="s">
        <v>781</v>
      </c>
      <c r="M3" s="1009" t="s">
        <v>786</v>
      </c>
      <c r="N3" s="1009" t="s">
        <v>939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4"/>
      <c r="G4" s="1011"/>
      <c r="H4" s="1012"/>
      <c r="I4" s="1013">
        <v>3</v>
      </c>
      <c r="J4" s="1009" t="s">
        <v>1277</v>
      </c>
      <c r="K4" s="1009"/>
      <c r="L4" s="1009" t="s">
        <v>912</v>
      </c>
      <c r="M4" s="1009" t="s">
        <v>786</v>
      </c>
      <c r="N4" s="1009" t="s">
        <v>939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4"/>
      <c r="G5" s="1011"/>
      <c r="H5" s="1012"/>
      <c r="I5" s="1013">
        <v>17</v>
      </c>
      <c r="J5" s="1009" t="s">
        <v>1277</v>
      </c>
      <c r="K5" s="1009"/>
      <c r="L5" s="1009" t="s">
        <v>777</v>
      </c>
      <c r="M5" s="1009" t="s">
        <v>786</v>
      </c>
      <c r="N5" s="1009" t="s">
        <v>939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 t="s">
        <v>804</v>
      </c>
      <c r="E6" s="1009"/>
      <c r="F6" s="1014"/>
      <c r="G6" s="1011"/>
      <c r="H6" s="1012"/>
      <c r="I6" s="1013">
        <v>32</v>
      </c>
      <c r="J6" s="1009" t="s">
        <v>1277</v>
      </c>
      <c r="K6" s="1009"/>
      <c r="L6" s="1009" t="s">
        <v>777</v>
      </c>
      <c r="M6" s="1009" t="s">
        <v>786</v>
      </c>
      <c r="N6" s="1009" t="s">
        <v>939</v>
      </c>
      <c r="O6" s="1009">
        <v>15</v>
      </c>
      <c r="P6" s="1009"/>
      <c r="Q6" s="1009"/>
      <c r="R6" s="1009"/>
      <c r="S6" s="1009"/>
    </row>
    <row r="7" spans="1:19" s="219" customFormat="1"/>
    <row r="8" spans="1:19" s="219" customFormat="1" ht="15" thickBot="1">
      <c r="H8" s="220" t="s">
        <v>304</v>
      </c>
      <c r="I8" s="221">
        <f>SUM(I2:I6)</f>
        <v>55</v>
      </c>
      <c r="O8" s="221">
        <f>SUM(O2:O6)</f>
        <v>25</v>
      </c>
      <c r="P8" s="221">
        <f>SUM(P2:P6)</f>
        <v>0</v>
      </c>
    </row>
    <row r="9" spans="1:19" s="219" customFormat="1" ht="15.6" thickTop="1" thickBo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19" customFormat="1" ht="15" thickBot="1">
      <c r="A10" s="222" t="s">
        <v>813</v>
      </c>
      <c r="B10" s="23"/>
      <c r="C10" s="326">
        <f>COUNTIFS(D2:D6,A10)</f>
        <v>1</v>
      </c>
      <c r="D10" s="23"/>
      <c r="E10" s="222" t="s">
        <v>531</v>
      </c>
      <c r="F10" s="896">
        <f>COUNTIFS(E2:E6,E10)</f>
        <v>0</v>
      </c>
      <c r="G10" s="23"/>
      <c r="H10" s="222" t="s">
        <v>914</v>
      </c>
      <c r="I10" s="896">
        <f>IFERROR(GETPIVOTDATA("Sum of DISTANCE",$K$11,"CABLE TYPE","EXISTING CABLE"),0)</f>
        <v>0</v>
      </c>
      <c r="J10" s="23"/>
      <c r="K10" s="1185" t="s">
        <v>628</v>
      </c>
      <c r="L10" s="1187"/>
      <c r="M10" s="1187"/>
      <c r="N10" s="1186"/>
      <c r="O10" s="23"/>
      <c r="P10"/>
      <c r="Q10" s="23"/>
      <c r="R10" s="23"/>
      <c r="S10" s="23"/>
    </row>
    <row r="11" spans="1:19" s="219" customFormat="1">
      <c r="A11" s="490" t="s">
        <v>802</v>
      </c>
      <c r="B11" s="23"/>
      <c r="C11" s="491">
        <f>COUNTIFS(D2:D6,A11)</f>
        <v>0</v>
      </c>
      <c r="D11" s="23"/>
      <c r="E11" s="312" t="s">
        <v>240</v>
      </c>
      <c r="F11" s="897">
        <f>COUNTIFS(E2:E6,E11)</f>
        <v>0</v>
      </c>
      <c r="G11" s="23"/>
      <c r="H11" s="315" t="s">
        <v>537</v>
      </c>
      <c r="I11" s="910">
        <f>IFERROR(GETPIVOTDATA("Sum of DISTANCE",$K$11,"CABLE TYPE","MF 12"),0)+IFERROR(GETPIVOTDATA("Sum of SLACK",$K$11,"CABLE TYPE","MF 12"),0)+IFERROR(GETPIVOTDATA("Sum of INVERT",$K$11,"CABLE TYPE","MF 12"),0)</f>
        <v>0</v>
      </c>
      <c r="J11" s="23"/>
      <c r="K11" s="313" t="s">
        <v>550</v>
      </c>
      <c r="L11" t="s">
        <v>551</v>
      </c>
      <c r="M11" t="s">
        <v>552</v>
      </c>
      <c r="N11" t="s">
        <v>553</v>
      </c>
      <c r="O11" s="23"/>
      <c r="P11"/>
      <c r="Q11" s="23"/>
      <c r="R11" s="23"/>
      <c r="S11" s="23"/>
    </row>
    <row r="12" spans="1:19" s="219" customFormat="1">
      <c r="A12" s="490" t="s">
        <v>803</v>
      </c>
      <c r="B12" s="23"/>
      <c r="C12" s="491">
        <f>COUNTIFS(D2:D6,A12)</f>
        <v>0</v>
      </c>
      <c r="D12" s="23"/>
      <c r="E12" s="223" t="s">
        <v>241</v>
      </c>
      <c r="F12" s="898">
        <f>COUNTIFS(E2:E6,E12)</f>
        <v>0</v>
      </c>
      <c r="G12" s="23"/>
      <c r="H12" s="315" t="s">
        <v>538</v>
      </c>
      <c r="I12" s="910">
        <f>IFERROR(GETPIVOTDATA("Sum of DISTANCE",$K$11,"CABLE TYPE","MF 24"),0)+IFERROR(GETPIVOTDATA("Sum of SLACK",$K$11,"CABLE TYPE","MF 24"),0)+IFERROR(GETPIVOTDATA("Sum of INVERT",$K$11,"CABLE TYPE","MF 24"),0)</f>
        <v>0</v>
      </c>
      <c r="J12" s="23"/>
      <c r="K12" s="314" t="s">
        <v>610</v>
      </c>
      <c r="L12" s="1218">
        <v>0</v>
      </c>
      <c r="M12" s="1218">
        <v>10</v>
      </c>
      <c r="N12" s="1218"/>
      <c r="O12" s="23"/>
      <c r="P12"/>
      <c r="Q12" s="23"/>
      <c r="R12" s="23"/>
      <c r="S12" s="23"/>
    </row>
    <row r="13" spans="1:19" s="219" customFormat="1">
      <c r="A13" s="490" t="s">
        <v>804</v>
      </c>
      <c r="B13" s="23"/>
      <c r="C13" s="491">
        <f>COUNTIFS(D2:D6,A13)</f>
        <v>1</v>
      </c>
      <c r="D13" s="23"/>
      <c r="E13" s="223" t="s">
        <v>757</v>
      </c>
      <c r="F13" s="898">
        <f>COUNTIFS(E2:E6,E13)</f>
        <v>0</v>
      </c>
      <c r="G13" s="23"/>
      <c r="H13" s="315" t="s">
        <v>539</v>
      </c>
      <c r="I13" s="910">
        <f>IFERROR(GETPIVOTDATA("Sum of DISTANCE",$K$11,"CABLE TYPE","MF 48"),0)+IFERROR(GETPIVOTDATA("Sum of SLACK",$K$11,"CABLE TYPE","MF 48"),0)+IFERROR(GETPIVOTDATA("Sum of INVERT",$K$11,"CABLE TYPE","MF 48"),0)</f>
        <v>0</v>
      </c>
      <c r="J13" s="23"/>
      <c r="K13" s="314" t="s">
        <v>939</v>
      </c>
      <c r="L13" s="1218">
        <v>55</v>
      </c>
      <c r="M13" s="1218">
        <v>15</v>
      </c>
      <c r="N13" s="1218"/>
      <c r="O13"/>
      <c r="P13"/>
      <c r="Q13" s="23"/>
      <c r="R13" s="23"/>
      <c r="S13" s="23"/>
    </row>
    <row r="14" spans="1:19" s="219" customFormat="1">
      <c r="A14" s="490" t="s">
        <v>805</v>
      </c>
      <c r="B14" s="23"/>
      <c r="C14" s="491">
        <f>COUNTIFS(D2:D6,A14)</f>
        <v>0</v>
      </c>
      <c r="D14" s="23"/>
      <c r="E14" s="223" t="s">
        <v>519</v>
      </c>
      <c r="F14" s="898">
        <f>COUNTIFS(E2:E6,E14)</f>
        <v>0</v>
      </c>
      <c r="G14" s="23"/>
      <c r="H14" s="315" t="s">
        <v>540</v>
      </c>
      <c r="I14" s="910">
        <f>IFERROR(GETPIVOTDATA("Sum of DISTANCE",$K$11,"CABLE TYPE","MF 72"),0)+IFERROR(GETPIVOTDATA("Sum of SLACK",$K$11,"CABLE TYPE","MF 72"),0)+IFERROR(GETPIVOTDATA("Sum of INVERT",$K$11,"CABLE TYPE","MF 72"),0)</f>
        <v>0</v>
      </c>
      <c r="J14" s="23"/>
      <c r="K14" s="314" t="s">
        <v>549</v>
      </c>
      <c r="L14" s="1218">
        <v>55</v>
      </c>
      <c r="M14" s="1218">
        <v>25</v>
      </c>
      <c r="N14" s="1218"/>
      <c r="O14"/>
      <c r="P14"/>
      <c r="Q14" s="23"/>
      <c r="R14" s="23"/>
      <c r="S14" s="23"/>
    </row>
    <row r="15" spans="1:19" s="219" customFormat="1">
      <c r="A15" s="490" t="s">
        <v>806</v>
      </c>
      <c r="B15" s="23"/>
      <c r="C15" s="491">
        <f>COUNTIFS(D2:D6,A15)</f>
        <v>0</v>
      </c>
      <c r="D15" s="23"/>
      <c r="E15" s="223" t="s">
        <v>520</v>
      </c>
      <c r="F15" s="898">
        <f>COUNTIFS(E2:E6,E15)</f>
        <v>0</v>
      </c>
      <c r="G15" s="23"/>
      <c r="H15" s="315" t="s">
        <v>541</v>
      </c>
      <c r="I15" s="910">
        <f>IFERROR(GETPIVOTDATA("Sum of DISTANCE",$K$11,"CABLE TYPE","MF 96"),0)+IFERROR(GETPIVOTDATA("Sum of SLACK",$K$11,"CABLE TYPE","MF 96"),0)+IFERROR(GETPIVOTDATA("Sum of INVERT",$K$11,"CABLE TYPE","MF 96"),0)</f>
        <v>0</v>
      </c>
      <c r="J15" s="23"/>
      <c r="K15"/>
      <c r="L15"/>
      <c r="M15"/>
      <c r="N15"/>
      <c r="O15"/>
      <c r="P15"/>
      <c r="Q15" s="23"/>
      <c r="R15" s="23"/>
      <c r="S15" s="23"/>
    </row>
    <row r="16" spans="1:19" s="219" customFormat="1">
      <c r="A16" s="490" t="s">
        <v>807</v>
      </c>
      <c r="B16" s="23"/>
      <c r="C16" s="491">
        <f>COUNTIFS(D2:D6,A16)</f>
        <v>0</v>
      </c>
      <c r="D16" s="23"/>
      <c r="E16" s="223" t="s">
        <v>1054</v>
      </c>
      <c r="F16" s="898">
        <f>COUNTIFS(E2:E6,E16)</f>
        <v>0</v>
      </c>
      <c r="G16" s="23"/>
      <c r="H16" s="315" t="s">
        <v>542</v>
      </c>
      <c r="I16" s="910">
        <f>IFERROR(GETPIVOTDATA("Sum of DISTANCE",$K$11,"CABLE TYPE","MF 144"),0)+IFERROR(GETPIVOTDATA("Sum of SLACK",$K$11,"CABLE TYPE","MF 144"),0)+IFERROR(GETPIVOTDATA("Sum of INVERT",$K$11,"CABLE TYPE","MF 144"),0)</f>
        <v>0</v>
      </c>
      <c r="J16" s="23"/>
      <c r="K16"/>
      <c r="L16"/>
      <c r="M16"/>
      <c r="N16"/>
      <c r="O16"/>
      <c r="P16"/>
      <c r="Q16" s="23"/>
      <c r="R16" s="23"/>
      <c r="S16" s="23"/>
    </row>
    <row r="17" spans="1:19" s="219" customFormat="1">
      <c r="A17" s="490" t="s">
        <v>808</v>
      </c>
      <c r="B17" s="23"/>
      <c r="C17" s="491">
        <f>COUNTIFS(D2:D6,A17)</f>
        <v>0</v>
      </c>
      <c r="D17" s="23"/>
      <c r="E17" s="223" t="s">
        <v>1055</v>
      </c>
      <c r="F17" s="898">
        <f>COUNTIFS(E2:E6,E17)</f>
        <v>0</v>
      </c>
      <c r="G17" s="23"/>
      <c r="H17" s="315" t="s">
        <v>543</v>
      </c>
      <c r="I17" s="910">
        <f>IFERROR(GETPIVOTDATA("Sum of DISTANCE",$K$11,"CABLE TYPE","MF 288"),0)+IFERROR(GETPIVOTDATA("Sum of SLACK",$K$11,"CABLE TYPE","MF 288"),0)+IFERROR(GETPIVOTDATA("Sum of INVERT",$K$11,"CABLE TYPE","MF 288"),0)</f>
        <v>0</v>
      </c>
      <c r="J17" s="23"/>
      <c r="K17"/>
      <c r="L17"/>
      <c r="M17"/>
      <c r="N17"/>
      <c r="O17"/>
      <c r="P17"/>
      <c r="Q17" s="23"/>
      <c r="R17" s="23"/>
      <c r="S17" s="23"/>
    </row>
    <row r="18" spans="1:19" s="219" customFormat="1">
      <c r="A18" s="490" t="s">
        <v>809</v>
      </c>
      <c r="B18" s="23"/>
      <c r="C18" s="491">
        <f>COUNTIFS(D2:D6,A18)</f>
        <v>0</v>
      </c>
      <c r="D18" s="23"/>
      <c r="E18" s="886" t="s">
        <v>1192</v>
      </c>
      <c r="F18" s="899">
        <f>COUNTIFS(E2:E6,E18)</f>
        <v>0</v>
      </c>
      <c r="G18" s="23"/>
      <c r="H18" s="886" t="s">
        <v>1186</v>
      </c>
      <c r="I18" s="910">
        <f>IFERROR(GETPIVOTDATA("Sum of DISTANCE",$K$11,"CABLE TYPE","AC 4 (Drop Cable)"),0)+IFERROR(GETPIVOTDATA("Sum of SLACK",$K$11,"CABLE TYPE","AC 4 (Drop Cable)"),0)+IFERROR(GETPIVOTDATA("Sum of INVERT",$K$11,"CABLE TYPE","AC 4 (Drop Cable)"),0)</f>
        <v>0</v>
      </c>
      <c r="J18" s="23"/>
      <c r="K18"/>
      <c r="L18"/>
      <c r="M18"/>
      <c r="N18"/>
      <c r="O18"/>
      <c r="P18"/>
      <c r="Q18" s="23"/>
      <c r="R18" s="23"/>
      <c r="S18" s="23"/>
    </row>
    <row r="19" spans="1:19" s="219" customFormat="1">
      <c r="A19" s="490" t="s">
        <v>810</v>
      </c>
      <c r="B19" s="23"/>
      <c r="C19" s="491">
        <f>COUNTIFS(D2:D6,A19)</f>
        <v>0</v>
      </c>
      <c r="D19" s="23"/>
      <c r="E19" s="886" t="s">
        <v>1188</v>
      </c>
      <c r="F19" s="899">
        <f>COUNTIFS(E2:E6,E19)</f>
        <v>0</v>
      </c>
      <c r="G19" s="23"/>
      <c r="H19" s="886" t="s">
        <v>1204</v>
      </c>
      <c r="I19" s="910">
        <f>IFERROR(GETPIVOTDATA("Sum of DISTANCE",$K$11,"CABLE TYPE","AC 8"),0)+IFERROR(GETPIVOTDATA("Sum of SLACK",$K$11,"CABLE TYPE","AC 8"),0)+IFERROR(GETPIVOTDATA("Sum of INVERT",$K$11,"CABLE TYPE","AC 8"),0)</f>
        <v>0</v>
      </c>
      <c r="J19" s="23"/>
      <c r="K19"/>
      <c r="L19"/>
      <c r="M19"/>
      <c r="N19"/>
      <c r="O19"/>
      <c r="P19"/>
      <c r="Q19" s="23"/>
      <c r="R19" s="23"/>
      <c r="S19" s="23"/>
    </row>
    <row r="20" spans="1:19" s="219" customFormat="1">
      <c r="A20" s="490" t="s">
        <v>821</v>
      </c>
      <c r="B20" s="23"/>
      <c r="C20" s="491">
        <f>COUNTIFS(D2:D6,A20)</f>
        <v>0</v>
      </c>
      <c r="D20" s="23"/>
      <c r="E20" s="886" t="s">
        <v>1193</v>
      </c>
      <c r="F20" s="899">
        <f>COUNTIFS(E2:E6,E20)</f>
        <v>0</v>
      </c>
      <c r="G20" s="23"/>
      <c r="H20" s="487" t="s">
        <v>1155</v>
      </c>
      <c r="I20" s="910">
        <f>IFERROR(GETPIVOTDATA("Sum of DISTANCE",$K$11,"CABLE TYPE","AC 12"),0)+IFERROR(GETPIVOTDATA("Sum of SLACK",$K$11,"CABLE TYPE","AC 12"),0)+IFERROR(GETPIVOTDATA("Sum of INVERT",$K$11,"CABLE TYPE","AC 12"),0)</f>
        <v>0</v>
      </c>
      <c r="J20" s="23"/>
      <c r="K20"/>
      <c r="L20"/>
      <c r="M20"/>
      <c r="N20"/>
      <c r="O20"/>
      <c r="P20"/>
      <c r="Q20" s="23"/>
      <c r="R20" s="23"/>
      <c r="S20" s="23"/>
    </row>
    <row r="21" spans="1:19" s="219" customFormat="1">
      <c r="A21" s="490" t="s">
        <v>811</v>
      </c>
      <c r="B21" s="23"/>
      <c r="C21" s="491">
        <f>COUNTIFS(D2:D6,A21)</f>
        <v>0</v>
      </c>
      <c r="D21" s="23"/>
      <c r="E21" s="886" t="s">
        <v>1190</v>
      </c>
      <c r="F21" s="899">
        <f>COUNTIFS(E2:E6,E21)</f>
        <v>0</v>
      </c>
      <c r="G21" s="23"/>
      <c r="H21" s="487" t="s">
        <v>754</v>
      </c>
      <c r="I21" s="910">
        <f>IFERROR(GETPIVOTDATA("Sum of DISTANCE",$K$11,"CABLE TYPE","AC 24"),0)+IFERROR(GETPIVOTDATA("Sum of SLACK",$K$11,"CABLE TYPE","AC 24"),0)+IFERROR(GETPIVOTDATA("Sum of INVERT",$K$11,"CABLE TYPE","AC 24"),0)</f>
        <v>0</v>
      </c>
      <c r="J21" s="23"/>
      <c r="K21"/>
      <c r="L21"/>
      <c r="M21"/>
      <c r="N21"/>
      <c r="O21"/>
      <c r="P21"/>
      <c r="Q21" s="23"/>
      <c r="R21" s="23"/>
      <c r="S21" s="23"/>
    </row>
    <row r="22" spans="1:19" s="219" customFormat="1">
      <c r="A22" s="490" t="s">
        <v>812</v>
      </c>
      <c r="B22" s="23"/>
      <c r="C22" s="491">
        <f>COUNTIFS(D2:D6,A22)</f>
        <v>0</v>
      </c>
      <c r="D22" s="23"/>
      <c r="E22" s="886" t="s">
        <v>1194</v>
      </c>
      <c r="F22" s="899">
        <f>COUNTIFS(E2:E6,E22)</f>
        <v>0</v>
      </c>
      <c r="G22" s="23"/>
      <c r="H22" s="487" t="s">
        <v>755</v>
      </c>
      <c r="I22" s="910">
        <f>IFERROR(GETPIVOTDATA("Sum of DISTANCE",$K$11,"CABLE TYPE","AC 48"),0)+IFERROR(GETPIVOTDATA("Sum of SLACK",$K$11,"CABLE TYPE","AC 48"),0)+IFERROR(GETPIVOTDATA("Sum of INVERT",$K$11,"CABLE TYPE","AC 48"),0)</f>
        <v>0</v>
      </c>
      <c r="J22" s="23"/>
      <c r="K22"/>
      <c r="L22"/>
      <c r="M22"/>
      <c r="N22"/>
      <c r="O22"/>
      <c r="P22"/>
      <c r="Q22" s="23"/>
      <c r="R22" s="23"/>
      <c r="S22" s="23"/>
    </row>
    <row r="23" spans="1:19" s="219" customFormat="1">
      <c r="A23" s="912" t="s">
        <v>1250</v>
      </c>
      <c r="B23" s="23"/>
      <c r="C23" s="841">
        <f>COUNTIFS(D2:D6,A23)</f>
        <v>0</v>
      </c>
      <c r="D23" s="23"/>
      <c r="E23" s="886" t="s">
        <v>1191</v>
      </c>
      <c r="F23" s="899">
        <f>COUNTIFS(E3:E7,E23)</f>
        <v>0</v>
      </c>
      <c r="G23" s="23"/>
      <c r="H23" s="487" t="s">
        <v>756</v>
      </c>
      <c r="I23" s="910">
        <f>IFERROR(GETPIVOTDATA("Sum of DISTANCE",$K$11,"CABLE TYPE","AC 72"),0)+IFERROR(GETPIVOTDATA("Sum of SLACK",$K$11,"CABLE TYPE","AC 72"),0)+IFERROR(GETPIVOTDATA("Sum of INVERT",$K$11,"CABLE TYPE","AC 72"),0)</f>
        <v>0</v>
      </c>
      <c r="J23" s="23"/>
      <c r="K23"/>
      <c r="L23"/>
      <c r="M23"/>
      <c r="N23"/>
      <c r="O23"/>
      <c r="P23" s="23"/>
      <c r="Q23" s="23"/>
      <c r="R23" s="23"/>
      <c r="S23" s="23"/>
    </row>
    <row r="24" spans="1:19" s="219" customFormat="1">
      <c r="A24" s="912" t="s">
        <v>1251</v>
      </c>
      <c r="B24" s="23"/>
      <c r="C24" s="841">
        <f>COUNTIFS(D2:D6,A24)</f>
        <v>0</v>
      </c>
      <c r="D24" s="23"/>
      <c r="E24" s="886" t="s">
        <v>1195</v>
      </c>
      <c r="F24" s="899">
        <f>COUNTIFS(E2:E6,E24)</f>
        <v>0</v>
      </c>
      <c r="G24" s="23"/>
      <c r="H24" s="487" t="s">
        <v>1156</v>
      </c>
      <c r="I24" s="910">
        <f>IFERROR(GETPIVOTDATA("Sum of DISTANCE",$K$11,"CABLE TYPE","AC 144"),0)+IFERROR(GETPIVOTDATA("Sum of SLACK",$K$11,"CABLE TYPE","AC 144"),0)+IFERROR(GETPIVOTDATA("Sum of INVERT",$K$11,"CABLE TYPE","AC 144"),0)</f>
        <v>0</v>
      </c>
      <c r="J24" s="23"/>
      <c r="K24"/>
      <c r="L24"/>
      <c r="M24"/>
      <c r="N24"/>
      <c r="O24"/>
      <c r="P24" s="23"/>
      <c r="Q24" s="23"/>
      <c r="R24" s="23"/>
      <c r="S24" s="23"/>
    </row>
    <row r="25" spans="1:19" s="219" customFormat="1">
      <c r="A25" s="912" t="s">
        <v>1252</v>
      </c>
      <c r="B25" s="23"/>
      <c r="C25" s="841">
        <f>COUNTIFS(D2:D6,A25)</f>
        <v>0</v>
      </c>
      <c r="D25" s="23"/>
      <c r="E25" s="886" t="s">
        <v>1196</v>
      </c>
      <c r="F25" s="899">
        <f>COUNTIFS(E2:E6,E25)</f>
        <v>0</v>
      </c>
      <c r="G25" s="23"/>
      <c r="H25" s="315" t="s">
        <v>555</v>
      </c>
      <c r="I25" s="910">
        <f>IFERROR(GETPIVOTDATA("Sum of DISTANCE",$K$11,"CABLE TYPE","CST 144"),0)+IFERROR(GETPIVOTDATA("Sum of SLACK",$K$11,"CABLE TYPE","CST 144"),0)+IFERROR(GETPIVOTDATA("Sum of INVERT",$K$11,"CABLE TYPE","CST 144"),0)</f>
        <v>0</v>
      </c>
      <c r="J25" s="23"/>
      <c r="K25"/>
      <c r="L25"/>
      <c r="M25"/>
      <c r="N25"/>
      <c r="O25"/>
      <c r="P25" s="23"/>
      <c r="Q25" s="23"/>
      <c r="R25" s="23"/>
      <c r="S25" s="23"/>
    </row>
    <row r="26" spans="1:19" s="219" customFormat="1">
      <c r="A26" s="912" t="s">
        <v>1253</v>
      </c>
      <c r="B26" s="23"/>
      <c r="C26" s="841">
        <f>COUNTIFS(D2:D6,A26)</f>
        <v>0</v>
      </c>
      <c r="D26" s="23"/>
      <c r="E26" s="886" t="s">
        <v>1182</v>
      </c>
      <c r="F26" s="899">
        <f>COUNTIFS(E6:E10,E26)</f>
        <v>0</v>
      </c>
      <c r="G26" s="23"/>
      <c r="H26" s="315" t="s">
        <v>556</v>
      </c>
      <c r="I26" s="910">
        <f>IFERROR(GETPIVOTDATA("Sum of DISTANCE",$K$11,"CABLE TYPE","CST 288"),0)+IFERROR(GETPIVOTDATA("Sum of SLACK",$K$11,"CABLE TYPE","CST 288"),0)+IFERROR(GETPIVOTDATA("Sum of INVERT",$K$11,"CABLE TYPE","CST 288"),0)</f>
        <v>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19" customFormat="1" ht="15" thickBot="1">
      <c r="A27" s="912" t="s">
        <v>1254</v>
      </c>
      <c r="B27" s="23"/>
      <c r="C27" s="841">
        <f>COUNTIFS(D2:D6,A27)</f>
        <v>0</v>
      </c>
      <c r="D27" s="23"/>
      <c r="E27" s="886" t="s">
        <v>1183</v>
      </c>
      <c r="F27" s="899">
        <f>COUNTIFS(E6:E10,E27)</f>
        <v>0</v>
      </c>
      <c r="G27" s="23"/>
      <c r="H27" s="315" t="s">
        <v>544</v>
      </c>
      <c r="I27" s="910">
        <f>IFERROR(GETPIVOTDATA("Sum of DISTANCE",$K$11,"CABLE TYPE","FOCUS 72"),0)+IFERROR(GETPIVOTDATA("Sum of SLACK",$K$11,"CABLE TYPE","FOCUS 72"),0)+IFERROR(GETPIVOTDATA("Sum of INVERT",$K$11,"CABLE TYPE","FOCUS 72"),0)</f>
        <v>0</v>
      </c>
      <c r="J27" s="23"/>
      <c r="K27" s="23"/>
      <c r="L27" s="23"/>
      <c r="M27" s="23"/>
      <c r="N27"/>
      <c r="O27" s="23"/>
      <c r="P27" s="23"/>
      <c r="Q27" s="23"/>
      <c r="R27" s="23"/>
      <c r="S27" s="23"/>
    </row>
    <row r="28" spans="1:19" s="219" customFormat="1" ht="15" thickBot="1">
      <c r="A28" s="912" t="s">
        <v>1255</v>
      </c>
      <c r="B28" s="23"/>
      <c r="C28" s="841">
        <f>COUNTIFS(D2:D6,A28)</f>
        <v>0</v>
      </c>
      <c r="D28" s="23"/>
      <c r="E28" s="886" t="s">
        <v>1185</v>
      </c>
      <c r="F28" s="899">
        <f>COUNTIFS(E6:E10,E28)</f>
        <v>0</v>
      </c>
      <c r="G28" s="23"/>
      <c r="H28" s="315" t="s">
        <v>545</v>
      </c>
      <c r="I28" s="910">
        <f>IFERROR(GETPIVOTDATA("Sum of DISTANCE",$K$11,"CABLE TYPE","FOCUS 144"),0)+IFERROR(GETPIVOTDATA("Sum of SLACK",$K$11,"CABLE TYPE","FOCUS 144"),0)+IFERROR(GETPIVOTDATA("Sum of INVERT",$K$11,"CABLE TYPE","FOCUS 144"),0)</f>
        <v>0</v>
      </c>
      <c r="J28" s="23"/>
      <c r="K28" s="1185" t="s">
        <v>624</v>
      </c>
      <c r="L28" s="1186"/>
      <c r="M28" s="23"/>
      <c r="N28" s="1185" t="s">
        <v>626</v>
      </c>
      <c r="O28" s="1186"/>
      <c r="P28" s="23"/>
      <c r="Q28" s="23"/>
      <c r="R28" s="23"/>
      <c r="S28" s="23"/>
    </row>
    <row r="29" spans="1:19" s="219" customFormat="1">
      <c r="A29" s="912" t="s">
        <v>1256</v>
      </c>
      <c r="B29" s="23"/>
      <c r="C29" s="841">
        <f>COUNTIFS(D2:D6,A29)</f>
        <v>0</v>
      </c>
      <c r="D29" s="23"/>
      <c r="E29" s="886" t="s">
        <v>1184</v>
      </c>
      <c r="F29" s="899">
        <f>COUNTIFS(E6:E10,E29)</f>
        <v>0</v>
      </c>
      <c r="G29" s="23"/>
      <c r="H29" s="323" t="s">
        <v>546</v>
      </c>
      <c r="I29" s="911">
        <f>IFERROR(GETPIVOTDATA("Sum of DISTANCE",$K$11,"CABLE TYPE","FOCUS 288"),0)+IFERROR(GETPIVOTDATA("Sum of SLACK",$K$11,"CABLE TYPE","FOCUS 288"),0)+IFERROR(GETPIVOTDATA("Sum of INVERT",$K$11,"CABLE TYPE","FOCUS 288"),0)</f>
        <v>0</v>
      </c>
      <c r="J29" s="23"/>
      <c r="K29" s="313" t="s">
        <v>550</v>
      </c>
      <c r="L29" t="s">
        <v>551</v>
      </c>
      <c r="M29"/>
      <c r="N29" s="313" t="s">
        <v>550</v>
      </c>
      <c r="O29" t="s">
        <v>551</v>
      </c>
      <c r="P29"/>
      <c r="Q29" s="23"/>
      <c r="R29" s="23"/>
      <c r="S29" s="23"/>
    </row>
    <row r="30" spans="1:19" s="219" customFormat="1" ht="15" thickBot="1">
      <c r="A30" s="488" t="s">
        <v>814</v>
      </c>
      <c r="B30" s="23"/>
      <c r="C30" s="489">
        <f>COUNTIFS(D2:D6,A30)</f>
        <v>0</v>
      </c>
      <c r="D30" s="23"/>
      <c r="E30" s="223" t="s">
        <v>758</v>
      </c>
      <c r="F30" s="898">
        <f>COUNTIFS(E2:E6,E30)</f>
        <v>0</v>
      </c>
      <c r="G30" s="23"/>
      <c r="H30" s="912" t="s">
        <v>1245</v>
      </c>
      <c r="I30" s="911">
        <f>IFERROR(GETPIVOTDATA("Sum of DISTANCE",$K$11,"CABLE TYPE","VERTICASA (2X12) 24F"),0)+IFERROR(GETPIVOTDATA("Sum of SLACK",$K$11,"CABLE TYPE","VERTICASA (2X12) 24F"),0)+IFERROR(GETPIVOTDATA("Sum of INVERT",$K$11,"CABLE TYPE","VERTICASA (2X12) 24F"),0)</f>
        <v>0</v>
      </c>
      <c r="J30" s="23"/>
      <c r="K30" s="314" t="s">
        <v>610</v>
      </c>
      <c r="L30" s="1217">
        <v>0</v>
      </c>
      <c r="M30"/>
      <c r="N30" s="314" t="s">
        <v>610</v>
      </c>
      <c r="O30" s="1217">
        <v>0</v>
      </c>
      <c r="P30"/>
      <c r="Q30" s="23"/>
      <c r="R30" s="23"/>
      <c r="S30" s="23"/>
    </row>
    <row r="31" spans="1:19" s="219" customFormat="1">
      <c r="A31" s="23"/>
      <c r="B31" s="23"/>
      <c r="C31" s="23"/>
      <c r="D31" s="23"/>
      <c r="E31" s="223" t="s">
        <v>158</v>
      </c>
      <c r="F31" s="898">
        <f>COUNTIFS(E2:E6,E31)</f>
        <v>0</v>
      </c>
      <c r="G31" s="23"/>
      <c r="H31" s="912" t="s">
        <v>1246</v>
      </c>
      <c r="I31" s="911">
        <f>IFERROR(GETPIVOTDATA("Sum of DISTANCE",$K$11,"CABLE TYPE","VERTICASA (2X24) 48F"),0)+IFERROR(GETPIVOTDATA("Sum of SLACK",$K$11,"CABLE TYPE","VERTICASA (2X24) 48F"),0)+IFERROR(GETPIVOTDATA("Sum of INVERT",$K$11,"CABLE TYPE","VERTICASA (2X24) 48F"),0)</f>
        <v>0</v>
      </c>
      <c r="J31" s="23"/>
      <c r="K31" s="314" t="s">
        <v>786</v>
      </c>
      <c r="L31" s="1217">
        <v>55</v>
      </c>
      <c r="M31"/>
      <c r="N31" s="314" t="s">
        <v>781</v>
      </c>
      <c r="O31" s="1217">
        <v>3</v>
      </c>
      <c r="P31"/>
      <c r="Q31" s="23"/>
      <c r="R31" s="23"/>
      <c r="S31" s="23"/>
    </row>
    <row r="32" spans="1:19" s="219" customFormat="1" ht="15" thickBot="1">
      <c r="A32" s="23"/>
      <c r="B32" s="23"/>
      <c r="C32" s="23"/>
      <c r="D32" s="23"/>
      <c r="E32" s="223" t="s">
        <v>759</v>
      </c>
      <c r="F32" s="898">
        <f>COUNTIFS(E2:E6,E32)</f>
        <v>0</v>
      </c>
      <c r="G32" s="23"/>
      <c r="H32" s="323" t="s">
        <v>1247</v>
      </c>
      <c r="I32" s="911">
        <f>IFERROR(GETPIVOTDATA("Sum of DISTANCE",$K$11,"CABLE TYPE","VERTICASA (2X48) 96F"),0)+IFERROR(GETPIVOTDATA("Sum of SLACK",$K$11,"CABLE TYPE","VERTICASA (2X48) 96F"),0)+IFERROR(GETPIVOTDATA("Sum of INVERT",$K$11,"CABLE TYPE","VERTICASA (2X48) 96F"),0)</f>
        <v>0</v>
      </c>
      <c r="J32" s="23"/>
      <c r="K32" s="314" t="s">
        <v>549</v>
      </c>
      <c r="L32" s="1217">
        <v>55</v>
      </c>
      <c r="M32"/>
      <c r="N32" s="314" t="s">
        <v>912</v>
      </c>
      <c r="O32" s="1217">
        <v>3</v>
      </c>
      <c r="P32"/>
      <c r="Q32" s="23"/>
      <c r="R32" s="23"/>
      <c r="S32" s="23"/>
    </row>
    <row r="33" spans="1:19" s="219" customFormat="1">
      <c r="A33" s="23"/>
      <c r="B33" s="23"/>
      <c r="C33" s="23"/>
      <c r="D33" s="23"/>
      <c r="E33" s="223" t="s">
        <v>760</v>
      </c>
      <c r="F33" s="898">
        <f>COUNTIFS(E2:E6,E33)</f>
        <v>0</v>
      </c>
      <c r="G33" s="23"/>
      <c r="H33" s="539" t="s">
        <v>938</v>
      </c>
      <c r="I33" s="907">
        <f>IFERROR(GETPIVOTDATA("Sum of DISTANCE",$K$11,"CABLE TYPE","2 F DUAL DROP CABLE"),0)+IFERROR(GETPIVOTDATA("Sum of SLACK",$K$11,"CABLE TYPE","2 F DUAL DROP CABLE"),0)+IFERROR(GETPIVOTDATA("Sum of INVERT",$K$11,"CABLE TYPE","2 F DUAL DROP CABLE"),0)</f>
        <v>0</v>
      </c>
      <c r="J33" s="23"/>
      <c r="K33"/>
      <c r="L33"/>
      <c r="M33"/>
      <c r="N33" s="314" t="s">
        <v>777</v>
      </c>
      <c r="O33" s="1217">
        <v>49</v>
      </c>
      <c r="P33"/>
      <c r="Q33" s="23"/>
      <c r="R33" s="23"/>
      <c r="S33" s="23"/>
    </row>
    <row r="34" spans="1:19" s="219" customFormat="1">
      <c r="A34" s="23"/>
      <c r="B34" s="23"/>
      <c r="C34" s="23"/>
      <c r="D34" s="23"/>
      <c r="E34" s="436" t="s">
        <v>818</v>
      </c>
      <c r="F34" s="898">
        <f>COUNTIFS(E2:E6,E34)</f>
        <v>0</v>
      </c>
      <c r="G34" s="23"/>
      <c r="H34" s="540" t="s">
        <v>939</v>
      </c>
      <c r="I34" s="908">
        <f>IFERROR(GETPIVOTDATA("Sum of DISTANCE",$K$11,"CABLE TYPE","4 F DUAL DROP CABLE"),0)+IFERROR(GETPIVOTDATA("Sum of SLACK",$K$11,"CABLE TYPE","4 F DUAL DROP CABLE"),0)+IFERROR(GETPIVOTDATA("Sum of INVERT",$K$11,"CABLE TYPE","4 F DUAL DROP CABLE"),0)</f>
        <v>70</v>
      </c>
      <c r="J34" s="23"/>
      <c r="K34"/>
      <c r="L34"/>
      <c r="M34"/>
      <c r="N34" s="314" t="s">
        <v>549</v>
      </c>
      <c r="O34" s="1217">
        <v>55</v>
      </c>
      <c r="P34"/>
      <c r="Q34" s="23"/>
      <c r="R34" s="23"/>
      <c r="S34" s="23"/>
    </row>
    <row r="35" spans="1:19" s="219" customFormat="1">
      <c r="A35" s="23"/>
      <c r="B35" s="23"/>
      <c r="C35" s="23"/>
      <c r="D35" s="23"/>
      <c r="E35" s="224" t="s">
        <v>820</v>
      </c>
      <c r="F35" s="900">
        <f>COUNTIFS(E2:E6,E35)</f>
        <v>0</v>
      </c>
      <c r="G35" s="23"/>
      <c r="H35" s="540" t="s">
        <v>940</v>
      </c>
      <c r="I35" s="908">
        <f>IFERROR(GETPIVOTDATA("Sum of DISTANCE",$K$11,"CABLE TYPE","6 F DUAL DROP CABLE"),0)+IFERROR(GETPIVOTDATA("Sum of SLACK",$K$11,"CABLE TYPE","6 F DUAL DROP CABLE"),0)+IFERROR(GETPIVOTDATA("Sum of INVERT",$K$11,"CABLE TYPE","6 F DUAL DROP CABLE"),0)</f>
        <v>0</v>
      </c>
      <c r="J35" s="23"/>
      <c r="K35"/>
      <c r="L35"/>
      <c r="M35"/>
      <c r="N35"/>
      <c r="O35"/>
      <c r="P35"/>
      <c r="Q35" s="23"/>
      <c r="R35" s="23"/>
      <c r="S35" s="23"/>
    </row>
    <row r="36" spans="1:19" s="219" customFormat="1" ht="15" thickBot="1">
      <c r="A36" s="23"/>
      <c r="B36" s="23"/>
      <c r="C36" s="23"/>
      <c r="D36" s="23"/>
      <c r="E36" s="225" t="s">
        <v>761</v>
      </c>
      <c r="F36" s="901">
        <f>COUNTIFS(E2:E6,E36)</f>
        <v>0</v>
      </c>
      <c r="G36" s="23"/>
      <c r="H36" s="540" t="s">
        <v>941</v>
      </c>
      <c r="I36" s="908">
        <f>IFERROR(GETPIVOTDATA("Sum of DISTANCE",$K$11,"CABLE TYPE","8 F DUAL DROP CABLE"),0)+IFERROR(GETPIVOTDATA("Sum of SLACK",$K$11,"CABLE TYPE","8 F DUAL DROP CABLE"),0)+IFERROR(GETPIVOTDATA("Sum of INVERT",$K$11,"CABLE TYPE","8 F DUAL DROP CABLE"),0)</f>
        <v>0</v>
      </c>
      <c r="J36" s="23"/>
      <c r="K36"/>
      <c r="L36"/>
      <c r="M36"/>
      <c r="N36"/>
      <c r="O36"/>
      <c r="P36"/>
      <c r="Q36" s="23"/>
      <c r="R36" s="23"/>
      <c r="S36" s="23"/>
    </row>
    <row r="37" spans="1:19" s="219" customFormat="1">
      <c r="A37" s="23"/>
      <c r="B37" s="23"/>
      <c r="C37" s="23"/>
      <c r="D37" s="23"/>
      <c r="E37" s="23"/>
      <c r="F37" s="329"/>
      <c r="G37" s="23"/>
      <c r="H37" s="540" t="s">
        <v>942</v>
      </c>
      <c r="I37" s="908">
        <f>IFERROR(GETPIVOTDATA("Sum of DISTANCE",$K$11,"CABLE TYPE","12 F DUAL DROP CABLE"),0)+IFERROR(GETPIVOTDATA("Sum of SLACK",$K$11,"CABLE TYPE","12 F DUAL DROP CABLE"),0)+IFERROR(GETPIVOTDATA("Sum of INVERT",$K$11,"CABLE TYPE","12 F DUAL DROP CABLE"),0)</f>
        <v>0</v>
      </c>
      <c r="J37" s="23"/>
      <c r="K37"/>
      <c r="L37"/>
      <c r="M37"/>
      <c r="N37"/>
      <c r="O37"/>
      <c r="P37"/>
      <c r="Q37" s="23"/>
      <c r="R37" s="23"/>
      <c r="S37" s="23"/>
    </row>
    <row r="38" spans="1:19" s="219" customFormat="1" ht="15" thickBot="1">
      <c r="A38" s="23"/>
      <c r="B38" s="23"/>
      <c r="C38" s="23"/>
      <c r="D38" s="23"/>
      <c r="E38" s="23"/>
      <c r="F38" s="329"/>
      <c r="G38" s="23"/>
      <c r="H38" s="541" t="s">
        <v>943</v>
      </c>
      <c r="I38" s="909">
        <f>IFERROR(GETPIVOTDATA("Sum of DISTANCE",$K$11,"CABLE TYPE","24 F DUAL DROP CABLE"),0)+IFERROR(GETPIVOTDATA("Sum of SLACK",$K$11,"CABLE TYPE","24 F DUAL DROP CABLE"),0)+IFERROR(GETPIVOTDATA("Sum of INVERT",$K$11,"CABLE TYPE","24 F DUAL DROP CABLE"),0)</f>
        <v>0</v>
      </c>
      <c r="J38" s="23"/>
      <c r="K38"/>
      <c r="L38"/>
      <c r="M38"/>
      <c r="N38"/>
      <c r="O38"/>
      <c r="P38"/>
      <c r="Q38" s="23"/>
      <c r="R38" s="23"/>
      <c r="S38" s="23"/>
    </row>
    <row r="39" spans="1:19" s="219" customFormat="1" ht="15" thickBot="1">
      <c r="A39" s="23"/>
      <c r="B39" s="23"/>
      <c r="C39" s="23"/>
      <c r="D39" s="23"/>
      <c r="E39" s="222" t="s">
        <v>762</v>
      </c>
      <c r="F39" s="896">
        <f>COUNTIFS(J2:J6,E39)</f>
        <v>0</v>
      </c>
      <c r="G39" s="23"/>
      <c r="H39" s="623" t="s">
        <v>1071</v>
      </c>
      <c r="I39" s="624">
        <f>SUM(I33:I38)</f>
        <v>70</v>
      </c>
      <c r="J39" s="23"/>
      <c r="K39" s="1185" t="s">
        <v>625</v>
      </c>
      <c r="L39" s="1186"/>
      <c r="M39"/>
      <c r="N39" s="23"/>
      <c r="O39" s="23"/>
      <c r="P39"/>
      <c r="Q39" s="23"/>
      <c r="R39" s="23"/>
      <c r="S39" s="23"/>
    </row>
    <row r="40" spans="1:19" s="219" customFormat="1">
      <c r="A40" s="23"/>
      <c r="B40" s="23"/>
      <c r="C40" s="23"/>
      <c r="D40" s="23"/>
      <c r="E40" s="223" t="s">
        <v>763</v>
      </c>
      <c r="F40" s="898">
        <f>COUNTIFS(J2:J6,E40)</f>
        <v>0</v>
      </c>
      <c r="G40" s="23"/>
      <c r="H40" s="222" t="s">
        <v>782</v>
      </c>
      <c r="I40" s="896">
        <f>IFERROR(GETPIVOTDATA("CABLE TYPE",$K$40,"CABLE TYPE","10m Wall Box Cable"),0)</f>
        <v>0</v>
      </c>
      <c r="J40" s="23"/>
      <c r="K40" s="313" t="s">
        <v>550</v>
      </c>
      <c r="L40" t="s">
        <v>594</v>
      </c>
      <c r="M40"/>
      <c r="N40" s="23"/>
      <c r="O40" s="23"/>
      <c r="P40"/>
      <c r="Q40" s="23"/>
      <c r="R40" s="23"/>
      <c r="S40" s="23"/>
    </row>
    <row r="41" spans="1:19" s="219" customFormat="1">
      <c r="A41" s="23"/>
      <c r="B41" s="23"/>
      <c r="C41" s="23"/>
      <c r="D41" s="23"/>
      <c r="E41" s="223" t="s">
        <v>764</v>
      </c>
      <c r="F41" s="898">
        <f>COUNTIFS(J2:J6,E41)</f>
        <v>0</v>
      </c>
      <c r="G41" s="23"/>
      <c r="H41" s="324" t="s">
        <v>783</v>
      </c>
      <c r="I41" s="903">
        <f>IFERROR(GETPIVOTDATA("CABLE TYPE",$K$40,"CABLE TYPE","30m Wall Box Cable"),0)</f>
        <v>0</v>
      </c>
      <c r="J41" s="23"/>
      <c r="K41" s="314" t="s">
        <v>610</v>
      </c>
      <c r="L41" s="1218"/>
      <c r="M41"/>
      <c r="N41" s="23"/>
      <c r="O41" s="23"/>
      <c r="P41"/>
      <c r="Q41" s="23"/>
      <c r="R41" s="23"/>
      <c r="S41" s="23"/>
    </row>
    <row r="42" spans="1:19" s="219" customFormat="1">
      <c r="A42" s="23"/>
      <c r="B42" s="23"/>
      <c r="C42" s="23"/>
      <c r="D42" s="23"/>
      <c r="E42" s="223" t="s">
        <v>765</v>
      </c>
      <c r="F42" s="898">
        <f>COUNTIFS(J2:J6,E42)</f>
        <v>0</v>
      </c>
      <c r="G42" s="23"/>
      <c r="H42" s="324" t="s">
        <v>784</v>
      </c>
      <c r="I42" s="903">
        <f>IFERROR(GETPIVOTDATA("CABLE TYPE",$K$40,"CABLE TYPE","70m Wall Box Cable"),0)</f>
        <v>0</v>
      </c>
      <c r="J42" s="23"/>
      <c r="K42" s="314" t="s">
        <v>939</v>
      </c>
      <c r="L42" s="1218">
        <v>4</v>
      </c>
      <c r="M42"/>
      <c r="N42" s="23"/>
      <c r="O42" s="23"/>
      <c r="P42"/>
      <c r="Q42" s="23"/>
      <c r="R42" s="23"/>
      <c r="S42" s="23"/>
    </row>
    <row r="43" spans="1:19" s="219" customFormat="1" ht="15" thickBot="1">
      <c r="A43" s="23"/>
      <c r="B43" s="23"/>
      <c r="C43" s="23"/>
      <c r="D43" s="23"/>
      <c r="E43" s="223" t="s">
        <v>766</v>
      </c>
      <c r="F43" s="898">
        <f>COUNTIFS(J2:J6,E43)</f>
        <v>0</v>
      </c>
      <c r="G43" s="23"/>
      <c r="H43" s="325" t="s">
        <v>785</v>
      </c>
      <c r="I43" s="905">
        <f>IFERROR(GETPIVOTDATA("CABLE TYPE",$K$40,"CABLE TYPE","100m Wall Box Cable"),0)</f>
        <v>0</v>
      </c>
      <c r="J43" s="23"/>
      <c r="K43" s="314" t="s">
        <v>549</v>
      </c>
      <c r="L43" s="1218">
        <v>4</v>
      </c>
      <c r="M43"/>
      <c r="N43"/>
      <c r="O43"/>
      <c r="P43"/>
      <c r="Q43" s="23"/>
      <c r="R43" s="23"/>
      <c r="S43" s="23"/>
    </row>
    <row r="44" spans="1:19" s="219" customFormat="1" ht="15" thickBot="1">
      <c r="A44" s="23"/>
      <c r="B44" s="23"/>
      <c r="C44" s="23"/>
      <c r="D44" s="23"/>
      <c r="E44" s="225" t="s">
        <v>767</v>
      </c>
      <c r="F44" s="901">
        <f>COUNTIFS(J2:J6,E44)</f>
        <v>0</v>
      </c>
      <c r="G44" s="23"/>
      <c r="H44" s="23"/>
      <c r="I44" s="328">
        <f>(I40*10)+(I41*30)+(I42*70)+(I43*100)</f>
        <v>0</v>
      </c>
      <c r="J44" s="23"/>
      <c r="K44"/>
      <c r="L44"/>
      <c r="M44"/>
      <c r="N44"/>
      <c r="O44"/>
      <c r="P44"/>
      <c r="Q44" s="23"/>
      <c r="R44" s="23"/>
      <c r="S44" s="23"/>
    </row>
    <row r="45" spans="1:19" s="219" customFormat="1" ht="15" thickBo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/>
      <c r="L45"/>
      <c r="M45"/>
      <c r="N45"/>
      <c r="O45"/>
      <c r="P45"/>
      <c r="Q45" s="23"/>
      <c r="R45" s="23"/>
      <c r="S45" s="23"/>
    </row>
    <row r="46" spans="1:19" s="219" customFormat="1" ht="15" thickBot="1">
      <c r="A46" s="23"/>
      <c r="B46" s="23"/>
      <c r="C46" s="23"/>
      <c r="D46" s="23"/>
      <c r="E46" s="23"/>
      <c r="F46" s="23"/>
      <c r="G46" s="23"/>
      <c r="H46" s="222" t="s">
        <v>1249</v>
      </c>
      <c r="I46" s="896">
        <f>IFERROR(GETPIVOTDATA("Sum of DISTANCE",$K$29,"SUB DUCT","EXISTING DUCTING"),0)</f>
        <v>0</v>
      </c>
      <c r="J46" s="23"/>
      <c r="K46"/>
      <c r="L46"/>
      <c r="M46"/>
      <c r="N46"/>
      <c r="O46"/>
      <c r="P46"/>
      <c r="Q46" s="23"/>
      <c r="R46" s="23"/>
      <c r="S46" s="23"/>
    </row>
    <row r="47" spans="1:19" s="219" customFormat="1">
      <c r="A47" s="23"/>
      <c r="B47" s="23"/>
      <c r="C47" s="23"/>
      <c r="D47" s="23"/>
      <c r="E47" s="222" t="s">
        <v>768</v>
      </c>
      <c r="F47" s="896">
        <f>IFERROR(GETPIVOTDATA("Sum of DISTANCE",$N$29,"DUCT TYPE","Direct Buried"),0)</f>
        <v>0</v>
      </c>
      <c r="G47" s="23"/>
      <c r="H47" s="330" t="s">
        <v>786</v>
      </c>
      <c r="I47" s="902">
        <f>IFERROR(GETPIVOTDATA("Sum of DISTANCE",$K$29,"SUB DUCT","14/10-1 Way"),0)+IFERROR((GETPIVOTDATA("Sum of DISTANCE",$K$29,"SUB DUCT","14/10-1 Way")*5%),0)</f>
        <v>57.75</v>
      </c>
      <c r="J47" s="23"/>
      <c r="K47"/>
      <c r="L47"/>
      <c r="M47"/>
      <c r="N47"/>
      <c r="O47"/>
      <c r="P47"/>
      <c r="Q47" s="23"/>
      <c r="R47" s="23"/>
      <c r="S47" s="23"/>
    </row>
    <row r="48" spans="1:19" s="219" customFormat="1">
      <c r="A48" s="23"/>
      <c r="B48" s="23"/>
      <c r="C48" s="23"/>
      <c r="D48" s="23"/>
      <c r="E48" s="330" t="s">
        <v>832</v>
      </c>
      <c r="F48" s="902">
        <f>IFERROR(GETPIVOTDATA("Sum of DISTANCE",$N$29,"DUCT TYPE","AERIAL"),0)</f>
        <v>0</v>
      </c>
      <c r="G48" s="23"/>
      <c r="H48" s="487" t="s">
        <v>787</v>
      </c>
      <c r="I48" s="906">
        <f>IFERROR(GETPIVOTDATA("Sum of DISTANCE",$K$29,"SUB DUCT","14/10-2 Way"),0)+IFERROR((GETPIVOTDATA("Sum of DISTANCE",$K$29,"SUB DUCT","14/10-2 Way")*5%),0)</f>
        <v>0</v>
      </c>
      <c r="J48" s="23"/>
      <c r="K48"/>
      <c r="L48"/>
      <c r="M48"/>
      <c r="N48"/>
      <c r="O48"/>
      <c r="P48"/>
      <c r="Q48" s="23"/>
      <c r="R48" s="23"/>
      <c r="S48" s="23"/>
    </row>
    <row r="49" spans="1:19" s="219" customFormat="1">
      <c r="A49" s="23"/>
      <c r="B49" s="23"/>
      <c r="C49" s="23"/>
      <c r="D49" s="23"/>
      <c r="E49" s="330" t="s">
        <v>769</v>
      </c>
      <c r="F49" s="902">
        <f>IFERROR(GETPIVOTDATA("Sum of DISTANCE",$N$29,"DUCT TYPE","40mm Aggri"),0)</f>
        <v>0</v>
      </c>
      <c r="G49" s="23"/>
      <c r="H49" s="487" t="s">
        <v>788</v>
      </c>
      <c r="I49" s="906">
        <f>IFERROR(GETPIVOTDATA("Sum of DISTANCE",$K$29,"SUB DUCT","14/10-4 Way"),0)+IFERROR((GETPIVOTDATA("Sum of DISTANCE",$K$29,"SUB DUCT","14/10-4 Way")*5%),0)</f>
        <v>0</v>
      </c>
      <c r="J49" s="23"/>
      <c r="K49"/>
      <c r="L49"/>
      <c r="M49"/>
      <c r="N49"/>
      <c r="O49"/>
      <c r="P49"/>
      <c r="Q49" s="23"/>
      <c r="R49" s="23"/>
      <c r="S49" s="23"/>
    </row>
    <row r="50" spans="1:19" s="219" customFormat="1" ht="15" thickBot="1">
      <c r="A50" s="23"/>
      <c r="B50" s="23"/>
      <c r="C50" s="23"/>
      <c r="D50" s="23"/>
      <c r="E50" s="324" t="s">
        <v>770</v>
      </c>
      <c r="F50" s="903">
        <f>IFERROR(GETPIVOTDATA("Sum of DISTANCE",$N$29,"DUCT TYPE","50mm Aggri"),0)+IFERROR(GETPIVOTDATA("Sum of Slack",$N$52,"MH TYPE","New Pole 7,2m (Route Start)"),0)+IFERROR(GETPIVOTDATA("Sum of Slack",$N$52,"MH TYPE","New Pole 9m (Route Start)"),0)+IFERROR(GETPIVOTDATA("Sum of Slack",$N$52,"MH TYPE","Existing Pole (Route Start)"),0)</f>
        <v>0</v>
      </c>
      <c r="G50" s="23"/>
      <c r="H50" s="487" t="s">
        <v>789</v>
      </c>
      <c r="I50" s="906">
        <f>IFERROR(GETPIVOTDATA("Sum of DISTANCE",$K$29,"SUB DUCT","14/10-7 Way"),0)+IFERROR((GETPIVOTDATA("Sum of DISTANCE",$K$29,"SUB DUCT","14/10-7 Way")*5%),0)</f>
        <v>0</v>
      </c>
      <c r="J50" s="23"/>
      <c r="K50"/>
      <c r="L50"/>
      <c r="M50"/>
      <c r="N50"/>
      <c r="O50"/>
      <c r="P50"/>
      <c r="Q50" s="23"/>
      <c r="R50" s="23"/>
      <c r="S50" s="23"/>
    </row>
    <row r="51" spans="1:19" s="219" customFormat="1" ht="15" thickBot="1">
      <c r="A51" s="23"/>
      <c r="B51" s="23"/>
      <c r="C51" s="23"/>
      <c r="D51" s="23"/>
      <c r="E51" s="324" t="s">
        <v>771</v>
      </c>
      <c r="F51" s="903">
        <f>IFERROR(GETPIVOTDATA("Sum of DISTANCE",$N$29,"DUCT TYPE","110mm HDPE pipe"),0)</f>
        <v>0</v>
      </c>
      <c r="G51" s="23"/>
      <c r="H51" s="487" t="s">
        <v>790</v>
      </c>
      <c r="I51" s="906">
        <f>IFERROR(GETPIVOTDATA("Sum of DISTANCE",$K$29,"SUB DUCT","12/10-2 Way"),0)+IFERROR((GETPIVOTDATA("Sum of DISTANCE",$K$29,"SUB DUCT","12/10-2 Way")*5%),0)</f>
        <v>0</v>
      </c>
      <c r="J51" s="23"/>
      <c r="K51" s="1185" t="s">
        <v>627</v>
      </c>
      <c r="L51" s="1186"/>
      <c r="M51" s="23"/>
      <c r="N51" s="1185" t="s">
        <v>1187</v>
      </c>
      <c r="O51" s="1186"/>
      <c r="P51"/>
      <c r="Q51" s="23"/>
      <c r="R51" s="23"/>
      <c r="S51" s="23"/>
    </row>
    <row r="52" spans="1:19">
      <c r="E52" s="331" t="s">
        <v>772</v>
      </c>
      <c r="F52" s="904">
        <f>IFERROR(GETPIVOTDATA("Sum of DISTANCE",$N$29,"DUCT TYPE","110MM DRILL PIPE"),0)</f>
        <v>0</v>
      </c>
      <c r="H52" s="487" t="s">
        <v>791</v>
      </c>
      <c r="I52" s="906">
        <f>IFERROR(GETPIVOTDATA("Sum of DISTANCE",$K$29,"SUB DUCT","12/10-4 Way"),0)+IFERROR((GETPIVOTDATA("Sum of DISTANCE",$K$29,"SUB DUCT","12/10-4 Way")*5%),0)</f>
        <v>0</v>
      </c>
      <c r="K52" s="313" t="s">
        <v>550</v>
      </c>
      <c r="L52" t="s">
        <v>551</v>
      </c>
      <c r="N52" s="313" t="s">
        <v>550</v>
      </c>
      <c r="O52" t="s">
        <v>552</v>
      </c>
      <c r="P52"/>
    </row>
    <row r="53" spans="1:19">
      <c r="E53" s="331" t="s">
        <v>773</v>
      </c>
      <c r="F53" s="904">
        <f>IFERROR(GETPIVOTDATA("Sum of DISTANCE",$N$29,"DUCT TYPE","50mm Bosal"),0)</f>
        <v>0</v>
      </c>
      <c r="H53" s="886" t="s">
        <v>792</v>
      </c>
      <c r="I53" s="899">
        <f>IFERROR(GETPIVOTDATA("Sum of DISTANCE",$K$29,"SUB DUCT","12/10-7 Way"),0)+IFERROR((GETPIVOTDATA("Sum of DISTANCE",$K$29,"SUB DUCT","12/10-7 Way")*5%),0)</f>
        <v>0</v>
      </c>
      <c r="K53" s="314" t="s">
        <v>610</v>
      </c>
      <c r="L53" s="1217">
        <v>55</v>
      </c>
      <c r="N53" s="314" t="s">
        <v>610</v>
      </c>
      <c r="O53" s="1217">
        <v>25</v>
      </c>
      <c r="P53"/>
    </row>
    <row r="54" spans="1:19">
      <c r="E54" s="331" t="s">
        <v>774</v>
      </c>
      <c r="F54" s="904">
        <f>IFERROR(GETPIVOTDATA("Sum of DISTANCE",$N$29,"DUCT TYPE","Existing Duct"),0)</f>
        <v>0</v>
      </c>
      <c r="H54" s="330" t="s">
        <v>1248</v>
      </c>
      <c r="I54" s="902">
        <f>IFERROR(GETPIVOTDATA("Sum of DISTANCE",$K$29,"SUB DUCT","DIRECT"),0)</f>
        <v>0</v>
      </c>
      <c r="K54" s="314" t="s">
        <v>549</v>
      </c>
      <c r="L54" s="1217">
        <v>55</v>
      </c>
      <c r="N54" s="314" t="s">
        <v>549</v>
      </c>
      <c r="O54" s="1217">
        <v>25</v>
      </c>
      <c r="P54"/>
    </row>
    <row r="55" spans="1:19" ht="15" thickBot="1">
      <c r="E55" s="436" t="s">
        <v>775</v>
      </c>
      <c r="F55" s="904">
        <f>IFERROR(GETPIVOTDATA("Sum of DISTANCE",$N$29,"DUCT TYPE","25mm Sprague"),0)</f>
        <v>0</v>
      </c>
      <c r="H55" s="1000" t="s">
        <v>832</v>
      </c>
      <c r="I55" s="1001">
        <f>IFERROR(GETPIVOTDATA("Sum of DISTANCE",$K$29,"SUB DUCT","AERIAL"),0)+IFERROR((GETPIVOTDATA("Sum of DISTANCE",$K$29,"SUB DUCT","AERIAL")*10%),0)</f>
        <v>0</v>
      </c>
      <c r="K55"/>
      <c r="L55"/>
      <c r="N55"/>
      <c r="O55"/>
      <c r="P55"/>
    </row>
    <row r="56" spans="1:19">
      <c r="E56" s="436" t="s">
        <v>776</v>
      </c>
      <c r="F56" s="904">
        <f>IFERROR(GETPIVOTDATA("Sum of DISTANCE",$N$29,"DUCT TYPE","50mm Sprague"),0)</f>
        <v>0</v>
      </c>
      <c r="K56"/>
      <c r="L56"/>
      <c r="N56"/>
      <c r="O56"/>
      <c r="P56"/>
    </row>
    <row r="57" spans="1:19" ht="15" thickBot="1">
      <c r="E57" s="436" t="s">
        <v>777</v>
      </c>
      <c r="F57" s="904">
        <f>IFERROR(GETPIVOTDATA("Sum of DISTANCE",$N$29,"DUCT TYPE","25mm PVC"),0)</f>
        <v>49</v>
      </c>
      <c r="K57"/>
      <c r="L57"/>
      <c r="N57"/>
      <c r="O57"/>
      <c r="P57"/>
    </row>
    <row r="58" spans="1:19">
      <c r="E58" s="436" t="s">
        <v>778</v>
      </c>
      <c r="F58" s="904">
        <f>IFERROR(GETPIVOTDATA("Sum of DISTANCE",$N$29,"DUCT TYPE","50mm PVC"),0)</f>
        <v>0</v>
      </c>
      <c r="H58" s="222" t="s">
        <v>1244</v>
      </c>
      <c r="I58" s="896">
        <f>IFERROR(GETPIVOTDATA("Sum of DISTANCE",$K$52,"TRENCH TYPE","IN BUILDING"),0)</f>
        <v>0</v>
      </c>
      <c r="K58"/>
      <c r="L58"/>
    </row>
    <row r="59" spans="1:19">
      <c r="E59" s="436" t="s">
        <v>911</v>
      </c>
      <c r="F59" s="904">
        <f>IFERROR(GETPIVOTDATA("Sum of DISTANCE",$N$29,"DUCT TYPE","TRUNKING 16x16"),0)</f>
        <v>0</v>
      </c>
      <c r="H59" s="330" t="s">
        <v>793</v>
      </c>
      <c r="I59" s="902">
        <f>IFERROR(GETPIVOTDATA("Sum of DISTANCE",$K$52,"TRENCH TYPE","Soil"),0)</f>
        <v>0</v>
      </c>
    </row>
    <row r="60" spans="1:19">
      <c r="E60" s="436" t="s">
        <v>912</v>
      </c>
      <c r="F60" s="904">
        <f>IFERROR(GETPIVOTDATA("Sum of DISTANCE",$N$29,"DUCT TYPE","TRUNKING 25x25"),0)</f>
        <v>3</v>
      </c>
      <c r="H60" s="330" t="s">
        <v>832</v>
      </c>
      <c r="I60" s="902">
        <f>IFERROR(GETPIVOTDATA("Sum of DISTANCE",$K$52,"TRENCH TYPE","AERIAL"),0)</f>
        <v>0</v>
      </c>
    </row>
    <row r="61" spans="1:19">
      <c r="E61" s="436" t="s">
        <v>913</v>
      </c>
      <c r="F61" s="904">
        <f>IFERROR(GETPIVOTDATA("Sum of DISTANCE",$N$29,"DUCT TYPE","TRUNKING 40x40"),0)</f>
        <v>0</v>
      </c>
      <c r="H61" s="324" t="s">
        <v>794</v>
      </c>
      <c r="I61" s="903">
        <f>IFERROR(GETPIVOTDATA("Sum of DISTANCE",$K$52,"TRENCH TYPE","DW Paving"),0)</f>
        <v>0</v>
      </c>
    </row>
    <row r="62" spans="1:19">
      <c r="E62" s="436" t="s">
        <v>910</v>
      </c>
      <c r="F62" s="904">
        <f>IFERROR(GETPIVOTDATA("Sum of DISTANCE",$N$29,"DUCT TYPE","EXISTING TRUNKING"),0)</f>
        <v>0</v>
      </c>
      <c r="H62" s="324" t="s">
        <v>795</v>
      </c>
      <c r="I62" s="903">
        <f>IFERROR(GETPIVOTDATA("Sum of DISTANCE",$K$52,"TRENCH TYPE","DW Asphalt"),0)</f>
        <v>0</v>
      </c>
    </row>
    <row r="63" spans="1:19">
      <c r="E63" s="436" t="s">
        <v>779</v>
      </c>
      <c r="F63" s="904">
        <f>IFERROR(GETPIVOTDATA("Sum of DISTANCE",$N$29,"DUCT TYPE","Existing Cable Tray"),0)</f>
        <v>0</v>
      </c>
      <c r="H63" s="324" t="s">
        <v>796</v>
      </c>
      <c r="I63" s="903">
        <f>IFERROR(GETPIVOTDATA("Sum of DISTANCE",$K$52,"TRENCH TYPE","RC Drill"),0)</f>
        <v>0</v>
      </c>
    </row>
    <row r="64" spans="1:19">
      <c r="E64" s="436" t="s">
        <v>780</v>
      </c>
      <c r="F64" s="904">
        <f>IFERROR(GETPIVOTDATA("Sum of DISTANCE",$N$29,"DUCT TYPE","Cable Tray"),0)</f>
        <v>0</v>
      </c>
      <c r="H64" s="324" t="s">
        <v>797</v>
      </c>
      <c r="I64" s="903">
        <f>IFERROR(GETPIVOTDATA("Sum of DISTANCE",$K$52,"TRENCH TYPE","DW Drill"),0)</f>
        <v>0</v>
      </c>
    </row>
    <row r="65" spans="5:9">
      <c r="E65" s="331" t="s">
        <v>158</v>
      </c>
      <c r="F65" s="904">
        <f>IFERROR(GETPIVOTDATA("Sum of DISTANCE",$N$29,"DUCT TYPE","Sewer"),0)</f>
        <v>0</v>
      </c>
      <c r="H65" s="324" t="s">
        <v>798</v>
      </c>
      <c r="I65" s="903">
        <f>IFERROR(GETPIVOTDATA("Sum of DISTANCE",$K$52,"TRENCH TYPE","Tar Cut"),0)</f>
        <v>0</v>
      </c>
    </row>
    <row r="66" spans="5:9">
      <c r="E66" s="331" t="s">
        <v>759</v>
      </c>
      <c r="F66" s="904">
        <f>IFERROR(GETPIVOTDATA("Sum of DISTANCE",$N$29,"DUCT TYPE","Stormwater"),0)</f>
        <v>0</v>
      </c>
      <c r="H66" s="324" t="s">
        <v>799</v>
      </c>
      <c r="I66" s="903">
        <f>IFERROR(GETPIVOTDATA("Sum of DISTANCE",$K$52,"TRENCH TYPE","Paving"),0)</f>
        <v>0</v>
      </c>
    </row>
    <row r="67" spans="5:9" ht="15" thickBot="1">
      <c r="E67" s="325" t="s">
        <v>781</v>
      </c>
      <c r="F67" s="905">
        <f>IFERROR(GETPIVOTDATA("Sum of DISTANCE",$N$29,"DUCT TYPE","3rd Party Duct"),0)</f>
        <v>3</v>
      </c>
      <c r="H67" s="512" t="s">
        <v>877</v>
      </c>
      <c r="I67" s="903">
        <f>IFERROR(GETPIVOTDATA("Sum of DISTANCE",$K$52,"TRENCH TYPE","Landscape"),0)</f>
        <v>0</v>
      </c>
    </row>
    <row r="68" spans="5:9" ht="15" thickBot="1">
      <c r="H68" s="325" t="s">
        <v>800</v>
      </c>
      <c r="I68" s="905">
        <f>IFERROR(GETPIVOTDATA("Sum of DISTANCE",$K$52,"TRENCH TYPE","Concrete"),0)</f>
        <v>0</v>
      </c>
    </row>
  </sheetData>
  <autoFilter ref="A1:S1" xr:uid="{00000000-0009-0000-0000-000006000000}"/>
  <mergeCells count="6">
    <mergeCell ref="K51:L51"/>
    <mergeCell ref="K10:N10"/>
    <mergeCell ref="K28:L28"/>
    <mergeCell ref="K39:L39"/>
    <mergeCell ref="N28:O28"/>
    <mergeCell ref="N51:O51"/>
  </mergeCells>
  <phoneticPr fontId="139" type="noConversion"/>
  <dataValidations count="6">
    <dataValidation type="list" allowBlank="1" showInputMessage="1" showErrorMessage="1" sqref="L2:L6" xr:uid="{00000000-0002-0000-0600-000004000000}">
      <formula1>$E$47:$E$67</formula1>
    </dataValidation>
    <dataValidation type="list" allowBlank="1" showInputMessage="1" showErrorMessage="1" sqref="E2:E6" xr:uid="{00000000-0002-0000-0600-000001000000}">
      <formula1>$E$10:$E$36</formula1>
    </dataValidation>
    <dataValidation type="list" allowBlank="1" showInputMessage="1" showErrorMessage="1" sqref="K2:K6" xr:uid="{00000000-0002-0000-0600-000003000000}">
      <formula1>$H$58:$H$68</formula1>
    </dataValidation>
    <dataValidation type="list" allowBlank="1" showInputMessage="1" showErrorMessage="1" sqref="D2:D6" xr:uid="{00000000-0002-0000-0600-000002000000}">
      <formula1>$A$10:$A$30</formula1>
    </dataValidation>
    <dataValidation type="list" allowBlank="1" showInputMessage="1" showErrorMessage="1" sqref="N2:N6" xr:uid="{00000000-0002-0000-0600-000005000000}">
      <formula1>$H$10:$H$43</formula1>
    </dataValidation>
    <dataValidation type="list" allowBlank="1" showInputMessage="1" showErrorMessage="1" sqref="M2:M6" xr:uid="{00000000-0002-0000-0600-000000000000}">
      <formula1>$H$46:$H$55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Sphamandla Sokhela</cp:lastModifiedBy>
  <cp:lastPrinted>2021-10-11T09:54:34Z</cp:lastPrinted>
  <dcterms:created xsi:type="dcterms:W3CDTF">2013-02-18T15:08:29Z</dcterms:created>
  <dcterms:modified xsi:type="dcterms:W3CDTF">2023-08-30T08:37:15Z</dcterms:modified>
</cp:coreProperties>
</file>